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3 Base Case\Settlement\KIW - Settlement tie out to JCOS and CCOS\For CCOS Settlement\$74.66M Final Settlement\Sent to Staff\"/>
    </mc:Choice>
  </mc:AlternateContent>
  <xr:revisionPtr revIDLastSave="0" documentId="13_ncr:1_{81814BB4-2A6F-4178-9F37-07C1CBC40F4B}" xr6:coauthVersionLast="47" xr6:coauthVersionMax="47" xr10:uidLastSave="{00000000-0000-0000-0000-000000000000}"/>
  <bookViews>
    <workbookView xWindow="28680" yWindow="960" windowWidth="29040" windowHeight="15720" xr2:uid="{00000000-000D-0000-FFFF-FFFF00000000}"/>
  </bookViews>
  <sheets>
    <sheet name="Summary" sheetId="23" r:id="rId1"/>
    <sheet name="Sch 1" sheetId="8" r:id="rId2"/>
    <sheet name="Sch 2" sheetId="9" r:id="rId3"/>
    <sheet name="2 P1" sheetId="10" r:id="rId4"/>
    <sheet name="2 P2" sheetId="11" r:id="rId5"/>
    <sheet name="2 P3" sheetId="12" r:id="rId6"/>
    <sheet name="Sch 3" sheetId="13" r:id="rId7"/>
    <sheet name="3 P1" sheetId="14" r:id="rId8"/>
    <sheet name="3 P2" sheetId="15" r:id="rId9"/>
    <sheet name="3 P3" sheetId="17" r:id="rId10"/>
    <sheet name="Sch 4" sheetId="1" r:id="rId11"/>
    <sheet name="Sch 5" sheetId="4" r:id="rId12"/>
    <sheet name="Sch 6" sheetId="5" r:id="rId13"/>
    <sheet name="Sch 7" sheetId="6" r:id="rId14"/>
    <sheet name="Sch 8" sheetId="7" r:id="rId15"/>
    <sheet name="Sch 9" sheetId="18" r:id="rId16"/>
    <sheet name="Sch 10" sheetId="19" r:id="rId17"/>
    <sheet name="Allocation Factors" sheetId="3" r:id="rId18"/>
    <sheet name="Olive Hill - Vanceburg" sheetId="20" r:id="rId19"/>
    <sheet name="CWC" sheetId="28" r:id="rId20"/>
  </sheets>
  <externalReferences>
    <externalReference r:id="rId21"/>
    <externalReference r:id="rId22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3">'2 P1'!$A$1:$L$24</definedName>
    <definedName name="_xlnm.Print_Area" localSheetId="8">'3 P2'!$A$1:$F$43</definedName>
    <definedName name="_xlnm.Print_Area" localSheetId="9">'3 P3'!$A$1:$I$45</definedName>
    <definedName name="_xlnm.Print_Area" localSheetId="17">'Allocation Factors'!$A$1:$K$40</definedName>
    <definedName name="_xlnm.Print_Area" localSheetId="19">CWC!$A$1:$J$60</definedName>
    <definedName name="_xlnm.Print_Area" localSheetId="1">'Sch 1'!$A$1:$J$53</definedName>
    <definedName name="_xlnm.Print_Area" localSheetId="16">'Sch 10'!$B$1:$P$43</definedName>
    <definedName name="_xlnm.Print_Area" localSheetId="6">'Sch 3'!$A$1:$AF$29</definedName>
    <definedName name="_xlnm.Print_Area" localSheetId="10">'Sch 4'!$A$1:$I$526</definedName>
    <definedName name="_xlnm.Print_Area" localSheetId="11">'Sch 5'!$A$1:$AU$513</definedName>
    <definedName name="_xlnm.Print_Area" localSheetId="12">'Sch 6'!$A$1:$N$59</definedName>
    <definedName name="_xlnm.Print_Area" localSheetId="14">'Sch 8'!$A$1:$AG$57</definedName>
    <definedName name="_xlnm.Print_Area" localSheetId="15">'Sch 9'!$B$1:$Q$46</definedName>
    <definedName name="_xlnm.Print_Area" localSheetId="0">Summary!$A$1:$F$23</definedName>
    <definedName name="_xlnm.Print_Titles" localSheetId="8">'3 P2'!$1:$9</definedName>
    <definedName name="_xlnm.Print_Titles" localSheetId="1">'Sch 1'!$1:$9</definedName>
    <definedName name="_xlnm.Print_Titles" localSheetId="10">'Sch 4'!$1:$5</definedName>
    <definedName name="_xlnm.Print_Titles" localSheetId="11">'Sch 5'!$A:$B,'Sch 5'!$1:$4</definedName>
    <definedName name="search_directory_name">"R:\fcm90prd\nvision\rpts\Fin_Reports\"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8" l="1"/>
  <c r="G21" i="1" l="1"/>
  <c r="AC493" i="4" l="1"/>
  <c r="AB12" i="13" l="1"/>
  <c r="U14" i="13"/>
  <c r="BE502" i="4"/>
  <c r="BK501" i="4"/>
  <c r="BK502" i="4" s="1"/>
  <c r="BJ235" i="4" l="1"/>
  <c r="D48" i="28" l="1"/>
  <c r="O12" i="13"/>
  <c r="K12" i="13"/>
  <c r="I32" i="28" l="1"/>
  <c r="E30" i="28"/>
  <c r="F30" i="28" s="1"/>
  <c r="E32" i="28"/>
  <c r="F32" i="28" s="1"/>
  <c r="J32" i="28" l="1"/>
  <c r="I28" i="28"/>
  <c r="I30" i="28"/>
  <c r="J30" i="28" s="1"/>
  <c r="Z337" i="4" l="1"/>
  <c r="Z282" i="4"/>
  <c r="H40" i="28" l="1"/>
  <c r="C496" i="4" l="1"/>
  <c r="C495" i="4"/>
  <c r="C494" i="4"/>
  <c r="C492" i="4"/>
  <c r="C491" i="4"/>
  <c r="C490" i="4"/>
  <c r="C489" i="4"/>
  <c r="C486" i="4"/>
  <c r="C485" i="4"/>
  <c r="C484" i="4"/>
  <c r="C483" i="4"/>
  <c r="C482" i="4"/>
  <c r="C481" i="4"/>
  <c r="C478" i="4"/>
  <c r="C477" i="4"/>
  <c r="C476" i="4"/>
  <c r="C475" i="4"/>
  <c r="C474" i="4"/>
  <c r="C473" i="4"/>
  <c r="C472" i="4"/>
  <c r="C471" i="4"/>
  <c r="C470" i="4"/>
  <c r="C469" i="4"/>
  <c r="C466" i="4"/>
  <c r="C465" i="4"/>
  <c r="C457" i="4"/>
  <c r="C453" i="4"/>
  <c r="C452" i="4"/>
  <c r="C451" i="4"/>
  <c r="C450" i="4"/>
  <c r="C449" i="4"/>
  <c r="C445" i="4"/>
  <c r="C444" i="4"/>
  <c r="C443" i="4"/>
  <c r="C442" i="4"/>
  <c r="C441" i="4"/>
  <c r="C436" i="4"/>
  <c r="C435" i="4"/>
  <c r="C434" i="4"/>
  <c r="C433" i="4"/>
  <c r="C432" i="4"/>
  <c r="C426" i="4"/>
  <c r="C425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5" i="4"/>
  <c r="C404" i="4"/>
  <c r="C403" i="4"/>
  <c r="C402" i="4"/>
  <c r="C398" i="4"/>
  <c r="C397" i="4"/>
  <c r="C395" i="4"/>
  <c r="C391" i="4"/>
  <c r="C390" i="4"/>
  <c r="C389" i="4"/>
  <c r="C388" i="4"/>
  <c r="C387" i="4"/>
  <c r="C386" i="4"/>
  <c r="C380" i="4"/>
  <c r="C379" i="4"/>
  <c r="C378" i="4"/>
  <c r="C377" i="4"/>
  <c r="C376" i="4"/>
  <c r="C375" i="4"/>
  <c r="C374" i="4"/>
  <c r="C373" i="4"/>
  <c r="C372" i="4"/>
  <c r="C371" i="4"/>
  <c r="C370" i="4"/>
  <c r="C367" i="4"/>
  <c r="C366" i="4"/>
  <c r="C365" i="4"/>
  <c r="C364" i="4"/>
  <c r="C363" i="4"/>
  <c r="C362" i="4"/>
  <c r="C361" i="4"/>
  <c r="C360" i="4"/>
  <c r="C359" i="4"/>
  <c r="C358" i="4"/>
  <c r="C352" i="4"/>
  <c r="C351" i="4"/>
  <c r="C350" i="4"/>
  <c r="C349" i="4"/>
  <c r="C348" i="4"/>
  <c r="C347" i="4"/>
  <c r="C346" i="4"/>
  <c r="C342" i="4"/>
  <c r="C340" i="4"/>
  <c r="C339" i="4"/>
  <c r="C338" i="4"/>
  <c r="C336" i="4"/>
  <c r="C335" i="4"/>
  <c r="C334" i="4"/>
  <c r="C333" i="4"/>
  <c r="C331" i="4"/>
  <c r="C325" i="4"/>
  <c r="C324" i="4"/>
  <c r="C322" i="4"/>
  <c r="C321" i="4"/>
  <c r="C315" i="4"/>
  <c r="C314" i="4"/>
  <c r="C313" i="4"/>
  <c r="C312" i="4"/>
  <c r="C311" i="4"/>
  <c r="C308" i="4"/>
  <c r="C307" i="4"/>
  <c r="C306" i="4"/>
  <c r="C305" i="4"/>
  <c r="C304" i="4"/>
  <c r="C303" i="4"/>
  <c r="C302" i="4"/>
  <c r="C301" i="4"/>
  <c r="C299" i="4"/>
  <c r="C298" i="4"/>
  <c r="C296" i="4"/>
  <c r="C287" i="4"/>
  <c r="C286" i="4"/>
  <c r="C285" i="4"/>
  <c r="C284" i="4"/>
  <c r="C283" i="4"/>
  <c r="C281" i="4"/>
  <c r="C280" i="4"/>
  <c r="C279" i="4"/>
  <c r="C275" i="4"/>
  <c r="C274" i="4"/>
  <c r="C273" i="4"/>
  <c r="C272" i="4"/>
  <c r="C271" i="4"/>
  <c r="C270" i="4"/>
  <c r="C269" i="4"/>
  <c r="C268" i="4"/>
  <c r="C267" i="4"/>
  <c r="C265" i="4"/>
  <c r="C264" i="4"/>
  <c r="C259" i="4"/>
  <c r="C258" i="4"/>
  <c r="C255" i="4"/>
  <c r="C254" i="4"/>
  <c r="C247" i="4"/>
  <c r="C246" i="4"/>
  <c r="C245" i="4"/>
  <c r="C244" i="4"/>
  <c r="C243" i="4"/>
  <c r="C242" i="4"/>
  <c r="C241" i="4"/>
  <c r="C235" i="4"/>
  <c r="C234" i="4"/>
  <c r="C230" i="4"/>
  <c r="C229" i="4"/>
  <c r="C228" i="4"/>
  <c r="C227" i="4"/>
  <c r="C226" i="4"/>
  <c r="C222" i="4"/>
  <c r="C221" i="4"/>
  <c r="C220" i="4"/>
  <c r="C219" i="4"/>
  <c r="C213" i="4"/>
  <c r="C212" i="4"/>
  <c r="C209" i="4"/>
  <c r="C208" i="4"/>
  <c r="C205" i="4"/>
  <c r="C204" i="4"/>
  <c r="C201" i="4"/>
  <c r="C200" i="4"/>
  <c r="C197" i="4"/>
  <c r="C196" i="4"/>
  <c r="C188" i="4"/>
  <c r="C185" i="4"/>
  <c r="C184" i="4"/>
  <c r="C183" i="4"/>
  <c r="C182" i="4"/>
  <c r="C181" i="4"/>
  <c r="C177" i="4"/>
  <c r="C176" i="4"/>
  <c r="C175" i="4"/>
  <c r="C174" i="4"/>
  <c r="C168" i="4"/>
  <c r="C167" i="4"/>
  <c r="C164" i="4"/>
  <c r="C163" i="4"/>
  <c r="C162" i="4"/>
  <c r="C161" i="4"/>
  <c r="C160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3" i="4"/>
  <c r="C122" i="4"/>
  <c r="C121" i="4"/>
  <c r="C120" i="4"/>
  <c r="C119" i="4"/>
  <c r="C118" i="4"/>
  <c r="C117" i="4"/>
  <c r="C116" i="4"/>
  <c r="C115" i="4"/>
  <c r="C114" i="4"/>
  <c r="C113" i="4"/>
  <c r="C109" i="4"/>
  <c r="C108" i="4"/>
  <c r="C103" i="4"/>
  <c r="C102" i="4"/>
  <c r="C101" i="4"/>
  <c r="C100" i="4"/>
  <c r="C99" i="4"/>
  <c r="C98" i="4"/>
  <c r="C97" i="4"/>
  <c r="C93" i="4"/>
  <c r="C92" i="4"/>
  <c r="C91" i="4"/>
  <c r="C90" i="4"/>
  <c r="C89" i="4"/>
  <c r="C88" i="4"/>
  <c r="C87" i="4"/>
  <c r="C86" i="4"/>
  <c r="C82" i="4"/>
  <c r="C81" i="4"/>
  <c r="C80" i="4"/>
  <c r="C79" i="4"/>
  <c r="C78" i="4"/>
  <c r="C77" i="4"/>
  <c r="C73" i="4"/>
  <c r="C72" i="4"/>
  <c r="C71" i="4"/>
  <c r="C70" i="4"/>
  <c r="C69" i="4"/>
  <c r="C68" i="4"/>
  <c r="C67" i="4"/>
  <c r="C66" i="4"/>
  <c r="C61" i="4"/>
  <c r="C60" i="4"/>
  <c r="C22" i="4"/>
  <c r="F497" i="1" l="1"/>
  <c r="F498" i="1"/>
  <c r="F499" i="1"/>
  <c r="F500" i="1"/>
  <c r="BI52" i="4" l="1"/>
  <c r="C504" i="4"/>
  <c r="C505" i="4"/>
  <c r="E387" i="1" l="1"/>
  <c r="I46" i="28" l="1"/>
  <c r="I44" i="28"/>
  <c r="D42" i="28"/>
  <c r="I41" i="28"/>
  <c r="E41" i="28"/>
  <c r="F41" i="28" s="1"/>
  <c r="I40" i="28"/>
  <c r="D37" i="28"/>
  <c r="I36" i="28"/>
  <c r="I35" i="28"/>
  <c r="I26" i="28"/>
  <c r="I24" i="28"/>
  <c r="I22" i="28"/>
  <c r="E22" i="28"/>
  <c r="F22" i="28" s="1"/>
  <c r="I20" i="28"/>
  <c r="I18" i="28"/>
  <c r="I16" i="28"/>
  <c r="E16" i="28"/>
  <c r="F16" i="28" s="1"/>
  <c r="I14" i="28"/>
  <c r="I12" i="28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I10" i="28"/>
  <c r="J22" i="28" l="1"/>
  <c r="J16" i="28"/>
  <c r="J41" i="28"/>
  <c r="C240" i="4" l="1"/>
  <c r="BM248" i="4"/>
  <c r="BM497" i="4"/>
  <c r="BM29" i="4" s="1"/>
  <c r="BM467" i="4"/>
  <c r="BM479" i="4" s="1"/>
  <c r="BM26" i="4" s="1"/>
  <c r="BM458" i="4"/>
  <c r="BM454" i="4"/>
  <c r="BM446" i="4"/>
  <c r="BM437" i="4"/>
  <c r="BM423" i="4"/>
  <c r="BM427" i="4" s="1"/>
  <c r="BM406" i="4"/>
  <c r="BM19" i="4" s="1"/>
  <c r="BM399" i="4"/>
  <c r="BM392" i="4"/>
  <c r="BM381" i="4"/>
  <c r="BM368" i="4"/>
  <c r="BM353" i="4"/>
  <c r="BM343" i="4"/>
  <c r="BM326" i="4"/>
  <c r="BM316" i="4"/>
  <c r="BM309" i="4"/>
  <c r="BM288" i="4"/>
  <c r="BM276" i="4"/>
  <c r="BM261" i="4"/>
  <c r="BM11" i="4" s="1"/>
  <c r="BM236" i="4"/>
  <c r="BM231" i="4"/>
  <c r="BM223" i="4"/>
  <c r="BM214" i="4"/>
  <c r="BM210" i="4"/>
  <c r="BM206" i="4"/>
  <c r="BM202" i="4"/>
  <c r="BM198" i="4"/>
  <c r="BM189" i="4"/>
  <c r="BM186" i="4"/>
  <c r="BM178" i="4"/>
  <c r="BM169" i="4"/>
  <c r="BM165" i="4"/>
  <c r="BM157" i="4"/>
  <c r="BM142" i="4"/>
  <c r="BM124" i="4"/>
  <c r="BM110" i="4"/>
  <c r="BM104" i="4"/>
  <c r="BM94" i="4"/>
  <c r="BM83" i="4"/>
  <c r="BM74" i="4"/>
  <c r="BM62" i="4"/>
  <c r="BM51" i="4"/>
  <c r="BM50" i="4"/>
  <c r="BM48" i="4"/>
  <c r="BM47" i="4"/>
  <c r="BM46" i="4"/>
  <c r="BM40" i="4"/>
  <c r="BM36" i="4"/>
  <c r="BM35" i="4"/>
  <c r="BM34" i="4"/>
  <c r="BM28" i="4"/>
  <c r="BM20" i="4"/>
  <c r="BM18" i="4"/>
  <c r="BM9" i="4"/>
  <c r="BM8" i="4"/>
  <c r="BM7" i="4"/>
  <c r="BL497" i="4"/>
  <c r="BL29" i="4" s="1"/>
  <c r="BL467" i="4"/>
  <c r="BL479" i="4" s="1"/>
  <c r="BL26" i="4" s="1"/>
  <c r="BL458" i="4"/>
  <c r="BL454" i="4"/>
  <c r="BL446" i="4"/>
  <c r="BL437" i="4"/>
  <c r="BL438" i="4" s="1"/>
  <c r="BL49" i="4" s="1"/>
  <c r="BL423" i="4"/>
  <c r="BL427" i="4" s="1"/>
  <c r="BL406" i="4"/>
  <c r="BL19" i="4" s="1"/>
  <c r="BL399" i="4"/>
  <c r="BL20" i="4" s="1"/>
  <c r="BL392" i="4"/>
  <c r="BL18" i="4" s="1"/>
  <c r="BL381" i="4"/>
  <c r="BL368" i="4"/>
  <c r="BL353" i="4"/>
  <c r="BL343" i="4"/>
  <c r="BL326" i="4"/>
  <c r="BL316" i="4"/>
  <c r="BL309" i="4"/>
  <c r="BL288" i="4"/>
  <c r="BL276" i="4"/>
  <c r="BL261" i="4"/>
  <c r="BL11" i="4" s="1"/>
  <c r="BL52" i="4"/>
  <c r="BL236" i="4"/>
  <c r="BL231" i="4"/>
  <c r="BL223" i="4"/>
  <c r="BL46" i="4" s="1"/>
  <c r="BL214" i="4"/>
  <c r="BL210" i="4"/>
  <c r="BL206" i="4"/>
  <c r="BL202" i="4"/>
  <c r="BL198" i="4"/>
  <c r="BL189" i="4"/>
  <c r="BL186" i="4"/>
  <c r="BL178" i="4"/>
  <c r="BL169" i="4"/>
  <c r="BL165" i="4"/>
  <c r="BL157" i="4"/>
  <c r="BL142" i="4"/>
  <c r="BL124" i="4"/>
  <c r="BL110" i="4"/>
  <c r="BL104" i="4"/>
  <c r="BL94" i="4"/>
  <c r="BL83" i="4"/>
  <c r="BL74" i="4"/>
  <c r="BL62" i="4"/>
  <c r="BL51" i="4"/>
  <c r="BL50" i="4"/>
  <c r="BL48" i="4"/>
  <c r="BL47" i="4"/>
  <c r="BL40" i="4"/>
  <c r="BL36" i="4"/>
  <c r="BL35" i="4"/>
  <c r="BL34" i="4"/>
  <c r="BL28" i="4"/>
  <c r="BL9" i="4"/>
  <c r="BL8" i="4"/>
  <c r="BL7" i="4"/>
  <c r="BM460" i="4" l="1"/>
  <c r="BM25" i="4" s="1"/>
  <c r="BL44" i="4"/>
  <c r="BL318" i="4"/>
  <c r="BL328" i="4" s="1"/>
  <c r="BL15" i="4" s="1"/>
  <c r="BL383" i="4"/>
  <c r="BL17" i="4" s="1"/>
  <c r="BM383" i="4"/>
  <c r="BM17" i="4" s="1"/>
  <c r="BM44" i="4"/>
  <c r="BL191" i="4"/>
  <c r="BM290" i="4"/>
  <c r="BM292" i="4" s="1"/>
  <c r="BM191" i="4"/>
  <c r="BL290" i="4"/>
  <c r="BL10" i="4" s="1"/>
  <c r="BL12" i="4" s="1"/>
  <c r="BM355" i="4"/>
  <c r="BM16" i="4" s="1"/>
  <c r="BL355" i="4"/>
  <c r="BL16" i="4" s="1"/>
  <c r="BM216" i="4"/>
  <c r="BL216" i="4"/>
  <c r="BL460" i="4"/>
  <c r="BL25" i="4" s="1"/>
  <c r="BM106" i="4"/>
  <c r="BM171" i="4" s="1"/>
  <c r="BM318" i="4"/>
  <c r="BM328" i="4" s="1"/>
  <c r="BL106" i="4"/>
  <c r="BL171" i="4" s="1"/>
  <c r="BM438" i="4"/>
  <c r="BM49" i="4" s="1"/>
  <c r="BM52" i="4"/>
  <c r="BM21" i="4"/>
  <c r="BL21" i="4"/>
  <c r="BL248" i="4"/>
  <c r="BL292" i="4" l="1"/>
  <c r="BM10" i="4"/>
  <c r="BM12" i="4" s="1"/>
  <c r="BL23" i="4"/>
  <c r="BL429" i="4"/>
  <c r="BM15" i="4"/>
  <c r="BM23" i="4" s="1"/>
  <c r="BM429" i="4"/>
  <c r="BM43" i="4"/>
  <c r="BM45" i="4" s="1"/>
  <c r="BM53" i="4" s="1"/>
  <c r="BM193" i="4"/>
  <c r="BM250" i="4" s="1"/>
  <c r="BL43" i="4"/>
  <c r="BL45" i="4" s="1"/>
  <c r="BL53" i="4" s="1"/>
  <c r="BL193" i="4"/>
  <c r="BL250" i="4" s="1"/>
  <c r="BA497" i="4" l="1"/>
  <c r="BA29" i="4" s="1"/>
  <c r="BA467" i="4"/>
  <c r="BA479" i="4" s="1"/>
  <c r="BA26" i="4" s="1"/>
  <c r="BA458" i="4"/>
  <c r="BA454" i="4"/>
  <c r="BA446" i="4"/>
  <c r="BA437" i="4"/>
  <c r="BA423" i="4"/>
  <c r="BA427" i="4" s="1"/>
  <c r="BA21" i="4" s="1"/>
  <c r="BA406" i="4"/>
  <c r="BA19" i="4" s="1"/>
  <c r="BA399" i="4"/>
  <c r="BA392" i="4"/>
  <c r="BA18" i="4" s="1"/>
  <c r="BA381" i="4"/>
  <c r="BA368" i="4"/>
  <c r="BA353" i="4"/>
  <c r="BA343" i="4"/>
  <c r="BA326" i="4"/>
  <c r="BA316" i="4"/>
  <c r="BA309" i="4"/>
  <c r="BA288" i="4"/>
  <c r="BA276" i="4"/>
  <c r="BA261" i="4"/>
  <c r="BA11" i="4" s="1"/>
  <c r="BA248" i="4"/>
  <c r="BA236" i="4"/>
  <c r="BA231" i="4"/>
  <c r="BA223" i="4"/>
  <c r="BA46" i="4" s="1"/>
  <c r="BA214" i="4"/>
  <c r="BA210" i="4"/>
  <c r="BA206" i="4"/>
  <c r="BA202" i="4"/>
  <c r="BA198" i="4"/>
  <c r="BA189" i="4"/>
  <c r="BA186" i="4"/>
  <c r="BA178" i="4"/>
  <c r="BA169" i="4"/>
  <c r="BA165" i="4"/>
  <c r="BA157" i="4"/>
  <c r="BA142" i="4"/>
  <c r="BA124" i="4"/>
  <c r="BA110" i="4"/>
  <c r="BA104" i="4"/>
  <c r="BA94" i="4"/>
  <c r="BA83" i="4"/>
  <c r="BA74" i="4"/>
  <c r="BA62" i="4"/>
  <c r="BA52" i="4"/>
  <c r="BA51" i="4"/>
  <c r="BA50" i="4"/>
  <c r="BA48" i="4"/>
  <c r="BA47" i="4"/>
  <c r="BA40" i="4"/>
  <c r="BA36" i="4"/>
  <c r="BA35" i="4"/>
  <c r="BA28" i="4"/>
  <c r="BA20" i="4"/>
  <c r="BA9" i="4"/>
  <c r="BA8" i="4"/>
  <c r="BA7" i="4"/>
  <c r="AZ34" i="4"/>
  <c r="AZ497" i="4"/>
  <c r="AZ29" i="4" s="1"/>
  <c r="AZ467" i="4"/>
  <c r="AZ479" i="4" s="1"/>
  <c r="AZ26" i="4" s="1"/>
  <c r="AZ458" i="4"/>
  <c r="AZ454" i="4"/>
  <c r="AZ446" i="4"/>
  <c r="AZ437" i="4"/>
  <c r="AZ423" i="4"/>
  <c r="AZ427" i="4" s="1"/>
  <c r="AZ21" i="4" s="1"/>
  <c r="AZ406" i="4"/>
  <c r="AZ19" i="4" s="1"/>
  <c r="AZ399" i="4"/>
  <c r="AZ20" i="4" s="1"/>
  <c r="AZ392" i="4"/>
  <c r="AZ18" i="4" s="1"/>
  <c r="AZ381" i="4"/>
  <c r="AZ368" i="4"/>
  <c r="AZ353" i="4"/>
  <c r="AZ343" i="4"/>
  <c r="AZ326" i="4"/>
  <c r="AZ316" i="4"/>
  <c r="AZ309" i="4"/>
  <c r="AZ288" i="4"/>
  <c r="AZ276" i="4"/>
  <c r="AZ261" i="4"/>
  <c r="AZ11" i="4" s="1"/>
  <c r="AZ248" i="4"/>
  <c r="AZ236" i="4"/>
  <c r="AZ231" i="4"/>
  <c r="AZ223" i="4"/>
  <c r="AZ46" i="4" s="1"/>
  <c r="AZ214" i="4"/>
  <c r="AZ210" i="4"/>
  <c r="AZ206" i="4"/>
  <c r="AZ202" i="4"/>
  <c r="AZ198" i="4"/>
  <c r="AZ189" i="4"/>
  <c r="AZ186" i="4"/>
  <c r="AZ178" i="4"/>
  <c r="AZ169" i="4"/>
  <c r="AZ165" i="4"/>
  <c r="AZ157" i="4"/>
  <c r="AZ142" i="4"/>
  <c r="AZ124" i="4"/>
  <c r="AZ110" i="4"/>
  <c r="AZ104" i="4"/>
  <c r="AZ94" i="4"/>
  <c r="AZ83" i="4"/>
  <c r="AZ74" i="4"/>
  <c r="AZ62" i="4"/>
  <c r="AZ52" i="4"/>
  <c r="AZ51" i="4"/>
  <c r="AZ50" i="4"/>
  <c r="AZ48" i="4"/>
  <c r="AZ47" i="4"/>
  <c r="AZ40" i="4"/>
  <c r="AZ36" i="4"/>
  <c r="AZ35" i="4"/>
  <c r="AZ28" i="4"/>
  <c r="AZ9" i="4"/>
  <c r="AZ8" i="4"/>
  <c r="AZ7" i="4"/>
  <c r="D511" i="1"/>
  <c r="BA355" i="4" l="1"/>
  <c r="BA16" i="4" s="1"/>
  <c r="BA438" i="4"/>
  <c r="BA49" i="4" s="1"/>
  <c r="AZ438" i="4"/>
  <c r="AZ49" i="4" s="1"/>
  <c r="AZ191" i="4"/>
  <c r="AZ290" i="4"/>
  <c r="AZ292" i="4" s="1"/>
  <c r="BA106" i="4"/>
  <c r="BA171" i="4" s="1"/>
  <c r="BA44" i="4"/>
  <c r="AZ355" i="4"/>
  <c r="AZ16" i="4" s="1"/>
  <c r="BA290" i="4"/>
  <c r="BA10" i="4" s="1"/>
  <c r="BA12" i="4" s="1"/>
  <c r="BA191" i="4"/>
  <c r="AZ460" i="4"/>
  <c r="AZ25" i="4" s="1"/>
  <c r="AZ383" i="4"/>
  <c r="AZ17" i="4" s="1"/>
  <c r="AZ106" i="4"/>
  <c r="AZ171" i="4" s="1"/>
  <c r="AZ43" i="4" s="1"/>
  <c r="BA216" i="4"/>
  <c r="BA318" i="4"/>
  <c r="BA328" i="4" s="1"/>
  <c r="BA15" i="4" s="1"/>
  <c r="BA383" i="4"/>
  <c r="BA17" i="4" s="1"/>
  <c r="BA460" i="4"/>
  <c r="BA25" i="4" s="1"/>
  <c r="AZ44" i="4"/>
  <c r="AZ216" i="4"/>
  <c r="AZ318" i="4"/>
  <c r="AZ328" i="4" s="1"/>
  <c r="AZ10" i="4"/>
  <c r="AZ12" i="4" s="1"/>
  <c r="BA23" i="4" l="1"/>
  <c r="BA193" i="4"/>
  <c r="BA250" i="4" s="1"/>
  <c r="BA43" i="4"/>
  <c r="BA45" i="4" s="1"/>
  <c r="BA53" i="4" s="1"/>
  <c r="AZ15" i="4"/>
  <c r="AZ23" i="4" s="1"/>
  <c r="AZ429" i="4"/>
  <c r="BA429" i="4"/>
  <c r="BA292" i="4"/>
  <c r="AZ45" i="4"/>
  <c r="AZ53" i="4" s="1"/>
  <c r="AZ193" i="4"/>
  <c r="AZ250" i="4" s="1"/>
  <c r="M18" i="13" l="1"/>
  <c r="M21" i="13" l="1"/>
  <c r="M12" i="13"/>
  <c r="C464" i="4"/>
  <c r="BC297" i="4"/>
  <c r="C297" i="4" s="1"/>
  <c r="BE332" i="4" l="1"/>
  <c r="C332" i="4" s="1"/>
  <c r="BD497" i="4" l="1"/>
  <c r="BD467" i="4"/>
  <c r="BD479" i="4" s="1"/>
  <c r="BD26" i="4" s="1"/>
  <c r="BD458" i="4"/>
  <c r="BD454" i="4"/>
  <c r="BD446" i="4"/>
  <c r="BD437" i="4"/>
  <c r="BD423" i="4"/>
  <c r="BD427" i="4" s="1"/>
  <c r="BD406" i="4"/>
  <c r="BD19" i="4" s="1"/>
  <c r="BD399" i="4"/>
  <c r="BD20" i="4" s="1"/>
  <c r="BD392" i="4"/>
  <c r="BD18" i="4" s="1"/>
  <c r="BD381" i="4"/>
  <c r="BD368" i="4"/>
  <c r="BD353" i="4"/>
  <c r="BD343" i="4"/>
  <c r="BD326" i="4"/>
  <c r="BD316" i="4"/>
  <c r="BD309" i="4"/>
  <c r="BD288" i="4"/>
  <c r="BD276" i="4"/>
  <c r="BD261" i="4"/>
  <c r="BD11" i="4" s="1"/>
  <c r="BD248" i="4"/>
  <c r="BD236" i="4"/>
  <c r="BD231" i="4"/>
  <c r="BD223" i="4"/>
  <c r="BD46" i="4" s="1"/>
  <c r="BD214" i="4"/>
  <c r="BD210" i="4"/>
  <c r="BD206" i="4"/>
  <c r="BD202" i="4"/>
  <c r="BD198" i="4"/>
  <c r="BD189" i="4"/>
  <c r="BD186" i="4"/>
  <c r="BD178" i="4"/>
  <c r="BD169" i="4"/>
  <c r="BD165" i="4"/>
  <c r="BD157" i="4"/>
  <c r="BD142" i="4"/>
  <c r="BD124" i="4"/>
  <c r="BD110" i="4"/>
  <c r="BD104" i="4"/>
  <c r="BD94" i="4"/>
  <c r="BD83" i="4"/>
  <c r="BD74" i="4"/>
  <c r="BD62" i="4"/>
  <c r="BD52" i="4"/>
  <c r="BD51" i="4"/>
  <c r="BD50" i="4"/>
  <c r="BD48" i="4"/>
  <c r="BD47" i="4"/>
  <c r="BD40" i="4"/>
  <c r="BD36" i="4"/>
  <c r="BD35" i="4"/>
  <c r="BD34" i="4"/>
  <c r="BD29" i="4"/>
  <c r="BD28" i="4"/>
  <c r="BD9" i="4"/>
  <c r="BD8" i="4"/>
  <c r="BD7" i="4"/>
  <c r="G12" i="17"/>
  <c r="G10" i="17"/>
  <c r="E18" i="17"/>
  <c r="W316" i="4"/>
  <c r="W309" i="4"/>
  <c r="L341" i="4"/>
  <c r="F34" i="15"/>
  <c r="F36" i="15" s="1"/>
  <c r="F41" i="15" s="1"/>
  <c r="I12" i="13"/>
  <c r="BD438" i="4" l="1"/>
  <c r="BD49" i="4" s="1"/>
  <c r="BD383" i="4"/>
  <c r="BD17" i="4" s="1"/>
  <c r="BD460" i="4"/>
  <c r="BD25" i="4" s="1"/>
  <c r="BD44" i="4"/>
  <c r="BD290" i="4"/>
  <c r="BD10" i="4" s="1"/>
  <c r="BD12" i="4" s="1"/>
  <c r="BD191" i="4"/>
  <c r="BD355" i="4"/>
  <c r="BD16" i="4" s="1"/>
  <c r="BD318" i="4"/>
  <c r="BD328" i="4" s="1"/>
  <c r="BD15" i="4" s="1"/>
  <c r="BD106" i="4"/>
  <c r="BD171" i="4" s="1"/>
  <c r="BD216" i="4"/>
  <c r="BD21" i="4"/>
  <c r="BD292" i="4" l="1"/>
  <c r="BD429" i="4"/>
  <c r="BD193" i="4"/>
  <c r="BD250" i="4" s="1"/>
  <c r="BD43" i="4"/>
  <c r="BD45" i="4" s="1"/>
  <c r="BD53" i="4" s="1"/>
  <c r="BD23" i="4"/>
  <c r="G236" i="4" l="1"/>
  <c r="E40" i="3" l="1"/>
  <c r="AC503" i="4" l="1"/>
  <c r="AC34" i="4" s="1"/>
  <c r="AC467" i="4"/>
  <c r="AC479" i="4" s="1"/>
  <c r="AC26" i="4" s="1"/>
  <c r="AC458" i="4"/>
  <c r="AC454" i="4"/>
  <c r="AC446" i="4"/>
  <c r="AC423" i="4"/>
  <c r="AC427" i="4" s="1"/>
  <c r="AC406" i="4"/>
  <c r="AC19" i="4" s="1"/>
  <c r="AC399" i="4"/>
  <c r="AC20" i="4" s="1"/>
  <c r="AC392" i="4"/>
  <c r="AC18" i="4" s="1"/>
  <c r="AC381" i="4"/>
  <c r="AC368" i="4"/>
  <c r="AC353" i="4"/>
  <c r="AC343" i="4"/>
  <c r="AC326" i="4"/>
  <c r="AC316" i="4"/>
  <c r="AC309" i="4"/>
  <c r="AC288" i="4"/>
  <c r="AC276" i="4"/>
  <c r="AC261" i="4"/>
  <c r="AC11" i="4" s="1"/>
  <c r="AC248" i="4"/>
  <c r="AC236" i="4"/>
  <c r="AC231" i="4"/>
  <c r="AC223" i="4"/>
  <c r="AC46" i="4" s="1"/>
  <c r="AC214" i="4"/>
  <c r="AC210" i="4"/>
  <c r="AC206" i="4"/>
  <c r="AC202" i="4"/>
  <c r="AC198" i="4"/>
  <c r="AC189" i="4"/>
  <c r="AC186" i="4"/>
  <c r="AC178" i="4"/>
  <c r="AC169" i="4"/>
  <c r="AC165" i="4"/>
  <c r="AC157" i="4"/>
  <c r="AC142" i="4"/>
  <c r="AC124" i="4"/>
  <c r="AC110" i="4"/>
  <c r="AC104" i="4"/>
  <c r="AC94" i="4"/>
  <c r="AC83" i="4"/>
  <c r="AC74" i="4"/>
  <c r="AC62" i="4"/>
  <c r="AC52" i="4"/>
  <c r="AC51" i="4"/>
  <c r="AC50" i="4"/>
  <c r="AC48" i="4"/>
  <c r="AC47" i="4"/>
  <c r="AC40" i="4"/>
  <c r="AC36" i="4"/>
  <c r="AC35" i="4"/>
  <c r="AC28" i="4"/>
  <c r="AC9" i="4"/>
  <c r="AC8" i="4"/>
  <c r="AC7" i="4"/>
  <c r="O396" i="4"/>
  <c r="C396" i="4" s="1"/>
  <c r="L323" i="4"/>
  <c r="C323" i="4" s="1"/>
  <c r="AC497" i="4" l="1"/>
  <c r="AC29" i="4" s="1"/>
  <c r="C493" i="4"/>
  <c r="AC290" i="4"/>
  <c r="AC10" i="4" s="1"/>
  <c r="AC12" i="4" s="1"/>
  <c r="AC216" i="4"/>
  <c r="AC106" i="4"/>
  <c r="AC171" i="4" s="1"/>
  <c r="AC191" i="4"/>
  <c r="AC44" i="4"/>
  <c r="AC318" i="4"/>
  <c r="AC328" i="4" s="1"/>
  <c r="AC15" i="4" s="1"/>
  <c r="AC383" i="4"/>
  <c r="AC355" i="4"/>
  <c r="AC16" i="4" s="1"/>
  <c r="AC460" i="4"/>
  <c r="AC25" i="4" s="1"/>
  <c r="AC21" i="4"/>
  <c r="AC437" i="4" l="1"/>
  <c r="AC17" i="4"/>
  <c r="AC23" i="4" s="1"/>
  <c r="AC292" i="4"/>
  <c r="AC193" i="4"/>
  <c r="AC250" i="4" s="1"/>
  <c r="AC43" i="4"/>
  <c r="AC45" i="4" s="1"/>
  <c r="AC429" i="4"/>
  <c r="AC438" i="4" l="1"/>
  <c r="AC49" i="4" s="1"/>
  <c r="AC53" i="4" s="1"/>
  <c r="J336" i="1" l="1"/>
  <c r="D9" i="23" l="1"/>
  <c r="K503" i="4" l="1"/>
  <c r="K34" i="4" s="1"/>
  <c r="K497" i="4"/>
  <c r="K29" i="4" s="1"/>
  <c r="K467" i="4"/>
  <c r="K479" i="4" s="1"/>
  <c r="K26" i="4" s="1"/>
  <c r="K458" i="4"/>
  <c r="K454" i="4"/>
  <c r="K446" i="4"/>
  <c r="K423" i="4"/>
  <c r="K427" i="4" s="1"/>
  <c r="K406" i="4"/>
  <c r="K19" i="4" s="1"/>
  <c r="K399" i="4"/>
  <c r="K20" i="4" s="1"/>
  <c r="K392" i="4"/>
  <c r="K18" i="4" s="1"/>
  <c r="K381" i="4"/>
  <c r="K368" i="4"/>
  <c r="K353" i="4"/>
  <c r="K343" i="4"/>
  <c r="K326" i="4"/>
  <c r="K316" i="4"/>
  <c r="K309" i="4"/>
  <c r="K288" i="4"/>
  <c r="K276" i="4"/>
  <c r="K261" i="4"/>
  <c r="K248" i="4"/>
  <c r="K236" i="4"/>
  <c r="K231" i="4"/>
  <c r="K223" i="4"/>
  <c r="K46" i="4" s="1"/>
  <c r="K214" i="4"/>
  <c r="K210" i="4"/>
  <c r="K206" i="4"/>
  <c r="K202" i="4"/>
  <c r="K198" i="4"/>
  <c r="K189" i="4"/>
  <c r="K186" i="4"/>
  <c r="K178" i="4"/>
  <c r="K169" i="4"/>
  <c r="K165" i="4"/>
  <c r="K157" i="4"/>
  <c r="K142" i="4"/>
  <c r="K124" i="4"/>
  <c r="K110" i="4"/>
  <c r="K104" i="4"/>
  <c r="K94" i="4"/>
  <c r="K83" i="4"/>
  <c r="K74" i="4"/>
  <c r="K62" i="4"/>
  <c r="K52" i="4"/>
  <c r="K51" i="4"/>
  <c r="K50" i="4"/>
  <c r="K48" i="4"/>
  <c r="K47" i="4"/>
  <c r="K40" i="4"/>
  <c r="K36" i="4"/>
  <c r="K35" i="4"/>
  <c r="K28" i="4"/>
  <c r="K9" i="4"/>
  <c r="K8" i="4"/>
  <c r="K7" i="4"/>
  <c r="K318" i="4" l="1"/>
  <c r="K328" i="4" s="1"/>
  <c r="K15" i="4" s="1"/>
  <c r="K290" i="4"/>
  <c r="K10" i="4" s="1"/>
  <c r="K355" i="4"/>
  <c r="K16" i="4" s="1"/>
  <c r="K44" i="4"/>
  <c r="K216" i="4"/>
  <c r="K383" i="4"/>
  <c r="K106" i="4"/>
  <c r="K171" i="4" s="1"/>
  <c r="K191" i="4"/>
  <c r="K460" i="4"/>
  <c r="K25" i="4" s="1"/>
  <c r="K11" i="4"/>
  <c r="K21" i="4"/>
  <c r="D253" i="4"/>
  <c r="C253" i="4" s="1"/>
  <c r="C337" i="4"/>
  <c r="C282" i="4"/>
  <c r="K437" i="4" l="1"/>
  <c r="K292" i="4"/>
  <c r="K12" i="4"/>
  <c r="K17" i="4"/>
  <c r="K23" i="4" s="1"/>
  <c r="K429" i="4"/>
  <c r="K193" i="4"/>
  <c r="K250" i="4" s="1"/>
  <c r="K43" i="4"/>
  <c r="K45" i="4" s="1"/>
  <c r="K438" i="4" l="1"/>
  <c r="K49" i="4" s="1"/>
  <c r="K53" i="4" s="1"/>
  <c r="I300" i="4"/>
  <c r="C300" i="4" s="1"/>
  <c r="AA17" i="7" l="1"/>
  <c r="Y17" i="7"/>
  <c r="O37" i="14" l="1"/>
  <c r="J37" i="14"/>
  <c r="H37" i="14"/>
  <c r="Q34" i="14"/>
  <c r="Q35" i="14"/>
  <c r="Q36" i="14"/>
  <c r="L34" i="14"/>
  <c r="M34" i="14" s="1"/>
  <c r="L35" i="14"/>
  <c r="M35" i="14" s="1"/>
  <c r="L36" i="14"/>
  <c r="M36" i="14" s="1"/>
  <c r="J184" i="1" l="1"/>
  <c r="G36" i="3"/>
  <c r="C257" i="1" l="1"/>
  <c r="C222" i="1" l="1"/>
  <c r="C218" i="1"/>
  <c r="C214" i="1"/>
  <c r="C210" i="1"/>
  <c r="C206" i="1"/>
  <c r="C228" i="1" l="1"/>
  <c r="C229" i="1"/>
  <c r="D258" i="1"/>
  <c r="C258" i="1"/>
  <c r="E258" i="1" l="1"/>
  <c r="E39" i="5"/>
  <c r="E22" i="5"/>
  <c r="E16" i="5"/>
  <c r="C168" i="1" l="1"/>
  <c r="F259" i="1" l="1"/>
  <c r="B246" i="4"/>
  <c r="E259" i="1"/>
  <c r="D259" i="1" s="1"/>
  <c r="C425" i="1"/>
  <c r="C493" i="1"/>
  <c r="F10" i="6"/>
  <c r="C334" i="1"/>
  <c r="E326" i="4"/>
  <c r="F326" i="4"/>
  <c r="G326" i="4"/>
  <c r="H326" i="4"/>
  <c r="I326" i="4"/>
  <c r="J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AB326" i="4"/>
  <c r="AD326" i="4"/>
  <c r="AE326" i="4"/>
  <c r="AF326" i="4"/>
  <c r="AG326" i="4"/>
  <c r="AH326" i="4"/>
  <c r="AI326" i="4"/>
  <c r="BC326" i="4"/>
  <c r="AJ326" i="4"/>
  <c r="AK326" i="4"/>
  <c r="AL326" i="4"/>
  <c r="AM326" i="4"/>
  <c r="AN326" i="4"/>
  <c r="AO326" i="4"/>
  <c r="AP326" i="4"/>
  <c r="AQ326" i="4"/>
  <c r="AR326" i="4"/>
  <c r="AS326" i="4"/>
  <c r="AT326" i="4"/>
  <c r="AU326" i="4"/>
  <c r="AV326" i="4"/>
  <c r="AW326" i="4"/>
  <c r="BH326" i="4"/>
  <c r="AX326" i="4"/>
  <c r="BI326" i="4"/>
  <c r="AY326" i="4"/>
  <c r="BF326" i="4"/>
  <c r="BJ326" i="4"/>
  <c r="BE326" i="4"/>
  <c r="BG326" i="4"/>
  <c r="BB326" i="4"/>
  <c r="BK326" i="4"/>
  <c r="D326" i="4"/>
  <c r="F334" i="1"/>
  <c r="B321" i="4"/>
  <c r="D163" i="1"/>
  <c r="E163" i="1" s="1"/>
  <c r="C350" i="1" l="1"/>
  <c r="C353" i="1"/>
  <c r="E51" i="4"/>
  <c r="F51" i="4"/>
  <c r="G51" i="4"/>
  <c r="H51" i="4"/>
  <c r="I51" i="4"/>
  <c r="J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D51" i="4"/>
  <c r="AE51" i="4"/>
  <c r="AF51" i="4"/>
  <c r="AG51" i="4"/>
  <c r="AH51" i="4"/>
  <c r="AI51" i="4"/>
  <c r="BC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BH51" i="4"/>
  <c r="AX51" i="4"/>
  <c r="BI51" i="4"/>
  <c r="AY51" i="4"/>
  <c r="BF51" i="4"/>
  <c r="BJ51" i="4"/>
  <c r="BE51" i="4"/>
  <c r="BG51" i="4"/>
  <c r="BB51" i="4"/>
  <c r="BK51" i="4"/>
  <c r="D51" i="4"/>
  <c r="C300" i="1"/>
  <c r="C298" i="1"/>
  <c r="C297" i="1"/>
  <c r="C295" i="1"/>
  <c r="C51" i="4" l="1"/>
  <c r="C286" i="1"/>
  <c r="C281" i="1"/>
  <c r="C268" i="1"/>
  <c r="C509" i="1" l="1"/>
  <c r="J509" i="1" s="1"/>
  <c r="C490" i="1"/>
  <c r="C489" i="1"/>
  <c r="C487" i="1"/>
  <c r="C484" i="1"/>
  <c r="C481" i="1"/>
  <c r="C480" i="1"/>
  <c r="C479" i="1"/>
  <c r="C472" i="1"/>
  <c r="C456" i="1"/>
  <c r="C438" i="1"/>
  <c r="C435" i="1"/>
  <c r="C432" i="1"/>
  <c r="E432" i="1" s="1"/>
  <c r="C431" i="1"/>
  <c r="E431" i="1" s="1"/>
  <c r="C424" i="1"/>
  <c r="C411" i="1"/>
  <c r="C409" i="1"/>
  <c r="C400" i="1"/>
  <c r="C380" i="1"/>
  <c r="C365" i="1"/>
  <c r="C345" i="1"/>
  <c r="C328" i="1"/>
  <c r="C326" i="1"/>
  <c r="C321" i="1"/>
  <c r="C312" i="1"/>
  <c r="C311" i="1"/>
  <c r="C310" i="1"/>
  <c r="C267" i="1"/>
  <c r="C272" i="1" s="1"/>
  <c r="C266" i="1"/>
  <c r="C256" i="1"/>
  <c r="C51" i="1" s="1"/>
  <c r="C247" i="1"/>
  <c r="C239" i="1"/>
  <c r="C191" i="1"/>
  <c r="C108" i="1"/>
  <c r="O42" i="7"/>
  <c r="E256" i="1" l="1"/>
  <c r="D256" i="1" s="1"/>
  <c r="C261" i="1"/>
  <c r="AF2" i="4"/>
  <c r="G36" i="11" l="1"/>
  <c r="G51" i="11" l="1"/>
  <c r="G46" i="11"/>
  <c r="G41" i="11"/>
  <c r="G53" i="11" l="1"/>
  <c r="E16" i="11" l="1"/>
  <c r="W749" i="4"/>
  <c r="W750" i="4" s="1"/>
  <c r="U753" i="4"/>
  <c r="U750" i="4"/>
  <c r="F346" i="1" l="1"/>
  <c r="E20" i="17" l="1"/>
  <c r="H7" i="4" l="1"/>
  <c r="AO503" i="4" l="1"/>
  <c r="AO34" i="4" s="1"/>
  <c r="AO497" i="4"/>
  <c r="AO29" i="4" s="1"/>
  <c r="AO467" i="4"/>
  <c r="AO479" i="4" s="1"/>
  <c r="AO26" i="4" s="1"/>
  <c r="AO458" i="4"/>
  <c r="AO454" i="4"/>
  <c r="AO446" i="4"/>
  <c r="AO423" i="4"/>
  <c r="AO427" i="4" s="1"/>
  <c r="AO406" i="4"/>
  <c r="AO19" i="4" s="1"/>
  <c r="AO399" i="4"/>
  <c r="AO20" i="4" s="1"/>
  <c r="AO392" i="4"/>
  <c r="AO18" i="4" s="1"/>
  <c r="AO381" i="4"/>
  <c r="AO368" i="4"/>
  <c r="AO353" i="4"/>
  <c r="AO343" i="4"/>
  <c r="AO316" i="4"/>
  <c r="AO309" i="4"/>
  <c r="AO288" i="4"/>
  <c r="AO276" i="4"/>
  <c r="AO261" i="4"/>
  <c r="AO11" i="4" s="1"/>
  <c r="AO248" i="4"/>
  <c r="AO236" i="4"/>
  <c r="AO231" i="4"/>
  <c r="AO223" i="4"/>
  <c r="AO46" i="4" s="1"/>
  <c r="AO214" i="4"/>
  <c r="AO210" i="4"/>
  <c r="AO206" i="4"/>
  <c r="AO202" i="4"/>
  <c r="AO198" i="4"/>
  <c r="AO189" i="4"/>
  <c r="AO186" i="4"/>
  <c r="AO178" i="4"/>
  <c r="AO169" i="4"/>
  <c r="AO165" i="4"/>
  <c r="AO157" i="4"/>
  <c r="AO142" i="4"/>
  <c r="AO124" i="4"/>
  <c r="AO110" i="4"/>
  <c r="AO104" i="4"/>
  <c r="AO94" i="4"/>
  <c r="AO83" i="4"/>
  <c r="AO74" i="4"/>
  <c r="AO62" i="4"/>
  <c r="AO52" i="4"/>
  <c r="AO50" i="4"/>
  <c r="AO48" i="4"/>
  <c r="AO47" i="4"/>
  <c r="AO40" i="4"/>
  <c r="AO36" i="4"/>
  <c r="AO35" i="4"/>
  <c r="AO28" i="4"/>
  <c r="AO9" i="4"/>
  <c r="AO8" i="4"/>
  <c r="AO7" i="4"/>
  <c r="AO290" i="4" l="1"/>
  <c r="AO10" i="4" s="1"/>
  <c r="AO12" i="4" s="1"/>
  <c r="AO318" i="4"/>
  <c r="AO460" i="4"/>
  <c r="AO25" i="4" s="1"/>
  <c r="AO191" i="4"/>
  <c r="AO383" i="4"/>
  <c r="AO44" i="4"/>
  <c r="AO106" i="4"/>
  <c r="AO171" i="4" s="1"/>
  <c r="AO216" i="4"/>
  <c r="AO21" i="4"/>
  <c r="AO355" i="4"/>
  <c r="AO16" i="4" s="1"/>
  <c r="AO292" i="4" l="1"/>
  <c r="AO328" i="4"/>
  <c r="AO15" i="4" s="1"/>
  <c r="AO17" i="4"/>
  <c r="AO437" i="4"/>
  <c r="AO193" i="4"/>
  <c r="AO250" i="4" s="1"/>
  <c r="AO43" i="4"/>
  <c r="AO45" i="4" s="1"/>
  <c r="AO438" i="4" l="1"/>
  <c r="AO49" i="4" s="1"/>
  <c r="AO53" i="4" s="1"/>
  <c r="AO23" i="4"/>
  <c r="AO429" i="4"/>
  <c r="R28" i="4" l="1"/>
  <c r="S21" i="13" l="1"/>
  <c r="Q21" i="13"/>
  <c r="S16" i="13"/>
  <c r="Q16" i="13"/>
  <c r="S12" i="13"/>
  <c r="Q12" i="13"/>
  <c r="O21" i="13"/>
  <c r="O16" i="13"/>
  <c r="F256" i="1" l="1"/>
  <c r="BK34" i="4"/>
  <c r="BB503" i="4"/>
  <c r="BB34" i="4" s="1"/>
  <c r="BG503" i="4"/>
  <c r="BG34" i="4" s="1"/>
  <c r="BE503" i="4"/>
  <c r="BE34" i="4" s="1"/>
  <c r="BJ503" i="4"/>
  <c r="BJ34" i="4" s="1"/>
  <c r="AX503" i="4"/>
  <c r="AX34" i="4" s="1"/>
  <c r="BK497" i="4"/>
  <c r="BK29" i="4" s="1"/>
  <c r="BB497" i="4"/>
  <c r="BB29" i="4" s="1"/>
  <c r="BG497" i="4"/>
  <c r="BG29" i="4" s="1"/>
  <c r="BE497" i="4"/>
  <c r="BE29" i="4" s="1"/>
  <c r="BJ497" i="4"/>
  <c r="BJ29" i="4" s="1"/>
  <c r="AX497" i="4"/>
  <c r="AX29" i="4" s="1"/>
  <c r="BH497" i="4"/>
  <c r="BH29" i="4" s="1"/>
  <c r="BK467" i="4"/>
  <c r="BK479" i="4" s="1"/>
  <c r="BK26" i="4" s="1"/>
  <c r="BB467" i="4"/>
  <c r="BB479" i="4" s="1"/>
  <c r="BB26" i="4" s="1"/>
  <c r="BG467" i="4"/>
  <c r="BG479" i="4" s="1"/>
  <c r="BG26" i="4" s="1"/>
  <c r="BE467" i="4"/>
  <c r="BE479" i="4" s="1"/>
  <c r="BE26" i="4" s="1"/>
  <c r="BJ467" i="4"/>
  <c r="BJ479" i="4" s="1"/>
  <c r="BJ26" i="4" s="1"/>
  <c r="AX467" i="4"/>
  <c r="AX479" i="4" s="1"/>
  <c r="AX26" i="4" s="1"/>
  <c r="BH467" i="4"/>
  <c r="BH479" i="4" s="1"/>
  <c r="BH26" i="4" s="1"/>
  <c r="BK458" i="4"/>
  <c r="BB458" i="4"/>
  <c r="BG458" i="4"/>
  <c r="BE458" i="4"/>
  <c r="BJ458" i="4"/>
  <c r="AX458" i="4"/>
  <c r="BH458" i="4"/>
  <c r="BK454" i="4"/>
  <c r="BB454" i="4"/>
  <c r="BG454" i="4"/>
  <c r="BE454" i="4"/>
  <c r="BJ454" i="4"/>
  <c r="AX454" i="4"/>
  <c r="BH454" i="4"/>
  <c r="BK446" i="4"/>
  <c r="BB446" i="4"/>
  <c r="BG446" i="4"/>
  <c r="BE446" i="4"/>
  <c r="BJ446" i="4"/>
  <c r="AX446" i="4"/>
  <c r="BH446" i="4"/>
  <c r="BK423" i="4"/>
  <c r="BK427" i="4" s="1"/>
  <c r="BB423" i="4"/>
  <c r="BB427" i="4" s="1"/>
  <c r="BG423" i="4"/>
  <c r="BG427" i="4" s="1"/>
  <c r="BE423" i="4"/>
  <c r="BE427" i="4" s="1"/>
  <c r="BE21" i="4" s="1"/>
  <c r="BJ423" i="4"/>
  <c r="BJ427" i="4" s="1"/>
  <c r="AX423" i="4"/>
  <c r="AX427" i="4" s="1"/>
  <c r="BH423" i="4"/>
  <c r="BH427" i="4" s="1"/>
  <c r="BK406" i="4"/>
  <c r="BK19" i="4" s="1"/>
  <c r="BB406" i="4"/>
  <c r="BB19" i="4" s="1"/>
  <c r="BG406" i="4"/>
  <c r="BG19" i="4" s="1"/>
  <c r="BE406" i="4"/>
  <c r="BE19" i="4" s="1"/>
  <c r="BJ406" i="4"/>
  <c r="BJ19" i="4" s="1"/>
  <c r="AX406" i="4"/>
  <c r="AX19" i="4" s="1"/>
  <c r="BH406" i="4"/>
  <c r="BH19" i="4" s="1"/>
  <c r="BK399" i="4"/>
  <c r="BK20" i="4" s="1"/>
  <c r="BB399" i="4"/>
  <c r="BB20" i="4" s="1"/>
  <c r="BG399" i="4"/>
  <c r="BG20" i="4" s="1"/>
  <c r="BE399" i="4"/>
  <c r="BE20" i="4" s="1"/>
  <c r="BJ399" i="4"/>
  <c r="BJ20" i="4" s="1"/>
  <c r="AX399" i="4"/>
  <c r="AX20" i="4" s="1"/>
  <c r="BH399" i="4"/>
  <c r="BH20" i="4" s="1"/>
  <c r="BK392" i="4"/>
  <c r="BB392" i="4"/>
  <c r="BG392" i="4"/>
  <c r="BE392" i="4"/>
  <c r="BJ392" i="4"/>
  <c r="AX392" i="4"/>
  <c r="BH392" i="4"/>
  <c r="BH18" i="4" s="1"/>
  <c r="BK381" i="4"/>
  <c r="BB381" i="4"/>
  <c r="BG381" i="4"/>
  <c r="BE381" i="4"/>
  <c r="BJ381" i="4"/>
  <c r="AX381" i="4"/>
  <c r="BH381" i="4"/>
  <c r="BK368" i="4"/>
  <c r="BB368" i="4"/>
  <c r="BG368" i="4"/>
  <c r="BE368" i="4"/>
  <c r="BJ368" i="4"/>
  <c r="AX368" i="4"/>
  <c r="BH368" i="4"/>
  <c r="BK353" i="4"/>
  <c r="BB353" i="4"/>
  <c r="BG353" i="4"/>
  <c r="BE353" i="4"/>
  <c r="BJ353" i="4"/>
  <c r="AX353" i="4"/>
  <c r="BH353" i="4"/>
  <c r="BK343" i="4"/>
  <c r="BB343" i="4"/>
  <c r="BG343" i="4"/>
  <c r="BE343" i="4"/>
  <c r="BJ343" i="4"/>
  <c r="AX343" i="4"/>
  <c r="BH343" i="4"/>
  <c r="BK316" i="4"/>
  <c r="BB316" i="4"/>
  <c r="BG316" i="4"/>
  <c r="BE316" i="4"/>
  <c r="BJ316" i="4"/>
  <c r="AX316" i="4"/>
  <c r="BH316" i="4"/>
  <c r="BK309" i="4"/>
  <c r="BB309" i="4"/>
  <c r="BG309" i="4"/>
  <c r="BE309" i="4"/>
  <c r="BJ309" i="4"/>
  <c r="AX309" i="4"/>
  <c r="BH309" i="4"/>
  <c r="BK288" i="4"/>
  <c r="BB288" i="4"/>
  <c r="BG288" i="4"/>
  <c r="BE288" i="4"/>
  <c r="BJ288" i="4"/>
  <c r="AX288" i="4"/>
  <c r="BH288" i="4"/>
  <c r="BK276" i="4"/>
  <c r="BB276" i="4"/>
  <c r="BG276" i="4"/>
  <c r="BE276" i="4"/>
  <c r="BJ276" i="4"/>
  <c r="AX276" i="4"/>
  <c r="BH276" i="4"/>
  <c r="BK261" i="4"/>
  <c r="BB261" i="4"/>
  <c r="BG261" i="4"/>
  <c r="BE261" i="4"/>
  <c r="BJ261" i="4"/>
  <c r="AX261" i="4"/>
  <c r="BH261" i="4"/>
  <c r="BH11" i="4" s="1"/>
  <c r="BK248" i="4"/>
  <c r="BB248" i="4"/>
  <c r="BG248" i="4"/>
  <c r="BE248" i="4"/>
  <c r="BJ248" i="4"/>
  <c r="AX248" i="4"/>
  <c r="BH248" i="4"/>
  <c r="BK236" i="4"/>
  <c r="BB236" i="4"/>
  <c r="BG236" i="4"/>
  <c r="BE236" i="4"/>
  <c r="BJ236" i="4"/>
  <c r="AX236" i="4"/>
  <c r="BH236" i="4"/>
  <c r="BK231" i="4"/>
  <c r="BB231" i="4"/>
  <c r="BG231" i="4"/>
  <c r="BE231" i="4"/>
  <c r="BJ231" i="4"/>
  <c r="AX231" i="4"/>
  <c r="BH231" i="4"/>
  <c r="BK223" i="4"/>
  <c r="BK46" i="4" s="1"/>
  <c r="BB223" i="4"/>
  <c r="BB46" i="4" s="1"/>
  <c r="BG223" i="4"/>
  <c r="BG46" i="4" s="1"/>
  <c r="BE223" i="4"/>
  <c r="BE46" i="4" s="1"/>
  <c r="BJ223" i="4"/>
  <c r="BJ46" i="4" s="1"/>
  <c r="AX223" i="4"/>
  <c r="AX46" i="4" s="1"/>
  <c r="BH223" i="4"/>
  <c r="BH46" i="4" s="1"/>
  <c r="BK214" i="4"/>
  <c r="BB214" i="4"/>
  <c r="BG214" i="4"/>
  <c r="BE214" i="4"/>
  <c r="BJ214" i="4"/>
  <c r="AX214" i="4"/>
  <c r="BH214" i="4"/>
  <c r="BK210" i="4"/>
  <c r="BB210" i="4"/>
  <c r="BG210" i="4"/>
  <c r="BE210" i="4"/>
  <c r="BJ210" i="4"/>
  <c r="AX210" i="4"/>
  <c r="BH210" i="4"/>
  <c r="BK206" i="4"/>
  <c r="BB206" i="4"/>
  <c r="BG206" i="4"/>
  <c r="BE206" i="4"/>
  <c r="BJ206" i="4"/>
  <c r="AX206" i="4"/>
  <c r="BH206" i="4"/>
  <c r="BK202" i="4"/>
  <c r="BB202" i="4"/>
  <c r="BG202" i="4"/>
  <c r="BE202" i="4"/>
  <c r="BJ202" i="4"/>
  <c r="AX202" i="4"/>
  <c r="BH202" i="4"/>
  <c r="BK198" i="4"/>
  <c r="BB198" i="4"/>
  <c r="BG198" i="4"/>
  <c r="BE198" i="4"/>
  <c r="BJ198" i="4"/>
  <c r="AX198" i="4"/>
  <c r="BH198" i="4"/>
  <c r="BK189" i="4"/>
  <c r="BB189" i="4"/>
  <c r="BG189" i="4"/>
  <c r="BE189" i="4"/>
  <c r="BJ189" i="4"/>
  <c r="AX189" i="4"/>
  <c r="BH189" i="4"/>
  <c r="BK186" i="4"/>
  <c r="BB186" i="4"/>
  <c r="BG186" i="4"/>
  <c r="BE186" i="4"/>
  <c r="BJ186" i="4"/>
  <c r="AX186" i="4"/>
  <c r="BH186" i="4"/>
  <c r="BK178" i="4"/>
  <c r="BB178" i="4"/>
  <c r="BG178" i="4"/>
  <c r="BE178" i="4"/>
  <c r="BJ178" i="4"/>
  <c r="AX178" i="4"/>
  <c r="BH178" i="4"/>
  <c r="BK169" i="4"/>
  <c r="BB169" i="4"/>
  <c r="BG169" i="4"/>
  <c r="BE169" i="4"/>
  <c r="BJ169" i="4"/>
  <c r="AX169" i="4"/>
  <c r="BH169" i="4"/>
  <c r="BK165" i="4"/>
  <c r="BB165" i="4"/>
  <c r="BG165" i="4"/>
  <c r="BE165" i="4"/>
  <c r="BJ165" i="4"/>
  <c r="AX165" i="4"/>
  <c r="BH165" i="4"/>
  <c r="BK157" i="4"/>
  <c r="BB157" i="4"/>
  <c r="BG157" i="4"/>
  <c r="BE157" i="4"/>
  <c r="BJ157" i="4"/>
  <c r="AX157" i="4"/>
  <c r="BH157" i="4"/>
  <c r="BK142" i="4"/>
  <c r="BB142" i="4"/>
  <c r="BG142" i="4"/>
  <c r="BE142" i="4"/>
  <c r="BJ142" i="4"/>
  <c r="AX142" i="4"/>
  <c r="BH142" i="4"/>
  <c r="BK124" i="4"/>
  <c r="BB124" i="4"/>
  <c r="BG124" i="4"/>
  <c r="BE124" i="4"/>
  <c r="BJ124" i="4"/>
  <c r="AX124" i="4"/>
  <c r="BH124" i="4"/>
  <c r="BK110" i="4"/>
  <c r="BB110" i="4"/>
  <c r="BG110" i="4"/>
  <c r="BE110" i="4"/>
  <c r="BJ110" i="4"/>
  <c r="AX110" i="4"/>
  <c r="BH110" i="4"/>
  <c r="BK104" i="4"/>
  <c r="BB104" i="4"/>
  <c r="BG104" i="4"/>
  <c r="BE104" i="4"/>
  <c r="BJ104" i="4"/>
  <c r="AX104" i="4"/>
  <c r="BH104" i="4"/>
  <c r="BK94" i="4"/>
  <c r="BB94" i="4"/>
  <c r="BG94" i="4"/>
  <c r="BE94" i="4"/>
  <c r="BJ94" i="4"/>
  <c r="AX94" i="4"/>
  <c r="BH94" i="4"/>
  <c r="BK83" i="4"/>
  <c r="BB83" i="4"/>
  <c r="BG83" i="4"/>
  <c r="BE83" i="4"/>
  <c r="BJ83" i="4"/>
  <c r="AX83" i="4"/>
  <c r="BH83" i="4"/>
  <c r="BK74" i="4"/>
  <c r="BB74" i="4"/>
  <c r="BG74" i="4"/>
  <c r="BE74" i="4"/>
  <c r="BJ74" i="4"/>
  <c r="AX74" i="4"/>
  <c r="BH74" i="4"/>
  <c r="BK62" i="4"/>
  <c r="BB62" i="4"/>
  <c r="BG62" i="4"/>
  <c r="BE62" i="4"/>
  <c r="BJ62" i="4"/>
  <c r="AX62" i="4"/>
  <c r="BH62" i="4"/>
  <c r="BK52" i="4"/>
  <c r="BB52" i="4"/>
  <c r="BG52" i="4"/>
  <c r="BE52" i="4"/>
  <c r="BJ52" i="4"/>
  <c r="AX52" i="4"/>
  <c r="BH52" i="4"/>
  <c r="BK50" i="4"/>
  <c r="BB50" i="4"/>
  <c r="BG50" i="4"/>
  <c r="BE50" i="4"/>
  <c r="BJ50" i="4"/>
  <c r="AX50" i="4"/>
  <c r="BH50" i="4"/>
  <c r="BK48" i="4"/>
  <c r="BB48" i="4"/>
  <c r="BG48" i="4"/>
  <c r="BE48" i="4"/>
  <c r="BJ48" i="4"/>
  <c r="AX48" i="4"/>
  <c r="BH48" i="4"/>
  <c r="BK47" i="4"/>
  <c r="BB47" i="4"/>
  <c r="BG47" i="4"/>
  <c r="BE47" i="4"/>
  <c r="BJ47" i="4"/>
  <c r="AX47" i="4"/>
  <c r="BH47" i="4"/>
  <c r="BK40" i="4"/>
  <c r="BB40" i="4"/>
  <c r="BG40" i="4"/>
  <c r="BE40" i="4"/>
  <c r="BJ40" i="4"/>
  <c r="AX40" i="4"/>
  <c r="BH40" i="4"/>
  <c r="BK36" i="4"/>
  <c r="BB36" i="4"/>
  <c r="BG36" i="4"/>
  <c r="BE36" i="4"/>
  <c r="BJ36" i="4"/>
  <c r="AX36" i="4"/>
  <c r="BH36" i="4"/>
  <c r="BK35" i="4"/>
  <c r="BB35" i="4"/>
  <c r="BG35" i="4"/>
  <c r="BE35" i="4"/>
  <c r="BJ35" i="4"/>
  <c r="AX35" i="4"/>
  <c r="BH35" i="4"/>
  <c r="BH34" i="4"/>
  <c r="BK28" i="4"/>
  <c r="BB28" i="4"/>
  <c r="BG28" i="4"/>
  <c r="BE28" i="4"/>
  <c r="BJ28" i="4"/>
  <c r="AX28" i="4"/>
  <c r="BH28" i="4"/>
  <c r="BK27" i="4"/>
  <c r="BG27" i="4"/>
  <c r="BK9" i="4"/>
  <c r="BB9" i="4"/>
  <c r="BG9" i="4"/>
  <c r="BE9" i="4"/>
  <c r="BJ9" i="4"/>
  <c r="AX9" i="4"/>
  <c r="BH9" i="4"/>
  <c r="BK8" i="4"/>
  <c r="BB8" i="4"/>
  <c r="BG8" i="4"/>
  <c r="BE8" i="4"/>
  <c r="BJ8" i="4"/>
  <c r="AX8" i="4"/>
  <c r="BH8" i="4"/>
  <c r="BK7" i="4"/>
  <c r="BB7" i="4"/>
  <c r="BG7" i="4"/>
  <c r="BE7" i="4"/>
  <c r="BJ7" i="4"/>
  <c r="AX7" i="4"/>
  <c r="BH7" i="4"/>
  <c r="C326" i="4" l="1"/>
  <c r="G256" i="1"/>
  <c r="BG290" i="4"/>
  <c r="BG10" i="4" s="1"/>
  <c r="BE383" i="4"/>
  <c r="BH290" i="4"/>
  <c r="BH292" i="4" s="1"/>
  <c r="BB460" i="4"/>
  <c r="BB25" i="4" s="1"/>
  <c r="AX460" i="4"/>
  <c r="AX25" i="4" s="1"/>
  <c r="AX44" i="4"/>
  <c r="BH44" i="4"/>
  <c r="AX290" i="4"/>
  <c r="AX10" i="4" s="1"/>
  <c r="BG383" i="4"/>
  <c r="BG17" i="4" s="1"/>
  <c r="BG44" i="4"/>
  <c r="BB290" i="4"/>
  <c r="BB10" i="4" s="1"/>
  <c r="BH383" i="4"/>
  <c r="BJ290" i="4"/>
  <c r="BJ10" i="4" s="1"/>
  <c r="BB383" i="4"/>
  <c r="BB17" i="4" s="1"/>
  <c r="BJ460" i="4"/>
  <c r="BJ25" i="4" s="1"/>
  <c r="BJ44" i="4"/>
  <c r="BK44" i="4"/>
  <c r="BE290" i="4"/>
  <c r="BE10" i="4" s="1"/>
  <c r="BH355" i="4"/>
  <c r="BH16" i="4" s="1"/>
  <c r="BJ383" i="4"/>
  <c r="BJ17" i="4" s="1"/>
  <c r="BK383" i="4"/>
  <c r="BK17" i="4" s="1"/>
  <c r="BE460" i="4"/>
  <c r="BE25" i="4" s="1"/>
  <c r="BB44" i="4"/>
  <c r="AX383" i="4"/>
  <c r="BE44" i="4"/>
  <c r="BH460" i="4"/>
  <c r="BH25" i="4" s="1"/>
  <c r="BG460" i="4"/>
  <c r="BG25" i="4" s="1"/>
  <c r="AX18" i="4"/>
  <c r="BK290" i="4"/>
  <c r="BK10" i="4" s="1"/>
  <c r="AX11" i="4"/>
  <c r="BB18" i="4"/>
  <c r="BB11" i="4"/>
  <c r="BG18" i="4"/>
  <c r="BE11" i="4"/>
  <c r="BG11" i="4"/>
  <c r="BE18" i="4"/>
  <c r="BK191" i="4"/>
  <c r="BK216" i="4"/>
  <c r="BK318" i="4"/>
  <c r="BJ11" i="4"/>
  <c r="BK11" i="4"/>
  <c r="BE106" i="4"/>
  <c r="BE171" i="4" s="1"/>
  <c r="BJ106" i="4"/>
  <c r="BJ171" i="4" s="1"/>
  <c r="BJ216" i="4"/>
  <c r="BJ18" i="4"/>
  <c r="BK18" i="4"/>
  <c r="BH106" i="4"/>
  <c r="BH171" i="4" s="1"/>
  <c r="BH191" i="4"/>
  <c r="BH216" i="4"/>
  <c r="BH318" i="4"/>
  <c r="BK106" i="4"/>
  <c r="BK171" i="4" s="1"/>
  <c r="BJ191" i="4"/>
  <c r="BJ318" i="4"/>
  <c r="BK460" i="4"/>
  <c r="BK25" i="4" s="1"/>
  <c r="AX106" i="4"/>
  <c r="AX171" i="4" s="1"/>
  <c r="AX43" i="4" s="1"/>
  <c r="BB106" i="4"/>
  <c r="BB171" i="4" s="1"/>
  <c r="AX191" i="4"/>
  <c r="BB191" i="4"/>
  <c r="AX216" i="4"/>
  <c r="BB216" i="4"/>
  <c r="AX318" i="4"/>
  <c r="BB318" i="4"/>
  <c r="BH21" i="4"/>
  <c r="BG106" i="4"/>
  <c r="BG171" i="4" s="1"/>
  <c r="BE191" i="4"/>
  <c r="BE216" i="4"/>
  <c r="BE318" i="4"/>
  <c r="BE355" i="4"/>
  <c r="BE16" i="4" s="1"/>
  <c r="BG191" i="4"/>
  <c r="BG216" i="4"/>
  <c r="BG318" i="4"/>
  <c r="BG355" i="4"/>
  <c r="BG16" i="4" s="1"/>
  <c r="BG21" i="4"/>
  <c r="AX21" i="4"/>
  <c r="BB21" i="4"/>
  <c r="BJ21" i="4"/>
  <c r="BK21" i="4"/>
  <c r="AX355" i="4"/>
  <c r="AX16" i="4" s="1"/>
  <c r="BB355" i="4"/>
  <c r="BB16" i="4" s="1"/>
  <c r="BJ355" i="4"/>
  <c r="BJ16" i="4" s="1"/>
  <c r="BK355" i="4"/>
  <c r="BK16" i="4" s="1"/>
  <c r="BF503" i="4"/>
  <c r="BF34" i="4" s="1"/>
  <c r="AY503" i="4"/>
  <c r="AY34" i="4" s="1"/>
  <c r="BI503" i="4"/>
  <c r="BI34" i="4" s="1"/>
  <c r="BF497" i="4"/>
  <c r="BF29" i="4" s="1"/>
  <c r="AY497" i="4"/>
  <c r="AY29" i="4" s="1"/>
  <c r="BI497" i="4"/>
  <c r="BI29" i="4" s="1"/>
  <c r="BF467" i="4"/>
  <c r="BF479" i="4" s="1"/>
  <c r="BF26" i="4" s="1"/>
  <c r="AY467" i="4"/>
  <c r="AY479" i="4" s="1"/>
  <c r="AY26" i="4" s="1"/>
  <c r="BI467" i="4"/>
  <c r="BI479" i="4" s="1"/>
  <c r="BI26" i="4" s="1"/>
  <c r="BF458" i="4"/>
  <c r="AY458" i="4"/>
  <c r="BI458" i="4"/>
  <c r="BF454" i="4"/>
  <c r="AY454" i="4"/>
  <c r="BI454" i="4"/>
  <c r="BF446" i="4"/>
  <c r="AY446" i="4"/>
  <c r="BI446" i="4"/>
  <c r="BF423" i="4"/>
  <c r="BF427" i="4" s="1"/>
  <c r="AY423" i="4"/>
  <c r="AY427" i="4" s="1"/>
  <c r="BI423" i="4"/>
  <c r="BI427" i="4" s="1"/>
  <c r="BF406" i="4"/>
  <c r="BF19" i="4" s="1"/>
  <c r="AY406" i="4"/>
  <c r="AY19" i="4" s="1"/>
  <c r="BI406" i="4"/>
  <c r="BI19" i="4" s="1"/>
  <c r="BF399" i="4"/>
  <c r="BF20" i="4" s="1"/>
  <c r="AY399" i="4"/>
  <c r="AY20" i="4" s="1"/>
  <c r="BI399" i="4"/>
  <c r="BI20" i="4" s="1"/>
  <c r="BF392" i="4"/>
  <c r="AY392" i="4"/>
  <c r="BI392" i="4"/>
  <c r="BI18" i="4" s="1"/>
  <c r="BF381" i="4"/>
  <c r="AY381" i="4"/>
  <c r="BI381" i="4"/>
  <c r="BF368" i="4"/>
  <c r="AY368" i="4"/>
  <c r="BI368" i="4"/>
  <c r="BF353" i="4"/>
  <c r="AY353" i="4"/>
  <c r="BI353" i="4"/>
  <c r="BF343" i="4"/>
  <c r="AY343" i="4"/>
  <c r="BI343" i="4"/>
  <c r="BF316" i="4"/>
  <c r="AY316" i="4"/>
  <c r="BI316" i="4"/>
  <c r="BF309" i="4"/>
  <c r="AY309" i="4"/>
  <c r="BI309" i="4"/>
  <c r="BF288" i="4"/>
  <c r="AY288" i="4"/>
  <c r="BI288" i="4"/>
  <c r="BF276" i="4"/>
  <c r="AY276" i="4"/>
  <c r="BI276" i="4"/>
  <c r="BF261" i="4"/>
  <c r="BF11" i="4" s="1"/>
  <c r="AY261" i="4"/>
  <c r="AY11" i="4" s="1"/>
  <c r="BI261" i="4"/>
  <c r="BI11" i="4" s="1"/>
  <c r="BF248" i="4"/>
  <c r="AY248" i="4"/>
  <c r="BI248" i="4"/>
  <c r="BF236" i="4"/>
  <c r="AY236" i="4"/>
  <c r="BI236" i="4"/>
  <c r="BF231" i="4"/>
  <c r="AY231" i="4"/>
  <c r="BI231" i="4"/>
  <c r="BF223" i="4"/>
  <c r="BF46" i="4" s="1"/>
  <c r="AY223" i="4"/>
  <c r="AY46" i="4" s="1"/>
  <c r="BI223" i="4"/>
  <c r="BI46" i="4" s="1"/>
  <c r="BF214" i="4"/>
  <c r="AY214" i="4"/>
  <c r="BI214" i="4"/>
  <c r="BF210" i="4"/>
  <c r="AY210" i="4"/>
  <c r="BI210" i="4"/>
  <c r="BF206" i="4"/>
  <c r="AY206" i="4"/>
  <c r="BI206" i="4"/>
  <c r="BF202" i="4"/>
  <c r="AY202" i="4"/>
  <c r="BI202" i="4"/>
  <c r="BF198" i="4"/>
  <c r="AY198" i="4"/>
  <c r="BI198" i="4"/>
  <c r="BF189" i="4"/>
  <c r="AY189" i="4"/>
  <c r="BI189" i="4"/>
  <c r="BF186" i="4"/>
  <c r="AY186" i="4"/>
  <c r="BI186" i="4"/>
  <c r="BF178" i="4"/>
  <c r="AY178" i="4"/>
  <c r="BI178" i="4"/>
  <c r="BF169" i="4"/>
  <c r="AY169" i="4"/>
  <c r="BI169" i="4"/>
  <c r="BF165" i="4"/>
  <c r="AY165" i="4"/>
  <c r="BI165" i="4"/>
  <c r="BF157" i="4"/>
  <c r="AY157" i="4"/>
  <c r="BI157" i="4"/>
  <c r="BF142" i="4"/>
  <c r="AY142" i="4"/>
  <c r="BI142" i="4"/>
  <c r="BF124" i="4"/>
  <c r="AY124" i="4"/>
  <c r="BI124" i="4"/>
  <c r="BF110" i="4"/>
  <c r="AY110" i="4"/>
  <c r="BI110" i="4"/>
  <c r="BF104" i="4"/>
  <c r="AY104" i="4"/>
  <c r="BI104" i="4"/>
  <c r="BF94" i="4"/>
  <c r="AY94" i="4"/>
  <c r="BI94" i="4"/>
  <c r="BF83" i="4"/>
  <c r="AY83" i="4"/>
  <c r="BI83" i="4"/>
  <c r="BF74" i="4"/>
  <c r="AY74" i="4"/>
  <c r="BI74" i="4"/>
  <c r="BF62" i="4"/>
  <c r="AY62" i="4"/>
  <c r="BI62" i="4"/>
  <c r="BF52" i="4"/>
  <c r="AY52" i="4"/>
  <c r="BF50" i="4"/>
  <c r="AY50" i="4"/>
  <c r="BI50" i="4"/>
  <c r="BF48" i="4"/>
  <c r="AY48" i="4"/>
  <c r="BI48" i="4"/>
  <c r="BF47" i="4"/>
  <c r="AY47" i="4"/>
  <c r="BI47" i="4"/>
  <c r="BF40" i="4"/>
  <c r="AY40" i="4"/>
  <c r="BI40" i="4"/>
  <c r="BF36" i="4"/>
  <c r="AY36" i="4"/>
  <c r="BI36" i="4"/>
  <c r="BF35" i="4"/>
  <c r="AY35" i="4"/>
  <c r="BI35" i="4"/>
  <c r="BF28" i="4"/>
  <c r="AY28" i="4"/>
  <c r="BI28" i="4"/>
  <c r="BF9" i="4"/>
  <c r="AY9" i="4"/>
  <c r="BI9" i="4"/>
  <c r="BF8" i="4"/>
  <c r="AY8" i="4"/>
  <c r="BI8" i="4"/>
  <c r="BF7" i="4"/>
  <c r="AY7" i="4"/>
  <c r="BI7" i="4"/>
  <c r="BH10" i="4" l="1"/>
  <c r="BH12" i="4" s="1"/>
  <c r="BG12" i="4"/>
  <c r="BG292" i="4"/>
  <c r="BE17" i="4"/>
  <c r="AX45" i="4"/>
  <c r="BJ437" i="4"/>
  <c r="BH17" i="4"/>
  <c r="BB437" i="4"/>
  <c r="BK437" i="4"/>
  <c r="AX12" i="4"/>
  <c r="BB292" i="4"/>
  <c r="BJ292" i="4"/>
  <c r="BJ12" i="4"/>
  <c r="BB12" i="4"/>
  <c r="AX292" i="4"/>
  <c r="AX17" i="4"/>
  <c r="BE12" i="4"/>
  <c r="BE292" i="4"/>
  <c r="BK292" i="4"/>
  <c r="BK12" i="4"/>
  <c r="BI318" i="4"/>
  <c r="BI328" i="4" s="1"/>
  <c r="BI15" i="4" s="1"/>
  <c r="BK328" i="4"/>
  <c r="BK15" i="4" s="1"/>
  <c r="BK23" i="4" s="1"/>
  <c r="BI290" i="4"/>
  <c r="BI10" i="4" s="1"/>
  <c r="BI12" i="4" s="1"/>
  <c r="BI44" i="4"/>
  <c r="BF44" i="4"/>
  <c r="AY318" i="4"/>
  <c r="AX193" i="4"/>
  <c r="AX250" i="4" s="1"/>
  <c r="BH328" i="4"/>
  <c r="BH15" i="4" s="1"/>
  <c r="BI106" i="4"/>
  <c r="BI171" i="4" s="1"/>
  <c r="BI43" i="4" s="1"/>
  <c r="BI191" i="4"/>
  <c r="AY460" i="4"/>
  <c r="AY25" i="4" s="1"/>
  <c r="AX328" i="4"/>
  <c r="AX15" i="4" s="1"/>
  <c r="BB193" i="4"/>
  <c r="BB250" i="4" s="1"/>
  <c r="BB43" i="4"/>
  <c r="BB45" i="4" s="1"/>
  <c r="AY18" i="4"/>
  <c r="AY290" i="4"/>
  <c r="AY10" i="4" s="1"/>
  <c r="AY12" i="4" s="1"/>
  <c r="BF460" i="4"/>
  <c r="BF25" i="4" s="1"/>
  <c r="AY191" i="4"/>
  <c r="BI383" i="4"/>
  <c r="AY216" i="4"/>
  <c r="BF290" i="4"/>
  <c r="BF10" i="4" s="1"/>
  <c r="BF12" i="4" s="1"/>
  <c r="AY383" i="4"/>
  <c r="AX437" i="4"/>
  <c r="AY106" i="4"/>
  <c r="AY171" i="4" s="1"/>
  <c r="BI216" i="4"/>
  <c r="BH437" i="4"/>
  <c r="BF18" i="4"/>
  <c r="BF106" i="4"/>
  <c r="BF171" i="4" s="1"/>
  <c r="BF191" i="4"/>
  <c r="BF216" i="4"/>
  <c r="BF318" i="4"/>
  <c r="BF383" i="4"/>
  <c r="BI460" i="4"/>
  <c r="BI25" i="4" s="1"/>
  <c r="BJ328" i="4"/>
  <c r="BB328" i="4"/>
  <c r="BB15" i="4" s="1"/>
  <c r="BB23" i="4" s="1"/>
  <c r="BG193" i="4"/>
  <c r="BG250" i="4" s="1"/>
  <c r="BG43" i="4"/>
  <c r="BG45" i="4" s="1"/>
  <c r="BE193" i="4"/>
  <c r="BE250" i="4" s="1"/>
  <c r="BE43" i="4"/>
  <c r="BE45" i="4" s="1"/>
  <c r="BH43" i="4"/>
  <c r="BH45" i="4" s="1"/>
  <c r="BH193" i="4"/>
  <c r="BH250" i="4" s="1"/>
  <c r="BG328" i="4"/>
  <c r="BK193" i="4"/>
  <c r="BK250" i="4" s="1"/>
  <c r="BK43" i="4"/>
  <c r="BK45" i="4" s="1"/>
  <c r="BJ193" i="4"/>
  <c r="BJ250" i="4" s="1"/>
  <c r="BJ43" i="4"/>
  <c r="BJ45" i="4" s="1"/>
  <c r="BE437" i="4"/>
  <c r="BE328" i="4"/>
  <c r="BE15" i="4" s="1"/>
  <c r="AY44" i="4"/>
  <c r="BF21" i="4"/>
  <c r="BI21" i="4"/>
  <c r="AY21" i="4"/>
  <c r="AY355" i="4"/>
  <c r="AY16" i="4" s="1"/>
  <c r="BF355" i="4"/>
  <c r="BF16" i="4" s="1"/>
  <c r="BI355" i="4"/>
  <c r="BI16" i="4" s="1"/>
  <c r="BB438" i="4" l="1"/>
  <c r="BB49" i="4" s="1"/>
  <c r="BB53" i="4" s="1"/>
  <c r="BE438" i="4"/>
  <c r="BE49" i="4" s="1"/>
  <c r="BE53" i="4" s="1"/>
  <c r="AX438" i="4"/>
  <c r="AX49" i="4" s="1"/>
  <c r="AX53" i="4" s="1"/>
  <c r="BH438" i="4"/>
  <c r="BH49" i="4" s="1"/>
  <c r="BH53" i="4" s="1"/>
  <c r="BJ438" i="4"/>
  <c r="BJ49" i="4" s="1"/>
  <c r="BJ53" i="4" s="1"/>
  <c r="BK438" i="4"/>
  <c r="BK49" i="4" s="1"/>
  <c r="BK53" i="4" s="1"/>
  <c r="BE23" i="4"/>
  <c r="AX23" i="4"/>
  <c r="BH23" i="4"/>
  <c r="BI292" i="4"/>
  <c r="BI437" i="4"/>
  <c r="BK429" i="4"/>
  <c r="AY328" i="4"/>
  <c r="AY15" i="4" s="1"/>
  <c r="BH429" i="4"/>
  <c r="AX429" i="4"/>
  <c r="BB429" i="4"/>
  <c r="BF437" i="4"/>
  <c r="BF17" i="4"/>
  <c r="BI193" i="4"/>
  <c r="BI250" i="4" s="1"/>
  <c r="BF328" i="4"/>
  <c r="BF15" i="4" s="1"/>
  <c r="AY292" i="4"/>
  <c r="BJ15" i="4"/>
  <c r="BJ23" i="4" s="1"/>
  <c r="BJ429" i="4"/>
  <c r="BI17" i="4"/>
  <c r="BI23" i="4" s="1"/>
  <c r="AY17" i="4"/>
  <c r="BF292" i="4"/>
  <c r="AY437" i="4"/>
  <c r="BI45" i="4"/>
  <c r="BG15" i="4"/>
  <c r="BG23" i="4" s="1"/>
  <c r="BG429" i="4"/>
  <c r="BE429" i="4"/>
  <c r="BK30" i="4"/>
  <c r="BK31" i="4" s="1"/>
  <c r="BF193" i="4"/>
  <c r="BF250" i="4" s="1"/>
  <c r="BF43" i="4"/>
  <c r="BF45" i="4" s="1"/>
  <c r="BI429" i="4"/>
  <c r="AY193" i="4"/>
  <c r="AY250" i="4" s="1"/>
  <c r="AY43" i="4"/>
  <c r="AY438" i="4" l="1"/>
  <c r="AY49" i="4" s="1"/>
  <c r="BF438" i="4"/>
  <c r="BF49" i="4" s="1"/>
  <c r="BF53" i="4" s="1"/>
  <c r="BI438" i="4"/>
  <c r="BI49" i="4" s="1"/>
  <c r="BI53" i="4" s="1"/>
  <c r="BF23" i="4"/>
  <c r="AY23" i="4"/>
  <c r="BF429" i="4"/>
  <c r="AY429" i="4"/>
  <c r="AY45" i="4"/>
  <c r="BG502" i="4"/>
  <c r="BG30" i="4"/>
  <c r="BG31" i="4" s="1"/>
  <c r="BK506" i="4"/>
  <c r="BK512" i="4" s="1"/>
  <c r="BK33" i="4"/>
  <c r="BK37" i="4" s="1"/>
  <c r="BK39" i="4" s="1"/>
  <c r="BK41" i="4" s="1"/>
  <c r="AY53" i="4" l="1"/>
  <c r="BG506" i="4"/>
  <c r="BG512" i="4" s="1"/>
  <c r="BG33" i="4"/>
  <c r="BG37" i="4" s="1"/>
  <c r="BG39" i="4" s="1"/>
  <c r="BG41" i="4" s="1"/>
  <c r="AD341" i="4" l="1"/>
  <c r="C341" i="4" s="1"/>
  <c r="F347" i="1" l="1"/>
  <c r="AT503" i="4" l="1"/>
  <c r="AT34" i="4" s="1"/>
  <c r="AS503" i="4"/>
  <c r="AS34" i="4" s="1"/>
  <c r="AR503" i="4"/>
  <c r="AR34" i="4" s="1"/>
  <c r="AQ503" i="4"/>
  <c r="AQ34" i="4" s="1"/>
  <c r="AP503" i="4"/>
  <c r="AP34" i="4" s="1"/>
  <c r="AT497" i="4"/>
  <c r="AT29" i="4" s="1"/>
  <c r="AS497" i="4"/>
  <c r="AS29" i="4" s="1"/>
  <c r="AR497" i="4"/>
  <c r="AR29" i="4" s="1"/>
  <c r="AQ497" i="4"/>
  <c r="AQ29" i="4" s="1"/>
  <c r="AP497" i="4"/>
  <c r="AP29" i="4" s="1"/>
  <c r="AT467" i="4"/>
  <c r="AT479" i="4" s="1"/>
  <c r="AT26" i="4" s="1"/>
  <c r="AS467" i="4"/>
  <c r="AS479" i="4" s="1"/>
  <c r="AS26" i="4" s="1"/>
  <c r="AR467" i="4"/>
  <c r="AR479" i="4" s="1"/>
  <c r="AR26" i="4" s="1"/>
  <c r="AQ467" i="4"/>
  <c r="AQ479" i="4" s="1"/>
  <c r="AQ26" i="4" s="1"/>
  <c r="AP467" i="4"/>
  <c r="AP479" i="4" s="1"/>
  <c r="AP26" i="4" s="1"/>
  <c r="AT458" i="4"/>
  <c r="AS458" i="4"/>
  <c r="AR458" i="4"/>
  <c r="AQ458" i="4"/>
  <c r="AP458" i="4"/>
  <c r="AT454" i="4"/>
  <c r="AS454" i="4"/>
  <c r="AR454" i="4"/>
  <c r="AQ454" i="4"/>
  <c r="AP454" i="4"/>
  <c r="AT446" i="4"/>
  <c r="AS446" i="4"/>
  <c r="AR446" i="4"/>
  <c r="AQ446" i="4"/>
  <c r="AP446" i="4"/>
  <c r="AT423" i="4"/>
  <c r="AT427" i="4" s="1"/>
  <c r="AS423" i="4"/>
  <c r="AS427" i="4" s="1"/>
  <c r="AR423" i="4"/>
  <c r="AR427" i="4" s="1"/>
  <c r="AQ423" i="4"/>
  <c r="AQ427" i="4" s="1"/>
  <c r="AQ21" i="4" s="1"/>
  <c r="AP423" i="4"/>
  <c r="AP427" i="4" s="1"/>
  <c r="AT406" i="4"/>
  <c r="AS406" i="4"/>
  <c r="AS19" i="4" s="1"/>
  <c r="AR406" i="4"/>
  <c r="AR19" i="4" s="1"/>
  <c r="AQ406" i="4"/>
  <c r="AQ19" i="4" s="1"/>
  <c r="AP406" i="4"/>
  <c r="AP19" i="4" s="1"/>
  <c r="AT399" i="4"/>
  <c r="AT20" i="4" s="1"/>
  <c r="AS399" i="4"/>
  <c r="AS20" i="4" s="1"/>
  <c r="AR399" i="4"/>
  <c r="AR20" i="4" s="1"/>
  <c r="AQ399" i="4"/>
  <c r="AP399" i="4"/>
  <c r="AP20" i="4" s="1"/>
  <c r="AT392" i="4"/>
  <c r="AT18" i="4" s="1"/>
  <c r="AS392" i="4"/>
  <c r="AR392" i="4"/>
  <c r="AQ392" i="4"/>
  <c r="AQ18" i="4" s="1"/>
  <c r="AP392" i="4"/>
  <c r="AP18" i="4" s="1"/>
  <c r="AT381" i="4"/>
  <c r="AS381" i="4"/>
  <c r="AR381" i="4"/>
  <c r="AQ381" i="4"/>
  <c r="AP381" i="4"/>
  <c r="AT368" i="4"/>
  <c r="AS368" i="4"/>
  <c r="AR368" i="4"/>
  <c r="AQ368" i="4"/>
  <c r="AP368" i="4"/>
  <c r="AT353" i="4"/>
  <c r="AS353" i="4"/>
  <c r="AR353" i="4"/>
  <c r="AQ353" i="4"/>
  <c r="AP353" i="4"/>
  <c r="AT343" i="4"/>
  <c r="AS343" i="4"/>
  <c r="AR343" i="4"/>
  <c r="AQ343" i="4"/>
  <c r="AP343" i="4"/>
  <c r="AT316" i="4"/>
  <c r="AS316" i="4"/>
  <c r="AR316" i="4"/>
  <c r="AQ316" i="4"/>
  <c r="AP316" i="4"/>
  <c r="AT309" i="4"/>
  <c r="AS309" i="4"/>
  <c r="AR309" i="4"/>
  <c r="AQ309" i="4"/>
  <c r="AP309" i="4"/>
  <c r="AT288" i="4"/>
  <c r="AS288" i="4"/>
  <c r="AR288" i="4"/>
  <c r="AQ288" i="4"/>
  <c r="AP288" i="4"/>
  <c r="AT276" i="4"/>
  <c r="AS276" i="4"/>
  <c r="AR276" i="4"/>
  <c r="AQ276" i="4"/>
  <c r="AP276" i="4"/>
  <c r="AT261" i="4"/>
  <c r="AS261" i="4"/>
  <c r="AR261" i="4"/>
  <c r="AR11" i="4" s="1"/>
  <c r="AQ261" i="4"/>
  <c r="AQ11" i="4" s="1"/>
  <c r="AP261" i="4"/>
  <c r="AT248" i="4"/>
  <c r="AS248" i="4"/>
  <c r="AR248" i="4"/>
  <c r="AQ248" i="4"/>
  <c r="AP248" i="4"/>
  <c r="AT236" i="4"/>
  <c r="AS236" i="4"/>
  <c r="AR236" i="4"/>
  <c r="AQ236" i="4"/>
  <c r="AP236" i="4"/>
  <c r="AT231" i="4"/>
  <c r="AS231" i="4"/>
  <c r="AR231" i="4"/>
  <c r="AQ231" i="4"/>
  <c r="AP231" i="4"/>
  <c r="AT223" i="4"/>
  <c r="AT46" i="4" s="1"/>
  <c r="AS223" i="4"/>
  <c r="AS46" i="4" s="1"/>
  <c r="AR223" i="4"/>
  <c r="AR46" i="4" s="1"/>
  <c r="AQ223" i="4"/>
  <c r="AQ46" i="4" s="1"/>
  <c r="AP223" i="4"/>
  <c r="AP46" i="4" s="1"/>
  <c r="AT214" i="4"/>
  <c r="AS214" i="4"/>
  <c r="AR214" i="4"/>
  <c r="AQ214" i="4"/>
  <c r="AP214" i="4"/>
  <c r="AT210" i="4"/>
  <c r="AS210" i="4"/>
  <c r="AR210" i="4"/>
  <c r="AQ210" i="4"/>
  <c r="AP210" i="4"/>
  <c r="AT206" i="4"/>
  <c r="AS206" i="4"/>
  <c r="AR206" i="4"/>
  <c r="AQ206" i="4"/>
  <c r="AP206" i="4"/>
  <c r="AT202" i="4"/>
  <c r="AS202" i="4"/>
  <c r="AR202" i="4"/>
  <c r="AQ202" i="4"/>
  <c r="AP202" i="4"/>
  <c r="AT198" i="4"/>
  <c r="AS198" i="4"/>
  <c r="AR198" i="4"/>
  <c r="AQ198" i="4"/>
  <c r="AP198" i="4"/>
  <c r="AT189" i="4"/>
  <c r="AS189" i="4"/>
  <c r="AR189" i="4"/>
  <c r="AQ189" i="4"/>
  <c r="AP189" i="4"/>
  <c r="AT186" i="4"/>
  <c r="AS186" i="4"/>
  <c r="AR186" i="4"/>
  <c r="AQ186" i="4"/>
  <c r="AP186" i="4"/>
  <c r="AT178" i="4"/>
  <c r="AS178" i="4"/>
  <c r="AR178" i="4"/>
  <c r="AQ178" i="4"/>
  <c r="AP178" i="4"/>
  <c r="AT169" i="4"/>
  <c r="AS169" i="4"/>
  <c r="AR169" i="4"/>
  <c r="AQ169" i="4"/>
  <c r="AP169" i="4"/>
  <c r="AT165" i="4"/>
  <c r="AS165" i="4"/>
  <c r="AR165" i="4"/>
  <c r="AQ165" i="4"/>
  <c r="AP165" i="4"/>
  <c r="AT157" i="4"/>
  <c r="AS157" i="4"/>
  <c r="AR157" i="4"/>
  <c r="AQ157" i="4"/>
  <c r="AP157" i="4"/>
  <c r="AT142" i="4"/>
  <c r="AS142" i="4"/>
  <c r="AR142" i="4"/>
  <c r="AQ142" i="4"/>
  <c r="AP142" i="4"/>
  <c r="AT124" i="4"/>
  <c r="AS124" i="4"/>
  <c r="AR124" i="4"/>
  <c r="AQ124" i="4"/>
  <c r="AP124" i="4"/>
  <c r="AT110" i="4"/>
  <c r="AS110" i="4"/>
  <c r="AR110" i="4"/>
  <c r="AQ110" i="4"/>
  <c r="AP110" i="4"/>
  <c r="AT104" i="4"/>
  <c r="AS104" i="4"/>
  <c r="AR104" i="4"/>
  <c r="AQ104" i="4"/>
  <c r="AP104" i="4"/>
  <c r="AT94" i="4"/>
  <c r="AS94" i="4"/>
  <c r="AR94" i="4"/>
  <c r="AQ94" i="4"/>
  <c r="AP94" i="4"/>
  <c r="AT83" i="4"/>
  <c r="AS83" i="4"/>
  <c r="AR83" i="4"/>
  <c r="AQ83" i="4"/>
  <c r="AP83" i="4"/>
  <c r="AT74" i="4"/>
  <c r="AS74" i="4"/>
  <c r="AR74" i="4"/>
  <c r="AQ74" i="4"/>
  <c r="AP74" i="4"/>
  <c r="AT62" i="4"/>
  <c r="AS62" i="4"/>
  <c r="AR62" i="4"/>
  <c r="AQ62" i="4"/>
  <c r="AP62" i="4"/>
  <c r="AT52" i="4"/>
  <c r="AS52" i="4"/>
  <c r="AR52" i="4"/>
  <c r="AQ52" i="4"/>
  <c r="AP52" i="4"/>
  <c r="AT50" i="4"/>
  <c r="AS50" i="4"/>
  <c r="AR50" i="4"/>
  <c r="AQ50" i="4"/>
  <c r="AP50" i="4"/>
  <c r="AT48" i="4"/>
  <c r="AS48" i="4"/>
  <c r="AR48" i="4"/>
  <c r="AQ48" i="4"/>
  <c r="AP48" i="4"/>
  <c r="AT47" i="4"/>
  <c r="AS47" i="4"/>
  <c r="AR47" i="4"/>
  <c r="AQ47" i="4"/>
  <c r="AP47" i="4"/>
  <c r="AT40" i="4"/>
  <c r="AS40" i="4"/>
  <c r="AR40" i="4"/>
  <c r="AQ40" i="4"/>
  <c r="AP40" i="4"/>
  <c r="AT36" i="4"/>
  <c r="AS36" i="4"/>
  <c r="AR36" i="4"/>
  <c r="AQ36" i="4"/>
  <c r="AP36" i="4"/>
  <c r="AT35" i="4"/>
  <c r="AS35" i="4"/>
  <c r="AR35" i="4"/>
  <c r="AQ35" i="4"/>
  <c r="AP35" i="4"/>
  <c r="AT28" i="4"/>
  <c r="AS28" i="4"/>
  <c r="AR28" i="4"/>
  <c r="AQ28" i="4"/>
  <c r="AP28" i="4"/>
  <c r="AT9" i="4"/>
  <c r="AS9" i="4"/>
  <c r="AR9" i="4"/>
  <c r="AQ9" i="4"/>
  <c r="AP9" i="4"/>
  <c r="AT8" i="4"/>
  <c r="AS8" i="4"/>
  <c r="AR8" i="4"/>
  <c r="AQ8" i="4"/>
  <c r="AP8" i="4"/>
  <c r="AT7" i="4"/>
  <c r="AS7" i="4"/>
  <c r="AR7" i="4"/>
  <c r="AQ7" i="4"/>
  <c r="AP7" i="4"/>
  <c r="AS318" i="4" l="1"/>
  <c r="AS328" i="4" s="1"/>
  <c r="AS15" i="4" s="1"/>
  <c r="AT290" i="4"/>
  <c r="AT10" i="4" s="1"/>
  <c r="AT44" i="4"/>
  <c r="AP290" i="4"/>
  <c r="AP10" i="4" s="1"/>
  <c r="AS383" i="4"/>
  <c r="AP106" i="4"/>
  <c r="AP171" i="4" s="1"/>
  <c r="AT106" i="4"/>
  <c r="AT171" i="4" s="1"/>
  <c r="AR106" i="4"/>
  <c r="AR171" i="4" s="1"/>
  <c r="AQ44" i="4"/>
  <c r="AR191" i="4"/>
  <c r="AS290" i="4"/>
  <c r="AS10" i="4" s="1"/>
  <c r="AR383" i="4"/>
  <c r="AR17" i="4" s="1"/>
  <c r="AS191" i="4"/>
  <c r="AP44" i="4"/>
  <c r="AS460" i="4"/>
  <c r="AS25" i="4" s="1"/>
  <c r="AR290" i="4"/>
  <c r="AR10" i="4" s="1"/>
  <c r="AR12" i="4" s="1"/>
  <c r="AT355" i="4"/>
  <c r="AT16" i="4" s="1"/>
  <c r="AT19" i="4"/>
  <c r="AS106" i="4"/>
  <c r="AS171" i="4" s="1"/>
  <c r="AP355" i="4"/>
  <c r="AP16" i="4" s="1"/>
  <c r="AP383" i="4"/>
  <c r="AS44" i="4"/>
  <c r="AQ216" i="4"/>
  <c r="AR18" i="4"/>
  <c r="AT383" i="4"/>
  <c r="AT11" i="4"/>
  <c r="AP21" i="4"/>
  <c r="AP11" i="4"/>
  <c r="AQ191" i="4"/>
  <c r="AR44" i="4"/>
  <c r="AR216" i="4"/>
  <c r="AR318" i="4"/>
  <c r="AP460" i="4"/>
  <c r="AP25" i="4" s="1"/>
  <c r="AT460" i="4"/>
  <c r="AT25" i="4" s="1"/>
  <c r="AS21" i="4"/>
  <c r="AS355" i="4"/>
  <c r="AS16" i="4" s="1"/>
  <c r="AQ460" i="4"/>
  <c r="AQ25" i="4" s="1"/>
  <c r="AS11" i="4"/>
  <c r="AP191" i="4"/>
  <c r="AT191" i="4"/>
  <c r="AS216" i="4"/>
  <c r="AQ290" i="4"/>
  <c r="AQ10" i="4" s="1"/>
  <c r="AQ12" i="4" s="1"/>
  <c r="AP318" i="4"/>
  <c r="AT318" i="4"/>
  <c r="AQ383" i="4"/>
  <c r="AS18" i="4"/>
  <c r="AR21" i="4"/>
  <c r="AR460" i="4"/>
  <c r="AR25" i="4" s="1"/>
  <c r="AQ355" i="4"/>
  <c r="AQ16" i="4" s="1"/>
  <c r="AT21" i="4"/>
  <c r="AR355" i="4"/>
  <c r="AR16" i="4" s="1"/>
  <c r="AQ106" i="4"/>
  <c r="AQ171" i="4" s="1"/>
  <c r="AP216" i="4"/>
  <c r="AT216" i="4"/>
  <c r="AQ318" i="4"/>
  <c r="AQ20" i="4"/>
  <c r="B13" i="14"/>
  <c r="D13" i="14" s="1"/>
  <c r="E13" i="14" s="1"/>
  <c r="F13" i="14" s="1"/>
  <c r="G13" i="14" s="1"/>
  <c r="H13" i="14" s="1"/>
  <c r="J13" i="14" s="1"/>
  <c r="L13" i="14" s="1"/>
  <c r="M13" i="14" s="1"/>
  <c r="N13" i="14" s="1"/>
  <c r="O13" i="14" s="1"/>
  <c r="Q13" i="14" s="1"/>
  <c r="L16" i="14"/>
  <c r="M16" i="14" s="1"/>
  <c r="Q16" i="14"/>
  <c r="L17" i="14"/>
  <c r="M17" i="14" s="1"/>
  <c r="Q17" i="14"/>
  <c r="L18" i="14"/>
  <c r="M18" i="14" s="1"/>
  <c r="Q18" i="14"/>
  <c r="L19" i="14"/>
  <c r="M19" i="14" s="1"/>
  <c r="Q19" i="14"/>
  <c r="L20" i="14"/>
  <c r="M20" i="14" s="1"/>
  <c r="Q20" i="14"/>
  <c r="L21" i="14"/>
  <c r="M21" i="14" s="1"/>
  <c r="Q21" i="14"/>
  <c r="L22" i="14"/>
  <c r="M22" i="14" s="1"/>
  <c r="Q22" i="14"/>
  <c r="L23" i="14"/>
  <c r="M23" i="14" s="1"/>
  <c r="Q23" i="14"/>
  <c r="L24" i="14"/>
  <c r="M24" i="14" s="1"/>
  <c r="Q24" i="14"/>
  <c r="H26" i="14"/>
  <c r="J26" i="14"/>
  <c r="O26" i="14"/>
  <c r="L29" i="14"/>
  <c r="M29" i="14" s="1"/>
  <c r="N29" i="14" s="1"/>
  <c r="Q29" i="14" s="1"/>
  <c r="Q30" i="14" s="1"/>
  <c r="H30" i="14"/>
  <c r="J30" i="14"/>
  <c r="O30" i="14"/>
  <c r="L33" i="14"/>
  <c r="L37" i="14" s="1"/>
  <c r="AS437" i="4" l="1"/>
  <c r="O39" i="14"/>
  <c r="M33" i="14"/>
  <c r="H39" i="14"/>
  <c r="AP437" i="4"/>
  <c r="AR437" i="4"/>
  <c r="AT12" i="4"/>
  <c r="AS17" i="4"/>
  <c r="AS23" i="4" s="1"/>
  <c r="AP17" i="4"/>
  <c r="AT292" i="4"/>
  <c r="AR292" i="4"/>
  <c r="AQ292" i="4"/>
  <c r="AP12" i="4"/>
  <c r="AP292" i="4"/>
  <c r="AR43" i="4"/>
  <c r="AR45" i="4" s="1"/>
  <c r="AR193" i="4"/>
  <c r="AR250" i="4" s="1"/>
  <c r="AS292" i="4"/>
  <c r="AR328" i="4"/>
  <c r="AR15" i="4" s="1"/>
  <c r="AR23" i="4" s="1"/>
  <c r="AS193" i="4"/>
  <c r="AS250" i="4" s="1"/>
  <c r="AS12" i="4"/>
  <c r="AS43" i="4"/>
  <c r="AS45" i="4" s="1"/>
  <c r="AT17" i="4"/>
  <c r="Q26" i="14"/>
  <c r="J39" i="14"/>
  <c r="AQ17" i="4"/>
  <c r="AP328" i="4"/>
  <c r="AQ193" i="4"/>
  <c r="AQ250" i="4" s="1"/>
  <c r="AQ43" i="4"/>
  <c r="AQ45" i="4" s="1"/>
  <c r="AP193" i="4"/>
  <c r="AP250" i="4" s="1"/>
  <c r="AP43" i="4"/>
  <c r="AP45" i="4" s="1"/>
  <c r="AQ328" i="4"/>
  <c r="AQ15" i="4" s="1"/>
  <c r="AT328" i="4"/>
  <c r="AT193" i="4"/>
  <c r="AT250" i="4" s="1"/>
  <c r="AT43" i="4"/>
  <c r="AT45" i="4" s="1"/>
  <c r="AS429" i="4"/>
  <c r="L30" i="14"/>
  <c r="L26" i="14"/>
  <c r="AR438" i="4" l="1"/>
  <c r="AR49" i="4" s="1"/>
  <c r="AR53" i="4" s="1"/>
  <c r="AP438" i="4"/>
  <c r="AP49" i="4" s="1"/>
  <c r="AP53" i="4" s="1"/>
  <c r="AS438" i="4"/>
  <c r="AS49" i="4" s="1"/>
  <c r="AS53" i="4" s="1"/>
  <c r="L39" i="14"/>
  <c r="AR429" i="4"/>
  <c r="AT437" i="4"/>
  <c r="AQ23" i="4"/>
  <c r="AT15" i="4"/>
  <c r="AT23" i="4" s="1"/>
  <c r="AT429" i="4"/>
  <c r="AP15" i="4"/>
  <c r="AP23" i="4" s="1"/>
  <c r="AP429" i="4"/>
  <c r="AQ429" i="4"/>
  <c r="AQ437" i="4"/>
  <c r="AQ438" i="4" l="1"/>
  <c r="AQ49" i="4" s="1"/>
  <c r="AQ53" i="4" s="1"/>
  <c r="AT438" i="4"/>
  <c r="AT49" i="4" s="1"/>
  <c r="AT53" i="4" s="1"/>
  <c r="W42" i="7"/>
  <c r="AA33" i="7"/>
  <c r="AA39" i="7"/>
  <c r="AA37" i="7"/>
  <c r="AA35" i="7"/>
  <c r="AA31" i="7"/>
  <c r="AA29" i="7"/>
  <c r="AA27" i="7"/>
  <c r="AA25" i="7"/>
  <c r="AA23" i="7"/>
  <c r="AA21" i="7"/>
  <c r="AA19" i="7"/>
  <c r="Y39" i="7"/>
  <c r="Y37" i="7"/>
  <c r="Y35" i="7"/>
  <c r="Y33" i="7"/>
  <c r="Y31" i="7"/>
  <c r="Y29" i="7"/>
  <c r="Y27" i="7"/>
  <c r="Y25" i="7"/>
  <c r="Y23" i="7"/>
  <c r="Y21" i="7"/>
  <c r="Y19" i="7"/>
  <c r="U42" i="7"/>
  <c r="AA42" i="7" l="1"/>
  <c r="Y42" i="7"/>
  <c r="C500" i="1"/>
  <c r="AC17" i="7"/>
  <c r="F32" i="19" l="1"/>
  <c r="A17" i="7" l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I27" i="20" l="1"/>
  <c r="H27" i="20"/>
  <c r="F27" i="20"/>
  <c r="E27" i="20"/>
  <c r="I24" i="20"/>
  <c r="F12" i="19" s="1"/>
  <c r="H24" i="20"/>
  <c r="F24" i="20"/>
  <c r="F15" i="19" s="1"/>
  <c r="E24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4" i="20" s="1"/>
  <c r="A27" i="20" s="1"/>
  <c r="A36" i="3"/>
  <c r="L35" i="19"/>
  <c r="L39" i="19" s="1"/>
  <c r="M32" i="19"/>
  <c r="G32" i="19"/>
  <c r="G35" i="19" s="1"/>
  <c r="M30" i="19"/>
  <c r="H30" i="19"/>
  <c r="G26" i="19"/>
  <c r="F26" i="19"/>
  <c r="H24" i="19"/>
  <c r="H23" i="19"/>
  <c r="H22" i="19"/>
  <c r="G15" i="19"/>
  <c r="G12" i="19"/>
  <c r="B12" i="19"/>
  <c r="B15" i="19" s="1"/>
  <c r="B22" i="19" s="1"/>
  <c r="B23" i="19" s="1"/>
  <c r="B24" i="19" s="1"/>
  <c r="B26" i="19" s="1"/>
  <c r="B30" i="19" s="1"/>
  <c r="B32" i="19" s="1"/>
  <c r="B33" i="19" s="1"/>
  <c r="B34" i="19" s="1"/>
  <c r="B35" i="19" s="1"/>
  <c r="B37" i="19" s="1"/>
  <c r="B39" i="19" s="1"/>
  <c r="B41" i="19" s="1"/>
  <c r="G10" i="19"/>
  <c r="H10" i="19" s="1"/>
  <c r="J10" i="19" s="1"/>
  <c r="D7" i="19"/>
  <c r="F7" i="19" s="1"/>
  <c r="P31" i="18"/>
  <c r="O31" i="18"/>
  <c r="N31" i="18"/>
  <c r="M31" i="18"/>
  <c r="L31" i="18"/>
  <c r="K31" i="18"/>
  <c r="J31" i="18"/>
  <c r="I31" i="18"/>
  <c r="H31" i="18"/>
  <c r="G31" i="18"/>
  <c r="F31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E32" i="18" s="1"/>
  <c r="P26" i="18"/>
  <c r="O26" i="18"/>
  <c r="N26" i="18"/>
  <c r="M26" i="18"/>
  <c r="L26" i="18"/>
  <c r="K26" i="18"/>
  <c r="J26" i="18"/>
  <c r="I26" i="18"/>
  <c r="H26" i="18"/>
  <c r="G26" i="18"/>
  <c r="F26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E27" i="18" s="1"/>
  <c r="B21" i="18"/>
  <c r="B25" i="18" s="1"/>
  <c r="B26" i="18" s="1"/>
  <c r="B27" i="18" s="1"/>
  <c r="B28" i="18" s="1"/>
  <c r="B30" i="18" s="1"/>
  <c r="B31" i="18" s="1"/>
  <c r="B32" i="18" s="1"/>
  <c r="B33" i="18" s="1"/>
  <c r="B35" i="18" s="1"/>
  <c r="B36" i="18" s="1"/>
  <c r="B38" i="18" s="1"/>
  <c r="B40" i="18" s="1"/>
  <c r="B41" i="18" s="1"/>
  <c r="B43" i="18" s="1"/>
  <c r="P18" i="18"/>
  <c r="P20" i="18" s="1"/>
  <c r="O18" i="18"/>
  <c r="O20" i="18" s="1"/>
  <c r="N18" i="18"/>
  <c r="N20" i="18" s="1"/>
  <c r="M18" i="18"/>
  <c r="M20" i="18" s="1"/>
  <c r="L18" i="18"/>
  <c r="L20" i="18" s="1"/>
  <c r="K18" i="18"/>
  <c r="K20" i="18" s="1"/>
  <c r="J18" i="18"/>
  <c r="J20" i="18" s="1"/>
  <c r="I18" i="18"/>
  <c r="I20" i="18" s="1"/>
  <c r="H18" i="18"/>
  <c r="H20" i="18" s="1"/>
  <c r="G18" i="18"/>
  <c r="G20" i="18" s="1"/>
  <c r="F18" i="18"/>
  <c r="F20" i="18" s="1"/>
  <c r="E18" i="18"/>
  <c r="Q16" i="18"/>
  <c r="Q14" i="18"/>
  <c r="Q15" i="18" s="1"/>
  <c r="B11" i="18"/>
  <c r="B14" i="18" s="1"/>
  <c r="B15" i="18" s="1"/>
  <c r="B16" i="18" s="1"/>
  <c r="B17" i="18" s="1"/>
  <c r="B18" i="18" s="1"/>
  <c r="S42" i="7"/>
  <c r="Q42" i="7"/>
  <c r="M42" i="7"/>
  <c r="C498" i="1" s="1"/>
  <c r="K42" i="7"/>
  <c r="I42" i="7"/>
  <c r="G42" i="7"/>
  <c r="E42" i="7"/>
  <c r="AC39" i="7"/>
  <c r="AC37" i="7"/>
  <c r="AC35" i="7"/>
  <c r="AC33" i="7"/>
  <c r="AC31" i="7"/>
  <c r="AC29" i="7"/>
  <c r="AC27" i="7"/>
  <c r="AC25" i="7"/>
  <c r="AC23" i="7"/>
  <c r="AC21" i="7"/>
  <c r="AC19" i="7"/>
  <c r="D26" i="6"/>
  <c r="B26" i="6"/>
  <c r="F24" i="6"/>
  <c r="F22" i="6"/>
  <c r="F20" i="6"/>
  <c r="F18" i="6"/>
  <c r="F16" i="6"/>
  <c r="D12" i="6"/>
  <c r="B12" i="6"/>
  <c r="F8" i="6"/>
  <c r="E59" i="5"/>
  <c r="E41" i="5"/>
  <c r="C40" i="5"/>
  <c r="I40" i="5" s="1"/>
  <c r="C38" i="5"/>
  <c r="I38" i="5" s="1"/>
  <c r="M38" i="5" s="1"/>
  <c r="M41" i="5" s="1"/>
  <c r="C37" i="5"/>
  <c r="I37" i="5" s="1"/>
  <c r="K37" i="5" s="1"/>
  <c r="C36" i="5"/>
  <c r="I36" i="5" s="1"/>
  <c r="K36" i="5" s="1"/>
  <c r="C34" i="5"/>
  <c r="I34" i="5" s="1"/>
  <c r="K34" i="5" s="1"/>
  <c r="E28" i="5"/>
  <c r="C26" i="5"/>
  <c r="C25" i="5"/>
  <c r="C23" i="5"/>
  <c r="C22" i="5"/>
  <c r="E18" i="5"/>
  <c r="C15" i="5"/>
  <c r="K15" i="5" s="1"/>
  <c r="C13" i="5"/>
  <c r="C11" i="5"/>
  <c r="AW503" i="4"/>
  <c r="AW34" i="4" s="1"/>
  <c r="AV503" i="4"/>
  <c r="AV34" i="4" s="1"/>
  <c r="AU503" i="4"/>
  <c r="AU34" i="4" s="1"/>
  <c r="AM503" i="4"/>
  <c r="AM34" i="4" s="1"/>
  <c r="AK503" i="4"/>
  <c r="AK34" i="4" s="1"/>
  <c r="AI503" i="4"/>
  <c r="AI34" i="4" s="1"/>
  <c r="AH503" i="4"/>
  <c r="AH34" i="4" s="1"/>
  <c r="AF503" i="4"/>
  <c r="AE503" i="4"/>
  <c r="AE34" i="4" s="1"/>
  <c r="AD503" i="4"/>
  <c r="AD34" i="4" s="1"/>
  <c r="AB503" i="4"/>
  <c r="AB34" i="4" s="1"/>
  <c r="AA503" i="4"/>
  <c r="AA34" i="4" s="1"/>
  <c r="Z503" i="4"/>
  <c r="Z34" i="4" s="1"/>
  <c r="Y503" i="4"/>
  <c r="Y34" i="4" s="1"/>
  <c r="X503" i="4"/>
  <c r="X34" i="4" s="1"/>
  <c r="W503" i="4"/>
  <c r="W34" i="4" s="1"/>
  <c r="V503" i="4"/>
  <c r="V34" i="4" s="1"/>
  <c r="U503" i="4"/>
  <c r="U34" i="4" s="1"/>
  <c r="S503" i="4"/>
  <c r="S34" i="4" s="1"/>
  <c r="R503" i="4"/>
  <c r="R34" i="4" s="1"/>
  <c r="Q503" i="4"/>
  <c r="Q34" i="4" s="1"/>
  <c r="P503" i="4"/>
  <c r="P34" i="4" s="1"/>
  <c r="O503" i="4"/>
  <c r="O34" i="4" s="1"/>
  <c r="N503" i="4"/>
  <c r="N34" i="4" s="1"/>
  <c r="M503" i="4"/>
  <c r="M34" i="4" s="1"/>
  <c r="L503" i="4"/>
  <c r="L34" i="4" s="1"/>
  <c r="J503" i="4"/>
  <c r="J34" i="4" s="1"/>
  <c r="I503" i="4"/>
  <c r="I34" i="4" s="1"/>
  <c r="T503" i="4"/>
  <c r="T34" i="4" s="1"/>
  <c r="H503" i="4"/>
  <c r="H34" i="4" s="1"/>
  <c r="G503" i="4"/>
  <c r="G34" i="4" s="1"/>
  <c r="F503" i="4"/>
  <c r="F34" i="4" s="1"/>
  <c r="E503" i="4"/>
  <c r="E34" i="4" s="1"/>
  <c r="D503" i="4"/>
  <c r="D34" i="4" s="1"/>
  <c r="AW497" i="4"/>
  <c r="AW29" i="4" s="1"/>
  <c r="AV497" i="4"/>
  <c r="AV29" i="4" s="1"/>
  <c r="AU497" i="4"/>
  <c r="AU29" i="4" s="1"/>
  <c r="AN497" i="4"/>
  <c r="AN29" i="4" s="1"/>
  <c r="AM497" i="4"/>
  <c r="AM29" i="4" s="1"/>
  <c r="AL497" i="4"/>
  <c r="AL29" i="4" s="1"/>
  <c r="AK497" i="4"/>
  <c r="AK29" i="4" s="1"/>
  <c r="AJ497" i="4"/>
  <c r="AJ29" i="4" s="1"/>
  <c r="BC497" i="4"/>
  <c r="BC29" i="4" s="1"/>
  <c r="AI497" i="4"/>
  <c r="AI29" i="4" s="1"/>
  <c r="AH497" i="4"/>
  <c r="AH29" i="4" s="1"/>
  <c r="AG497" i="4"/>
  <c r="AG29" i="4" s="1"/>
  <c r="AF497" i="4"/>
  <c r="AF29" i="4" s="1"/>
  <c r="AE497" i="4"/>
  <c r="AE29" i="4" s="1"/>
  <c r="AD497" i="4"/>
  <c r="AD29" i="4" s="1"/>
  <c r="AB497" i="4"/>
  <c r="AB29" i="4" s="1"/>
  <c r="AA497" i="4"/>
  <c r="AA29" i="4" s="1"/>
  <c r="Z497" i="4"/>
  <c r="Z29" i="4" s="1"/>
  <c r="Y497" i="4"/>
  <c r="Y29" i="4" s="1"/>
  <c r="X497" i="4"/>
  <c r="X29" i="4" s="1"/>
  <c r="W497" i="4"/>
  <c r="W29" i="4" s="1"/>
  <c r="V497" i="4"/>
  <c r="V29" i="4" s="1"/>
  <c r="U497" i="4"/>
  <c r="U29" i="4" s="1"/>
  <c r="S497" i="4"/>
  <c r="S29" i="4" s="1"/>
  <c r="R497" i="4"/>
  <c r="R29" i="4" s="1"/>
  <c r="Q497" i="4"/>
  <c r="Q29" i="4" s="1"/>
  <c r="P497" i="4"/>
  <c r="P29" i="4" s="1"/>
  <c r="O497" i="4"/>
  <c r="O29" i="4" s="1"/>
  <c r="N497" i="4"/>
  <c r="N29" i="4" s="1"/>
  <c r="M497" i="4"/>
  <c r="M29" i="4" s="1"/>
  <c r="L497" i="4"/>
  <c r="L29" i="4" s="1"/>
  <c r="J497" i="4"/>
  <c r="J29" i="4" s="1"/>
  <c r="I497" i="4"/>
  <c r="I29" i="4" s="1"/>
  <c r="T497" i="4"/>
  <c r="T29" i="4" s="1"/>
  <c r="H497" i="4"/>
  <c r="H29" i="4" s="1"/>
  <c r="G497" i="4"/>
  <c r="G29" i="4" s="1"/>
  <c r="F497" i="4"/>
  <c r="F29" i="4" s="1"/>
  <c r="E497" i="4"/>
  <c r="E29" i="4" s="1"/>
  <c r="D497" i="4"/>
  <c r="D29" i="4" s="1"/>
  <c r="F508" i="1"/>
  <c r="F484" i="1"/>
  <c r="AW467" i="4"/>
  <c r="AW479" i="4" s="1"/>
  <c r="AW26" i="4" s="1"/>
  <c r="AV467" i="4"/>
  <c r="AV479" i="4" s="1"/>
  <c r="AV26" i="4" s="1"/>
  <c r="AU467" i="4"/>
  <c r="AU479" i="4" s="1"/>
  <c r="AU26" i="4" s="1"/>
  <c r="AN467" i="4"/>
  <c r="AN479" i="4" s="1"/>
  <c r="AN26" i="4" s="1"/>
  <c r="AM467" i="4"/>
  <c r="AM479" i="4" s="1"/>
  <c r="AM26" i="4" s="1"/>
  <c r="AL467" i="4"/>
  <c r="AL479" i="4" s="1"/>
  <c r="AL26" i="4" s="1"/>
  <c r="AK467" i="4"/>
  <c r="AK479" i="4" s="1"/>
  <c r="AK26" i="4" s="1"/>
  <c r="AJ467" i="4"/>
  <c r="AJ479" i="4" s="1"/>
  <c r="AJ26" i="4" s="1"/>
  <c r="BC467" i="4"/>
  <c r="BC479" i="4" s="1"/>
  <c r="BC26" i="4" s="1"/>
  <c r="AI467" i="4"/>
  <c r="AI479" i="4" s="1"/>
  <c r="AI26" i="4" s="1"/>
  <c r="AH467" i="4"/>
  <c r="AH479" i="4" s="1"/>
  <c r="AH26" i="4" s="1"/>
  <c r="AG467" i="4"/>
  <c r="AG479" i="4" s="1"/>
  <c r="AG26" i="4" s="1"/>
  <c r="AF467" i="4"/>
  <c r="AF479" i="4" s="1"/>
  <c r="AF26" i="4" s="1"/>
  <c r="AE467" i="4"/>
  <c r="AE479" i="4" s="1"/>
  <c r="AE26" i="4" s="1"/>
  <c r="AD467" i="4"/>
  <c r="AD479" i="4" s="1"/>
  <c r="AD26" i="4" s="1"/>
  <c r="AB467" i="4"/>
  <c r="AB479" i="4" s="1"/>
  <c r="AB26" i="4" s="1"/>
  <c r="AA467" i="4"/>
  <c r="AA479" i="4" s="1"/>
  <c r="AA26" i="4" s="1"/>
  <c r="Z467" i="4"/>
  <c r="Z479" i="4" s="1"/>
  <c r="Z26" i="4" s="1"/>
  <c r="Y467" i="4"/>
  <c r="Y479" i="4" s="1"/>
  <c r="Y26" i="4" s="1"/>
  <c r="X467" i="4"/>
  <c r="X479" i="4" s="1"/>
  <c r="X26" i="4" s="1"/>
  <c r="W467" i="4"/>
  <c r="W479" i="4" s="1"/>
  <c r="W26" i="4" s="1"/>
  <c r="V467" i="4"/>
  <c r="V479" i="4" s="1"/>
  <c r="V26" i="4" s="1"/>
  <c r="U467" i="4"/>
  <c r="U479" i="4" s="1"/>
  <c r="U26" i="4" s="1"/>
  <c r="S467" i="4"/>
  <c r="S479" i="4" s="1"/>
  <c r="S26" i="4" s="1"/>
  <c r="R467" i="4"/>
  <c r="R479" i="4" s="1"/>
  <c r="R26" i="4" s="1"/>
  <c r="Q467" i="4"/>
  <c r="Q479" i="4" s="1"/>
  <c r="Q26" i="4" s="1"/>
  <c r="P467" i="4"/>
  <c r="P479" i="4" s="1"/>
  <c r="P26" i="4" s="1"/>
  <c r="O467" i="4"/>
  <c r="O479" i="4" s="1"/>
  <c r="O26" i="4" s="1"/>
  <c r="N467" i="4"/>
  <c r="N479" i="4" s="1"/>
  <c r="N26" i="4" s="1"/>
  <c r="M467" i="4"/>
  <c r="M479" i="4" s="1"/>
  <c r="M26" i="4" s="1"/>
  <c r="L467" i="4"/>
  <c r="L479" i="4" s="1"/>
  <c r="L26" i="4" s="1"/>
  <c r="J467" i="4"/>
  <c r="J479" i="4" s="1"/>
  <c r="J26" i="4" s="1"/>
  <c r="I467" i="4"/>
  <c r="I479" i="4" s="1"/>
  <c r="I26" i="4" s="1"/>
  <c r="T467" i="4"/>
  <c r="T479" i="4" s="1"/>
  <c r="T26" i="4" s="1"/>
  <c r="H467" i="4"/>
  <c r="H479" i="4" s="1"/>
  <c r="H26" i="4" s="1"/>
  <c r="G467" i="4"/>
  <c r="G479" i="4" s="1"/>
  <c r="G26" i="4" s="1"/>
  <c r="F467" i="4"/>
  <c r="F479" i="4" s="1"/>
  <c r="F26" i="4" s="1"/>
  <c r="E467" i="4"/>
  <c r="E479" i="4" s="1"/>
  <c r="E26" i="4" s="1"/>
  <c r="D467" i="4"/>
  <c r="D479" i="4" s="1"/>
  <c r="D26" i="4" s="1"/>
  <c r="F479" i="1"/>
  <c r="AW458" i="4"/>
  <c r="AV458" i="4"/>
  <c r="AU458" i="4"/>
  <c r="AN458" i="4"/>
  <c r="AM458" i="4"/>
  <c r="AL458" i="4"/>
  <c r="AK458" i="4"/>
  <c r="AJ458" i="4"/>
  <c r="BC458" i="4"/>
  <c r="AI458" i="4"/>
  <c r="AH458" i="4"/>
  <c r="AG458" i="4"/>
  <c r="AF458" i="4"/>
  <c r="AE458" i="4"/>
  <c r="AD458" i="4"/>
  <c r="AB458" i="4"/>
  <c r="AA458" i="4"/>
  <c r="Z458" i="4"/>
  <c r="Y458" i="4"/>
  <c r="X458" i="4"/>
  <c r="W458" i="4"/>
  <c r="V458" i="4"/>
  <c r="U458" i="4"/>
  <c r="S458" i="4"/>
  <c r="R458" i="4"/>
  <c r="Q458" i="4"/>
  <c r="P458" i="4"/>
  <c r="O458" i="4"/>
  <c r="N458" i="4"/>
  <c r="M458" i="4"/>
  <c r="L458" i="4"/>
  <c r="J458" i="4"/>
  <c r="I458" i="4"/>
  <c r="T458" i="4"/>
  <c r="H458" i="4"/>
  <c r="G458" i="4"/>
  <c r="F458" i="4"/>
  <c r="E458" i="4"/>
  <c r="D458" i="4"/>
  <c r="C458" i="4"/>
  <c r="AW454" i="4"/>
  <c r="AV454" i="4"/>
  <c r="AU454" i="4"/>
  <c r="AN454" i="4"/>
  <c r="AM454" i="4"/>
  <c r="AL454" i="4"/>
  <c r="AK454" i="4"/>
  <c r="AJ454" i="4"/>
  <c r="BC454" i="4"/>
  <c r="AI454" i="4"/>
  <c r="AH454" i="4"/>
  <c r="AG454" i="4"/>
  <c r="AF454" i="4"/>
  <c r="AE454" i="4"/>
  <c r="AD454" i="4"/>
  <c r="AB454" i="4"/>
  <c r="AA454" i="4"/>
  <c r="Z454" i="4"/>
  <c r="Y454" i="4"/>
  <c r="X454" i="4"/>
  <c r="W454" i="4"/>
  <c r="V454" i="4"/>
  <c r="U454" i="4"/>
  <c r="S454" i="4"/>
  <c r="R454" i="4"/>
  <c r="Q454" i="4"/>
  <c r="P454" i="4"/>
  <c r="O454" i="4"/>
  <c r="N454" i="4"/>
  <c r="M454" i="4"/>
  <c r="L454" i="4"/>
  <c r="J454" i="4"/>
  <c r="I454" i="4"/>
  <c r="T454" i="4"/>
  <c r="H454" i="4"/>
  <c r="G454" i="4"/>
  <c r="F454" i="4"/>
  <c r="E454" i="4"/>
  <c r="D454" i="4"/>
  <c r="C454" i="4"/>
  <c r="AW446" i="4"/>
  <c r="AV446" i="4"/>
  <c r="AU446" i="4"/>
  <c r="AN446" i="4"/>
  <c r="AM446" i="4"/>
  <c r="AL446" i="4"/>
  <c r="AK446" i="4"/>
  <c r="AJ446" i="4"/>
  <c r="BC446" i="4"/>
  <c r="AI446" i="4"/>
  <c r="AH446" i="4"/>
  <c r="AG446" i="4"/>
  <c r="AF446" i="4"/>
  <c r="AE446" i="4"/>
  <c r="AD446" i="4"/>
  <c r="AB446" i="4"/>
  <c r="AA446" i="4"/>
  <c r="Z446" i="4"/>
  <c r="Y446" i="4"/>
  <c r="X446" i="4"/>
  <c r="W446" i="4"/>
  <c r="V446" i="4"/>
  <c r="U446" i="4"/>
  <c r="S446" i="4"/>
  <c r="R446" i="4"/>
  <c r="Q446" i="4"/>
  <c r="P446" i="4"/>
  <c r="O446" i="4"/>
  <c r="N446" i="4"/>
  <c r="M446" i="4"/>
  <c r="L446" i="4"/>
  <c r="J446" i="4"/>
  <c r="I446" i="4"/>
  <c r="T446" i="4"/>
  <c r="H446" i="4"/>
  <c r="G446" i="4"/>
  <c r="F446" i="4"/>
  <c r="E446" i="4"/>
  <c r="D446" i="4"/>
  <c r="F460" i="1"/>
  <c r="F456" i="1"/>
  <c r="F438" i="1"/>
  <c r="AW423" i="4"/>
  <c r="AW427" i="4" s="1"/>
  <c r="AW21" i="4" s="1"/>
  <c r="AV423" i="4"/>
  <c r="AV427" i="4" s="1"/>
  <c r="AV21" i="4" s="1"/>
  <c r="AU423" i="4"/>
  <c r="AU427" i="4" s="1"/>
  <c r="AN423" i="4"/>
  <c r="AN427" i="4" s="1"/>
  <c r="AN21" i="4" s="1"/>
  <c r="AM423" i="4"/>
  <c r="AM427" i="4" s="1"/>
  <c r="AL423" i="4"/>
  <c r="AL427" i="4" s="1"/>
  <c r="AK423" i="4"/>
  <c r="AK427" i="4" s="1"/>
  <c r="AK21" i="4" s="1"/>
  <c r="AJ423" i="4"/>
  <c r="AJ427" i="4" s="1"/>
  <c r="BC423" i="4"/>
  <c r="BC427" i="4" s="1"/>
  <c r="AI423" i="4"/>
  <c r="AI427" i="4" s="1"/>
  <c r="AH423" i="4"/>
  <c r="AH427" i="4" s="1"/>
  <c r="AG423" i="4"/>
  <c r="AG427" i="4" s="1"/>
  <c r="AG21" i="4" s="1"/>
  <c r="AF423" i="4"/>
  <c r="AF427" i="4" s="1"/>
  <c r="AE423" i="4"/>
  <c r="AE427" i="4" s="1"/>
  <c r="AD423" i="4"/>
  <c r="AD427" i="4" s="1"/>
  <c r="AB423" i="4"/>
  <c r="AB427" i="4" s="1"/>
  <c r="AA423" i="4"/>
  <c r="AA427" i="4" s="1"/>
  <c r="Z423" i="4"/>
  <c r="Z427" i="4" s="1"/>
  <c r="Y423" i="4"/>
  <c r="Y427" i="4" s="1"/>
  <c r="Y21" i="4" s="1"/>
  <c r="X423" i="4"/>
  <c r="X427" i="4" s="1"/>
  <c r="W423" i="4"/>
  <c r="W427" i="4" s="1"/>
  <c r="V423" i="4"/>
  <c r="V427" i="4" s="1"/>
  <c r="V21" i="4" s="1"/>
  <c r="U423" i="4"/>
  <c r="U427" i="4" s="1"/>
  <c r="S423" i="4"/>
  <c r="S427" i="4" s="1"/>
  <c r="R423" i="4"/>
  <c r="R427" i="4" s="1"/>
  <c r="R21" i="4" s="1"/>
  <c r="Q423" i="4"/>
  <c r="Q427" i="4" s="1"/>
  <c r="P423" i="4"/>
  <c r="P427" i="4" s="1"/>
  <c r="O423" i="4"/>
  <c r="O427" i="4" s="1"/>
  <c r="O21" i="4" s="1"/>
  <c r="N423" i="4"/>
  <c r="N427" i="4" s="1"/>
  <c r="N21" i="4" s="1"/>
  <c r="M423" i="4"/>
  <c r="M427" i="4" s="1"/>
  <c r="M21" i="4" s="1"/>
  <c r="L423" i="4"/>
  <c r="L427" i="4" s="1"/>
  <c r="J423" i="4"/>
  <c r="J427" i="4" s="1"/>
  <c r="I423" i="4"/>
  <c r="I427" i="4" s="1"/>
  <c r="T423" i="4"/>
  <c r="T427" i="4" s="1"/>
  <c r="H423" i="4"/>
  <c r="H427" i="4" s="1"/>
  <c r="H21" i="4" s="1"/>
  <c r="G423" i="4"/>
  <c r="G427" i="4" s="1"/>
  <c r="G21" i="4" s="1"/>
  <c r="F423" i="4"/>
  <c r="F427" i="4" s="1"/>
  <c r="E423" i="4"/>
  <c r="E427" i="4" s="1"/>
  <c r="E21" i="4" s="1"/>
  <c r="D423" i="4"/>
  <c r="D427" i="4" s="1"/>
  <c r="D21" i="4" s="1"/>
  <c r="F434" i="1"/>
  <c r="F428" i="1"/>
  <c r="F427" i="1"/>
  <c r="F423" i="1"/>
  <c r="F422" i="1"/>
  <c r="AW406" i="4"/>
  <c r="AW19" i="4" s="1"/>
  <c r="AV406" i="4"/>
  <c r="AV19" i="4" s="1"/>
  <c r="AU406" i="4"/>
  <c r="AU19" i="4" s="1"/>
  <c r="AN406" i="4"/>
  <c r="AN19" i="4" s="1"/>
  <c r="AM406" i="4"/>
  <c r="AM19" i="4" s="1"/>
  <c r="AL406" i="4"/>
  <c r="AL19" i="4" s="1"/>
  <c r="AK406" i="4"/>
  <c r="AK19" i="4" s="1"/>
  <c r="AJ406" i="4"/>
  <c r="AJ19" i="4" s="1"/>
  <c r="BC406" i="4"/>
  <c r="BC19" i="4" s="1"/>
  <c r="AI406" i="4"/>
  <c r="AI19" i="4" s="1"/>
  <c r="AH406" i="4"/>
  <c r="AH19" i="4" s="1"/>
  <c r="AG406" i="4"/>
  <c r="AG19" i="4" s="1"/>
  <c r="AF406" i="4"/>
  <c r="AF19" i="4" s="1"/>
  <c r="AE406" i="4"/>
  <c r="AE19" i="4" s="1"/>
  <c r="AD406" i="4"/>
  <c r="AD19" i="4" s="1"/>
  <c r="AB406" i="4"/>
  <c r="AB19" i="4" s="1"/>
  <c r="AA406" i="4"/>
  <c r="AA19" i="4" s="1"/>
  <c r="Z406" i="4"/>
  <c r="Z19" i="4" s="1"/>
  <c r="Y406" i="4"/>
  <c r="Y19" i="4" s="1"/>
  <c r="X406" i="4"/>
  <c r="X19" i="4" s="1"/>
  <c r="W406" i="4"/>
  <c r="W19" i="4" s="1"/>
  <c r="V406" i="4"/>
  <c r="V19" i="4" s="1"/>
  <c r="U406" i="4"/>
  <c r="U19" i="4" s="1"/>
  <c r="S406" i="4"/>
  <c r="S19" i="4" s="1"/>
  <c r="R406" i="4"/>
  <c r="R19" i="4" s="1"/>
  <c r="Q406" i="4"/>
  <c r="Q19" i="4" s="1"/>
  <c r="P406" i="4"/>
  <c r="P19" i="4" s="1"/>
  <c r="O406" i="4"/>
  <c r="O19" i="4" s="1"/>
  <c r="N406" i="4"/>
  <c r="N19" i="4" s="1"/>
  <c r="M406" i="4"/>
  <c r="M19" i="4" s="1"/>
  <c r="L406" i="4"/>
  <c r="L19" i="4" s="1"/>
  <c r="J406" i="4"/>
  <c r="J19" i="4" s="1"/>
  <c r="I406" i="4"/>
  <c r="I19" i="4" s="1"/>
  <c r="T406" i="4"/>
  <c r="T19" i="4" s="1"/>
  <c r="H406" i="4"/>
  <c r="H19" i="4" s="1"/>
  <c r="G406" i="4"/>
  <c r="G19" i="4" s="1"/>
  <c r="F406" i="4"/>
  <c r="F19" i="4" s="1"/>
  <c r="E406" i="4"/>
  <c r="E19" i="4" s="1"/>
  <c r="D406" i="4"/>
  <c r="D19" i="4" s="1"/>
  <c r="C406" i="4"/>
  <c r="AW399" i="4"/>
  <c r="AW20" i="4" s="1"/>
  <c r="AV399" i="4"/>
  <c r="AV20" i="4" s="1"/>
  <c r="AU399" i="4"/>
  <c r="AU20" i="4" s="1"/>
  <c r="AN399" i="4"/>
  <c r="AN20" i="4" s="1"/>
  <c r="AM399" i="4"/>
  <c r="AM20" i="4" s="1"/>
  <c r="AL399" i="4"/>
  <c r="AL20" i="4" s="1"/>
  <c r="AK399" i="4"/>
  <c r="AK20" i="4" s="1"/>
  <c r="AJ399" i="4"/>
  <c r="AJ20" i="4" s="1"/>
  <c r="BC399" i="4"/>
  <c r="BC20" i="4" s="1"/>
  <c r="AI399" i="4"/>
  <c r="AI20" i="4" s="1"/>
  <c r="AH399" i="4"/>
  <c r="AH20" i="4" s="1"/>
  <c r="AG399" i="4"/>
  <c r="AG20" i="4" s="1"/>
  <c r="AF399" i="4"/>
  <c r="AF20" i="4" s="1"/>
  <c r="AE399" i="4"/>
  <c r="AD399" i="4"/>
  <c r="AD20" i="4" s="1"/>
  <c r="AB399" i="4"/>
  <c r="AB20" i="4" s="1"/>
  <c r="AA399" i="4"/>
  <c r="AA20" i="4" s="1"/>
  <c r="Z399" i="4"/>
  <c r="Z20" i="4" s="1"/>
  <c r="Y399" i="4"/>
  <c r="Y20" i="4" s="1"/>
  <c r="X399" i="4"/>
  <c r="X20" i="4" s="1"/>
  <c r="W399" i="4"/>
  <c r="W20" i="4" s="1"/>
  <c r="V399" i="4"/>
  <c r="V20" i="4" s="1"/>
  <c r="U399" i="4"/>
  <c r="U20" i="4" s="1"/>
  <c r="S399" i="4"/>
  <c r="S20" i="4" s="1"/>
  <c r="R399" i="4"/>
  <c r="R20" i="4" s="1"/>
  <c r="Q399" i="4"/>
  <c r="Q20" i="4" s="1"/>
  <c r="P399" i="4"/>
  <c r="P20" i="4" s="1"/>
  <c r="O399" i="4"/>
  <c r="O20" i="4" s="1"/>
  <c r="N399" i="4"/>
  <c r="N20" i="4" s="1"/>
  <c r="M399" i="4"/>
  <c r="M20" i="4" s="1"/>
  <c r="L399" i="4"/>
  <c r="L20" i="4" s="1"/>
  <c r="J399" i="4"/>
  <c r="J20" i="4" s="1"/>
  <c r="I399" i="4"/>
  <c r="I20" i="4" s="1"/>
  <c r="T399" i="4"/>
  <c r="T20" i="4" s="1"/>
  <c r="H399" i="4"/>
  <c r="H20" i="4" s="1"/>
  <c r="G399" i="4"/>
  <c r="G20" i="4" s="1"/>
  <c r="F399" i="4"/>
  <c r="F20" i="4" s="1"/>
  <c r="E399" i="4"/>
  <c r="E20" i="4" s="1"/>
  <c r="D399" i="4"/>
  <c r="D20" i="4" s="1"/>
  <c r="F411" i="1"/>
  <c r="F409" i="1"/>
  <c r="F408" i="1"/>
  <c r="AW392" i="4"/>
  <c r="AW18" i="4" s="1"/>
  <c r="AV392" i="4"/>
  <c r="AV18" i="4" s="1"/>
  <c r="AU392" i="4"/>
  <c r="AU18" i="4" s="1"/>
  <c r="AN392" i="4"/>
  <c r="AN18" i="4" s="1"/>
  <c r="AM392" i="4"/>
  <c r="AM18" i="4" s="1"/>
  <c r="AL392" i="4"/>
  <c r="AL18" i="4" s="1"/>
  <c r="AK392" i="4"/>
  <c r="AK18" i="4" s="1"/>
  <c r="AJ392" i="4"/>
  <c r="AJ18" i="4" s="1"/>
  <c r="BC392" i="4"/>
  <c r="BC18" i="4" s="1"/>
  <c r="AI392" i="4"/>
  <c r="AI18" i="4" s="1"/>
  <c r="AH392" i="4"/>
  <c r="AH18" i="4" s="1"/>
  <c r="AG392" i="4"/>
  <c r="AG18" i="4" s="1"/>
  <c r="AF392" i="4"/>
  <c r="AF18" i="4" s="1"/>
  <c r="AE392" i="4"/>
  <c r="AE18" i="4" s="1"/>
  <c r="AD392" i="4"/>
  <c r="AD18" i="4" s="1"/>
  <c r="AB392" i="4"/>
  <c r="AB18" i="4" s="1"/>
  <c r="AA392" i="4"/>
  <c r="AA18" i="4" s="1"/>
  <c r="Z392" i="4"/>
  <c r="Z18" i="4" s="1"/>
  <c r="Y392" i="4"/>
  <c r="Y18" i="4" s="1"/>
  <c r="X392" i="4"/>
  <c r="X18" i="4" s="1"/>
  <c r="W392" i="4"/>
  <c r="W18" i="4" s="1"/>
  <c r="V392" i="4"/>
  <c r="V18" i="4" s="1"/>
  <c r="U392" i="4"/>
  <c r="U18" i="4" s="1"/>
  <c r="S392" i="4"/>
  <c r="S18" i="4" s="1"/>
  <c r="R392" i="4"/>
  <c r="R18" i="4" s="1"/>
  <c r="Q392" i="4"/>
  <c r="Q18" i="4" s="1"/>
  <c r="P392" i="4"/>
  <c r="P18" i="4" s="1"/>
  <c r="O392" i="4"/>
  <c r="O18" i="4" s="1"/>
  <c r="N392" i="4"/>
  <c r="N18" i="4" s="1"/>
  <c r="M392" i="4"/>
  <c r="M18" i="4" s="1"/>
  <c r="L392" i="4"/>
  <c r="L18" i="4" s="1"/>
  <c r="J392" i="4"/>
  <c r="J18" i="4" s="1"/>
  <c r="I392" i="4"/>
  <c r="I18" i="4" s="1"/>
  <c r="T392" i="4"/>
  <c r="T18" i="4" s="1"/>
  <c r="H392" i="4"/>
  <c r="H18" i="4" s="1"/>
  <c r="G392" i="4"/>
  <c r="G18" i="4" s="1"/>
  <c r="F392" i="4"/>
  <c r="F18" i="4" s="1"/>
  <c r="E392" i="4"/>
  <c r="E18" i="4" s="1"/>
  <c r="D392" i="4"/>
  <c r="F404" i="1"/>
  <c r="F400" i="1"/>
  <c r="F399" i="1"/>
  <c r="AW381" i="4"/>
  <c r="AV381" i="4"/>
  <c r="AU381" i="4"/>
  <c r="AN381" i="4"/>
  <c r="AM381" i="4"/>
  <c r="AL381" i="4"/>
  <c r="AK381" i="4"/>
  <c r="AJ381" i="4"/>
  <c r="BC381" i="4"/>
  <c r="AI381" i="4"/>
  <c r="AH381" i="4"/>
  <c r="AG381" i="4"/>
  <c r="AF381" i="4"/>
  <c r="AE381" i="4"/>
  <c r="AD381" i="4"/>
  <c r="AB381" i="4"/>
  <c r="AA381" i="4"/>
  <c r="Z381" i="4"/>
  <c r="Y381" i="4"/>
  <c r="X381" i="4"/>
  <c r="W381" i="4"/>
  <c r="V381" i="4"/>
  <c r="U381" i="4"/>
  <c r="S381" i="4"/>
  <c r="R381" i="4"/>
  <c r="Q381" i="4"/>
  <c r="P381" i="4"/>
  <c r="O381" i="4"/>
  <c r="N381" i="4"/>
  <c r="M381" i="4"/>
  <c r="L381" i="4"/>
  <c r="J381" i="4"/>
  <c r="I381" i="4"/>
  <c r="T381" i="4"/>
  <c r="H381" i="4"/>
  <c r="G381" i="4"/>
  <c r="F381" i="4"/>
  <c r="E381" i="4"/>
  <c r="D381" i="4"/>
  <c r="F393" i="1"/>
  <c r="F391" i="1"/>
  <c r="F389" i="1"/>
  <c r="AW368" i="4"/>
  <c r="AV368" i="4"/>
  <c r="AU368" i="4"/>
  <c r="AN368" i="4"/>
  <c r="AM368" i="4"/>
  <c r="AL368" i="4"/>
  <c r="AK368" i="4"/>
  <c r="AJ368" i="4"/>
  <c r="BC368" i="4"/>
  <c r="AI368" i="4"/>
  <c r="AH368" i="4"/>
  <c r="AG368" i="4"/>
  <c r="AF368" i="4"/>
  <c r="AE368" i="4"/>
  <c r="AD368" i="4"/>
  <c r="AB368" i="4"/>
  <c r="AA368" i="4"/>
  <c r="Z368" i="4"/>
  <c r="Y368" i="4"/>
  <c r="X368" i="4"/>
  <c r="W368" i="4"/>
  <c r="V368" i="4"/>
  <c r="U368" i="4"/>
  <c r="S368" i="4"/>
  <c r="R368" i="4"/>
  <c r="Q368" i="4"/>
  <c r="P368" i="4"/>
  <c r="O368" i="4"/>
  <c r="N368" i="4"/>
  <c r="M368" i="4"/>
  <c r="L368" i="4"/>
  <c r="J368" i="4"/>
  <c r="I368" i="4"/>
  <c r="T368" i="4"/>
  <c r="H368" i="4"/>
  <c r="G368" i="4"/>
  <c r="F368" i="4"/>
  <c r="E368" i="4"/>
  <c r="D368" i="4"/>
  <c r="F378" i="1"/>
  <c r="F377" i="1"/>
  <c r="F375" i="1"/>
  <c r="F374" i="1"/>
  <c r="F371" i="1"/>
  <c r="AW353" i="4"/>
  <c r="AV353" i="4"/>
  <c r="AU353" i="4"/>
  <c r="AN353" i="4"/>
  <c r="AM353" i="4"/>
  <c r="AL353" i="4"/>
  <c r="AK353" i="4"/>
  <c r="AJ353" i="4"/>
  <c r="BC353" i="4"/>
  <c r="AI353" i="4"/>
  <c r="AH353" i="4"/>
  <c r="AG353" i="4"/>
  <c r="AF353" i="4"/>
  <c r="AE353" i="4"/>
  <c r="AD353" i="4"/>
  <c r="AB353" i="4"/>
  <c r="AA353" i="4"/>
  <c r="Z353" i="4"/>
  <c r="Y353" i="4"/>
  <c r="X353" i="4"/>
  <c r="W353" i="4"/>
  <c r="V353" i="4"/>
  <c r="U353" i="4"/>
  <c r="S353" i="4"/>
  <c r="R353" i="4"/>
  <c r="Q353" i="4"/>
  <c r="P353" i="4"/>
  <c r="O353" i="4"/>
  <c r="N353" i="4"/>
  <c r="M353" i="4"/>
  <c r="L353" i="4"/>
  <c r="J353" i="4"/>
  <c r="I353" i="4"/>
  <c r="T353" i="4"/>
  <c r="H353" i="4"/>
  <c r="G353" i="4"/>
  <c r="F353" i="4"/>
  <c r="E353" i="4"/>
  <c r="D353" i="4"/>
  <c r="F365" i="1"/>
  <c r="F362" i="1"/>
  <c r="F361" i="1"/>
  <c r="AW343" i="4"/>
  <c r="AV343" i="4"/>
  <c r="AU343" i="4"/>
  <c r="AN343" i="4"/>
  <c r="AM343" i="4"/>
  <c r="AL343" i="4"/>
  <c r="AK343" i="4"/>
  <c r="AJ343" i="4"/>
  <c r="BC343" i="4"/>
  <c r="AI343" i="4"/>
  <c r="AH343" i="4"/>
  <c r="AG343" i="4"/>
  <c r="AF343" i="4"/>
  <c r="AE343" i="4"/>
  <c r="AD343" i="4"/>
  <c r="AB343" i="4"/>
  <c r="AA343" i="4"/>
  <c r="Z343" i="4"/>
  <c r="Y343" i="4"/>
  <c r="X343" i="4"/>
  <c r="W343" i="4"/>
  <c r="V343" i="4"/>
  <c r="U343" i="4"/>
  <c r="S343" i="4"/>
  <c r="R343" i="4"/>
  <c r="Q343" i="4"/>
  <c r="P343" i="4"/>
  <c r="O343" i="4"/>
  <c r="N343" i="4"/>
  <c r="M343" i="4"/>
  <c r="L343" i="4"/>
  <c r="J343" i="4"/>
  <c r="I343" i="4"/>
  <c r="T343" i="4"/>
  <c r="H343" i="4"/>
  <c r="G343" i="4"/>
  <c r="F343" i="4"/>
  <c r="E343" i="4"/>
  <c r="D343" i="4"/>
  <c r="F353" i="1"/>
  <c r="G353" i="1" s="1"/>
  <c r="F337" i="1"/>
  <c r="AW316" i="4"/>
  <c r="AV316" i="4"/>
  <c r="AU316" i="4"/>
  <c r="AN316" i="4"/>
  <c r="AM316" i="4"/>
  <c r="AL316" i="4"/>
  <c r="AK316" i="4"/>
  <c r="AJ316" i="4"/>
  <c r="BC316" i="4"/>
  <c r="AI316" i="4"/>
  <c r="AH316" i="4"/>
  <c r="AG316" i="4"/>
  <c r="AF316" i="4"/>
  <c r="AE316" i="4"/>
  <c r="AD316" i="4"/>
  <c r="AB316" i="4"/>
  <c r="AA316" i="4"/>
  <c r="Z316" i="4"/>
  <c r="Y316" i="4"/>
  <c r="X316" i="4"/>
  <c r="W318" i="4"/>
  <c r="V316" i="4"/>
  <c r="U316" i="4"/>
  <c r="S316" i="4"/>
  <c r="R316" i="4"/>
  <c r="Q316" i="4"/>
  <c r="P316" i="4"/>
  <c r="O316" i="4"/>
  <c r="N316" i="4"/>
  <c r="M316" i="4"/>
  <c r="L316" i="4"/>
  <c r="J316" i="4"/>
  <c r="I316" i="4"/>
  <c r="T316" i="4"/>
  <c r="H316" i="4"/>
  <c r="G316" i="4"/>
  <c r="F316" i="4"/>
  <c r="E316" i="4"/>
  <c r="D316" i="4"/>
  <c r="F326" i="1"/>
  <c r="F325" i="1"/>
  <c r="F324" i="1"/>
  <c r="AW309" i="4"/>
  <c r="AV309" i="4"/>
  <c r="AU309" i="4"/>
  <c r="AN309" i="4"/>
  <c r="AM309" i="4"/>
  <c r="AL309" i="4"/>
  <c r="AK309" i="4"/>
  <c r="AJ309" i="4"/>
  <c r="BC309" i="4"/>
  <c r="AI309" i="4"/>
  <c r="AH309" i="4"/>
  <c r="AG309" i="4"/>
  <c r="AF309" i="4"/>
  <c r="AE309" i="4"/>
  <c r="AD309" i="4"/>
  <c r="AB309" i="4"/>
  <c r="AA309" i="4"/>
  <c r="Z309" i="4"/>
  <c r="Y309" i="4"/>
  <c r="X309" i="4"/>
  <c r="V309" i="4"/>
  <c r="U309" i="4"/>
  <c r="S309" i="4"/>
  <c r="R309" i="4"/>
  <c r="Q309" i="4"/>
  <c r="P309" i="4"/>
  <c r="O309" i="4"/>
  <c r="N309" i="4"/>
  <c r="M309" i="4"/>
  <c r="L309" i="4"/>
  <c r="J309" i="4"/>
  <c r="I309" i="4"/>
  <c r="T309" i="4"/>
  <c r="H309" i="4"/>
  <c r="G309" i="4"/>
  <c r="F309" i="4"/>
  <c r="E309" i="4"/>
  <c r="D309" i="4"/>
  <c r="F318" i="1"/>
  <c r="F317" i="1"/>
  <c r="F314" i="1"/>
  <c r="F313" i="1"/>
  <c r="F310" i="1"/>
  <c r="AW288" i="4"/>
  <c r="AV288" i="4"/>
  <c r="AU288" i="4"/>
  <c r="AN288" i="4"/>
  <c r="AM288" i="4"/>
  <c r="AL288" i="4"/>
  <c r="AK288" i="4"/>
  <c r="AJ288" i="4"/>
  <c r="BC288" i="4"/>
  <c r="AI288" i="4"/>
  <c r="AH288" i="4"/>
  <c r="AG288" i="4"/>
  <c r="AF288" i="4"/>
  <c r="AE288" i="4"/>
  <c r="AD288" i="4"/>
  <c r="AB288" i="4"/>
  <c r="AA288" i="4"/>
  <c r="Z288" i="4"/>
  <c r="Y288" i="4"/>
  <c r="X288" i="4"/>
  <c r="W288" i="4"/>
  <c r="V288" i="4"/>
  <c r="U288" i="4"/>
  <c r="S288" i="4"/>
  <c r="R288" i="4"/>
  <c r="Q288" i="4"/>
  <c r="P288" i="4"/>
  <c r="O288" i="4"/>
  <c r="N288" i="4"/>
  <c r="M288" i="4"/>
  <c r="L288" i="4"/>
  <c r="J288" i="4"/>
  <c r="I288" i="4"/>
  <c r="T288" i="4"/>
  <c r="H288" i="4"/>
  <c r="G288" i="4"/>
  <c r="F288" i="4"/>
  <c r="E288" i="4"/>
  <c r="D288" i="4"/>
  <c r="F295" i="1"/>
  <c r="AW276" i="4"/>
  <c r="AV276" i="4"/>
  <c r="AU276" i="4"/>
  <c r="AN276" i="4"/>
  <c r="AM276" i="4"/>
  <c r="AL276" i="4"/>
  <c r="AK276" i="4"/>
  <c r="AJ276" i="4"/>
  <c r="BC276" i="4"/>
  <c r="AI276" i="4"/>
  <c r="AH276" i="4"/>
  <c r="AG276" i="4"/>
  <c r="AF276" i="4"/>
  <c r="AE276" i="4"/>
  <c r="AD276" i="4"/>
  <c r="AB276" i="4"/>
  <c r="AA276" i="4"/>
  <c r="Z276" i="4"/>
  <c r="Y276" i="4"/>
  <c r="X276" i="4"/>
  <c r="W276" i="4"/>
  <c r="V276" i="4"/>
  <c r="U276" i="4"/>
  <c r="S276" i="4"/>
  <c r="R276" i="4"/>
  <c r="Q276" i="4"/>
  <c r="P276" i="4"/>
  <c r="O276" i="4"/>
  <c r="N276" i="4"/>
  <c r="M276" i="4"/>
  <c r="L276" i="4"/>
  <c r="J276" i="4"/>
  <c r="I276" i="4"/>
  <c r="T276" i="4"/>
  <c r="H276" i="4"/>
  <c r="G276" i="4"/>
  <c r="F276" i="4"/>
  <c r="E276" i="4"/>
  <c r="D276" i="4"/>
  <c r="C276" i="4"/>
  <c r="AW261" i="4"/>
  <c r="AW11" i="4" s="1"/>
  <c r="AV261" i="4"/>
  <c r="AV11" i="4" s="1"/>
  <c r="AU261" i="4"/>
  <c r="AU11" i="4" s="1"/>
  <c r="AN261" i="4"/>
  <c r="AN11" i="4" s="1"/>
  <c r="AM261" i="4"/>
  <c r="AM11" i="4" s="1"/>
  <c r="AL261" i="4"/>
  <c r="AL11" i="4" s="1"/>
  <c r="AK261" i="4"/>
  <c r="AK11" i="4" s="1"/>
  <c r="AJ261" i="4"/>
  <c r="AJ11" i="4" s="1"/>
  <c r="BC261" i="4"/>
  <c r="BC11" i="4" s="1"/>
  <c r="AI261" i="4"/>
  <c r="AI11" i="4" s="1"/>
  <c r="AH261" i="4"/>
  <c r="AG261" i="4"/>
  <c r="AF261" i="4"/>
  <c r="AF11" i="4" s="1"/>
  <c r="AE261" i="4"/>
  <c r="AE11" i="4" s="1"/>
  <c r="AD261" i="4"/>
  <c r="AD11" i="4" s="1"/>
  <c r="AB261" i="4"/>
  <c r="AB11" i="4" s="1"/>
  <c r="AA261" i="4"/>
  <c r="Z261" i="4"/>
  <c r="Z11" i="4" s="1"/>
  <c r="Y261" i="4"/>
  <c r="Y11" i="4" s="1"/>
  <c r="X261" i="4"/>
  <c r="X11" i="4" s="1"/>
  <c r="W261" i="4"/>
  <c r="W11" i="4" s="1"/>
  <c r="V261" i="4"/>
  <c r="V11" i="4" s="1"/>
  <c r="U261" i="4"/>
  <c r="S261" i="4"/>
  <c r="S11" i="4" s="1"/>
  <c r="R261" i="4"/>
  <c r="R11" i="4" s="1"/>
  <c r="Q261" i="4"/>
  <c r="P261" i="4"/>
  <c r="P11" i="4" s="1"/>
  <c r="O261" i="4"/>
  <c r="O11" i="4" s="1"/>
  <c r="N261" i="4"/>
  <c r="N11" i="4" s="1"/>
  <c r="M261" i="4"/>
  <c r="M11" i="4" s="1"/>
  <c r="L261" i="4"/>
  <c r="L11" i="4" s="1"/>
  <c r="J261" i="4"/>
  <c r="I261" i="4"/>
  <c r="T261" i="4"/>
  <c r="T11" i="4" s="1"/>
  <c r="H261" i="4"/>
  <c r="G261" i="4"/>
  <c r="G11" i="4" s="1"/>
  <c r="F261" i="4"/>
  <c r="F11" i="4" s="1"/>
  <c r="E261" i="4"/>
  <c r="E11" i="4" s="1"/>
  <c r="D261" i="4"/>
  <c r="C261" i="4"/>
  <c r="AW248" i="4"/>
  <c r="AV248" i="4"/>
  <c r="AU248" i="4"/>
  <c r="AN248" i="4"/>
  <c r="AM248" i="4"/>
  <c r="AL248" i="4"/>
  <c r="AK248" i="4"/>
  <c r="AJ248" i="4"/>
  <c r="BC248" i="4"/>
  <c r="AI248" i="4"/>
  <c r="AH248" i="4"/>
  <c r="AG248" i="4"/>
  <c r="AF248" i="4"/>
  <c r="AE248" i="4"/>
  <c r="AD248" i="4"/>
  <c r="AB248" i="4"/>
  <c r="AA248" i="4"/>
  <c r="Z248" i="4"/>
  <c r="Y248" i="4"/>
  <c r="X248" i="4"/>
  <c r="W248" i="4"/>
  <c r="V248" i="4"/>
  <c r="U248" i="4"/>
  <c r="S248" i="4"/>
  <c r="R248" i="4"/>
  <c r="Q248" i="4"/>
  <c r="P248" i="4"/>
  <c r="O248" i="4"/>
  <c r="N248" i="4"/>
  <c r="M248" i="4"/>
  <c r="L248" i="4"/>
  <c r="J248" i="4"/>
  <c r="I248" i="4"/>
  <c r="T248" i="4"/>
  <c r="H248" i="4"/>
  <c r="G248" i="4"/>
  <c r="F248" i="4"/>
  <c r="E248" i="4"/>
  <c r="D248" i="4"/>
  <c r="F257" i="1"/>
  <c r="AW236" i="4"/>
  <c r="AV236" i="4"/>
  <c r="AU236" i="4"/>
  <c r="AN236" i="4"/>
  <c r="AM236" i="4"/>
  <c r="AL236" i="4"/>
  <c r="AK236" i="4"/>
  <c r="AJ236" i="4"/>
  <c r="BC236" i="4"/>
  <c r="AI236" i="4"/>
  <c r="AH236" i="4"/>
  <c r="AG236" i="4"/>
  <c r="AF236" i="4"/>
  <c r="AE236" i="4"/>
  <c r="AD236" i="4"/>
  <c r="AB236" i="4"/>
  <c r="AA236" i="4"/>
  <c r="Z236" i="4"/>
  <c r="Y236" i="4"/>
  <c r="X236" i="4"/>
  <c r="W236" i="4"/>
  <c r="V236" i="4"/>
  <c r="U236" i="4"/>
  <c r="S236" i="4"/>
  <c r="R236" i="4"/>
  <c r="Q236" i="4"/>
  <c r="P236" i="4"/>
  <c r="O236" i="4"/>
  <c r="N236" i="4"/>
  <c r="M236" i="4"/>
  <c r="L236" i="4"/>
  <c r="J236" i="4"/>
  <c r="I236" i="4"/>
  <c r="T236" i="4"/>
  <c r="H236" i="4"/>
  <c r="F236" i="4"/>
  <c r="E236" i="4"/>
  <c r="D236" i="4"/>
  <c r="C236" i="4"/>
  <c r="AW231" i="4"/>
  <c r="AV231" i="4"/>
  <c r="AU231" i="4"/>
  <c r="AN231" i="4"/>
  <c r="AM231" i="4"/>
  <c r="AL231" i="4"/>
  <c r="AK231" i="4"/>
  <c r="AJ231" i="4"/>
  <c r="BC231" i="4"/>
  <c r="AI231" i="4"/>
  <c r="AH231" i="4"/>
  <c r="AG231" i="4"/>
  <c r="AF231" i="4"/>
  <c r="AE231" i="4"/>
  <c r="AD231" i="4"/>
  <c r="AB231" i="4"/>
  <c r="AA231" i="4"/>
  <c r="Z231" i="4"/>
  <c r="Y231" i="4"/>
  <c r="X231" i="4"/>
  <c r="W231" i="4"/>
  <c r="V231" i="4"/>
  <c r="U231" i="4"/>
  <c r="S231" i="4"/>
  <c r="R231" i="4"/>
  <c r="Q231" i="4"/>
  <c r="P231" i="4"/>
  <c r="O231" i="4"/>
  <c r="N231" i="4"/>
  <c r="M231" i="4"/>
  <c r="L231" i="4"/>
  <c r="J231" i="4"/>
  <c r="I231" i="4"/>
  <c r="T231" i="4"/>
  <c r="H231" i="4"/>
  <c r="G231" i="4"/>
  <c r="F231" i="4"/>
  <c r="E231" i="4"/>
  <c r="D231" i="4"/>
  <c r="C231" i="4"/>
  <c r="AW223" i="4"/>
  <c r="AW46" i="4" s="1"/>
  <c r="AV223" i="4"/>
  <c r="AV46" i="4" s="1"/>
  <c r="AU223" i="4"/>
  <c r="AU46" i="4" s="1"/>
  <c r="AN223" i="4"/>
  <c r="AN46" i="4" s="1"/>
  <c r="AM223" i="4"/>
  <c r="AM46" i="4" s="1"/>
  <c r="AL223" i="4"/>
  <c r="AL46" i="4" s="1"/>
  <c r="AK223" i="4"/>
  <c r="AK46" i="4" s="1"/>
  <c r="AJ223" i="4"/>
  <c r="AJ46" i="4" s="1"/>
  <c r="BC223" i="4"/>
  <c r="BC46" i="4" s="1"/>
  <c r="AI223" i="4"/>
  <c r="AI46" i="4" s="1"/>
  <c r="AH223" i="4"/>
  <c r="AH46" i="4" s="1"/>
  <c r="AG223" i="4"/>
  <c r="AG46" i="4" s="1"/>
  <c r="AF223" i="4"/>
  <c r="AF46" i="4" s="1"/>
  <c r="AE223" i="4"/>
  <c r="AE46" i="4" s="1"/>
  <c r="AD223" i="4"/>
  <c r="AD46" i="4" s="1"/>
  <c r="AB223" i="4"/>
  <c r="AB46" i="4" s="1"/>
  <c r="AA223" i="4"/>
  <c r="AA46" i="4" s="1"/>
  <c r="Z223" i="4"/>
  <c r="Z46" i="4" s="1"/>
  <c r="Y223" i="4"/>
  <c r="Y46" i="4" s="1"/>
  <c r="X223" i="4"/>
  <c r="X46" i="4" s="1"/>
  <c r="W223" i="4"/>
  <c r="W46" i="4" s="1"/>
  <c r="V223" i="4"/>
  <c r="V46" i="4" s="1"/>
  <c r="U223" i="4"/>
  <c r="U46" i="4" s="1"/>
  <c r="S223" i="4"/>
  <c r="S46" i="4" s="1"/>
  <c r="R223" i="4"/>
  <c r="R46" i="4" s="1"/>
  <c r="Q223" i="4"/>
  <c r="Q46" i="4" s="1"/>
  <c r="P223" i="4"/>
  <c r="P46" i="4" s="1"/>
  <c r="O223" i="4"/>
  <c r="O46" i="4" s="1"/>
  <c r="N223" i="4"/>
  <c r="N46" i="4" s="1"/>
  <c r="M223" i="4"/>
  <c r="M46" i="4" s="1"/>
  <c r="L223" i="4"/>
  <c r="L46" i="4" s="1"/>
  <c r="J223" i="4"/>
  <c r="J46" i="4" s="1"/>
  <c r="I223" i="4"/>
  <c r="I46" i="4" s="1"/>
  <c r="T223" i="4"/>
  <c r="T46" i="4" s="1"/>
  <c r="H223" i="4"/>
  <c r="H46" i="4" s="1"/>
  <c r="G223" i="4"/>
  <c r="G46" i="4" s="1"/>
  <c r="F223" i="4"/>
  <c r="F46" i="4" s="1"/>
  <c r="E223" i="4"/>
  <c r="E46" i="4" s="1"/>
  <c r="D223" i="4"/>
  <c r="D46" i="4" s="1"/>
  <c r="C223" i="4"/>
  <c r="AW214" i="4"/>
  <c r="AV214" i="4"/>
  <c r="AU214" i="4"/>
  <c r="AN214" i="4"/>
  <c r="AM214" i="4"/>
  <c r="AL214" i="4"/>
  <c r="AK214" i="4"/>
  <c r="AJ214" i="4"/>
  <c r="BC214" i="4"/>
  <c r="AI214" i="4"/>
  <c r="AH214" i="4"/>
  <c r="AG214" i="4"/>
  <c r="AF214" i="4"/>
  <c r="AE214" i="4"/>
  <c r="AD214" i="4"/>
  <c r="AB214" i="4"/>
  <c r="AA214" i="4"/>
  <c r="Z214" i="4"/>
  <c r="Y214" i="4"/>
  <c r="X214" i="4"/>
  <c r="W214" i="4"/>
  <c r="V214" i="4"/>
  <c r="U214" i="4"/>
  <c r="S214" i="4"/>
  <c r="R214" i="4"/>
  <c r="Q214" i="4"/>
  <c r="P214" i="4"/>
  <c r="O214" i="4"/>
  <c r="N214" i="4"/>
  <c r="M214" i="4"/>
  <c r="L214" i="4"/>
  <c r="J214" i="4"/>
  <c r="I214" i="4"/>
  <c r="T214" i="4"/>
  <c r="H214" i="4"/>
  <c r="G214" i="4"/>
  <c r="F214" i="4"/>
  <c r="E214" i="4"/>
  <c r="D214" i="4"/>
  <c r="C214" i="4"/>
  <c r="AW210" i="4"/>
  <c r="AV210" i="4"/>
  <c r="AU210" i="4"/>
  <c r="AN210" i="4"/>
  <c r="AM210" i="4"/>
  <c r="AL210" i="4"/>
  <c r="AK210" i="4"/>
  <c r="AJ210" i="4"/>
  <c r="BC210" i="4"/>
  <c r="AI210" i="4"/>
  <c r="AH210" i="4"/>
  <c r="AG210" i="4"/>
  <c r="AF210" i="4"/>
  <c r="AE210" i="4"/>
  <c r="AD210" i="4"/>
  <c r="AB210" i="4"/>
  <c r="AA210" i="4"/>
  <c r="Z210" i="4"/>
  <c r="Y210" i="4"/>
  <c r="X210" i="4"/>
  <c r="W210" i="4"/>
  <c r="V210" i="4"/>
  <c r="U210" i="4"/>
  <c r="S210" i="4"/>
  <c r="R210" i="4"/>
  <c r="Q210" i="4"/>
  <c r="P210" i="4"/>
  <c r="O210" i="4"/>
  <c r="N210" i="4"/>
  <c r="M210" i="4"/>
  <c r="L210" i="4"/>
  <c r="J210" i="4"/>
  <c r="I210" i="4"/>
  <c r="T210" i="4"/>
  <c r="H210" i="4"/>
  <c r="G210" i="4"/>
  <c r="F210" i="4"/>
  <c r="E210" i="4"/>
  <c r="D210" i="4"/>
  <c r="C210" i="4"/>
  <c r="AW206" i="4"/>
  <c r="AV206" i="4"/>
  <c r="AU206" i="4"/>
  <c r="AN206" i="4"/>
  <c r="AM206" i="4"/>
  <c r="AL206" i="4"/>
  <c r="AK206" i="4"/>
  <c r="AJ206" i="4"/>
  <c r="BC206" i="4"/>
  <c r="AI206" i="4"/>
  <c r="AH206" i="4"/>
  <c r="AG206" i="4"/>
  <c r="AF206" i="4"/>
  <c r="AE206" i="4"/>
  <c r="AD206" i="4"/>
  <c r="AB206" i="4"/>
  <c r="AA206" i="4"/>
  <c r="Z206" i="4"/>
  <c r="Y206" i="4"/>
  <c r="X206" i="4"/>
  <c r="W206" i="4"/>
  <c r="V206" i="4"/>
  <c r="U206" i="4"/>
  <c r="S206" i="4"/>
  <c r="R206" i="4"/>
  <c r="Q206" i="4"/>
  <c r="P206" i="4"/>
  <c r="O206" i="4"/>
  <c r="N206" i="4"/>
  <c r="M206" i="4"/>
  <c r="L206" i="4"/>
  <c r="J206" i="4"/>
  <c r="I206" i="4"/>
  <c r="T206" i="4"/>
  <c r="H206" i="4"/>
  <c r="G206" i="4"/>
  <c r="F206" i="4"/>
  <c r="E206" i="4"/>
  <c r="D206" i="4"/>
  <c r="C206" i="4"/>
  <c r="AW202" i="4"/>
  <c r="AV202" i="4"/>
  <c r="AU202" i="4"/>
  <c r="AN202" i="4"/>
  <c r="AM202" i="4"/>
  <c r="AL202" i="4"/>
  <c r="AK202" i="4"/>
  <c r="AJ202" i="4"/>
  <c r="BC202" i="4"/>
  <c r="AI202" i="4"/>
  <c r="AH202" i="4"/>
  <c r="AG202" i="4"/>
  <c r="AF202" i="4"/>
  <c r="AE202" i="4"/>
  <c r="AD202" i="4"/>
  <c r="AB202" i="4"/>
  <c r="AA202" i="4"/>
  <c r="Z202" i="4"/>
  <c r="Y202" i="4"/>
  <c r="X202" i="4"/>
  <c r="W202" i="4"/>
  <c r="V202" i="4"/>
  <c r="U202" i="4"/>
  <c r="S202" i="4"/>
  <c r="R202" i="4"/>
  <c r="Q202" i="4"/>
  <c r="P202" i="4"/>
  <c r="O202" i="4"/>
  <c r="N202" i="4"/>
  <c r="M202" i="4"/>
  <c r="L202" i="4"/>
  <c r="J202" i="4"/>
  <c r="I202" i="4"/>
  <c r="T202" i="4"/>
  <c r="H202" i="4"/>
  <c r="G202" i="4"/>
  <c r="F202" i="4"/>
  <c r="E202" i="4"/>
  <c r="D202" i="4"/>
  <c r="C202" i="4"/>
  <c r="AW198" i="4"/>
  <c r="AV198" i="4"/>
  <c r="AU198" i="4"/>
  <c r="AN198" i="4"/>
  <c r="AM198" i="4"/>
  <c r="AL198" i="4"/>
  <c r="AK198" i="4"/>
  <c r="AJ198" i="4"/>
  <c r="BC198" i="4"/>
  <c r="AI198" i="4"/>
  <c r="AH198" i="4"/>
  <c r="AG198" i="4"/>
  <c r="AF198" i="4"/>
  <c r="AE198" i="4"/>
  <c r="AD198" i="4"/>
  <c r="AB198" i="4"/>
  <c r="AA198" i="4"/>
  <c r="Z198" i="4"/>
  <c r="Y198" i="4"/>
  <c r="X198" i="4"/>
  <c r="W198" i="4"/>
  <c r="V198" i="4"/>
  <c r="U198" i="4"/>
  <c r="S198" i="4"/>
  <c r="R198" i="4"/>
  <c r="Q198" i="4"/>
  <c r="P198" i="4"/>
  <c r="O198" i="4"/>
  <c r="N198" i="4"/>
  <c r="M198" i="4"/>
  <c r="L198" i="4"/>
  <c r="J198" i="4"/>
  <c r="I198" i="4"/>
  <c r="T198" i="4"/>
  <c r="H198" i="4"/>
  <c r="G198" i="4"/>
  <c r="F198" i="4"/>
  <c r="E198" i="4"/>
  <c r="D198" i="4"/>
  <c r="C198" i="4"/>
  <c r="AW189" i="4"/>
  <c r="AV189" i="4"/>
  <c r="AU189" i="4"/>
  <c r="AN189" i="4"/>
  <c r="AM189" i="4"/>
  <c r="AL189" i="4"/>
  <c r="AK189" i="4"/>
  <c r="AJ189" i="4"/>
  <c r="BC189" i="4"/>
  <c r="AI189" i="4"/>
  <c r="AH189" i="4"/>
  <c r="AG189" i="4"/>
  <c r="AF189" i="4"/>
  <c r="AE189" i="4"/>
  <c r="AD189" i="4"/>
  <c r="AB189" i="4"/>
  <c r="AA189" i="4"/>
  <c r="Z189" i="4"/>
  <c r="Y189" i="4"/>
  <c r="X189" i="4"/>
  <c r="W189" i="4"/>
  <c r="V189" i="4"/>
  <c r="U189" i="4"/>
  <c r="S189" i="4"/>
  <c r="R189" i="4"/>
  <c r="Q189" i="4"/>
  <c r="P189" i="4"/>
  <c r="O189" i="4"/>
  <c r="N189" i="4"/>
  <c r="M189" i="4"/>
  <c r="L189" i="4"/>
  <c r="J189" i="4"/>
  <c r="I189" i="4"/>
  <c r="T189" i="4"/>
  <c r="H189" i="4"/>
  <c r="G189" i="4"/>
  <c r="F189" i="4"/>
  <c r="E189" i="4"/>
  <c r="D189" i="4"/>
  <c r="C189" i="4"/>
  <c r="AW186" i="4"/>
  <c r="AV186" i="4"/>
  <c r="AU186" i="4"/>
  <c r="AN186" i="4"/>
  <c r="AM186" i="4"/>
  <c r="AL186" i="4"/>
  <c r="AK186" i="4"/>
  <c r="AJ186" i="4"/>
  <c r="BC186" i="4"/>
  <c r="AI186" i="4"/>
  <c r="AH186" i="4"/>
  <c r="AG186" i="4"/>
  <c r="AF186" i="4"/>
  <c r="AE186" i="4"/>
  <c r="AD186" i="4"/>
  <c r="AB186" i="4"/>
  <c r="AA186" i="4"/>
  <c r="Z186" i="4"/>
  <c r="Y186" i="4"/>
  <c r="X186" i="4"/>
  <c r="W186" i="4"/>
  <c r="V186" i="4"/>
  <c r="U186" i="4"/>
  <c r="S186" i="4"/>
  <c r="R186" i="4"/>
  <c r="Q186" i="4"/>
  <c r="P186" i="4"/>
  <c r="O186" i="4"/>
  <c r="N186" i="4"/>
  <c r="M186" i="4"/>
  <c r="L186" i="4"/>
  <c r="J186" i="4"/>
  <c r="I186" i="4"/>
  <c r="T186" i="4"/>
  <c r="H186" i="4"/>
  <c r="G186" i="4"/>
  <c r="F186" i="4"/>
  <c r="E186" i="4"/>
  <c r="D186" i="4"/>
  <c r="C186" i="4"/>
  <c r="AW178" i="4"/>
  <c r="AV178" i="4"/>
  <c r="AU178" i="4"/>
  <c r="AN178" i="4"/>
  <c r="AM178" i="4"/>
  <c r="AL178" i="4"/>
  <c r="AK178" i="4"/>
  <c r="AJ178" i="4"/>
  <c r="BC178" i="4"/>
  <c r="AI178" i="4"/>
  <c r="AH178" i="4"/>
  <c r="AG178" i="4"/>
  <c r="AF178" i="4"/>
  <c r="AE178" i="4"/>
  <c r="AD178" i="4"/>
  <c r="AB178" i="4"/>
  <c r="AA178" i="4"/>
  <c r="Z178" i="4"/>
  <c r="Y178" i="4"/>
  <c r="X178" i="4"/>
  <c r="W178" i="4"/>
  <c r="V178" i="4"/>
  <c r="U178" i="4"/>
  <c r="S178" i="4"/>
  <c r="R178" i="4"/>
  <c r="Q178" i="4"/>
  <c r="P178" i="4"/>
  <c r="O178" i="4"/>
  <c r="N178" i="4"/>
  <c r="M178" i="4"/>
  <c r="L178" i="4"/>
  <c r="J178" i="4"/>
  <c r="I178" i="4"/>
  <c r="T178" i="4"/>
  <c r="H178" i="4"/>
  <c r="G178" i="4"/>
  <c r="F178" i="4"/>
  <c r="E178" i="4"/>
  <c r="D178" i="4"/>
  <c r="C178" i="4"/>
  <c r="AW169" i="4"/>
  <c r="AV169" i="4"/>
  <c r="AU169" i="4"/>
  <c r="AN169" i="4"/>
  <c r="AM169" i="4"/>
  <c r="AL169" i="4"/>
  <c r="AK169" i="4"/>
  <c r="AJ169" i="4"/>
  <c r="BC169" i="4"/>
  <c r="AI169" i="4"/>
  <c r="AH169" i="4"/>
  <c r="AG169" i="4"/>
  <c r="AF169" i="4"/>
  <c r="AE169" i="4"/>
  <c r="AD169" i="4"/>
  <c r="AB169" i="4"/>
  <c r="AA169" i="4"/>
  <c r="Z169" i="4"/>
  <c r="Y169" i="4"/>
  <c r="X169" i="4"/>
  <c r="W169" i="4"/>
  <c r="V169" i="4"/>
  <c r="U169" i="4"/>
  <c r="S169" i="4"/>
  <c r="R169" i="4"/>
  <c r="Q169" i="4"/>
  <c r="P169" i="4"/>
  <c r="O169" i="4"/>
  <c r="N169" i="4"/>
  <c r="M169" i="4"/>
  <c r="L169" i="4"/>
  <c r="J169" i="4"/>
  <c r="I169" i="4"/>
  <c r="T169" i="4"/>
  <c r="H169" i="4"/>
  <c r="G169" i="4"/>
  <c r="F169" i="4"/>
  <c r="E169" i="4"/>
  <c r="D169" i="4"/>
  <c r="C169" i="4"/>
  <c r="AW165" i="4"/>
  <c r="AV165" i="4"/>
  <c r="AU165" i="4"/>
  <c r="AN165" i="4"/>
  <c r="AM165" i="4"/>
  <c r="AL165" i="4"/>
  <c r="AK165" i="4"/>
  <c r="AJ165" i="4"/>
  <c r="BC165" i="4"/>
  <c r="AI165" i="4"/>
  <c r="AH165" i="4"/>
  <c r="AG165" i="4"/>
  <c r="AF165" i="4"/>
  <c r="AE165" i="4"/>
  <c r="AD165" i="4"/>
  <c r="AB165" i="4"/>
  <c r="AA165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M165" i="4"/>
  <c r="L165" i="4"/>
  <c r="J165" i="4"/>
  <c r="I165" i="4"/>
  <c r="T165" i="4"/>
  <c r="H165" i="4"/>
  <c r="G165" i="4"/>
  <c r="F165" i="4"/>
  <c r="E165" i="4"/>
  <c r="D165" i="4"/>
  <c r="C165" i="4"/>
  <c r="AW157" i="4"/>
  <c r="AV157" i="4"/>
  <c r="AU157" i="4"/>
  <c r="AN157" i="4"/>
  <c r="AM157" i="4"/>
  <c r="AL157" i="4"/>
  <c r="AK157" i="4"/>
  <c r="AJ157" i="4"/>
  <c r="BC157" i="4"/>
  <c r="AI157" i="4"/>
  <c r="AH157" i="4"/>
  <c r="AG157" i="4"/>
  <c r="AF157" i="4"/>
  <c r="AE157" i="4"/>
  <c r="AD157" i="4"/>
  <c r="AB157" i="4"/>
  <c r="AA157" i="4"/>
  <c r="Z157" i="4"/>
  <c r="Y157" i="4"/>
  <c r="X157" i="4"/>
  <c r="W157" i="4"/>
  <c r="V157" i="4"/>
  <c r="U157" i="4"/>
  <c r="S157" i="4"/>
  <c r="R157" i="4"/>
  <c r="Q157" i="4"/>
  <c r="P157" i="4"/>
  <c r="O157" i="4"/>
  <c r="N157" i="4"/>
  <c r="M157" i="4"/>
  <c r="L157" i="4"/>
  <c r="J157" i="4"/>
  <c r="I157" i="4"/>
  <c r="T157" i="4"/>
  <c r="H157" i="4"/>
  <c r="G157" i="4"/>
  <c r="F157" i="4"/>
  <c r="E157" i="4"/>
  <c r="D157" i="4"/>
  <c r="AW142" i="4"/>
  <c r="AV142" i="4"/>
  <c r="AU142" i="4"/>
  <c r="AN142" i="4"/>
  <c r="AM142" i="4"/>
  <c r="AL142" i="4"/>
  <c r="AK142" i="4"/>
  <c r="AJ142" i="4"/>
  <c r="BC142" i="4"/>
  <c r="AI142" i="4"/>
  <c r="AH142" i="4"/>
  <c r="AG142" i="4"/>
  <c r="AF142" i="4"/>
  <c r="AE142" i="4"/>
  <c r="AD142" i="4"/>
  <c r="AB142" i="4"/>
  <c r="AA142" i="4"/>
  <c r="Z142" i="4"/>
  <c r="Y142" i="4"/>
  <c r="X142" i="4"/>
  <c r="W142" i="4"/>
  <c r="V142" i="4"/>
  <c r="U142" i="4"/>
  <c r="S142" i="4"/>
  <c r="R142" i="4"/>
  <c r="Q142" i="4"/>
  <c r="P142" i="4"/>
  <c r="O142" i="4"/>
  <c r="N142" i="4"/>
  <c r="M142" i="4"/>
  <c r="L142" i="4"/>
  <c r="J142" i="4"/>
  <c r="I142" i="4"/>
  <c r="T142" i="4"/>
  <c r="H142" i="4"/>
  <c r="G142" i="4"/>
  <c r="F142" i="4"/>
  <c r="E142" i="4"/>
  <c r="D142" i="4"/>
  <c r="C142" i="4"/>
  <c r="AW124" i="4"/>
  <c r="AV124" i="4"/>
  <c r="AU124" i="4"/>
  <c r="AN124" i="4"/>
  <c r="AM124" i="4"/>
  <c r="AL124" i="4"/>
  <c r="AK124" i="4"/>
  <c r="AJ124" i="4"/>
  <c r="BC124" i="4"/>
  <c r="AI124" i="4"/>
  <c r="AH124" i="4"/>
  <c r="AG124" i="4"/>
  <c r="AF124" i="4"/>
  <c r="AE124" i="4"/>
  <c r="AD124" i="4"/>
  <c r="AB124" i="4"/>
  <c r="AA124" i="4"/>
  <c r="Z124" i="4"/>
  <c r="Y124" i="4"/>
  <c r="X124" i="4"/>
  <c r="W124" i="4"/>
  <c r="V124" i="4"/>
  <c r="U124" i="4"/>
  <c r="S124" i="4"/>
  <c r="R124" i="4"/>
  <c r="Q124" i="4"/>
  <c r="P124" i="4"/>
  <c r="O124" i="4"/>
  <c r="N124" i="4"/>
  <c r="M124" i="4"/>
  <c r="L124" i="4"/>
  <c r="J124" i="4"/>
  <c r="I124" i="4"/>
  <c r="T124" i="4"/>
  <c r="H124" i="4"/>
  <c r="G124" i="4"/>
  <c r="F124" i="4"/>
  <c r="E124" i="4"/>
  <c r="D124" i="4"/>
  <c r="F123" i="1"/>
  <c r="F119" i="1"/>
  <c r="F115" i="1"/>
  <c r="AW110" i="4"/>
  <c r="AV110" i="4"/>
  <c r="AU110" i="4"/>
  <c r="AN110" i="4"/>
  <c r="AM110" i="4"/>
  <c r="AL110" i="4"/>
  <c r="AK110" i="4"/>
  <c r="AJ110" i="4"/>
  <c r="BC110" i="4"/>
  <c r="AI110" i="4"/>
  <c r="AH110" i="4"/>
  <c r="AG110" i="4"/>
  <c r="AF110" i="4"/>
  <c r="AE110" i="4"/>
  <c r="AD110" i="4"/>
  <c r="AB110" i="4"/>
  <c r="AA110" i="4"/>
  <c r="Z110" i="4"/>
  <c r="Y110" i="4"/>
  <c r="X110" i="4"/>
  <c r="W110" i="4"/>
  <c r="V110" i="4"/>
  <c r="U110" i="4"/>
  <c r="S110" i="4"/>
  <c r="R110" i="4"/>
  <c r="Q110" i="4"/>
  <c r="P110" i="4"/>
  <c r="O110" i="4"/>
  <c r="N110" i="4"/>
  <c r="M110" i="4"/>
  <c r="L110" i="4"/>
  <c r="J110" i="4"/>
  <c r="I110" i="4"/>
  <c r="T110" i="4"/>
  <c r="H110" i="4"/>
  <c r="G110" i="4"/>
  <c r="F110" i="4"/>
  <c r="E110" i="4"/>
  <c r="D110" i="4"/>
  <c r="C110" i="4"/>
  <c r="AW104" i="4"/>
  <c r="AV104" i="4"/>
  <c r="AU104" i="4"/>
  <c r="AN104" i="4"/>
  <c r="AM104" i="4"/>
  <c r="AL104" i="4"/>
  <c r="AK104" i="4"/>
  <c r="AJ104" i="4"/>
  <c r="BC104" i="4"/>
  <c r="AI104" i="4"/>
  <c r="AH104" i="4"/>
  <c r="AG104" i="4"/>
  <c r="AF104" i="4"/>
  <c r="AE104" i="4"/>
  <c r="AD104" i="4"/>
  <c r="AB104" i="4"/>
  <c r="AA104" i="4"/>
  <c r="Z104" i="4"/>
  <c r="Y104" i="4"/>
  <c r="X104" i="4"/>
  <c r="W104" i="4"/>
  <c r="V104" i="4"/>
  <c r="U104" i="4"/>
  <c r="S104" i="4"/>
  <c r="R104" i="4"/>
  <c r="Q104" i="4"/>
  <c r="P104" i="4"/>
  <c r="O104" i="4"/>
  <c r="N104" i="4"/>
  <c r="M104" i="4"/>
  <c r="L104" i="4"/>
  <c r="J104" i="4"/>
  <c r="I104" i="4"/>
  <c r="T104" i="4"/>
  <c r="H104" i="4"/>
  <c r="G104" i="4"/>
  <c r="F104" i="4"/>
  <c r="E104" i="4"/>
  <c r="D104" i="4"/>
  <c r="F101" i="1"/>
  <c r="G101" i="1" s="1"/>
  <c r="AW94" i="4"/>
  <c r="AV94" i="4"/>
  <c r="AU94" i="4"/>
  <c r="AN94" i="4"/>
  <c r="AM94" i="4"/>
  <c r="AL94" i="4"/>
  <c r="AK94" i="4"/>
  <c r="AJ94" i="4"/>
  <c r="BC94" i="4"/>
  <c r="AI94" i="4"/>
  <c r="AH94" i="4"/>
  <c r="AG94" i="4"/>
  <c r="AF94" i="4"/>
  <c r="AE94" i="4"/>
  <c r="AD94" i="4"/>
  <c r="AB94" i="4"/>
  <c r="AA94" i="4"/>
  <c r="Z94" i="4"/>
  <c r="Y94" i="4"/>
  <c r="X94" i="4"/>
  <c r="W94" i="4"/>
  <c r="V94" i="4"/>
  <c r="U94" i="4"/>
  <c r="S94" i="4"/>
  <c r="R94" i="4"/>
  <c r="Q94" i="4"/>
  <c r="P94" i="4"/>
  <c r="O94" i="4"/>
  <c r="N94" i="4"/>
  <c r="M94" i="4"/>
  <c r="L94" i="4"/>
  <c r="J94" i="4"/>
  <c r="I94" i="4"/>
  <c r="T94" i="4"/>
  <c r="H94" i="4"/>
  <c r="G94" i="4"/>
  <c r="F94" i="4"/>
  <c r="E94" i="4"/>
  <c r="D94" i="4"/>
  <c r="C94" i="4"/>
  <c r="AW83" i="4"/>
  <c r="AV83" i="4"/>
  <c r="AU83" i="4"/>
  <c r="AN83" i="4"/>
  <c r="AM83" i="4"/>
  <c r="AL83" i="4"/>
  <c r="AK83" i="4"/>
  <c r="AJ83" i="4"/>
  <c r="BC83" i="4"/>
  <c r="AI83" i="4"/>
  <c r="AH83" i="4"/>
  <c r="AG83" i="4"/>
  <c r="AF83" i="4"/>
  <c r="AE83" i="4"/>
  <c r="AD83" i="4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J83" i="4"/>
  <c r="I83" i="4"/>
  <c r="T83" i="4"/>
  <c r="H83" i="4"/>
  <c r="G83" i="4"/>
  <c r="F83" i="4"/>
  <c r="E83" i="4"/>
  <c r="D83" i="4"/>
  <c r="F80" i="1"/>
  <c r="G80" i="1" s="1"/>
  <c r="AW74" i="4"/>
  <c r="AV74" i="4"/>
  <c r="AU74" i="4"/>
  <c r="AN74" i="4"/>
  <c r="AM74" i="4"/>
  <c r="AL74" i="4"/>
  <c r="AK74" i="4"/>
  <c r="AJ74" i="4"/>
  <c r="BC74" i="4"/>
  <c r="AI74" i="4"/>
  <c r="AH74" i="4"/>
  <c r="AG74" i="4"/>
  <c r="AF74" i="4"/>
  <c r="AE74" i="4"/>
  <c r="AD74" i="4"/>
  <c r="AB74" i="4"/>
  <c r="AA74" i="4"/>
  <c r="Z74" i="4"/>
  <c r="Y74" i="4"/>
  <c r="X74" i="4"/>
  <c r="W74" i="4"/>
  <c r="V74" i="4"/>
  <c r="U74" i="4"/>
  <c r="S74" i="4"/>
  <c r="R74" i="4"/>
  <c r="Q74" i="4"/>
  <c r="P74" i="4"/>
  <c r="O74" i="4"/>
  <c r="N74" i="4"/>
  <c r="M74" i="4"/>
  <c r="L74" i="4"/>
  <c r="J74" i="4"/>
  <c r="I74" i="4"/>
  <c r="T74" i="4"/>
  <c r="H74" i="4"/>
  <c r="G74" i="4"/>
  <c r="F74" i="4"/>
  <c r="E74" i="4"/>
  <c r="D74" i="4"/>
  <c r="C74" i="4"/>
  <c r="F66" i="1"/>
  <c r="AW62" i="4"/>
  <c r="AV62" i="4"/>
  <c r="AU62" i="4"/>
  <c r="AN62" i="4"/>
  <c r="AM62" i="4"/>
  <c r="AL62" i="4"/>
  <c r="AK62" i="4"/>
  <c r="AJ62" i="4"/>
  <c r="BC62" i="4"/>
  <c r="AI62" i="4"/>
  <c r="AH62" i="4"/>
  <c r="AG62" i="4"/>
  <c r="AF62" i="4"/>
  <c r="AE62" i="4"/>
  <c r="AD62" i="4"/>
  <c r="AB62" i="4"/>
  <c r="AA62" i="4"/>
  <c r="Z62" i="4"/>
  <c r="Y62" i="4"/>
  <c r="X62" i="4"/>
  <c r="W62" i="4"/>
  <c r="V62" i="4"/>
  <c r="U62" i="4"/>
  <c r="S62" i="4"/>
  <c r="R62" i="4"/>
  <c r="Q62" i="4"/>
  <c r="P62" i="4"/>
  <c r="O62" i="4"/>
  <c r="N62" i="4"/>
  <c r="M62" i="4"/>
  <c r="L62" i="4"/>
  <c r="J62" i="4"/>
  <c r="I62" i="4"/>
  <c r="T62" i="4"/>
  <c r="H62" i="4"/>
  <c r="G62" i="4"/>
  <c r="F62" i="4"/>
  <c r="E62" i="4"/>
  <c r="D62" i="4"/>
  <c r="C62" i="4"/>
  <c r="AW52" i="4"/>
  <c r="AV52" i="4"/>
  <c r="AU52" i="4"/>
  <c r="AN52" i="4"/>
  <c r="AM52" i="4"/>
  <c r="AL52" i="4"/>
  <c r="AK52" i="4"/>
  <c r="AJ52" i="4"/>
  <c r="BC52" i="4"/>
  <c r="AI52" i="4"/>
  <c r="AH52" i="4"/>
  <c r="AG52" i="4"/>
  <c r="AF52" i="4"/>
  <c r="AE52" i="4"/>
  <c r="AD52" i="4"/>
  <c r="AB52" i="4"/>
  <c r="AA52" i="4"/>
  <c r="Z52" i="4"/>
  <c r="Y52" i="4"/>
  <c r="X52" i="4"/>
  <c r="W52" i="4"/>
  <c r="V52" i="4"/>
  <c r="U52" i="4"/>
  <c r="S52" i="4"/>
  <c r="R52" i="4"/>
  <c r="Q52" i="4"/>
  <c r="P52" i="4"/>
  <c r="O52" i="4"/>
  <c r="N52" i="4"/>
  <c r="M52" i="4"/>
  <c r="L52" i="4"/>
  <c r="J52" i="4"/>
  <c r="I52" i="4"/>
  <c r="T52" i="4"/>
  <c r="H52" i="4"/>
  <c r="G52" i="4"/>
  <c r="F52" i="4"/>
  <c r="E52" i="4"/>
  <c r="D52" i="4"/>
  <c r="AW50" i="4"/>
  <c r="AV50" i="4"/>
  <c r="AU50" i="4"/>
  <c r="AN50" i="4"/>
  <c r="AM50" i="4"/>
  <c r="AL50" i="4"/>
  <c r="AK50" i="4"/>
  <c r="AJ50" i="4"/>
  <c r="BC50" i="4"/>
  <c r="AI50" i="4"/>
  <c r="AH50" i="4"/>
  <c r="AG50" i="4"/>
  <c r="AF50" i="4"/>
  <c r="AE50" i="4"/>
  <c r="AD50" i="4"/>
  <c r="AB50" i="4"/>
  <c r="AA50" i="4"/>
  <c r="Z50" i="4"/>
  <c r="Y50" i="4"/>
  <c r="X50" i="4"/>
  <c r="W50" i="4"/>
  <c r="V50" i="4"/>
  <c r="U50" i="4"/>
  <c r="S50" i="4"/>
  <c r="R50" i="4"/>
  <c r="Q50" i="4"/>
  <c r="P50" i="4"/>
  <c r="O50" i="4"/>
  <c r="N50" i="4"/>
  <c r="M50" i="4"/>
  <c r="L50" i="4"/>
  <c r="J50" i="4"/>
  <c r="I50" i="4"/>
  <c r="T50" i="4"/>
  <c r="H50" i="4"/>
  <c r="G50" i="4"/>
  <c r="F50" i="4"/>
  <c r="E50" i="4"/>
  <c r="D50" i="4"/>
  <c r="AW48" i="4"/>
  <c r="AV48" i="4"/>
  <c r="AU48" i="4"/>
  <c r="AN48" i="4"/>
  <c r="AM48" i="4"/>
  <c r="AL48" i="4"/>
  <c r="AK48" i="4"/>
  <c r="AJ48" i="4"/>
  <c r="BC48" i="4"/>
  <c r="AI48" i="4"/>
  <c r="AH48" i="4"/>
  <c r="AG48" i="4"/>
  <c r="AF48" i="4"/>
  <c r="AE48" i="4"/>
  <c r="AD48" i="4"/>
  <c r="AB48" i="4"/>
  <c r="AA48" i="4"/>
  <c r="Z48" i="4"/>
  <c r="Y48" i="4"/>
  <c r="X48" i="4"/>
  <c r="W48" i="4"/>
  <c r="V48" i="4"/>
  <c r="U48" i="4"/>
  <c r="S48" i="4"/>
  <c r="R48" i="4"/>
  <c r="Q48" i="4"/>
  <c r="P48" i="4"/>
  <c r="O48" i="4"/>
  <c r="N48" i="4"/>
  <c r="M48" i="4"/>
  <c r="L48" i="4"/>
  <c r="J48" i="4"/>
  <c r="I48" i="4"/>
  <c r="T48" i="4"/>
  <c r="H48" i="4"/>
  <c r="G48" i="4"/>
  <c r="F48" i="4"/>
  <c r="E48" i="4"/>
  <c r="D48" i="4"/>
  <c r="AW47" i="4"/>
  <c r="AV47" i="4"/>
  <c r="AU47" i="4"/>
  <c r="AN47" i="4"/>
  <c r="AM47" i="4"/>
  <c r="AL47" i="4"/>
  <c r="AK47" i="4"/>
  <c r="AJ47" i="4"/>
  <c r="BC47" i="4"/>
  <c r="AI47" i="4"/>
  <c r="AH47" i="4"/>
  <c r="AG47" i="4"/>
  <c r="AF47" i="4"/>
  <c r="AE47" i="4"/>
  <c r="AD47" i="4"/>
  <c r="AB47" i="4"/>
  <c r="AA47" i="4"/>
  <c r="Z47" i="4"/>
  <c r="Y47" i="4"/>
  <c r="X47" i="4"/>
  <c r="W47" i="4"/>
  <c r="V47" i="4"/>
  <c r="U47" i="4"/>
  <c r="S47" i="4"/>
  <c r="R47" i="4"/>
  <c r="Q47" i="4"/>
  <c r="P47" i="4"/>
  <c r="O47" i="4"/>
  <c r="N47" i="4"/>
  <c r="M47" i="4"/>
  <c r="L47" i="4"/>
  <c r="J47" i="4"/>
  <c r="I47" i="4"/>
  <c r="T47" i="4"/>
  <c r="H47" i="4"/>
  <c r="G47" i="4"/>
  <c r="F47" i="4"/>
  <c r="E47" i="4"/>
  <c r="D47" i="4"/>
  <c r="AW40" i="4"/>
  <c r="AV40" i="4"/>
  <c r="AU40" i="4"/>
  <c r="AN40" i="4"/>
  <c r="AM40" i="4"/>
  <c r="AL40" i="4"/>
  <c r="AK40" i="4"/>
  <c r="AJ40" i="4"/>
  <c r="BC40" i="4"/>
  <c r="AI40" i="4"/>
  <c r="AH40" i="4"/>
  <c r="AG40" i="4"/>
  <c r="AF40" i="4"/>
  <c r="AE40" i="4"/>
  <c r="AD40" i="4"/>
  <c r="AB40" i="4"/>
  <c r="AA40" i="4"/>
  <c r="Z40" i="4"/>
  <c r="Y40" i="4"/>
  <c r="X40" i="4"/>
  <c r="W40" i="4"/>
  <c r="V40" i="4"/>
  <c r="U40" i="4"/>
  <c r="S40" i="4"/>
  <c r="R40" i="4"/>
  <c r="Q40" i="4"/>
  <c r="P40" i="4"/>
  <c r="O40" i="4"/>
  <c r="N40" i="4"/>
  <c r="M40" i="4"/>
  <c r="L40" i="4"/>
  <c r="J40" i="4"/>
  <c r="I40" i="4"/>
  <c r="T40" i="4"/>
  <c r="H40" i="4"/>
  <c r="G40" i="4"/>
  <c r="F40" i="4"/>
  <c r="E40" i="4"/>
  <c r="D40" i="4"/>
  <c r="AW36" i="4"/>
  <c r="AV36" i="4"/>
  <c r="AU36" i="4"/>
  <c r="AN36" i="4"/>
  <c r="AM36" i="4"/>
  <c r="AL36" i="4"/>
  <c r="AK36" i="4"/>
  <c r="AJ36" i="4"/>
  <c r="BC36" i="4"/>
  <c r="AI36" i="4"/>
  <c r="AH36" i="4"/>
  <c r="AG36" i="4"/>
  <c r="AF36" i="4"/>
  <c r="AE36" i="4"/>
  <c r="AD36" i="4"/>
  <c r="AB36" i="4"/>
  <c r="AA36" i="4"/>
  <c r="Z36" i="4"/>
  <c r="Y36" i="4"/>
  <c r="X36" i="4"/>
  <c r="W36" i="4"/>
  <c r="V36" i="4"/>
  <c r="U36" i="4"/>
  <c r="S36" i="4"/>
  <c r="R36" i="4"/>
  <c r="Q36" i="4"/>
  <c r="P36" i="4"/>
  <c r="O36" i="4"/>
  <c r="N36" i="4"/>
  <c r="M36" i="4"/>
  <c r="L36" i="4"/>
  <c r="J36" i="4"/>
  <c r="I36" i="4"/>
  <c r="T36" i="4"/>
  <c r="H36" i="4"/>
  <c r="G36" i="4"/>
  <c r="F36" i="4"/>
  <c r="E36" i="4"/>
  <c r="D36" i="4"/>
  <c r="AW35" i="4"/>
  <c r="AV35" i="4"/>
  <c r="AU35" i="4"/>
  <c r="AN35" i="4"/>
  <c r="AM35" i="4"/>
  <c r="AL35" i="4"/>
  <c r="AK35" i="4"/>
  <c r="AJ35" i="4"/>
  <c r="BC35" i="4"/>
  <c r="AI35" i="4"/>
  <c r="AH35" i="4"/>
  <c r="AG35" i="4"/>
  <c r="AF35" i="4"/>
  <c r="AE35" i="4"/>
  <c r="AD35" i="4"/>
  <c r="AB35" i="4"/>
  <c r="AA35" i="4"/>
  <c r="Z35" i="4"/>
  <c r="Y35" i="4"/>
  <c r="X35" i="4"/>
  <c r="W35" i="4"/>
  <c r="V35" i="4"/>
  <c r="U35" i="4"/>
  <c r="S35" i="4"/>
  <c r="R35" i="4"/>
  <c r="Q35" i="4"/>
  <c r="P35" i="4"/>
  <c r="O35" i="4"/>
  <c r="N35" i="4"/>
  <c r="M35" i="4"/>
  <c r="L35" i="4"/>
  <c r="J35" i="4"/>
  <c r="I35" i="4"/>
  <c r="T35" i="4"/>
  <c r="H35" i="4"/>
  <c r="G35" i="4"/>
  <c r="F35" i="4"/>
  <c r="E35" i="4"/>
  <c r="D35" i="4"/>
  <c r="AN34" i="4"/>
  <c r="AL34" i="4"/>
  <c r="AJ34" i="4"/>
  <c r="BC34" i="4"/>
  <c r="AW28" i="4"/>
  <c r="AV28" i="4"/>
  <c r="AU28" i="4"/>
  <c r="AN28" i="4"/>
  <c r="AM28" i="4"/>
  <c r="AL28" i="4"/>
  <c r="AK28" i="4"/>
  <c r="AJ28" i="4"/>
  <c r="BC28" i="4"/>
  <c r="AI28" i="4"/>
  <c r="AH28" i="4"/>
  <c r="AG28" i="4"/>
  <c r="AF28" i="4"/>
  <c r="AE28" i="4"/>
  <c r="AD28" i="4"/>
  <c r="AB28" i="4"/>
  <c r="AA28" i="4"/>
  <c r="Z28" i="4"/>
  <c r="Y28" i="4"/>
  <c r="X28" i="4"/>
  <c r="W28" i="4"/>
  <c r="V28" i="4"/>
  <c r="U28" i="4"/>
  <c r="S28" i="4"/>
  <c r="Q28" i="4"/>
  <c r="P28" i="4"/>
  <c r="O28" i="4"/>
  <c r="N28" i="4"/>
  <c r="M28" i="4"/>
  <c r="L28" i="4"/>
  <c r="J28" i="4"/>
  <c r="I28" i="4"/>
  <c r="T28" i="4"/>
  <c r="H28" i="4"/>
  <c r="G28" i="4"/>
  <c r="F28" i="4"/>
  <c r="E28" i="4"/>
  <c r="D28" i="4"/>
  <c r="AW9" i="4"/>
  <c r="AV9" i="4"/>
  <c r="AU9" i="4"/>
  <c r="AN9" i="4"/>
  <c r="AM9" i="4"/>
  <c r="AL9" i="4"/>
  <c r="AK9" i="4"/>
  <c r="AJ9" i="4"/>
  <c r="BC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S9" i="4"/>
  <c r="R9" i="4"/>
  <c r="Q9" i="4"/>
  <c r="P9" i="4"/>
  <c r="O9" i="4"/>
  <c r="N9" i="4"/>
  <c r="M9" i="4"/>
  <c r="L9" i="4"/>
  <c r="J9" i="4"/>
  <c r="I9" i="4"/>
  <c r="T9" i="4"/>
  <c r="H9" i="4"/>
  <c r="G9" i="4"/>
  <c r="F9" i="4"/>
  <c r="E9" i="4"/>
  <c r="D9" i="4"/>
  <c r="AW8" i="4"/>
  <c r="AV8" i="4"/>
  <c r="AU8" i="4"/>
  <c r="AN8" i="4"/>
  <c r="AM8" i="4"/>
  <c r="AL8" i="4"/>
  <c r="AK8" i="4"/>
  <c r="AJ8" i="4"/>
  <c r="BC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U8" i="4"/>
  <c r="S8" i="4"/>
  <c r="R8" i="4"/>
  <c r="Q8" i="4"/>
  <c r="P8" i="4"/>
  <c r="O8" i="4"/>
  <c r="N8" i="4"/>
  <c r="M8" i="4"/>
  <c r="L8" i="4"/>
  <c r="J8" i="4"/>
  <c r="I8" i="4"/>
  <c r="T8" i="4"/>
  <c r="H8" i="4"/>
  <c r="G8" i="4"/>
  <c r="F8" i="4"/>
  <c r="E8" i="4"/>
  <c r="D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W7" i="4"/>
  <c r="AV7" i="4"/>
  <c r="AU7" i="4"/>
  <c r="AN7" i="4"/>
  <c r="AM7" i="4"/>
  <c r="AL7" i="4"/>
  <c r="AK7" i="4"/>
  <c r="AJ7" i="4"/>
  <c r="BC7" i="4"/>
  <c r="AI7" i="4"/>
  <c r="AH7" i="4"/>
  <c r="AG7" i="4"/>
  <c r="AF7" i="4"/>
  <c r="AE7" i="4"/>
  <c r="AD7" i="4"/>
  <c r="AB7" i="4"/>
  <c r="AA7" i="4"/>
  <c r="Z7" i="4"/>
  <c r="Y7" i="4"/>
  <c r="X7" i="4"/>
  <c r="W7" i="4"/>
  <c r="V7" i="4"/>
  <c r="U7" i="4"/>
  <c r="S7" i="4"/>
  <c r="R7" i="4"/>
  <c r="Q7" i="4"/>
  <c r="P7" i="4"/>
  <c r="O7" i="4"/>
  <c r="N7" i="4"/>
  <c r="M7" i="4"/>
  <c r="L7" i="4"/>
  <c r="J7" i="4"/>
  <c r="I7" i="4"/>
  <c r="T7" i="4"/>
  <c r="G7" i="4"/>
  <c r="F7" i="4"/>
  <c r="E7" i="4"/>
  <c r="D7" i="4"/>
  <c r="D2" i="4"/>
  <c r="E2" i="4" s="1"/>
  <c r="F2" i="4" s="1"/>
  <c r="G2" i="4" s="1"/>
  <c r="H2" i="4" s="1"/>
  <c r="C522" i="1"/>
  <c r="F521" i="1"/>
  <c r="F36" i="1" s="1"/>
  <c r="D521" i="1"/>
  <c r="D36" i="1" s="1"/>
  <c r="F520" i="1"/>
  <c r="G520" i="1" s="1"/>
  <c r="D520" i="1"/>
  <c r="D35" i="1" s="1"/>
  <c r="D519" i="1"/>
  <c r="D34" i="1" s="1"/>
  <c r="F512" i="1"/>
  <c r="F511" i="1"/>
  <c r="F510" i="1"/>
  <c r="F509" i="1"/>
  <c r="E509" i="1"/>
  <c r="C513" i="1"/>
  <c r="C29" i="1" s="1"/>
  <c r="F507" i="1"/>
  <c r="F506" i="1"/>
  <c r="G506" i="1" s="1"/>
  <c r="D506" i="1"/>
  <c r="F505" i="1"/>
  <c r="D505" i="1"/>
  <c r="E505" i="1" s="1"/>
  <c r="F502" i="1"/>
  <c r="F28" i="1" s="1"/>
  <c r="E502" i="1"/>
  <c r="E28" i="1" s="1"/>
  <c r="F496" i="1"/>
  <c r="F493" i="1"/>
  <c r="F492" i="1"/>
  <c r="F491" i="1"/>
  <c r="E491" i="1"/>
  <c r="F490" i="1"/>
  <c r="E490" i="1"/>
  <c r="F489" i="1"/>
  <c r="F488" i="1"/>
  <c r="E488" i="1"/>
  <c r="D488" i="1" s="1"/>
  <c r="F487" i="1"/>
  <c r="F486" i="1"/>
  <c r="E486" i="1"/>
  <c r="F485" i="1"/>
  <c r="F481" i="1"/>
  <c r="F480" i="1"/>
  <c r="F472" i="1"/>
  <c r="C473" i="1"/>
  <c r="C469" i="1"/>
  <c r="F468" i="1"/>
  <c r="F467" i="1"/>
  <c r="F466" i="1"/>
  <c r="F465" i="1"/>
  <c r="F464" i="1"/>
  <c r="C461" i="1"/>
  <c r="F459" i="1"/>
  <c r="F458" i="1"/>
  <c r="F457" i="1"/>
  <c r="F439" i="1"/>
  <c r="F435" i="1"/>
  <c r="F433" i="1"/>
  <c r="F432" i="1"/>
  <c r="F431" i="1"/>
  <c r="F430" i="1"/>
  <c r="F429" i="1"/>
  <c r="F426" i="1"/>
  <c r="F425" i="1"/>
  <c r="F424" i="1"/>
  <c r="F418" i="1"/>
  <c r="E418" i="1"/>
  <c r="D418" i="1" s="1"/>
  <c r="F417" i="1"/>
  <c r="E417" i="1"/>
  <c r="D417" i="1" s="1"/>
  <c r="F416" i="1"/>
  <c r="E416" i="1"/>
  <c r="D416" i="1" s="1"/>
  <c r="F415" i="1"/>
  <c r="E415" i="1"/>
  <c r="E411" i="1"/>
  <c r="F410" i="1"/>
  <c r="E410" i="1"/>
  <c r="D410" i="1" s="1"/>
  <c r="E408" i="1"/>
  <c r="D408" i="1" s="1"/>
  <c r="E404" i="1"/>
  <c r="D404" i="1" s="1"/>
  <c r="F403" i="1"/>
  <c r="E403" i="1"/>
  <c r="D403" i="1" s="1"/>
  <c r="F402" i="1"/>
  <c r="E402" i="1"/>
  <c r="D402" i="1" s="1"/>
  <c r="F401" i="1"/>
  <c r="E401" i="1"/>
  <c r="D401" i="1" s="1"/>
  <c r="E400" i="1"/>
  <c r="E399" i="1"/>
  <c r="F392" i="1"/>
  <c r="F390" i="1"/>
  <c r="F388" i="1"/>
  <c r="F386" i="1"/>
  <c r="C394" i="1"/>
  <c r="C46" i="5" s="1"/>
  <c r="K46" i="5" s="1"/>
  <c r="F385" i="1"/>
  <c r="F384" i="1"/>
  <c r="F383" i="1"/>
  <c r="F380" i="1"/>
  <c r="C381" i="1"/>
  <c r="F379" i="1"/>
  <c r="F376" i="1"/>
  <c r="F373" i="1"/>
  <c r="F372" i="1"/>
  <c r="C44" i="5"/>
  <c r="K44" i="5" s="1"/>
  <c r="F364" i="1"/>
  <c r="F363" i="1"/>
  <c r="F360" i="1"/>
  <c r="F359" i="1"/>
  <c r="F355" i="1"/>
  <c r="F354" i="1"/>
  <c r="D353" i="1"/>
  <c r="F352" i="1"/>
  <c r="F351" i="1"/>
  <c r="E351" i="1"/>
  <c r="F350" i="1"/>
  <c r="E350" i="1"/>
  <c r="D350" i="1" s="1"/>
  <c r="F349" i="1"/>
  <c r="F348" i="1"/>
  <c r="F345" i="1"/>
  <c r="F344" i="1"/>
  <c r="F338" i="1"/>
  <c r="C16" i="5"/>
  <c r="F335" i="1"/>
  <c r="F328" i="1"/>
  <c r="F327" i="1"/>
  <c r="C329" i="1"/>
  <c r="F321" i="1"/>
  <c r="F320" i="1"/>
  <c r="F319" i="1"/>
  <c r="F316" i="1"/>
  <c r="F315" i="1"/>
  <c r="C12" i="5"/>
  <c r="E313" i="1"/>
  <c r="F312" i="1"/>
  <c r="F311" i="1"/>
  <c r="C301" i="1"/>
  <c r="F300" i="1"/>
  <c r="F299" i="1"/>
  <c r="F298" i="1"/>
  <c r="G298" i="1" s="1"/>
  <c r="D298" i="1"/>
  <c r="F297" i="1"/>
  <c r="F296" i="1"/>
  <c r="E296" i="1"/>
  <c r="D296" i="1" s="1"/>
  <c r="E295" i="1"/>
  <c r="D295" i="1" s="1"/>
  <c r="F294" i="1"/>
  <c r="G294" i="1" s="1"/>
  <c r="D294" i="1"/>
  <c r="F293" i="1"/>
  <c r="E293" i="1"/>
  <c r="D293" i="1" s="1"/>
  <c r="F292" i="1"/>
  <c r="C289" i="1"/>
  <c r="F288" i="1"/>
  <c r="F287" i="1"/>
  <c r="F286" i="1"/>
  <c r="F285" i="1"/>
  <c r="F284" i="1"/>
  <c r="F283" i="1"/>
  <c r="F282" i="1"/>
  <c r="F281" i="1"/>
  <c r="F280" i="1"/>
  <c r="F278" i="1"/>
  <c r="E278" i="1"/>
  <c r="D278" i="1" s="1"/>
  <c r="F277" i="1"/>
  <c r="E277" i="1"/>
  <c r="D277" i="1" s="1"/>
  <c r="F273" i="1"/>
  <c r="G273" i="1" s="1"/>
  <c r="D273" i="1"/>
  <c r="F272" i="1"/>
  <c r="F271" i="1"/>
  <c r="D271" i="1"/>
  <c r="D268" i="1"/>
  <c r="D9" i="1" s="1"/>
  <c r="F267" i="1"/>
  <c r="C274" i="1"/>
  <c r="C11" i="1" s="1"/>
  <c r="F260" i="1"/>
  <c r="G260" i="1" s="1"/>
  <c r="D260" i="1"/>
  <c r="F258" i="1"/>
  <c r="E257" i="1"/>
  <c r="F255" i="1"/>
  <c r="G255" i="1" s="1"/>
  <c r="D255" i="1"/>
  <c r="F254" i="1"/>
  <c r="G254" i="1" s="1"/>
  <c r="D254" i="1"/>
  <c r="F253" i="1"/>
  <c r="C249" i="1"/>
  <c r="F248" i="1"/>
  <c r="F247" i="1"/>
  <c r="C244" i="1"/>
  <c r="C48" i="1" s="1"/>
  <c r="F243" i="1"/>
  <c r="F242" i="1"/>
  <c r="F241" i="1"/>
  <c r="F240" i="1"/>
  <c r="F239" i="1"/>
  <c r="C236" i="1"/>
  <c r="C46" i="1" s="1"/>
  <c r="F235" i="1"/>
  <c r="F234" i="1"/>
  <c r="F233" i="1"/>
  <c r="F232" i="1"/>
  <c r="D232" i="1"/>
  <c r="C50" i="1"/>
  <c r="C224" i="1"/>
  <c r="F223" i="1"/>
  <c r="F222" i="1"/>
  <c r="C220" i="1"/>
  <c r="F219" i="1"/>
  <c r="F218" i="1"/>
  <c r="C216" i="1"/>
  <c r="F215" i="1"/>
  <c r="F214" i="1"/>
  <c r="C212" i="1"/>
  <c r="F211" i="1"/>
  <c r="F210" i="1"/>
  <c r="G208" i="1"/>
  <c r="F208" i="1"/>
  <c r="E208" i="1"/>
  <c r="C208" i="1"/>
  <c r="D207" i="1"/>
  <c r="D206" i="1"/>
  <c r="G199" i="1"/>
  <c r="E199" i="1"/>
  <c r="C199" i="1"/>
  <c r="F198" i="1"/>
  <c r="F199" i="1" s="1"/>
  <c r="D198" i="1"/>
  <c r="D199" i="1" s="1"/>
  <c r="C196" i="1"/>
  <c r="F195" i="1"/>
  <c r="F194" i="1"/>
  <c r="D194" i="1"/>
  <c r="F193" i="1"/>
  <c r="D193" i="1"/>
  <c r="F192" i="1"/>
  <c r="F191" i="1"/>
  <c r="F187" i="1"/>
  <c r="F186" i="1"/>
  <c r="F185" i="1"/>
  <c r="F184" i="1"/>
  <c r="F169" i="1"/>
  <c r="E169" i="1"/>
  <c r="C169" i="1"/>
  <c r="G168" i="1"/>
  <c r="D168" i="1"/>
  <c r="G167" i="1"/>
  <c r="D167" i="1"/>
  <c r="C165" i="1"/>
  <c r="F164" i="1"/>
  <c r="F163" i="1"/>
  <c r="F162" i="1"/>
  <c r="F161" i="1"/>
  <c r="F160" i="1"/>
  <c r="F156" i="1"/>
  <c r="G156" i="1" s="1"/>
  <c r="D156" i="1"/>
  <c r="F155" i="1"/>
  <c r="F154" i="1"/>
  <c r="F153" i="1"/>
  <c r="F152" i="1"/>
  <c r="F151" i="1"/>
  <c r="F150" i="1"/>
  <c r="F149" i="1"/>
  <c r="F148" i="1"/>
  <c r="F147" i="1"/>
  <c r="F146" i="1"/>
  <c r="F145" i="1"/>
  <c r="C142" i="1"/>
  <c r="C175" i="1" s="1"/>
  <c r="F141" i="1"/>
  <c r="E141" i="1"/>
  <c r="F140" i="1"/>
  <c r="E140" i="1"/>
  <c r="F139" i="1"/>
  <c r="E139" i="1"/>
  <c r="F138" i="1"/>
  <c r="E138" i="1"/>
  <c r="F137" i="1"/>
  <c r="D137" i="1"/>
  <c r="E137" i="1" s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D129" i="1"/>
  <c r="E129" i="1" s="1"/>
  <c r="F128" i="1"/>
  <c r="D128" i="1"/>
  <c r="E128" i="1" s="1"/>
  <c r="F127" i="1"/>
  <c r="D127" i="1"/>
  <c r="E127" i="1" s="1"/>
  <c r="C124" i="1"/>
  <c r="C173" i="1" s="1"/>
  <c r="F122" i="1"/>
  <c r="F121" i="1"/>
  <c r="F120" i="1"/>
  <c r="F118" i="1"/>
  <c r="F117" i="1"/>
  <c r="F116" i="1"/>
  <c r="F114" i="1"/>
  <c r="F113" i="1"/>
  <c r="C110" i="1"/>
  <c r="F109" i="1"/>
  <c r="F108" i="1"/>
  <c r="E104" i="1"/>
  <c r="D104" i="1"/>
  <c r="C104" i="1"/>
  <c r="F103" i="1"/>
  <c r="G103" i="1" s="1"/>
  <c r="F102" i="1"/>
  <c r="G102" i="1" s="1"/>
  <c r="F100" i="1"/>
  <c r="G100" i="1" s="1"/>
  <c r="F99" i="1"/>
  <c r="G99" i="1" s="1"/>
  <c r="F98" i="1"/>
  <c r="G98" i="1" s="1"/>
  <c r="F97" i="1"/>
  <c r="G97" i="1" s="1"/>
  <c r="E94" i="1"/>
  <c r="D94" i="1"/>
  <c r="C94" i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E83" i="1"/>
  <c r="D83" i="1"/>
  <c r="C83" i="1"/>
  <c r="F82" i="1"/>
  <c r="G82" i="1" s="1"/>
  <c r="F81" i="1"/>
  <c r="G81" i="1" s="1"/>
  <c r="F79" i="1"/>
  <c r="G79" i="1" s="1"/>
  <c r="F78" i="1"/>
  <c r="G78" i="1" s="1"/>
  <c r="F77" i="1"/>
  <c r="G77" i="1" s="1"/>
  <c r="C74" i="1"/>
  <c r="F73" i="1"/>
  <c r="G73" i="1" s="1"/>
  <c r="D73" i="1"/>
  <c r="F72" i="1"/>
  <c r="F71" i="1"/>
  <c r="F70" i="1"/>
  <c r="F69" i="1"/>
  <c r="F67" i="1"/>
  <c r="C62" i="1"/>
  <c r="F61" i="1"/>
  <c r="F60" i="1"/>
  <c r="C52" i="1"/>
  <c r="C47" i="1"/>
  <c r="E36" i="1"/>
  <c r="C36" i="1"/>
  <c r="E35" i="1"/>
  <c r="C35" i="1"/>
  <c r="E34" i="1"/>
  <c r="C34" i="1"/>
  <c r="C33" i="1"/>
  <c r="C28" i="1"/>
  <c r="C27" i="1"/>
  <c r="G22" i="1"/>
  <c r="F9" i="1"/>
  <c r="C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36" i="17"/>
  <c r="A38" i="17" s="1"/>
  <c r="G28" i="17"/>
  <c r="E28" i="17"/>
  <c r="G26" i="17"/>
  <c r="E26" i="17"/>
  <c r="C8" i="17"/>
  <c r="E8" i="17" s="1"/>
  <c r="G8" i="17" s="1"/>
  <c r="I8" i="17" s="1"/>
  <c r="A12" i="15"/>
  <c r="A14" i="15" s="1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C8" i="15"/>
  <c r="D8" i="15" s="1"/>
  <c r="F8" i="15" s="1"/>
  <c r="Q33" i="14"/>
  <c r="A29" i="14"/>
  <c r="A19" i="14"/>
  <c r="A20" i="14" s="1"/>
  <c r="A21" i="14" s="1"/>
  <c r="A22" i="14" s="1"/>
  <c r="A23" i="14" s="1"/>
  <c r="A24" i="14" s="1"/>
  <c r="S13" i="14"/>
  <c r="T13" i="14" s="1"/>
  <c r="Y21" i="13"/>
  <c r="W21" i="13"/>
  <c r="K21" i="13"/>
  <c r="Y16" i="13"/>
  <c r="W16" i="13"/>
  <c r="M16" i="13"/>
  <c r="K16" i="13"/>
  <c r="Y12" i="13"/>
  <c r="W12" i="13"/>
  <c r="C10" i="13"/>
  <c r="E10" i="13" s="1"/>
  <c r="G10" i="13" s="1"/>
  <c r="I10" i="13" s="1"/>
  <c r="K10" i="13" s="1"/>
  <c r="M10" i="13" s="1"/>
  <c r="F17" i="12"/>
  <c r="F19" i="12" s="1"/>
  <c r="E17" i="12"/>
  <c r="E19" i="12" s="1"/>
  <c r="G15" i="12"/>
  <c r="G13" i="12"/>
  <c r="A13" i="12"/>
  <c r="A15" i="12" s="1"/>
  <c r="A17" i="12" s="1"/>
  <c r="A19" i="12" s="1"/>
  <c r="G11" i="12"/>
  <c r="C9" i="12"/>
  <c r="E9" i="12" s="1"/>
  <c r="F9" i="12" s="1"/>
  <c r="G9" i="12" s="1"/>
  <c r="A11" i="11"/>
  <c r="A12" i="11" s="1"/>
  <c r="A14" i="11" s="1"/>
  <c r="A16" i="11" s="1"/>
  <c r="A19" i="11" s="1"/>
  <c r="A21" i="11" s="1"/>
  <c r="A23" i="11" s="1"/>
  <c r="A25" i="11" s="1"/>
  <c r="C7" i="11"/>
  <c r="G7" i="11" s="1"/>
  <c r="A10" i="9"/>
  <c r="A12" i="9" s="1"/>
  <c r="A14" i="9" s="1"/>
  <c r="A16" i="9" s="1"/>
  <c r="A18" i="9" s="1"/>
  <c r="A20" i="9" s="1"/>
  <c r="C6" i="9"/>
  <c r="E6" i="9" s="1"/>
  <c r="A12" i="8"/>
  <c r="A13" i="8" s="1"/>
  <c r="A15" i="8" s="1"/>
  <c r="A18" i="8" s="1"/>
  <c r="A19" i="8" s="1"/>
  <c r="A20" i="8" s="1"/>
  <c r="A21" i="8" s="1"/>
  <c r="A24" i="8" s="1"/>
  <c r="A25" i="8" s="1"/>
  <c r="A26" i="8" s="1"/>
  <c r="A28" i="8" s="1"/>
  <c r="A31" i="8" s="1"/>
  <c r="A32" i="8" s="1"/>
  <c r="A34" i="8" s="1"/>
  <c r="A37" i="8" s="1"/>
  <c r="A38" i="8" s="1"/>
  <c r="A40" i="8" s="1"/>
  <c r="A41" i="8" s="1"/>
  <c r="A44" i="8" s="1"/>
  <c r="A47" i="8" s="1"/>
  <c r="C8" i="8"/>
  <c r="E8" i="8" s="1"/>
  <c r="G8" i="8" s="1"/>
  <c r="I8" i="8" s="1"/>
  <c r="A14" i="23"/>
  <c r="A16" i="23" s="1"/>
  <c r="C46" i="4" l="1"/>
  <c r="C48" i="4"/>
  <c r="C19" i="4"/>
  <c r="C40" i="4"/>
  <c r="C52" i="4"/>
  <c r="C9" i="4"/>
  <c r="C50" i="4"/>
  <c r="C26" i="4"/>
  <c r="C28" i="4"/>
  <c r="C47" i="4"/>
  <c r="C7" i="4"/>
  <c r="C8" i="4"/>
  <c r="C36" i="4"/>
  <c r="C35" i="4"/>
  <c r="C29" i="4"/>
  <c r="AF34" i="4"/>
  <c r="E30" i="17"/>
  <c r="I26" i="17"/>
  <c r="I30" i="17" s="1"/>
  <c r="I13" i="10"/>
  <c r="Q37" i="14"/>
  <c r="Q39" i="14" s="1"/>
  <c r="S39" i="14" s="1"/>
  <c r="I11" i="10" s="1"/>
  <c r="AC42" i="7"/>
  <c r="F51" i="1"/>
  <c r="E261" i="1"/>
  <c r="E51" i="1"/>
  <c r="F52" i="1"/>
  <c r="F261" i="1"/>
  <c r="C475" i="1"/>
  <c r="C25" i="1" s="1"/>
  <c r="C335" i="1"/>
  <c r="D30" i="6"/>
  <c r="C336" i="1"/>
  <c r="B30" i="6"/>
  <c r="F12" i="6"/>
  <c r="C497" i="1"/>
  <c r="A243" i="4"/>
  <c r="A244" i="4" s="1"/>
  <c r="A245" i="4" s="1"/>
  <c r="C499" i="1"/>
  <c r="C303" i="1"/>
  <c r="C10" i="1" s="1"/>
  <c r="F27" i="18"/>
  <c r="N27" i="18"/>
  <c r="G32" i="18"/>
  <c r="O32" i="18"/>
  <c r="C496" i="1"/>
  <c r="G131" i="1"/>
  <c r="G134" i="1"/>
  <c r="G135" i="1"/>
  <c r="G130" i="1"/>
  <c r="E268" i="1"/>
  <c r="E9" i="1" s="1"/>
  <c r="G9" i="1" s="1"/>
  <c r="C366" i="1"/>
  <c r="C397" i="1" s="1"/>
  <c r="G133" i="1"/>
  <c r="G139" i="1"/>
  <c r="D267" i="1"/>
  <c r="E267" i="1" s="1"/>
  <c r="E8" i="1" s="1"/>
  <c r="C482" i="1"/>
  <c r="C494" i="1" s="1"/>
  <c r="C26" i="1" s="1"/>
  <c r="D490" i="1"/>
  <c r="D142" i="1"/>
  <c r="D175" i="1" s="1"/>
  <c r="G169" i="1"/>
  <c r="C419" i="1"/>
  <c r="C49" i="5" s="1"/>
  <c r="K49" i="5" s="1"/>
  <c r="D400" i="1"/>
  <c r="F26" i="6"/>
  <c r="J32" i="18"/>
  <c r="C51" i="5"/>
  <c r="G51" i="5" s="1"/>
  <c r="I51" i="5" s="1"/>
  <c r="C396" i="1"/>
  <c r="G132" i="1"/>
  <c r="G136" i="1"/>
  <c r="G163" i="1"/>
  <c r="C356" i="1"/>
  <c r="D509" i="1"/>
  <c r="D208" i="1"/>
  <c r="C226" i="1"/>
  <c r="C405" i="1"/>
  <c r="E419" i="1"/>
  <c r="E19" i="1" s="1"/>
  <c r="H27" i="18"/>
  <c r="P27" i="18"/>
  <c r="I32" i="18"/>
  <c r="G137" i="1"/>
  <c r="G141" i="1"/>
  <c r="G293" i="1"/>
  <c r="E31" i="5"/>
  <c r="E53" i="5" s="1"/>
  <c r="C188" i="1"/>
  <c r="C201" i="1" s="1"/>
  <c r="J27" i="18"/>
  <c r="K32" i="18"/>
  <c r="G488" i="1"/>
  <c r="G295" i="1"/>
  <c r="L27" i="18"/>
  <c r="M32" i="18"/>
  <c r="C106" i="1"/>
  <c r="C181" i="1" s="1"/>
  <c r="C157" i="1"/>
  <c r="D169" i="1"/>
  <c r="C412" i="1"/>
  <c r="C45" i="5"/>
  <c r="K45" i="5" s="1"/>
  <c r="O10" i="13"/>
  <c r="Q10" i="13" s="1"/>
  <c r="S10" i="13" s="1"/>
  <c r="U10" i="13" s="1"/>
  <c r="W10" i="13" s="1"/>
  <c r="Y10" i="13" s="1"/>
  <c r="AB10" i="13" s="1"/>
  <c r="AD10" i="13" s="1"/>
  <c r="C177" i="1"/>
  <c r="G129" i="1"/>
  <c r="E266" i="1"/>
  <c r="C7" i="1"/>
  <c r="C322" i="1"/>
  <c r="C331" i="1" s="1"/>
  <c r="C39" i="5"/>
  <c r="C41" i="5" s="1"/>
  <c r="C10" i="5"/>
  <c r="E409" i="1"/>
  <c r="D409" i="1" s="1"/>
  <c r="C50" i="5"/>
  <c r="K50" i="5" s="1"/>
  <c r="D431" i="1"/>
  <c r="G404" i="1"/>
  <c r="G28" i="1"/>
  <c r="G36" i="1"/>
  <c r="E26" i="8" s="1"/>
  <c r="I26" i="8" s="1"/>
  <c r="C9" i="5"/>
  <c r="G27" i="18"/>
  <c r="K27" i="18"/>
  <c r="O27" i="18"/>
  <c r="H32" i="18"/>
  <c r="L32" i="18"/>
  <c r="P32" i="18"/>
  <c r="G278" i="1"/>
  <c r="G401" i="1"/>
  <c r="G416" i="1"/>
  <c r="C436" i="1"/>
  <c r="C440" i="1" s="1"/>
  <c r="C8" i="1"/>
  <c r="C37" i="1"/>
  <c r="G138" i="1"/>
  <c r="G140" i="1"/>
  <c r="G296" i="1"/>
  <c r="G490" i="1"/>
  <c r="G509" i="1"/>
  <c r="AI355" i="4"/>
  <c r="AI16" i="4" s="1"/>
  <c r="C14" i="5"/>
  <c r="E20" i="18"/>
  <c r="Q20" i="18" s="1"/>
  <c r="Q21" i="18" s="1"/>
  <c r="H43" i="18" s="1"/>
  <c r="C24" i="5"/>
  <c r="C28" i="5" s="1"/>
  <c r="I27" i="18"/>
  <c r="M27" i="18"/>
  <c r="F32" i="18"/>
  <c r="N32" i="18"/>
  <c r="AJ44" i="4"/>
  <c r="I28" i="17"/>
  <c r="I32" i="17" s="1"/>
  <c r="E32" i="17"/>
  <c r="C510" i="4"/>
  <c r="D460" i="4"/>
  <c r="D25" i="4" s="1"/>
  <c r="H460" i="4"/>
  <c r="H25" i="4" s="1"/>
  <c r="L460" i="4"/>
  <c r="L25" i="4" s="1"/>
  <c r="S460" i="4"/>
  <c r="S25" i="4" s="1"/>
  <c r="G318" i="4"/>
  <c r="J318" i="4"/>
  <c r="O318" i="4"/>
  <c r="R318" i="4"/>
  <c r="R328" i="4" s="1"/>
  <c r="R15" i="4" s="1"/>
  <c r="D383" i="4"/>
  <c r="H383" i="4"/>
  <c r="L383" i="4"/>
  <c r="AK383" i="4"/>
  <c r="I2" i="4"/>
  <c r="J2" i="4" s="1"/>
  <c r="K2" i="4" s="1"/>
  <c r="L2" i="4" s="1"/>
  <c r="AJ21" i="4"/>
  <c r="F290" i="4"/>
  <c r="F10" i="4" s="1"/>
  <c r="F12" i="4" s="1"/>
  <c r="I290" i="4"/>
  <c r="I10" i="4" s="1"/>
  <c r="N290" i="4"/>
  <c r="N10" i="4" s="1"/>
  <c r="N12" i="4" s="1"/>
  <c r="Q290" i="4"/>
  <c r="Q10" i="4" s="1"/>
  <c r="V290" i="4"/>
  <c r="V10" i="4" s="1"/>
  <c r="V12" i="4" s="1"/>
  <c r="Z290" i="4"/>
  <c r="Z292" i="4" s="1"/>
  <c r="AD290" i="4"/>
  <c r="AD10" i="4" s="1"/>
  <c r="AD12" i="4" s="1"/>
  <c r="I21" i="4"/>
  <c r="Q21" i="4"/>
  <c r="AM44" i="4"/>
  <c r="I355" i="4"/>
  <c r="I16" i="4" s="1"/>
  <c r="Z355" i="4"/>
  <c r="Z16" i="4" s="1"/>
  <c r="AI21" i="4"/>
  <c r="AU21" i="4"/>
  <c r="F21" i="4"/>
  <c r="Z21" i="4"/>
  <c r="AF318" i="4"/>
  <c r="AN355" i="4"/>
  <c r="AN16" i="4" s="1"/>
  <c r="AV355" i="4"/>
  <c r="AV16" i="4" s="1"/>
  <c r="AI383" i="4"/>
  <c r="T21" i="4"/>
  <c r="AB21" i="4"/>
  <c r="AL21" i="4"/>
  <c r="AM318" i="4"/>
  <c r="AM328" i="4" s="1"/>
  <c r="AM15" i="4" s="1"/>
  <c r="AK355" i="4"/>
  <c r="AK16" i="4" s="1"/>
  <c r="V383" i="4"/>
  <c r="Z383" i="4"/>
  <c r="Q44" i="4"/>
  <c r="AM21" i="4"/>
  <c r="J44" i="4"/>
  <c r="D18" i="4"/>
  <c r="C18" i="4" s="1"/>
  <c r="M44" i="4"/>
  <c r="U44" i="4"/>
  <c r="Y44" i="4"/>
  <c r="AB44" i="4"/>
  <c r="AF44" i="4"/>
  <c r="F44" i="4"/>
  <c r="AJ290" i="4"/>
  <c r="AJ10" i="4" s="1"/>
  <c r="AJ12" i="4" s="1"/>
  <c r="AM290" i="4"/>
  <c r="AM10" i="4" s="1"/>
  <c r="AM12" i="4" s="1"/>
  <c r="L21" i="4"/>
  <c r="AF21" i="4"/>
  <c r="AK44" i="4"/>
  <c r="R44" i="4"/>
  <c r="AU44" i="4"/>
  <c r="E290" i="4"/>
  <c r="E10" i="4" s="1"/>
  <c r="E12" i="4" s="1"/>
  <c r="T290" i="4"/>
  <c r="T10" i="4" s="1"/>
  <c r="T12" i="4" s="1"/>
  <c r="P290" i="4"/>
  <c r="P10" i="4" s="1"/>
  <c r="P12" i="4" s="1"/>
  <c r="U290" i="4"/>
  <c r="U10" i="4" s="1"/>
  <c r="AB290" i="4"/>
  <c r="AB10" i="4" s="1"/>
  <c r="AB12" i="4" s="1"/>
  <c r="AI290" i="4"/>
  <c r="AI10" i="4" s="1"/>
  <c r="AI12" i="4" s="1"/>
  <c r="AK290" i="4"/>
  <c r="AK10" i="4" s="1"/>
  <c r="AK12" i="4" s="1"/>
  <c r="AN290" i="4"/>
  <c r="AN10" i="4" s="1"/>
  <c r="AN12" i="4" s="1"/>
  <c r="AV290" i="4"/>
  <c r="AV10" i="4" s="1"/>
  <c r="AV12" i="4" s="1"/>
  <c r="Z318" i="4"/>
  <c r="J21" i="4"/>
  <c r="F249" i="1"/>
  <c r="S21" i="4"/>
  <c r="AA21" i="4"/>
  <c r="I191" i="4"/>
  <c r="N191" i="4"/>
  <c r="Q191" i="4"/>
  <c r="Z44" i="4"/>
  <c r="O44" i="4"/>
  <c r="W290" i="4"/>
  <c r="W10" i="4" s="1"/>
  <c r="W12" i="4" s="1"/>
  <c r="AE290" i="4"/>
  <c r="AE10" i="4" s="1"/>
  <c r="AE12" i="4" s="1"/>
  <c r="AG290" i="4"/>
  <c r="AG10" i="4" s="1"/>
  <c r="AW290" i="4"/>
  <c r="AW10" i="4" s="1"/>
  <c r="AW12" i="4" s="1"/>
  <c r="Y460" i="4"/>
  <c r="Y25" i="4" s="1"/>
  <c r="AB460" i="4"/>
  <c r="AB25" i="4" s="1"/>
  <c r="AF460" i="4"/>
  <c r="AF25" i="4" s="1"/>
  <c r="AJ460" i="4"/>
  <c r="AJ25" i="4" s="1"/>
  <c r="AM460" i="4"/>
  <c r="AM25" i="4" s="1"/>
  <c r="BC21" i="4"/>
  <c r="F220" i="1"/>
  <c r="AH21" i="4"/>
  <c r="D290" i="4"/>
  <c r="D10" i="4" s="1"/>
  <c r="H290" i="4"/>
  <c r="H10" i="4" s="1"/>
  <c r="L290" i="4"/>
  <c r="L10" i="4" s="1"/>
  <c r="L12" i="4" s="1"/>
  <c r="S290" i="4"/>
  <c r="S10" i="4" s="1"/>
  <c r="S12" i="4" s="1"/>
  <c r="X290" i="4"/>
  <c r="X10" i="4" s="1"/>
  <c r="X12" i="4" s="1"/>
  <c r="AA290" i="4"/>
  <c r="AA10" i="4" s="1"/>
  <c r="AH290" i="4"/>
  <c r="AH10" i="4" s="1"/>
  <c r="BC290" i="4"/>
  <c r="BC10" i="4" s="1"/>
  <c r="BC12" i="4" s="1"/>
  <c r="AL290" i="4"/>
  <c r="AL10" i="4" s="1"/>
  <c r="AL12" i="4" s="1"/>
  <c r="AU290" i="4"/>
  <c r="AU10" i="4" s="1"/>
  <c r="AU12" i="4" s="1"/>
  <c r="D318" i="4"/>
  <c r="L318" i="4"/>
  <c r="L328" i="4" s="1"/>
  <c r="L15" i="4" s="1"/>
  <c r="S318" i="4"/>
  <c r="V460" i="4"/>
  <c r="V25" i="4" s="1"/>
  <c r="Z460" i="4"/>
  <c r="Z25" i="4" s="1"/>
  <c r="AD460" i="4"/>
  <c r="AD25" i="4" s="1"/>
  <c r="AI460" i="4"/>
  <c r="AI25" i="4" s="1"/>
  <c r="AK460" i="4"/>
  <c r="AK25" i="4" s="1"/>
  <c r="AN460" i="4"/>
  <c r="AN25" i="4" s="1"/>
  <c r="AV460" i="4"/>
  <c r="AV25" i="4" s="1"/>
  <c r="X44" i="4"/>
  <c r="AA44" i="4"/>
  <c r="AH44" i="4"/>
  <c r="BC44" i="4"/>
  <c r="AL191" i="4"/>
  <c r="G383" i="4"/>
  <c r="J383" i="4"/>
  <c r="O383" i="4"/>
  <c r="R383" i="4"/>
  <c r="AE383" i="4"/>
  <c r="AG383" i="4"/>
  <c r="AW383" i="4"/>
  <c r="G460" i="4"/>
  <c r="G25" i="4" s="1"/>
  <c r="J460" i="4"/>
  <c r="J25" i="4" s="1"/>
  <c r="O460" i="4"/>
  <c r="O25" i="4" s="1"/>
  <c r="R460" i="4"/>
  <c r="R25" i="4" s="1"/>
  <c r="P21" i="4"/>
  <c r="X106" i="4"/>
  <c r="X171" i="4" s="1"/>
  <c r="AA106" i="4"/>
  <c r="AA171" i="4" s="1"/>
  <c r="AH106" i="4"/>
  <c r="AH171" i="4" s="1"/>
  <c r="BC106" i="4"/>
  <c r="BC171" i="4" s="1"/>
  <c r="AL106" i="4"/>
  <c r="AL171" i="4" s="1"/>
  <c r="AU106" i="4"/>
  <c r="AU171" i="4" s="1"/>
  <c r="W216" i="4"/>
  <c r="W191" i="4"/>
  <c r="F106" i="4"/>
  <c r="F171" i="4" s="1"/>
  <c r="I106" i="4"/>
  <c r="I171" i="4" s="1"/>
  <c r="N106" i="4"/>
  <c r="N171" i="4" s="1"/>
  <c r="Q106" i="4"/>
  <c r="Q171" i="4" s="1"/>
  <c r="U106" i="4"/>
  <c r="U171" i="4" s="1"/>
  <c r="E44" i="4"/>
  <c r="T191" i="4"/>
  <c r="M191" i="4"/>
  <c r="P191" i="4"/>
  <c r="AA191" i="4"/>
  <c r="T216" i="4"/>
  <c r="M216" i="4"/>
  <c r="P216" i="4"/>
  <c r="AA216" i="4"/>
  <c r="BC216" i="4"/>
  <c r="AL216" i="4"/>
  <c r="AU216" i="4"/>
  <c r="AH216" i="4"/>
  <c r="E216" i="4"/>
  <c r="AA318" i="4"/>
  <c r="AH318" i="4"/>
  <c r="BC318" i="4"/>
  <c r="AL318" i="4"/>
  <c r="AU318" i="4"/>
  <c r="F191" i="4"/>
  <c r="Y216" i="4"/>
  <c r="AB216" i="4"/>
  <c r="AF216" i="4"/>
  <c r="AJ216" i="4"/>
  <c r="AM216" i="4"/>
  <c r="AF290" i="4"/>
  <c r="AF10" i="4" s="1"/>
  <c r="AF12" i="4" s="1"/>
  <c r="Y318" i="4"/>
  <c r="AJ318" i="4"/>
  <c r="Y383" i="4"/>
  <c r="AD106" i="4"/>
  <c r="AD171" i="4" s="1"/>
  <c r="AD43" i="4" s="1"/>
  <c r="AI106" i="4"/>
  <c r="AI171" i="4" s="1"/>
  <c r="AI43" i="4" s="1"/>
  <c r="AN106" i="4"/>
  <c r="AN171" i="4" s="1"/>
  <c r="AN43" i="4" s="1"/>
  <c r="AG11" i="4"/>
  <c r="J191" i="4"/>
  <c r="O191" i="4"/>
  <c r="R191" i="4"/>
  <c r="V191" i="4"/>
  <c r="AD44" i="4"/>
  <c r="AI44" i="4"/>
  <c r="AN44" i="4"/>
  <c r="AV44" i="4"/>
  <c r="G216" i="4"/>
  <c r="J216" i="4"/>
  <c r="O216" i="4"/>
  <c r="R216" i="4"/>
  <c r="V318" i="4"/>
  <c r="X383" i="4"/>
  <c r="AA383" i="4"/>
  <c r="J106" i="4"/>
  <c r="J171" i="4" s="1"/>
  <c r="O106" i="4"/>
  <c r="O171" i="4" s="1"/>
  <c r="R106" i="4"/>
  <c r="R171" i="4" s="1"/>
  <c r="Y106" i="4"/>
  <c r="Y171" i="4" s="1"/>
  <c r="Y43" i="4" s="1"/>
  <c r="AB106" i="4"/>
  <c r="AB171" i="4" s="1"/>
  <c r="AF106" i="4"/>
  <c r="AF171" i="4" s="1"/>
  <c r="AJ106" i="4"/>
  <c r="AJ171" i="4" s="1"/>
  <c r="AM106" i="4"/>
  <c r="AM171" i="4" s="1"/>
  <c r="E106" i="4"/>
  <c r="E171" i="4" s="1"/>
  <c r="Z106" i="4"/>
  <c r="Z171" i="4" s="1"/>
  <c r="Z43" i="4" s="1"/>
  <c r="AK106" i="4"/>
  <c r="AK171" i="4" s="1"/>
  <c r="AK43" i="4" s="1"/>
  <c r="AV106" i="4"/>
  <c r="AV171" i="4" s="1"/>
  <c r="AV43" i="4" s="1"/>
  <c r="T44" i="4"/>
  <c r="N44" i="4"/>
  <c r="W44" i="4"/>
  <c r="AL44" i="4"/>
  <c r="G191" i="4"/>
  <c r="AH191" i="4"/>
  <c r="BC191" i="4"/>
  <c r="AU191" i="4"/>
  <c r="Z216" i="4"/>
  <c r="AD216" i="4"/>
  <c r="AI216" i="4"/>
  <c r="AK216" i="4"/>
  <c r="AN216" i="4"/>
  <c r="AV216" i="4"/>
  <c r="E191" i="4"/>
  <c r="Q11" i="4"/>
  <c r="U11" i="4"/>
  <c r="AA11" i="4"/>
  <c r="AH11" i="4"/>
  <c r="I44" i="4"/>
  <c r="G106" i="4"/>
  <c r="G171" i="4" s="1"/>
  <c r="D44" i="4"/>
  <c r="H44" i="4"/>
  <c r="L44" i="4"/>
  <c r="S44" i="4"/>
  <c r="V44" i="4"/>
  <c r="F355" i="4"/>
  <c r="F16" i="4" s="1"/>
  <c r="I11" i="4"/>
  <c r="P44" i="4"/>
  <c r="T106" i="4"/>
  <c r="T171" i="4" s="1"/>
  <c r="M106" i="4"/>
  <c r="M171" i="4" s="1"/>
  <c r="P106" i="4"/>
  <c r="P171" i="4" s="1"/>
  <c r="W106" i="4"/>
  <c r="W171" i="4" s="1"/>
  <c r="AE44" i="4"/>
  <c r="AG44" i="4"/>
  <c r="AW44" i="4"/>
  <c r="F216" i="4"/>
  <c r="I216" i="4"/>
  <c r="N216" i="4"/>
  <c r="Q216" i="4"/>
  <c r="U216" i="4"/>
  <c r="X216" i="4"/>
  <c r="AB355" i="4"/>
  <c r="AB16" i="4" s="1"/>
  <c r="I318" i="4"/>
  <c r="I328" i="4" s="1"/>
  <c r="N318" i="4"/>
  <c r="Q318" i="4"/>
  <c r="U318" i="4"/>
  <c r="O355" i="4"/>
  <c r="O16" i="4" s="1"/>
  <c r="R355" i="4"/>
  <c r="R16" i="4" s="1"/>
  <c r="Y355" i="4"/>
  <c r="Y16" i="4" s="1"/>
  <c r="AJ355" i="4"/>
  <c r="AJ16" i="4" s="1"/>
  <c r="G355" i="4"/>
  <c r="G16" i="4" s="1"/>
  <c r="U383" i="4"/>
  <c r="AL383" i="4"/>
  <c r="AU383" i="4"/>
  <c r="AB383" i="4"/>
  <c r="J355" i="4"/>
  <c r="J16" i="4" s="1"/>
  <c r="T460" i="4"/>
  <c r="T25" i="4" s="1"/>
  <c r="M460" i="4"/>
  <c r="M25" i="4" s="1"/>
  <c r="P460" i="4"/>
  <c r="P25" i="4" s="1"/>
  <c r="W460" i="4"/>
  <c r="W25" i="4" s="1"/>
  <c r="AE460" i="4"/>
  <c r="AE25" i="4" s="1"/>
  <c r="AG460" i="4"/>
  <c r="AG25" i="4" s="1"/>
  <c r="AW460" i="4"/>
  <c r="AW25" i="4" s="1"/>
  <c r="G290" i="4"/>
  <c r="G10" i="4" s="1"/>
  <c r="G12" i="4" s="1"/>
  <c r="J290" i="4"/>
  <c r="J10" i="4" s="1"/>
  <c r="O290" i="4"/>
  <c r="O10" i="4" s="1"/>
  <c r="O12" i="4" s="1"/>
  <c r="R290" i="4"/>
  <c r="R10" i="4" s="1"/>
  <c r="R12" i="4" s="1"/>
  <c r="Y290" i="4"/>
  <c r="Y10" i="4" s="1"/>
  <c r="Y12" i="4" s="1"/>
  <c r="AI318" i="4"/>
  <c r="AK318" i="4"/>
  <c r="AN318" i="4"/>
  <c r="AV318" i="4"/>
  <c r="E318" i="4"/>
  <c r="M318" i="4"/>
  <c r="P318" i="4"/>
  <c r="AG318" i="4"/>
  <c r="AW318" i="4"/>
  <c r="AW328" i="4" s="1"/>
  <c r="AW15" i="4" s="1"/>
  <c r="X355" i="4"/>
  <c r="X16" i="4" s="1"/>
  <c r="V355" i="4"/>
  <c r="V16" i="4" s="1"/>
  <c r="AN383" i="4"/>
  <c r="AN17" i="4" s="1"/>
  <c r="AV383" i="4"/>
  <c r="M383" i="4"/>
  <c r="P383" i="4"/>
  <c r="F460" i="4"/>
  <c r="F25" i="4" s="1"/>
  <c r="I460" i="4"/>
  <c r="I25" i="4" s="1"/>
  <c r="N460" i="4"/>
  <c r="N25" i="4" s="1"/>
  <c r="Q460" i="4"/>
  <c r="Q25" i="4" s="1"/>
  <c r="U460" i="4"/>
  <c r="U25" i="4" s="1"/>
  <c r="X460" i="4"/>
  <c r="X25" i="4" s="1"/>
  <c r="AA460" i="4"/>
  <c r="AA25" i="4" s="1"/>
  <c r="AH460" i="4"/>
  <c r="AH25" i="4" s="1"/>
  <c r="BC460" i="4"/>
  <c r="BC25" i="4" s="1"/>
  <c r="AL460" i="4"/>
  <c r="AL25" i="4" s="1"/>
  <c r="AU460" i="4"/>
  <c r="AU25" i="4" s="1"/>
  <c r="H318" i="4"/>
  <c r="H106" i="4"/>
  <c r="H171" i="4" s="1"/>
  <c r="V106" i="4"/>
  <c r="V171" i="4" s="1"/>
  <c r="AG106" i="4"/>
  <c r="AG171" i="4" s="1"/>
  <c r="AW106" i="4"/>
  <c r="AW171" i="4" s="1"/>
  <c r="H11" i="4"/>
  <c r="D191" i="4"/>
  <c r="L191" i="4"/>
  <c r="AE191" i="4"/>
  <c r="D106" i="4"/>
  <c r="L106" i="4"/>
  <c r="L171" i="4" s="1"/>
  <c r="S106" i="4"/>
  <c r="AE106" i="4"/>
  <c r="AE171" i="4" s="1"/>
  <c r="D11" i="4"/>
  <c r="H191" i="4"/>
  <c r="S191" i="4"/>
  <c r="AG191" i="4"/>
  <c r="AW191" i="4"/>
  <c r="F188" i="1"/>
  <c r="G277" i="1"/>
  <c r="F473" i="1"/>
  <c r="D216" i="4"/>
  <c r="H216" i="4"/>
  <c r="L216" i="4"/>
  <c r="S216" i="4"/>
  <c r="V216" i="4"/>
  <c r="AE216" i="4"/>
  <c r="AG216" i="4"/>
  <c r="AW216" i="4"/>
  <c r="U191" i="4"/>
  <c r="X191" i="4"/>
  <c r="AB191" i="4"/>
  <c r="AF191" i="4"/>
  <c r="AJ191" i="4"/>
  <c r="AM191" i="4"/>
  <c r="E383" i="4"/>
  <c r="T383" i="4"/>
  <c r="Y191" i="4"/>
  <c r="Z191" i="4"/>
  <c r="AD191" i="4"/>
  <c r="AI191" i="4"/>
  <c r="AK191" i="4"/>
  <c r="AN191" i="4"/>
  <c r="AV191" i="4"/>
  <c r="X318" i="4"/>
  <c r="AB318" i="4"/>
  <c r="D355" i="4"/>
  <c r="D16" i="4" s="1"/>
  <c r="H355" i="4"/>
  <c r="H16" i="4" s="1"/>
  <c r="AE355" i="4"/>
  <c r="AE16" i="4" s="1"/>
  <c r="AG355" i="4"/>
  <c r="AG16" i="4" s="1"/>
  <c r="AW355" i="4"/>
  <c r="AW16" i="4" s="1"/>
  <c r="S355" i="4"/>
  <c r="S16" i="4" s="1"/>
  <c r="M290" i="4"/>
  <c r="M292" i="4" s="1"/>
  <c r="M355" i="4"/>
  <c r="M16" i="4" s="1"/>
  <c r="P355" i="4"/>
  <c r="P16" i="4" s="1"/>
  <c r="E460" i="4"/>
  <c r="E25" i="4" s="1"/>
  <c r="AE318" i="4"/>
  <c r="E355" i="4"/>
  <c r="E16" i="4" s="1"/>
  <c r="T355" i="4"/>
  <c r="T16" i="4" s="1"/>
  <c r="N355" i="4"/>
  <c r="N16" i="4" s="1"/>
  <c r="Q355" i="4"/>
  <c r="Q16" i="4" s="1"/>
  <c r="U355" i="4"/>
  <c r="U16" i="4" s="1"/>
  <c r="AH355" i="4"/>
  <c r="AH16" i="4" s="1"/>
  <c r="BC355" i="4"/>
  <c r="BC16" i="4" s="1"/>
  <c r="AL355" i="4"/>
  <c r="AL16" i="4" s="1"/>
  <c r="AU355" i="4"/>
  <c r="AU16" i="4" s="1"/>
  <c r="AH383" i="4"/>
  <c r="BC383" i="4"/>
  <c r="T318" i="4"/>
  <c r="T328" i="4" s="1"/>
  <c r="AA355" i="4"/>
  <c r="AA16" i="4" s="1"/>
  <c r="AF355" i="4"/>
  <c r="AF16" i="4" s="1"/>
  <c r="AM355" i="4"/>
  <c r="AM16" i="4" s="1"/>
  <c r="F383" i="4"/>
  <c r="I383" i="4"/>
  <c r="N383" i="4"/>
  <c r="Q383" i="4"/>
  <c r="AF383" i="4"/>
  <c r="AJ383" i="4"/>
  <c r="AM383" i="4"/>
  <c r="S383" i="4"/>
  <c r="S17" i="4" s="1"/>
  <c r="AE20" i="4"/>
  <c r="C20" i="4" s="1"/>
  <c r="G44" i="4"/>
  <c r="C191" i="4"/>
  <c r="E18" i="13"/>
  <c r="E21" i="13" s="1"/>
  <c r="G350" i="1"/>
  <c r="G505" i="1"/>
  <c r="F40" i="1"/>
  <c r="F469" i="1"/>
  <c r="G258" i="1"/>
  <c r="F244" i="1"/>
  <c r="F48" i="1" s="1"/>
  <c r="C216" i="4"/>
  <c r="F212" i="1"/>
  <c r="F196" i="1"/>
  <c r="F62" i="1"/>
  <c r="C248" i="4"/>
  <c r="C497" i="4"/>
  <c r="C446" i="4"/>
  <c r="C460" i="4" s="1"/>
  <c r="AD21" i="4"/>
  <c r="AD383" i="4"/>
  <c r="AD355" i="4"/>
  <c r="AD16" i="4" s="1"/>
  <c r="AD318" i="4"/>
  <c r="F482" i="1"/>
  <c r="F494" i="1" s="1"/>
  <c r="F26" i="1" s="1"/>
  <c r="C467" i="4"/>
  <c r="C479" i="4" s="1"/>
  <c r="X21" i="4"/>
  <c r="W21" i="4"/>
  <c r="F405" i="1"/>
  <c r="F18" i="1" s="1"/>
  <c r="C392" i="4"/>
  <c r="G400" i="1"/>
  <c r="C381" i="4"/>
  <c r="W383" i="4"/>
  <c r="W355" i="4"/>
  <c r="W16" i="4" s="1"/>
  <c r="L355" i="4"/>
  <c r="L16" i="4" s="1"/>
  <c r="F318" i="4"/>
  <c r="C353" i="4"/>
  <c r="J11" i="4"/>
  <c r="C399" i="4"/>
  <c r="AE21" i="4"/>
  <c r="U21" i="4"/>
  <c r="F387" i="1"/>
  <c r="F394" i="1" s="1"/>
  <c r="G104" i="1"/>
  <c r="F110" i="1"/>
  <c r="F68" i="1"/>
  <c r="F74" i="1" s="1"/>
  <c r="F229" i="1"/>
  <c r="F50" i="1" s="1"/>
  <c r="F8" i="1"/>
  <c r="F35" i="1"/>
  <c r="G35" i="1" s="1"/>
  <c r="F157" i="1"/>
  <c r="F366" i="1"/>
  <c r="F301" i="1"/>
  <c r="G521" i="1"/>
  <c r="C83" i="4"/>
  <c r="G128" i="1"/>
  <c r="F165" i="1"/>
  <c r="F224" i="1"/>
  <c r="F47" i="1"/>
  <c r="C104" i="4"/>
  <c r="C124" i="4"/>
  <c r="C157" i="4"/>
  <c r="C288" i="4"/>
  <c r="C290" i="4" s="1"/>
  <c r="C292" i="4" s="1"/>
  <c r="C343" i="4"/>
  <c r="C368" i="4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G83" i="1"/>
  <c r="F216" i="1"/>
  <c r="F228" i="1"/>
  <c r="F124" i="1"/>
  <c r="G94" i="1"/>
  <c r="F104" i="1"/>
  <c r="G127" i="1"/>
  <c r="F356" i="1"/>
  <c r="G109" i="1"/>
  <c r="F83" i="1"/>
  <c r="F142" i="1"/>
  <c r="F175" i="1" s="1"/>
  <c r="E142" i="1"/>
  <c r="E175" i="1" s="1"/>
  <c r="G271" i="1"/>
  <c r="F274" i="1"/>
  <c r="F11" i="1" s="1"/>
  <c r="D313" i="1"/>
  <c r="G313" i="1"/>
  <c r="D411" i="1"/>
  <c r="G411" i="1"/>
  <c r="G486" i="1"/>
  <c r="D486" i="1"/>
  <c r="F94" i="1"/>
  <c r="D257" i="1"/>
  <c r="D51" i="1" s="1"/>
  <c r="G257" i="1"/>
  <c r="F289" i="1"/>
  <c r="F236" i="1"/>
  <c r="F46" i="1" s="1"/>
  <c r="G232" i="1"/>
  <c r="D351" i="1"/>
  <c r="G351" i="1"/>
  <c r="D399" i="1"/>
  <c r="G399" i="1"/>
  <c r="D491" i="1"/>
  <c r="G491" i="1"/>
  <c r="F381" i="1"/>
  <c r="F419" i="1"/>
  <c r="F19" i="1" s="1"/>
  <c r="F461" i="1"/>
  <c r="D502" i="1"/>
  <c r="D28" i="1" s="1"/>
  <c r="G502" i="1"/>
  <c r="F513" i="1"/>
  <c r="F29" i="1" s="1"/>
  <c r="G403" i="1"/>
  <c r="G418" i="1"/>
  <c r="F412" i="1"/>
  <c r="F20" i="1" s="1"/>
  <c r="F336" i="1"/>
  <c r="F339" i="1" s="1"/>
  <c r="C316" i="4"/>
  <c r="F329" i="1"/>
  <c r="F436" i="1"/>
  <c r="F440" i="1" s="1"/>
  <c r="F21" i="1" s="1"/>
  <c r="C423" i="4"/>
  <c r="C427" i="4" s="1"/>
  <c r="C309" i="4"/>
  <c r="F309" i="1"/>
  <c r="F322" i="1" s="1"/>
  <c r="F266" i="1"/>
  <c r="N30" i="19"/>
  <c r="F19" i="19"/>
  <c r="G7" i="19"/>
  <c r="H26" i="19"/>
  <c r="E405" i="1"/>
  <c r="G402" i="1"/>
  <c r="G408" i="1"/>
  <c r="G410" i="1"/>
  <c r="G415" i="1"/>
  <c r="G417" i="1"/>
  <c r="D415" i="1"/>
  <c r="D419" i="1" s="1"/>
  <c r="D19" i="1" s="1"/>
  <c r="H32" i="19"/>
  <c r="N32" i="19" s="1"/>
  <c r="G37" i="19"/>
  <c r="H37" i="19" s="1"/>
  <c r="G19" i="12"/>
  <c r="G11" i="11" s="1"/>
  <c r="G14" i="11" s="1"/>
  <c r="G17" i="12"/>
  <c r="Q18" i="18"/>
  <c r="Q19" i="18" s="1"/>
  <c r="Q30" i="18"/>
  <c r="H12" i="19"/>
  <c r="K37" i="19" s="1"/>
  <c r="F34" i="19"/>
  <c r="H34" i="19" s="1"/>
  <c r="E35" i="18"/>
  <c r="H15" i="19"/>
  <c r="J37" i="19" s="1"/>
  <c r="F33" i="19"/>
  <c r="Q25" i="18"/>
  <c r="AD17" i="4" l="1"/>
  <c r="AD429" i="4"/>
  <c r="E34" i="17"/>
  <c r="C16" i="4"/>
  <c r="C44" i="4"/>
  <c r="C11" i="4"/>
  <c r="D171" i="4"/>
  <c r="D193" i="4" s="1"/>
  <c r="D250" i="4" s="1"/>
  <c r="C106" i="4"/>
  <c r="C21" i="4"/>
  <c r="BM501" i="4"/>
  <c r="BL501" i="4"/>
  <c r="BA501" i="4"/>
  <c r="BA502" i="4" s="1"/>
  <c r="BB501" i="4"/>
  <c r="C25" i="4"/>
  <c r="BD501" i="4"/>
  <c r="BD27" i="4" s="1"/>
  <c r="BD30" i="4" s="1"/>
  <c r="K501" i="4"/>
  <c r="K502" i="4" s="1"/>
  <c r="K33" i="4" s="1"/>
  <c r="K37" i="4" s="1"/>
  <c r="AC501" i="4"/>
  <c r="M2" i="4"/>
  <c r="N2" i="4" s="1"/>
  <c r="O2" i="4" s="1"/>
  <c r="G51" i="1"/>
  <c r="C171" i="1"/>
  <c r="C203" i="1" s="1"/>
  <c r="C263" i="1" s="1"/>
  <c r="F30" i="6"/>
  <c r="A246" i="4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C339" i="1"/>
  <c r="C341" i="1" s="1"/>
  <c r="F35" i="19"/>
  <c r="C40" i="1"/>
  <c r="A256" i="1"/>
  <c r="A257" i="1" s="1"/>
  <c r="G409" i="1"/>
  <c r="G412" i="1" s="1"/>
  <c r="C305" i="1"/>
  <c r="F35" i="18"/>
  <c r="F40" i="18" s="1"/>
  <c r="AH12" i="4"/>
  <c r="J35" i="18"/>
  <c r="J40" i="18" s="1"/>
  <c r="G8" i="1"/>
  <c r="O35" i="18"/>
  <c r="O40" i="18" s="1"/>
  <c r="C44" i="1"/>
  <c r="G19" i="1"/>
  <c r="G431" i="1"/>
  <c r="K35" i="18"/>
  <c r="K40" i="18" s="1"/>
  <c r="E40" i="18"/>
  <c r="C368" i="1"/>
  <c r="C16" i="1" s="1"/>
  <c r="P35" i="18"/>
  <c r="P40" i="18" s="1"/>
  <c r="D405" i="1"/>
  <c r="D18" i="1" s="1"/>
  <c r="E412" i="1"/>
  <c r="E20" i="1" s="1"/>
  <c r="G20" i="1" s="1"/>
  <c r="H35" i="18"/>
  <c r="H40" i="18" s="1"/>
  <c r="M35" i="18"/>
  <c r="M40" i="18" s="1"/>
  <c r="G267" i="1"/>
  <c r="D8" i="1"/>
  <c r="G50" i="5"/>
  <c r="I50" i="5" s="1"/>
  <c r="O328" i="4"/>
  <c r="O15" i="4" s="1"/>
  <c r="C19" i="1"/>
  <c r="C179" i="1"/>
  <c r="L35" i="18"/>
  <c r="L40" i="18" s="1"/>
  <c r="I35" i="18"/>
  <c r="I40" i="18" s="1"/>
  <c r="C17" i="1"/>
  <c r="Q27" i="18"/>
  <c r="Q28" i="18" s="1"/>
  <c r="G49" i="5"/>
  <c r="I49" i="5" s="1"/>
  <c r="D412" i="1"/>
  <c r="D20" i="1" s="1"/>
  <c r="C47" i="5"/>
  <c r="K47" i="5" s="1"/>
  <c r="C18" i="1"/>
  <c r="G35" i="18"/>
  <c r="G40" i="18" s="1"/>
  <c r="Q32" i="18"/>
  <c r="Q33" i="18" s="1"/>
  <c r="C18" i="5"/>
  <c r="C31" i="5" s="1"/>
  <c r="C21" i="1"/>
  <c r="D266" i="1"/>
  <c r="D7" i="1" s="1"/>
  <c r="E7" i="1"/>
  <c r="C20" i="1"/>
  <c r="C48" i="5"/>
  <c r="K48" i="5" s="1"/>
  <c r="N35" i="18"/>
  <c r="N40" i="18" s="1"/>
  <c r="G39" i="19"/>
  <c r="AK17" i="4"/>
  <c r="D17" i="4"/>
  <c r="G16" i="11"/>
  <c r="G19" i="11" s="1"/>
  <c r="G21" i="11" s="1"/>
  <c r="G23" i="11" s="1"/>
  <c r="G25" i="11" s="1"/>
  <c r="E18" i="9" s="1"/>
  <c r="G328" i="4"/>
  <c r="G15" i="4" s="1"/>
  <c r="C12" i="1"/>
  <c r="D8" i="23"/>
  <c r="D10" i="23" s="1"/>
  <c r="AG2" i="4"/>
  <c r="AH2" i="4" s="1"/>
  <c r="AI2" i="4" s="1"/>
  <c r="J328" i="4"/>
  <c r="J15" i="4" s="1"/>
  <c r="AY501" i="4"/>
  <c r="AQ501" i="4"/>
  <c r="AX501" i="4"/>
  <c r="BF501" i="4"/>
  <c r="AR501" i="4"/>
  <c r="BE501" i="4"/>
  <c r="BI501" i="4"/>
  <c r="AT501" i="4"/>
  <c r="AP501" i="4"/>
  <c r="AO501" i="4"/>
  <c r="BJ501" i="4"/>
  <c r="AS501" i="4"/>
  <c r="BH501" i="4"/>
  <c r="I34" i="17"/>
  <c r="U18" i="13" s="1"/>
  <c r="AK292" i="4"/>
  <c r="O17" i="4"/>
  <c r="H17" i="4"/>
  <c r="AF328" i="4"/>
  <c r="AF15" i="4" s="1"/>
  <c r="R437" i="4"/>
  <c r="AH292" i="4"/>
  <c r="L17" i="4"/>
  <c r="L23" i="4" s="1"/>
  <c r="L501" i="4" s="1"/>
  <c r="P17" i="4"/>
  <c r="AV292" i="4"/>
  <c r="AB292" i="4"/>
  <c r="E292" i="4"/>
  <c r="I12" i="4"/>
  <c r="D12" i="4"/>
  <c r="V292" i="4"/>
  <c r="D292" i="4"/>
  <c r="AE292" i="4"/>
  <c r="S328" i="4"/>
  <c r="S15" i="4" s="1"/>
  <c r="S23" i="4" s="1"/>
  <c r="S501" i="4" s="1"/>
  <c r="H12" i="4"/>
  <c r="S292" i="4"/>
  <c r="J17" i="4"/>
  <c r="Q12" i="4"/>
  <c r="W328" i="4"/>
  <c r="W15" i="4" s="1"/>
  <c r="J292" i="4"/>
  <c r="Q292" i="4"/>
  <c r="AE17" i="4"/>
  <c r="N292" i="4"/>
  <c r="AI292" i="4"/>
  <c r="AD292" i="4"/>
  <c r="I292" i="4"/>
  <c r="Z10" i="4"/>
  <c r="Z12" i="4" s="1"/>
  <c r="R17" i="4"/>
  <c r="R23" i="4" s="1"/>
  <c r="R501" i="4" s="1"/>
  <c r="R27" i="4" s="1"/>
  <c r="R30" i="4" s="1"/>
  <c r="R31" i="4" s="1"/>
  <c r="AL193" i="4"/>
  <c r="AL250" i="4" s="1"/>
  <c r="F292" i="4"/>
  <c r="AB328" i="4"/>
  <c r="AB15" i="4" s="1"/>
  <c r="AN292" i="4"/>
  <c r="Y45" i="4"/>
  <c r="AV45" i="4"/>
  <c r="AM292" i="4"/>
  <c r="AA328" i="4"/>
  <c r="AA15" i="4" s="1"/>
  <c r="AI17" i="4"/>
  <c r="AN45" i="4"/>
  <c r="AJ292" i="4"/>
  <c r="V17" i="4"/>
  <c r="AE328" i="4"/>
  <c r="AE429" i="4" s="1"/>
  <c r="X292" i="4"/>
  <c r="T292" i="4"/>
  <c r="AJ328" i="4"/>
  <c r="AJ15" i="4" s="1"/>
  <c r="P292" i="4"/>
  <c r="Z17" i="4"/>
  <c r="AG12" i="4"/>
  <c r="AV17" i="4"/>
  <c r="Q328" i="4"/>
  <c r="Q15" i="4" s="1"/>
  <c r="AA437" i="4"/>
  <c r="E328" i="4"/>
  <c r="E429" i="4" s="1"/>
  <c r="AU328" i="4"/>
  <c r="AU15" i="4" s="1"/>
  <c r="G17" i="4"/>
  <c r="Z45" i="4"/>
  <c r="AF292" i="4"/>
  <c r="F43" i="4"/>
  <c r="F45" i="4" s="1"/>
  <c r="F193" i="4"/>
  <c r="F250" i="4" s="1"/>
  <c r="O437" i="4"/>
  <c r="F44" i="1"/>
  <c r="G437" i="4"/>
  <c r="D328" i="4"/>
  <c r="Y328" i="4"/>
  <c r="Y15" i="4" s="1"/>
  <c r="AI328" i="4"/>
  <c r="AI15" i="4" s="1"/>
  <c r="U12" i="4"/>
  <c r="AK45" i="4"/>
  <c r="AI45" i="4"/>
  <c r="U292" i="4"/>
  <c r="AN193" i="4"/>
  <c r="AN250" i="4" s="1"/>
  <c r="AD45" i="4"/>
  <c r="AL328" i="4"/>
  <c r="AL15" i="4" s="1"/>
  <c r="AG328" i="4"/>
  <c r="AG15" i="4" s="1"/>
  <c r="AA17" i="4"/>
  <c r="AN437" i="4"/>
  <c r="Z328" i="4"/>
  <c r="AU292" i="4"/>
  <c r="O43" i="4"/>
  <c r="O45" i="4" s="1"/>
  <c r="O193" i="4"/>
  <c r="O250" i="4" s="1"/>
  <c r="R193" i="4"/>
  <c r="R250" i="4" s="1"/>
  <c r="R43" i="4"/>
  <c r="R45" i="4" s="1"/>
  <c r="AI193" i="4"/>
  <c r="AI250" i="4" s="1"/>
  <c r="M10" i="4"/>
  <c r="BC328" i="4"/>
  <c r="BC15" i="4" s="1"/>
  <c r="C171" i="4"/>
  <c r="C193" i="4" s="1"/>
  <c r="C250" i="4" s="1"/>
  <c r="AN328" i="4"/>
  <c r="W292" i="4"/>
  <c r="AW17" i="4"/>
  <c r="AW23" i="4" s="1"/>
  <c r="AW501" i="4" s="1"/>
  <c r="AW27" i="4" s="1"/>
  <c r="L437" i="4"/>
  <c r="N328" i="4"/>
  <c r="N15" i="4" s="1"/>
  <c r="AD193" i="4"/>
  <c r="AD250" i="4" s="1"/>
  <c r="AH328" i="4"/>
  <c r="AH15" i="4" s="1"/>
  <c r="R429" i="4"/>
  <c r="H328" i="4"/>
  <c r="H15" i="4" s="1"/>
  <c r="P437" i="4"/>
  <c r="AK328" i="4"/>
  <c r="L292" i="4"/>
  <c r="AL292" i="4"/>
  <c r="AA292" i="4"/>
  <c r="AG437" i="4"/>
  <c r="AG17" i="4"/>
  <c r="AL43" i="4"/>
  <c r="AL45" i="4" s="1"/>
  <c r="V328" i="4"/>
  <c r="H292" i="4"/>
  <c r="AA12" i="4"/>
  <c r="BC292" i="4"/>
  <c r="AW292" i="4"/>
  <c r="AG292" i="4"/>
  <c r="F226" i="1"/>
  <c r="X437" i="4"/>
  <c r="X17" i="4"/>
  <c r="Y292" i="4"/>
  <c r="J437" i="4"/>
  <c r="G292" i="4"/>
  <c r="Y437" i="4"/>
  <c r="Y17" i="4"/>
  <c r="J43" i="4"/>
  <c r="J45" i="4" s="1"/>
  <c r="J193" i="4"/>
  <c r="J250" i="4" s="1"/>
  <c r="Z193" i="4"/>
  <c r="Z250" i="4" s="1"/>
  <c r="F475" i="1"/>
  <c r="F25" i="1" s="1"/>
  <c r="S437" i="4"/>
  <c r="AM429" i="4"/>
  <c r="AK437" i="4"/>
  <c r="U328" i="4"/>
  <c r="U15" i="4" s="1"/>
  <c r="Y193" i="4"/>
  <c r="Y250" i="4" s="1"/>
  <c r="AV437" i="4"/>
  <c r="AV328" i="4"/>
  <c r="AB437" i="4"/>
  <c r="AB17" i="4"/>
  <c r="U437" i="4"/>
  <c r="U17" i="4"/>
  <c r="AI437" i="4"/>
  <c r="AV193" i="4"/>
  <c r="AV250" i="4" s="1"/>
  <c r="P328" i="4"/>
  <c r="R292" i="4"/>
  <c r="AK193" i="4"/>
  <c r="AK250" i="4" s="1"/>
  <c r="M437" i="4"/>
  <c r="M17" i="4"/>
  <c r="AL437" i="4"/>
  <c r="AL17" i="4"/>
  <c r="W437" i="4"/>
  <c r="F328" i="4"/>
  <c r="F15" i="4" s="1"/>
  <c r="Z437" i="4"/>
  <c r="AU437" i="4"/>
  <c r="AU17" i="4"/>
  <c r="M328" i="4"/>
  <c r="M15" i="4" s="1"/>
  <c r="O292" i="4"/>
  <c r="H437" i="4"/>
  <c r="L193" i="4"/>
  <c r="L250" i="4" s="1"/>
  <c r="L43" i="4"/>
  <c r="L45" i="4" s="1"/>
  <c r="AE193" i="4"/>
  <c r="AE250" i="4" s="1"/>
  <c r="AE43" i="4"/>
  <c r="AE45" i="4" s="1"/>
  <c r="AW193" i="4"/>
  <c r="AW250" i="4" s="1"/>
  <c r="AW43" i="4"/>
  <c r="AW45" i="4" s="1"/>
  <c r="V193" i="4"/>
  <c r="V250" i="4" s="1"/>
  <c r="V43" i="4"/>
  <c r="V45" i="4" s="1"/>
  <c r="AJ437" i="4"/>
  <c r="AJ17" i="4"/>
  <c r="W193" i="4"/>
  <c r="W250" i="4" s="1"/>
  <c r="W43" i="4"/>
  <c r="W45" i="4" s="1"/>
  <c r="AG193" i="4"/>
  <c r="AG250" i="4" s="1"/>
  <c r="AG43" i="4"/>
  <c r="AG45" i="4" s="1"/>
  <c r="E193" i="4"/>
  <c r="E250" i="4" s="1"/>
  <c r="E43" i="4"/>
  <c r="E45" i="4" s="1"/>
  <c r="I17" i="4"/>
  <c r="BC437" i="4"/>
  <c r="BC17" i="4"/>
  <c r="T17" i="4"/>
  <c r="AU193" i="4"/>
  <c r="AU250" i="4" s="1"/>
  <c r="AU43" i="4"/>
  <c r="AU45" i="4" s="1"/>
  <c r="P193" i="4"/>
  <c r="P250" i="4" s="1"/>
  <c r="P43" i="4"/>
  <c r="P45" i="4" s="1"/>
  <c r="AF193" i="4"/>
  <c r="AF250" i="4" s="1"/>
  <c r="AF43" i="4"/>
  <c r="AF45" i="4" s="1"/>
  <c r="U193" i="4"/>
  <c r="U250" i="4" s="1"/>
  <c r="U43" i="4"/>
  <c r="U45" i="4" s="1"/>
  <c r="N437" i="4"/>
  <c r="N17" i="4"/>
  <c r="I193" i="4"/>
  <c r="I250" i="4" s="1"/>
  <c r="I43" i="4"/>
  <c r="I45" i="4" s="1"/>
  <c r="S171" i="4"/>
  <c r="AF437" i="4"/>
  <c r="AF17" i="4"/>
  <c r="F437" i="4"/>
  <c r="F17" i="4"/>
  <c r="AH437" i="4"/>
  <c r="AH17" i="4"/>
  <c r="E437" i="4"/>
  <c r="E17" i="4"/>
  <c r="AW429" i="4"/>
  <c r="AH193" i="4"/>
  <c r="AH250" i="4" s="1"/>
  <c r="AH43" i="4"/>
  <c r="AH45" i="4" s="1"/>
  <c r="T193" i="4"/>
  <c r="T250" i="4" s="1"/>
  <c r="T43" i="4"/>
  <c r="T45" i="4" s="1"/>
  <c r="X328" i="4"/>
  <c r="AM193" i="4"/>
  <c r="AM250" i="4" s="1"/>
  <c r="AM43" i="4"/>
  <c r="AM45" i="4" s="1"/>
  <c r="AB193" i="4"/>
  <c r="AB250" i="4" s="1"/>
  <c r="AB43" i="4"/>
  <c r="AB45" i="4" s="1"/>
  <c r="Q193" i="4"/>
  <c r="Q250" i="4" s="1"/>
  <c r="Q43" i="4"/>
  <c r="Q45" i="4" s="1"/>
  <c r="H193" i="4"/>
  <c r="H250" i="4" s="1"/>
  <c r="H43" i="4"/>
  <c r="H45" i="4" s="1"/>
  <c r="X193" i="4"/>
  <c r="X250" i="4" s="1"/>
  <c r="X43" i="4"/>
  <c r="X45" i="4" s="1"/>
  <c r="W17" i="4"/>
  <c r="AM17" i="4"/>
  <c r="AM23" i="4" s="1"/>
  <c r="AM501" i="4" s="1"/>
  <c r="Q437" i="4"/>
  <c r="Q17" i="4"/>
  <c r="D437" i="4"/>
  <c r="AA193" i="4"/>
  <c r="AA250" i="4" s="1"/>
  <c r="AA43" i="4"/>
  <c r="AA45" i="4" s="1"/>
  <c r="AJ193" i="4"/>
  <c r="AJ250" i="4" s="1"/>
  <c r="AJ43" i="4"/>
  <c r="AJ45" i="4" s="1"/>
  <c r="N193" i="4"/>
  <c r="N250" i="4" s="1"/>
  <c r="N43" i="4"/>
  <c r="N45" i="4" s="1"/>
  <c r="BC193" i="4"/>
  <c r="BC250" i="4" s="1"/>
  <c r="BC43" i="4"/>
  <c r="BC45" i="4" s="1"/>
  <c r="M193" i="4"/>
  <c r="M250" i="4" s="1"/>
  <c r="M43" i="4"/>
  <c r="M45" i="4" s="1"/>
  <c r="F451" i="1"/>
  <c r="AE437" i="4"/>
  <c r="F448" i="1"/>
  <c r="F201" i="1"/>
  <c r="F450" i="1"/>
  <c r="V437" i="4"/>
  <c r="AD437" i="4"/>
  <c r="C383" i="4"/>
  <c r="C355" i="4"/>
  <c r="AD328" i="4"/>
  <c r="AD15" i="4" s="1"/>
  <c r="F368" i="1"/>
  <c r="F16" i="1" s="1"/>
  <c r="L429" i="4"/>
  <c r="G43" i="4"/>
  <c r="G193" i="4"/>
  <c r="G250" i="4" s="1"/>
  <c r="F303" i="1"/>
  <c r="F10" i="1" s="1"/>
  <c r="J12" i="4"/>
  <c r="I429" i="4"/>
  <c r="I15" i="4"/>
  <c r="G142" i="1"/>
  <c r="G175" i="1" s="1"/>
  <c r="H175" i="1"/>
  <c r="G18" i="3"/>
  <c r="G405" i="1"/>
  <c r="F106" i="1"/>
  <c r="F181" i="1" s="1"/>
  <c r="F397" i="1"/>
  <c r="F396" i="1"/>
  <c r="F17" i="1" s="1"/>
  <c r="F173" i="1"/>
  <c r="F177" i="1"/>
  <c r="C318" i="4"/>
  <c r="C328" i="4" s="1"/>
  <c r="T429" i="4"/>
  <c r="T15" i="4"/>
  <c r="F331" i="1"/>
  <c r="F341" i="1" s="1"/>
  <c r="F15" i="1" s="1"/>
  <c r="F7" i="1"/>
  <c r="G266" i="1"/>
  <c r="G19" i="19"/>
  <c r="H7" i="19"/>
  <c r="E18" i="1"/>
  <c r="G18" i="1" s="1"/>
  <c r="G419" i="1"/>
  <c r="G58" i="5"/>
  <c r="G25" i="5"/>
  <c r="I25" i="5" s="1"/>
  <c r="K25" i="5" s="1"/>
  <c r="G44" i="5"/>
  <c r="I44" i="5" s="1"/>
  <c r="G46" i="5"/>
  <c r="I46" i="5" s="1"/>
  <c r="G13" i="5"/>
  <c r="I13" i="5" s="1"/>
  <c r="K13" i="5" s="1"/>
  <c r="M13" i="5" s="1"/>
  <c r="G24" i="5"/>
  <c r="I24" i="5" s="1"/>
  <c r="K24" i="5" s="1"/>
  <c r="M24" i="5" s="1"/>
  <c r="M28" i="5" s="1"/>
  <c r="G15" i="5"/>
  <c r="I15" i="5" s="1"/>
  <c r="G14" i="5"/>
  <c r="I14" i="5" s="1"/>
  <c r="K14" i="5" s="1"/>
  <c r="G45" i="5"/>
  <c r="I45" i="5" s="1"/>
  <c r="G9" i="5"/>
  <c r="I9" i="5" s="1"/>
  <c r="G26" i="5"/>
  <c r="I26" i="5" s="1"/>
  <c r="K26" i="5" s="1"/>
  <c r="G48" i="5"/>
  <c r="G10" i="5"/>
  <c r="I10" i="5" s="1"/>
  <c r="M10" i="5" s="1"/>
  <c r="G11" i="5"/>
  <c r="I11" i="5" s="1"/>
  <c r="M11" i="5" s="1"/>
  <c r="G57" i="5"/>
  <c r="G39" i="5"/>
  <c r="G41" i="5" s="1"/>
  <c r="G47" i="5"/>
  <c r="G16" i="5"/>
  <c r="I16" i="5" s="1"/>
  <c r="M16" i="5" s="1"/>
  <c r="G12" i="5"/>
  <c r="I12" i="5" s="1"/>
  <c r="K12" i="5" s="1"/>
  <c r="M12" i="5" s="1"/>
  <c r="G22" i="5"/>
  <c r="I22" i="5" s="1"/>
  <c r="G23" i="5"/>
  <c r="I23" i="5" s="1"/>
  <c r="K23" i="5" s="1"/>
  <c r="H38" i="18"/>
  <c r="M37" i="19"/>
  <c r="N37" i="19" s="1"/>
  <c r="K34" i="19"/>
  <c r="J12" i="19"/>
  <c r="H33" i="19"/>
  <c r="J15" i="19"/>
  <c r="C10" i="4" l="1"/>
  <c r="C12" i="4" s="1"/>
  <c r="D43" i="4"/>
  <c r="Q438" i="4"/>
  <c r="Q49" i="4" s="1"/>
  <c r="Q53" i="4" s="1"/>
  <c r="E438" i="4"/>
  <c r="E49" i="4" s="1"/>
  <c r="E53" i="4" s="1"/>
  <c r="F438" i="4"/>
  <c r="F49" i="4" s="1"/>
  <c r="F53" i="4" s="1"/>
  <c r="U438" i="4"/>
  <c r="U49" i="4" s="1"/>
  <c r="U53" i="4" s="1"/>
  <c r="AV438" i="4"/>
  <c r="AV49" i="4" s="1"/>
  <c r="AV53" i="4" s="1"/>
  <c r="X438" i="4"/>
  <c r="X49" i="4" s="1"/>
  <c r="X53" i="4" s="1"/>
  <c r="G438" i="4"/>
  <c r="G49" i="4" s="1"/>
  <c r="BB27" i="4"/>
  <c r="BB30" i="4" s="1"/>
  <c r="BB31" i="4" s="1"/>
  <c r="BB502" i="4"/>
  <c r="BB33" i="4" s="1"/>
  <c r="BB37" i="4" s="1"/>
  <c r="AD438" i="4"/>
  <c r="AD49" i="4" s="1"/>
  <c r="AD53" i="4" s="1"/>
  <c r="W438" i="4"/>
  <c r="W49" i="4" s="1"/>
  <c r="W53" i="4" s="1"/>
  <c r="M438" i="4"/>
  <c r="M49" i="4" s="1"/>
  <c r="M53" i="4" s="1"/>
  <c r="S438" i="4"/>
  <c r="S49" i="4" s="1"/>
  <c r="J438" i="4"/>
  <c r="J49" i="4" s="1"/>
  <c r="J53" i="4" s="1"/>
  <c r="L438" i="4"/>
  <c r="L49" i="4" s="1"/>
  <c r="L53" i="4" s="1"/>
  <c r="V438" i="4"/>
  <c r="V49" i="4" s="1"/>
  <c r="V53" i="4" s="1"/>
  <c r="AE438" i="4"/>
  <c r="AE49" i="4" s="1"/>
  <c r="AE53" i="4" s="1"/>
  <c r="D438" i="4"/>
  <c r="D49" i="4" s="1"/>
  <c r="C17" i="4"/>
  <c r="AH438" i="4"/>
  <c r="AH49" i="4" s="1"/>
  <c r="AH53" i="4" s="1"/>
  <c r="AF438" i="4"/>
  <c r="AF49" i="4" s="1"/>
  <c r="AF53" i="4" s="1"/>
  <c r="BC438" i="4"/>
  <c r="BC49" i="4" s="1"/>
  <c r="BC53" i="4" s="1"/>
  <c r="H438" i="4"/>
  <c r="H49" i="4" s="1"/>
  <c r="H53" i="4" s="1"/>
  <c r="AU438" i="4"/>
  <c r="AU49" i="4" s="1"/>
  <c r="AU53" i="4" s="1"/>
  <c r="AI438" i="4"/>
  <c r="AI49" i="4" s="1"/>
  <c r="AI53" i="4" s="1"/>
  <c r="AB438" i="4"/>
  <c r="AB49" i="4" s="1"/>
  <c r="AB53" i="4" s="1"/>
  <c r="AG438" i="4"/>
  <c r="AG49" i="4" s="1"/>
  <c r="AG53" i="4" s="1"/>
  <c r="O438" i="4"/>
  <c r="O49" i="4" s="1"/>
  <c r="O53" i="4" s="1"/>
  <c r="AA438" i="4"/>
  <c r="AA49" i="4" s="1"/>
  <c r="AA53" i="4" s="1"/>
  <c r="R438" i="4"/>
  <c r="R49" i="4" s="1"/>
  <c r="R53" i="4" s="1"/>
  <c r="BL502" i="4"/>
  <c r="BL33" i="4" s="1"/>
  <c r="BL37" i="4" s="1"/>
  <c r="BL27" i="4"/>
  <c r="BL30" i="4" s="1"/>
  <c r="N438" i="4"/>
  <c r="N49" i="4" s="1"/>
  <c r="N53" i="4" s="1"/>
  <c r="AJ438" i="4"/>
  <c r="AJ49" i="4" s="1"/>
  <c r="AJ53" i="4" s="1"/>
  <c r="Z438" i="4"/>
  <c r="Z49" i="4" s="1"/>
  <c r="Z53" i="4" s="1"/>
  <c r="AL438" i="4"/>
  <c r="AL49" i="4" s="1"/>
  <c r="AL53" i="4" s="1"/>
  <c r="AK438" i="4"/>
  <c r="AK49" i="4" s="1"/>
  <c r="AK53" i="4" s="1"/>
  <c r="Y438" i="4"/>
  <c r="Y49" i="4" s="1"/>
  <c r="Y53" i="4" s="1"/>
  <c r="P438" i="4"/>
  <c r="P49" i="4" s="1"/>
  <c r="P53" i="4" s="1"/>
  <c r="AN438" i="4"/>
  <c r="AN49" i="4" s="1"/>
  <c r="AN53" i="4" s="1"/>
  <c r="BM502" i="4"/>
  <c r="BM33" i="4" s="1"/>
  <c r="BM37" i="4" s="1"/>
  <c r="BM27" i="4"/>
  <c r="BM30" i="4" s="1"/>
  <c r="BD502" i="4"/>
  <c r="BD33" i="4" s="1"/>
  <c r="BD37" i="4" s="1"/>
  <c r="BD39" i="4" s="1"/>
  <c r="BD41" i="4" s="1"/>
  <c r="P2" i="4"/>
  <c r="Q2" i="4" s="1"/>
  <c r="R2" i="4" s="1"/>
  <c r="S2" i="4" s="1"/>
  <c r="T2" i="4" s="1"/>
  <c r="U2" i="4" s="1"/>
  <c r="V2" i="4" s="1"/>
  <c r="W2" i="4" s="1"/>
  <c r="X2" i="4" s="1"/>
  <c r="Y2" i="4" s="1"/>
  <c r="Z2" i="4" s="1"/>
  <c r="BA27" i="4"/>
  <c r="BA30" i="4" s="1"/>
  <c r="BA33" i="4"/>
  <c r="AK2" i="4"/>
  <c r="AL2" i="4" s="1"/>
  <c r="AM2" i="4" s="1"/>
  <c r="AN2" i="4" s="1"/>
  <c r="AO2" i="4" s="1"/>
  <c r="AQ2" i="4" s="1"/>
  <c r="AR2" i="4" s="1"/>
  <c r="AS2" i="4" s="1"/>
  <c r="AT2" i="4" s="1"/>
  <c r="AU2" i="4" s="1"/>
  <c r="AV2" i="4" s="1"/>
  <c r="AW2" i="4" s="1"/>
  <c r="BD31" i="4"/>
  <c r="D45" i="4"/>
  <c r="K27" i="4"/>
  <c r="K30" i="4" s="1"/>
  <c r="K31" i="4" s="1"/>
  <c r="AC27" i="4"/>
  <c r="AC30" i="4" s="1"/>
  <c r="AC502" i="4"/>
  <c r="AC33" i="4" s="1"/>
  <c r="AC37" i="4" s="1"/>
  <c r="K506" i="4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D15" i="4"/>
  <c r="A333" i="4"/>
  <c r="A334" i="4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F39" i="19"/>
  <c r="U429" i="4"/>
  <c r="O429" i="4"/>
  <c r="AF429" i="4"/>
  <c r="O23" i="4"/>
  <c r="O501" i="4" s="1"/>
  <c r="O27" i="4" s="1"/>
  <c r="O30" i="4" s="1"/>
  <c r="O31" i="4" s="1"/>
  <c r="C452" i="1"/>
  <c r="C49" i="1" s="1"/>
  <c r="I47" i="5"/>
  <c r="Q40" i="18"/>
  <c r="Q41" i="18" s="1"/>
  <c r="F43" i="18" s="1"/>
  <c r="J43" i="18" s="1"/>
  <c r="G12" i="3" s="1"/>
  <c r="Q35" i="18"/>
  <c r="Q36" i="18" s="1"/>
  <c r="F38" i="18" s="1"/>
  <c r="J38" i="18" s="1"/>
  <c r="J429" i="4"/>
  <c r="H23" i="4"/>
  <c r="H501" i="4" s="1"/>
  <c r="H502" i="4" s="1"/>
  <c r="H33" i="4" s="1"/>
  <c r="H37" i="4" s="1"/>
  <c r="C43" i="1"/>
  <c r="C45" i="1" s="1"/>
  <c r="AF23" i="4"/>
  <c r="AF501" i="4" s="1"/>
  <c r="AF27" i="4" s="1"/>
  <c r="G429" i="4"/>
  <c r="G23" i="4"/>
  <c r="G501" i="4" s="1"/>
  <c r="I48" i="5"/>
  <c r="C442" i="1"/>
  <c r="C444" i="1" s="1"/>
  <c r="C15" i="1"/>
  <c r="C23" i="1" s="1"/>
  <c r="C53" i="5"/>
  <c r="W429" i="4"/>
  <c r="AB429" i="4"/>
  <c r="AI23" i="4"/>
  <c r="AP27" i="4"/>
  <c r="AP30" i="4" s="1"/>
  <c r="AP31" i="4" s="1"/>
  <c r="AP502" i="4"/>
  <c r="AP33" i="4" s="1"/>
  <c r="AP37" i="4" s="1"/>
  <c r="AS27" i="4"/>
  <c r="AS30" i="4" s="1"/>
  <c r="AS31" i="4" s="1"/>
  <c r="AS502" i="4"/>
  <c r="AS33" i="4" s="1"/>
  <c r="AS37" i="4" s="1"/>
  <c r="AT27" i="4"/>
  <c r="AT30" i="4" s="1"/>
  <c r="AT31" i="4" s="1"/>
  <c r="AT502" i="4"/>
  <c r="AT33" i="4" s="1"/>
  <c r="AT37" i="4" s="1"/>
  <c r="BF27" i="4"/>
  <c r="BF30" i="4" s="1"/>
  <c r="BF31" i="4" s="1"/>
  <c r="BF502" i="4"/>
  <c r="BF33" i="4" s="1"/>
  <c r="BF37" i="4" s="1"/>
  <c r="AQ27" i="4"/>
  <c r="AQ30" i="4" s="1"/>
  <c r="AQ31" i="4" s="1"/>
  <c r="AQ502" i="4"/>
  <c r="AQ33" i="4" s="1"/>
  <c r="AQ37" i="4" s="1"/>
  <c r="BJ27" i="4"/>
  <c r="BJ30" i="4" s="1"/>
  <c r="BJ31" i="4" s="1"/>
  <c r="BJ502" i="4"/>
  <c r="BI27" i="4"/>
  <c r="BI30" i="4" s="1"/>
  <c r="BI31" i="4" s="1"/>
  <c r="BI502" i="4"/>
  <c r="BI33" i="4" s="1"/>
  <c r="BI37" i="4" s="1"/>
  <c r="AR27" i="4"/>
  <c r="AR30" i="4" s="1"/>
  <c r="AR31" i="4" s="1"/>
  <c r="AR502" i="4"/>
  <c r="BH27" i="4"/>
  <c r="BH30" i="4" s="1"/>
  <c r="BH31" i="4" s="1"/>
  <c r="BH502" i="4"/>
  <c r="AO27" i="4"/>
  <c r="AO30" i="4" s="1"/>
  <c r="AO31" i="4" s="1"/>
  <c r="AO502" i="4"/>
  <c r="BE27" i="4"/>
  <c r="BE30" i="4" s="1"/>
  <c r="BE31" i="4" s="1"/>
  <c r="BE33" i="4"/>
  <c r="BE37" i="4" s="1"/>
  <c r="AX27" i="4"/>
  <c r="AX30" i="4" s="1"/>
  <c r="AX31" i="4" s="1"/>
  <c r="AX502" i="4"/>
  <c r="AX33" i="4" s="1"/>
  <c r="AX37" i="4" s="1"/>
  <c r="AY27" i="4"/>
  <c r="AY30" i="4" s="1"/>
  <c r="AY31" i="4" s="1"/>
  <c r="AY502" i="4"/>
  <c r="AY33" i="4" s="1"/>
  <c r="AY37" i="4" s="1"/>
  <c r="AJ23" i="4"/>
  <c r="AM437" i="4"/>
  <c r="Y429" i="4"/>
  <c r="E15" i="4"/>
  <c r="E23" i="4" s="1"/>
  <c r="E501" i="4" s="1"/>
  <c r="E502" i="4" s="1"/>
  <c r="J23" i="4"/>
  <c r="J501" i="4" s="1"/>
  <c r="S429" i="4"/>
  <c r="D429" i="4"/>
  <c r="AW437" i="4"/>
  <c r="I437" i="4"/>
  <c r="AA23" i="4"/>
  <c r="AA501" i="4" s="1"/>
  <c r="AA502" i="4" s="1"/>
  <c r="AA33" i="4" s="1"/>
  <c r="AA37" i="4" s="1"/>
  <c r="AE15" i="4"/>
  <c r="AE23" i="4" s="1"/>
  <c r="AE501" i="4" s="1"/>
  <c r="AU23" i="4"/>
  <c r="AU501" i="4" s="1"/>
  <c r="AU27" i="4" s="1"/>
  <c r="AU30" i="4" s="1"/>
  <c r="AU31" i="4" s="1"/>
  <c r="AH23" i="4"/>
  <c r="AH501" i="4" s="1"/>
  <c r="AH502" i="4" s="1"/>
  <c r="AH33" i="4" s="1"/>
  <c r="AH37" i="4" s="1"/>
  <c r="AA429" i="4"/>
  <c r="U23" i="4"/>
  <c r="U501" i="4" s="1"/>
  <c r="U502" i="4" s="1"/>
  <c r="U33" i="4" s="1"/>
  <c r="U37" i="4" s="1"/>
  <c r="AB23" i="4"/>
  <c r="AB501" i="4" s="1"/>
  <c r="AB27" i="4" s="1"/>
  <c r="AB30" i="4" s="1"/>
  <c r="AB31" i="4" s="1"/>
  <c r="AJ429" i="4"/>
  <c r="AU429" i="4"/>
  <c r="Q23" i="4"/>
  <c r="Q501" i="4" s="1"/>
  <c r="T437" i="4"/>
  <c r="Q429" i="4"/>
  <c r="AG23" i="4"/>
  <c r="M12" i="4"/>
  <c r="F429" i="4"/>
  <c r="AH429" i="4"/>
  <c r="AI429" i="4"/>
  <c r="AG429" i="4"/>
  <c r="AL429" i="4"/>
  <c r="N429" i="4"/>
  <c r="Z15" i="4"/>
  <c r="Z23" i="4" s="1"/>
  <c r="Z501" i="4" s="1"/>
  <c r="Z429" i="4"/>
  <c r="H429" i="4"/>
  <c r="AL23" i="4"/>
  <c r="AL501" i="4" s="1"/>
  <c r="Y23" i="4"/>
  <c r="Y501" i="4" s="1"/>
  <c r="Y27" i="4" s="1"/>
  <c r="Y30" i="4" s="1"/>
  <c r="Y31" i="4" s="1"/>
  <c r="AK15" i="4"/>
  <c r="AK23" i="4" s="1"/>
  <c r="AK429" i="4"/>
  <c r="N23" i="4"/>
  <c r="N501" i="4" s="1"/>
  <c r="N27" i="4" s="1"/>
  <c r="N30" i="4" s="1"/>
  <c r="N31" i="4" s="1"/>
  <c r="BC429" i="4"/>
  <c r="BC23" i="4"/>
  <c r="AN15" i="4"/>
  <c r="AN23" i="4" s="1"/>
  <c r="AN501" i="4" s="1"/>
  <c r="AN27" i="4" s="1"/>
  <c r="AN429" i="4"/>
  <c r="V15" i="4"/>
  <c r="V23" i="4" s="1"/>
  <c r="V429" i="4"/>
  <c r="W23" i="4"/>
  <c r="W501" i="4" s="1"/>
  <c r="W27" i="4" s="1"/>
  <c r="W30" i="4" s="1"/>
  <c r="W31" i="4" s="1"/>
  <c r="M23" i="4"/>
  <c r="M429" i="4"/>
  <c r="F23" i="4"/>
  <c r="F501" i="4" s="1"/>
  <c r="F502" i="4" s="1"/>
  <c r="F33" i="4" s="1"/>
  <c r="F37" i="4" s="1"/>
  <c r="T23" i="4"/>
  <c r="T501" i="4" s="1"/>
  <c r="I23" i="4"/>
  <c r="I501" i="4" s="1"/>
  <c r="I502" i="4" s="1"/>
  <c r="I33" i="4" s="1"/>
  <c r="I37" i="4" s="1"/>
  <c r="R502" i="4"/>
  <c r="R33" i="4" s="1"/>
  <c r="R37" i="4" s="1"/>
  <c r="R39" i="4" s="1"/>
  <c r="R41" i="4" s="1"/>
  <c r="P15" i="4"/>
  <c r="P23" i="4" s="1"/>
  <c r="P429" i="4"/>
  <c r="AV15" i="4"/>
  <c r="AV23" i="4" s="1"/>
  <c r="AV429" i="4"/>
  <c r="F447" i="1"/>
  <c r="F449" i="1"/>
  <c r="AM502" i="4"/>
  <c r="AM33" i="4" s="1"/>
  <c r="AM37" i="4" s="1"/>
  <c r="AM27" i="4"/>
  <c r="AM30" i="4" s="1"/>
  <c r="AM31" i="4" s="1"/>
  <c r="S193" i="4"/>
  <c r="S250" i="4" s="1"/>
  <c r="S43" i="4"/>
  <c r="S45" i="4" s="1"/>
  <c r="X15" i="4"/>
  <c r="X23" i="4" s="1"/>
  <c r="X429" i="4"/>
  <c r="AW502" i="4"/>
  <c r="AW30" i="4"/>
  <c r="AW31" i="4" s="1"/>
  <c r="AD23" i="4"/>
  <c r="AD501" i="4" s="1"/>
  <c r="AD27" i="4" s="1"/>
  <c r="AD30" i="4" s="1"/>
  <c r="AD31" i="4" s="1"/>
  <c r="G450" i="1"/>
  <c r="F305" i="1"/>
  <c r="C429" i="4"/>
  <c r="G45" i="4"/>
  <c r="F23" i="1"/>
  <c r="F442" i="1"/>
  <c r="F444" i="1" s="1"/>
  <c r="S502" i="4"/>
  <c r="S33" i="4" s="1"/>
  <c r="S37" i="4" s="1"/>
  <c r="S27" i="4"/>
  <c r="S30" i="4" s="1"/>
  <c r="S31" i="4" s="1"/>
  <c r="F171" i="1"/>
  <c r="E393" i="1"/>
  <c r="E389" i="1"/>
  <c r="E376" i="1"/>
  <c r="E372" i="1"/>
  <c r="E392" i="1"/>
  <c r="E388" i="1"/>
  <c r="E385" i="1"/>
  <c r="E379" i="1"/>
  <c r="E375" i="1"/>
  <c r="E371" i="1"/>
  <c r="E467" i="1"/>
  <c r="E459" i="1"/>
  <c r="E391" i="1"/>
  <c r="E380" i="1"/>
  <c r="E378" i="1"/>
  <c r="E374" i="1"/>
  <c r="E300" i="1"/>
  <c r="E287" i="1"/>
  <c r="E243" i="1"/>
  <c r="E234" i="1"/>
  <c r="E286" i="1"/>
  <c r="E383" i="1"/>
  <c r="E285" i="1"/>
  <c r="E390" i="1"/>
  <c r="E386" i="1"/>
  <c r="E373" i="1"/>
  <c r="E218" i="1"/>
  <c r="E377" i="1"/>
  <c r="E219" i="1"/>
  <c r="E186" i="1"/>
  <c r="E384" i="1"/>
  <c r="E282" i="1"/>
  <c r="E498" i="1"/>
  <c r="F179" i="1"/>
  <c r="L27" i="4"/>
  <c r="L30" i="4" s="1"/>
  <c r="L31" i="4" s="1"/>
  <c r="L502" i="4"/>
  <c r="L33" i="4" s="1"/>
  <c r="L37" i="4" s="1"/>
  <c r="F12" i="1"/>
  <c r="G7" i="1"/>
  <c r="E11" i="8" s="1"/>
  <c r="H19" i="19"/>
  <c r="J7" i="19"/>
  <c r="G59" i="5"/>
  <c r="I39" i="5"/>
  <c r="I41" i="5" s="1"/>
  <c r="G18" i="5"/>
  <c r="G28" i="5"/>
  <c r="M18" i="5"/>
  <c r="M31" i="5" s="1"/>
  <c r="M53" i="5" s="1"/>
  <c r="I18" i="5"/>
  <c r="K9" i="5"/>
  <c r="K18" i="5" s="1"/>
  <c r="I28" i="5"/>
  <c r="K22" i="5"/>
  <c r="K28" i="5" s="1"/>
  <c r="K35" i="19"/>
  <c r="K39" i="19" s="1"/>
  <c r="M34" i="19"/>
  <c r="N34" i="19" s="1"/>
  <c r="H35" i="19"/>
  <c r="H39" i="19" s="1"/>
  <c r="J33" i="19"/>
  <c r="BD506" i="4" l="1"/>
  <c r="BD512" i="4" s="1"/>
  <c r="BB506" i="4"/>
  <c r="BB512" i="4" s="1"/>
  <c r="BM506" i="4"/>
  <c r="BM512" i="4" s="1"/>
  <c r="BB39" i="4"/>
  <c r="BB41" i="4" s="1"/>
  <c r="T438" i="4"/>
  <c r="T49" i="4" s="1"/>
  <c r="T53" i="4" s="1"/>
  <c r="I438" i="4"/>
  <c r="I49" i="4" s="1"/>
  <c r="I53" i="4" s="1"/>
  <c r="AM438" i="4"/>
  <c r="AM49" i="4" s="1"/>
  <c r="AM53" i="4" s="1"/>
  <c r="AW438" i="4"/>
  <c r="AW49" i="4" s="1"/>
  <c r="AW53" i="4" s="1"/>
  <c r="D53" i="4"/>
  <c r="C45" i="4"/>
  <c r="C43" i="4"/>
  <c r="S53" i="4"/>
  <c r="AJ501" i="4"/>
  <c r="BL31" i="4"/>
  <c r="BL39" i="4"/>
  <c r="BL41" i="4" s="1"/>
  <c r="BM39" i="4"/>
  <c r="BM41" i="4" s="1"/>
  <c r="BM31" i="4"/>
  <c r="BL506" i="4"/>
  <c r="BL512" i="4" s="1"/>
  <c r="C15" i="4"/>
  <c r="C23" i="4" s="1"/>
  <c r="AF30" i="4"/>
  <c r="AF31" i="4" s="1"/>
  <c r="AA2" i="4"/>
  <c r="AB2" i="4" s="1"/>
  <c r="AC2" i="4" s="1"/>
  <c r="BA31" i="4"/>
  <c r="BC501" i="4"/>
  <c r="BC502" i="4" s="1"/>
  <c r="AI501" i="4"/>
  <c r="AI27" i="4" s="1"/>
  <c r="AI30" i="4" s="1"/>
  <c r="AI31" i="4" s="1"/>
  <c r="D23" i="4"/>
  <c r="D501" i="4" s="1"/>
  <c r="E162" i="1"/>
  <c r="K39" i="4"/>
  <c r="K41" i="4" s="1"/>
  <c r="K512" i="4"/>
  <c r="AC31" i="4"/>
  <c r="AC39" i="4"/>
  <c r="AC41" i="4" s="1"/>
  <c r="AC506" i="4"/>
  <c r="AC512" i="4" s="1"/>
  <c r="C30" i="1"/>
  <c r="C39" i="1" s="1"/>
  <c r="C41" i="1" s="1"/>
  <c r="O502" i="4"/>
  <c r="O33" i="4" s="1"/>
  <c r="O37" i="4" s="1"/>
  <c r="O39" i="4" s="1"/>
  <c r="O41" i="4" s="1"/>
  <c r="G10" i="3"/>
  <c r="C53" i="1"/>
  <c r="K39" i="5"/>
  <c r="K41" i="5" s="1"/>
  <c r="G31" i="5"/>
  <c r="G53" i="5" s="1"/>
  <c r="AT39" i="4"/>
  <c r="AT41" i="4" s="1"/>
  <c r="AP39" i="4"/>
  <c r="AP41" i="4" s="1"/>
  <c r="AX39" i="4"/>
  <c r="AX41" i="4" s="1"/>
  <c r="AY39" i="4"/>
  <c r="AY41" i="4" s="1"/>
  <c r="AN502" i="4"/>
  <c r="AN33" i="4" s="1"/>
  <c r="AN37" i="4" s="1"/>
  <c r="AQ506" i="4"/>
  <c r="AQ512" i="4" s="1"/>
  <c r="AS39" i="4"/>
  <c r="AS41" i="4" s="1"/>
  <c r="BF39" i="4"/>
  <c r="BF41" i="4" s="1"/>
  <c r="AS506" i="4"/>
  <c r="AS512" i="4" s="1"/>
  <c r="BF506" i="4"/>
  <c r="BF512" i="4" s="1"/>
  <c r="AP506" i="4"/>
  <c r="AP512" i="4" s="1"/>
  <c r="AN30" i="4"/>
  <c r="AN31" i="4" s="1"/>
  <c r="AY506" i="4"/>
  <c r="AY512" i="4" s="1"/>
  <c r="BI39" i="4"/>
  <c r="BI41" i="4" s="1"/>
  <c r="AQ39" i="4"/>
  <c r="AQ41" i="4" s="1"/>
  <c r="BJ506" i="4"/>
  <c r="BJ512" i="4" s="1"/>
  <c r="BJ33" i="4"/>
  <c r="BJ37" i="4" s="1"/>
  <c r="BJ39" i="4" s="1"/>
  <c r="BJ41" i="4" s="1"/>
  <c r="AO506" i="4"/>
  <c r="AO512" i="4" s="1"/>
  <c r="AO33" i="4"/>
  <c r="AO37" i="4" s="1"/>
  <c r="AO39" i="4" s="1"/>
  <c r="AO41" i="4" s="1"/>
  <c r="AR506" i="4"/>
  <c r="AR512" i="4" s="1"/>
  <c r="AR33" i="4"/>
  <c r="AR37" i="4" s="1"/>
  <c r="AR39" i="4" s="1"/>
  <c r="AR41" i="4" s="1"/>
  <c r="BI506" i="4"/>
  <c r="BI512" i="4" s="1"/>
  <c r="BE506" i="4"/>
  <c r="BE512" i="4" s="1"/>
  <c r="AX506" i="4"/>
  <c r="AX512" i="4" s="1"/>
  <c r="BE39" i="4"/>
  <c r="BE41" i="4" s="1"/>
  <c r="BH506" i="4"/>
  <c r="BH512" i="4" s="1"/>
  <c r="BH33" i="4"/>
  <c r="BH37" i="4" s="1"/>
  <c r="BH39" i="4" s="1"/>
  <c r="BH41" i="4" s="1"/>
  <c r="AT506" i="4"/>
  <c r="AT512" i="4" s="1"/>
  <c r="U506" i="4"/>
  <c r="U27" i="4"/>
  <c r="U30" i="4" s="1"/>
  <c r="H27" i="4"/>
  <c r="H30" i="4" s="1"/>
  <c r="J502" i="4"/>
  <c r="J33" i="4" s="1"/>
  <c r="J37" i="4" s="1"/>
  <c r="J27" i="4"/>
  <c r="J30" i="4" s="1"/>
  <c r="J31" i="4" s="1"/>
  <c r="AA27" i="4"/>
  <c r="AA30" i="4" s="1"/>
  <c r="AA506" i="4"/>
  <c r="M501" i="4"/>
  <c r="M502" i="4" s="1"/>
  <c r="M33" i="4" s="1"/>
  <c r="M37" i="4" s="1"/>
  <c r="Y502" i="4"/>
  <c r="Y33" i="4" s="1"/>
  <c r="Y37" i="4" s="1"/>
  <c r="Y39" i="4" s="1"/>
  <c r="Y41" i="4" s="1"/>
  <c r="AB502" i="4"/>
  <c r="AB33" i="4" s="1"/>
  <c r="AB37" i="4" s="1"/>
  <c r="AB39" i="4" s="1"/>
  <c r="AB41" i="4" s="1"/>
  <c r="I506" i="4"/>
  <c r="F506" i="4"/>
  <c r="C437" i="4"/>
  <c r="C438" i="4" s="1"/>
  <c r="F452" i="1"/>
  <c r="Z502" i="4"/>
  <c r="Z33" i="4" s="1"/>
  <c r="Z37" i="4" s="1"/>
  <c r="Z27" i="4"/>
  <c r="Z30" i="4" s="1"/>
  <c r="Z31" i="4" s="1"/>
  <c r="AU502" i="4"/>
  <c r="F27" i="4"/>
  <c r="F30" i="4" s="1"/>
  <c r="AK501" i="4"/>
  <c r="AK502" i="4" s="1"/>
  <c r="AK33" i="4" s="1"/>
  <c r="AK37" i="4" s="1"/>
  <c r="W502" i="4"/>
  <c r="W33" i="4" s="1"/>
  <c r="W37" i="4" s="1"/>
  <c r="W39" i="4" s="1"/>
  <c r="W41" i="4" s="1"/>
  <c r="V501" i="4"/>
  <c r="S39" i="4"/>
  <c r="S41" i="4" s="1"/>
  <c r="I27" i="4"/>
  <c r="I30" i="4" s="1"/>
  <c r="N502" i="4"/>
  <c r="N33" i="4" s="1"/>
  <c r="N37" i="4" s="1"/>
  <c r="N39" i="4" s="1"/>
  <c r="N41" i="4" s="1"/>
  <c r="AL27" i="4"/>
  <c r="AL30" i="4" s="1"/>
  <c r="AL31" i="4" s="1"/>
  <c r="AF502" i="4"/>
  <c r="P501" i="4"/>
  <c r="P502" i="4" s="1"/>
  <c r="P33" i="4" s="1"/>
  <c r="P37" i="4" s="1"/>
  <c r="AL502" i="4"/>
  <c r="AL33" i="4" s="1"/>
  <c r="AL37" i="4" s="1"/>
  <c r="AM39" i="4"/>
  <c r="AM41" i="4" s="1"/>
  <c r="R506" i="4"/>
  <c r="R512" i="4" s="1"/>
  <c r="AM506" i="4"/>
  <c r="AM512" i="4" s="1"/>
  <c r="AV501" i="4"/>
  <c r="AV502" i="4" s="1"/>
  <c r="AV33" i="4" s="1"/>
  <c r="AV37" i="4" s="1"/>
  <c r="H506" i="4"/>
  <c r="AD502" i="4"/>
  <c r="AD33" i="4" s="1"/>
  <c r="AD37" i="4" s="1"/>
  <c r="AD39" i="4" s="1"/>
  <c r="AD41" i="4" s="1"/>
  <c r="G27" i="4"/>
  <c r="G30" i="4" s="1"/>
  <c r="G31" i="4" s="1"/>
  <c r="AW506" i="4"/>
  <c r="AW512" i="4" s="1"/>
  <c r="AW33" i="4"/>
  <c r="AW37" i="4" s="1"/>
  <c r="AW39" i="4" s="1"/>
  <c r="AW41" i="4" s="1"/>
  <c r="X501" i="4"/>
  <c r="X502" i="4" s="1"/>
  <c r="X33" i="4" s="1"/>
  <c r="Q27" i="4"/>
  <c r="Q30" i="4" s="1"/>
  <c r="Q31" i="4" s="1"/>
  <c r="G502" i="4"/>
  <c r="G33" i="4" s="1"/>
  <c r="G37" i="4" s="1"/>
  <c r="AH27" i="4"/>
  <c r="AH30" i="4" s="1"/>
  <c r="AH506" i="4"/>
  <c r="Q502" i="4"/>
  <c r="Q33" i="4" s="1"/>
  <c r="Q37" i="4" s="1"/>
  <c r="G53" i="4"/>
  <c r="AE502" i="4"/>
  <c r="AE33" i="4" s="1"/>
  <c r="AE37" i="4" s="1"/>
  <c r="AE27" i="4"/>
  <c r="S506" i="4"/>
  <c r="S512" i="4" s="1"/>
  <c r="G498" i="1"/>
  <c r="D498" i="1"/>
  <c r="D300" i="1"/>
  <c r="G300" i="1"/>
  <c r="E381" i="1"/>
  <c r="D371" i="1"/>
  <c r="G371" i="1"/>
  <c r="D377" i="1"/>
  <c r="G377" i="1"/>
  <c r="D234" i="1"/>
  <c r="G234" i="1"/>
  <c r="G391" i="1"/>
  <c r="D391" i="1"/>
  <c r="D393" i="1"/>
  <c r="G393" i="1"/>
  <c r="E220" i="1"/>
  <c r="D218" i="1"/>
  <c r="G218" i="1"/>
  <c r="G285" i="1"/>
  <c r="D285" i="1"/>
  <c r="G243" i="1"/>
  <c r="D243" i="1"/>
  <c r="G378" i="1"/>
  <c r="D378" i="1"/>
  <c r="D459" i="1"/>
  <c r="G459" i="1"/>
  <c r="D379" i="1"/>
  <c r="G379" i="1"/>
  <c r="D372" i="1"/>
  <c r="G372" i="1"/>
  <c r="F203" i="1"/>
  <c r="F263" i="1" s="1"/>
  <c r="F43" i="1"/>
  <c r="F45" i="1" s="1"/>
  <c r="G219" i="1"/>
  <c r="D219" i="1"/>
  <c r="D386" i="1"/>
  <c r="G386" i="1"/>
  <c r="D286" i="1"/>
  <c r="G286" i="1"/>
  <c r="G387" i="1"/>
  <c r="D388" i="1"/>
  <c r="G388" i="1"/>
  <c r="D389" i="1"/>
  <c r="G389" i="1"/>
  <c r="D282" i="1"/>
  <c r="G282" i="1"/>
  <c r="D390" i="1"/>
  <c r="G390" i="1"/>
  <c r="G374" i="1"/>
  <c r="D374" i="1"/>
  <c r="D375" i="1"/>
  <c r="G375" i="1"/>
  <c r="D392" i="1"/>
  <c r="G392" i="1"/>
  <c r="G384" i="1"/>
  <c r="D384" i="1"/>
  <c r="G186" i="1"/>
  <c r="D186" i="1"/>
  <c r="D373" i="1"/>
  <c r="G373" i="1"/>
  <c r="D383" i="1"/>
  <c r="G383" i="1"/>
  <c r="E394" i="1"/>
  <c r="D287" i="1"/>
  <c r="G287" i="1"/>
  <c r="D380" i="1"/>
  <c r="G380" i="1"/>
  <c r="G467" i="1"/>
  <c r="D467" i="1"/>
  <c r="D385" i="1"/>
  <c r="G385" i="1"/>
  <c r="D376" i="1"/>
  <c r="G376" i="1"/>
  <c r="L506" i="4"/>
  <c r="L512" i="4" s="1"/>
  <c r="L39" i="4"/>
  <c r="L41" i="4" s="1"/>
  <c r="T27" i="4"/>
  <c r="T30" i="4" s="1"/>
  <c r="T31" i="4" s="1"/>
  <c r="T502" i="4"/>
  <c r="E33" i="4"/>
  <c r="E37" i="4" s="1"/>
  <c r="E27" i="4"/>
  <c r="E30" i="4" s="1"/>
  <c r="E31" i="4" s="1"/>
  <c r="E506" i="4"/>
  <c r="K7" i="19"/>
  <c r="J19" i="19"/>
  <c r="K31" i="5"/>
  <c r="I31" i="5"/>
  <c r="I53" i="5" s="1"/>
  <c r="J35" i="19"/>
  <c r="J39" i="19" s="1"/>
  <c r="M33" i="19"/>
  <c r="E123" i="1"/>
  <c r="E119" i="1"/>
  <c r="E115" i="1"/>
  <c r="E122" i="1"/>
  <c r="E118" i="1"/>
  <c r="E114" i="1"/>
  <c r="E121" i="1"/>
  <c r="E113" i="1"/>
  <c r="E233" i="1"/>
  <c r="E120" i="1"/>
  <c r="AJ502" i="4" l="1"/>
  <c r="AJ33" i="4" s="1"/>
  <c r="AJ37" i="4" s="1"/>
  <c r="AJ27" i="4"/>
  <c r="AJ30" i="4" s="1"/>
  <c r="X37" i="4"/>
  <c r="T33" i="4"/>
  <c r="T37" i="4" s="1"/>
  <c r="BA2" i="4"/>
  <c r="AI502" i="4"/>
  <c r="AI33" i="4" s="1"/>
  <c r="AI37" i="4" s="1"/>
  <c r="AI39" i="4" s="1"/>
  <c r="AI41" i="4" s="1"/>
  <c r="D502" i="4"/>
  <c r="D506" i="4" s="1"/>
  <c r="AH39" i="4"/>
  <c r="AH41" i="4" s="1"/>
  <c r="AH31" i="4"/>
  <c r="F39" i="4"/>
  <c r="F41" i="4" s="1"/>
  <c r="F31" i="4"/>
  <c r="U39" i="4"/>
  <c r="U41" i="4" s="1"/>
  <c r="U31" i="4"/>
  <c r="AA39" i="4"/>
  <c r="AA41" i="4" s="1"/>
  <c r="AA31" i="4"/>
  <c r="H39" i="4"/>
  <c r="H41" i="4" s="1"/>
  <c r="H31" i="4"/>
  <c r="I39" i="4"/>
  <c r="I41" i="4" s="1"/>
  <c r="I31" i="4"/>
  <c r="D432" i="1"/>
  <c r="E184" i="1"/>
  <c r="G184" i="1" s="1"/>
  <c r="C55" i="1"/>
  <c r="E334" i="1"/>
  <c r="D334" i="1" s="1"/>
  <c r="E309" i="1"/>
  <c r="D309" i="1" s="1"/>
  <c r="D27" i="4"/>
  <c r="E70" i="1"/>
  <c r="D70" i="1" s="1"/>
  <c r="E71" i="1"/>
  <c r="D71" i="1" s="1"/>
  <c r="E192" i="1"/>
  <c r="D192" i="1" s="1"/>
  <c r="O506" i="4"/>
  <c r="O512" i="4" s="1"/>
  <c r="E338" i="1"/>
  <c r="G338" i="1" s="1"/>
  <c r="E465" i="1"/>
  <c r="D465" i="1" s="1"/>
  <c r="E67" i="1"/>
  <c r="G67" i="1" s="1"/>
  <c r="E161" i="1"/>
  <c r="G161" i="1" s="1"/>
  <c r="E69" i="1"/>
  <c r="D69" i="1" s="1"/>
  <c r="E283" i="1"/>
  <c r="D283" i="1" s="1"/>
  <c r="E68" i="1"/>
  <c r="D68" i="1" s="1"/>
  <c r="E191" i="1"/>
  <c r="D191" i="1" s="1"/>
  <c r="E116" i="1"/>
  <c r="G116" i="1" s="1"/>
  <c r="E458" i="1"/>
  <c r="G458" i="1" s="1"/>
  <c r="E117" i="1"/>
  <c r="D117" i="1" s="1"/>
  <c r="E327" i="1"/>
  <c r="G327" i="1" s="1"/>
  <c r="E72" i="1"/>
  <c r="D72" i="1" s="1"/>
  <c r="D36" i="6"/>
  <c r="E311" i="1"/>
  <c r="E66" i="1"/>
  <c r="G66" i="1" s="1"/>
  <c r="E210" i="1"/>
  <c r="D210" i="1" s="1"/>
  <c r="E319" i="1"/>
  <c r="G319" i="1" s="1"/>
  <c r="E280" i="1"/>
  <c r="D280" i="1" s="1"/>
  <c r="E240" i="1"/>
  <c r="G240" i="1" s="1"/>
  <c r="E316" i="1"/>
  <c r="G316" i="1" s="1"/>
  <c r="E328" i="1"/>
  <c r="G328" i="1" s="1"/>
  <c r="E211" i="1"/>
  <c r="E315" i="1"/>
  <c r="G315" i="1" s="1"/>
  <c r="E324" i="1"/>
  <c r="G324" i="1" s="1"/>
  <c r="E337" i="1"/>
  <c r="D337" i="1" s="1"/>
  <c r="E489" i="1"/>
  <c r="E325" i="1"/>
  <c r="D325" i="1" s="1"/>
  <c r="E508" i="1"/>
  <c r="D508" i="1" s="1"/>
  <c r="D32" i="6"/>
  <c r="M24" i="13"/>
  <c r="E456" i="1"/>
  <c r="D456" i="1" s="1"/>
  <c r="E496" i="1"/>
  <c r="G496" i="1" s="1"/>
  <c r="E320" i="1"/>
  <c r="D320" i="1" s="1"/>
  <c r="E335" i="1"/>
  <c r="E318" i="1"/>
  <c r="D318" i="1" s="1"/>
  <c r="K53" i="5"/>
  <c r="K55" i="5" s="1"/>
  <c r="AN506" i="4"/>
  <c r="AN512" i="4" s="1"/>
  <c r="AN39" i="4"/>
  <c r="AN41" i="4" s="1"/>
  <c r="AH512" i="4"/>
  <c r="U512" i="4"/>
  <c r="I512" i="4"/>
  <c r="H512" i="4"/>
  <c r="F512" i="4"/>
  <c r="AA512" i="4"/>
  <c r="E512" i="4"/>
  <c r="J506" i="4"/>
  <c r="J512" i="4" s="1"/>
  <c r="J39" i="4"/>
  <c r="J41" i="4" s="1"/>
  <c r="M27" i="4"/>
  <c r="M30" i="4" s="1"/>
  <c r="M506" i="4"/>
  <c r="W506" i="4"/>
  <c r="W512" i="4" s="1"/>
  <c r="AB506" i="4"/>
  <c r="AB512" i="4" s="1"/>
  <c r="Y506" i="4"/>
  <c r="Y512" i="4" s="1"/>
  <c r="Z506" i="4"/>
  <c r="Z512" i="4" s="1"/>
  <c r="Z39" i="4"/>
  <c r="Z41" i="4" s="1"/>
  <c r="AU33" i="4"/>
  <c r="AU37" i="4" s="1"/>
  <c r="AU39" i="4" s="1"/>
  <c r="AU41" i="4" s="1"/>
  <c r="AU506" i="4"/>
  <c r="AU512" i="4" s="1"/>
  <c r="AK27" i="4"/>
  <c r="AK30" i="4" s="1"/>
  <c r="AK506" i="4"/>
  <c r="V27" i="4"/>
  <c r="V30" i="4" s="1"/>
  <c r="V31" i="4" s="1"/>
  <c r="V502" i="4"/>
  <c r="V33" i="4" s="1"/>
  <c r="V37" i="4" s="1"/>
  <c r="AD506" i="4"/>
  <c r="AD512" i="4" s="1"/>
  <c r="N506" i="4"/>
  <c r="N512" i="4" s="1"/>
  <c r="P27" i="4"/>
  <c r="P30" i="4" s="1"/>
  <c r="P506" i="4"/>
  <c r="Q39" i="4"/>
  <c r="Q41" i="4" s="1"/>
  <c r="AF33" i="4"/>
  <c r="AF506" i="4"/>
  <c r="AF512" i="4" s="1"/>
  <c r="AL39" i="4"/>
  <c r="AL41" i="4" s="1"/>
  <c r="AV27" i="4"/>
  <c r="AV30" i="4" s="1"/>
  <c r="AV506" i="4"/>
  <c r="AL506" i="4"/>
  <c r="AL512" i="4" s="1"/>
  <c r="Q506" i="4"/>
  <c r="Q512" i="4" s="1"/>
  <c r="G220" i="1"/>
  <c r="X27" i="4"/>
  <c r="X506" i="4"/>
  <c r="G39" i="4"/>
  <c r="G41" i="4" s="1"/>
  <c r="G506" i="4"/>
  <c r="G512" i="4" s="1"/>
  <c r="AE30" i="4"/>
  <c r="AE506" i="4"/>
  <c r="G381" i="1"/>
  <c r="G394" i="1"/>
  <c r="D381" i="1"/>
  <c r="D394" i="1"/>
  <c r="D220" i="1"/>
  <c r="E396" i="1"/>
  <c r="T39" i="4"/>
  <c r="T41" i="4" s="1"/>
  <c r="T506" i="4"/>
  <c r="T512" i="4" s="1"/>
  <c r="E39" i="4"/>
  <c r="K19" i="19"/>
  <c r="L7" i="19"/>
  <c r="M35" i="19"/>
  <c r="N33" i="19"/>
  <c r="N35" i="19" s="1"/>
  <c r="N39" i="19" s="1"/>
  <c r="D233" i="1"/>
  <c r="G233" i="1"/>
  <c r="D122" i="1"/>
  <c r="G122" i="1"/>
  <c r="G121" i="1"/>
  <c r="D121" i="1"/>
  <c r="D115" i="1"/>
  <c r="G115" i="1"/>
  <c r="D118" i="1"/>
  <c r="G118" i="1"/>
  <c r="D123" i="1"/>
  <c r="G123" i="1"/>
  <c r="G113" i="1"/>
  <c r="D113" i="1"/>
  <c r="D162" i="1"/>
  <c r="G162" i="1"/>
  <c r="D120" i="1"/>
  <c r="G120" i="1"/>
  <c r="D114" i="1"/>
  <c r="G114" i="1"/>
  <c r="D119" i="1"/>
  <c r="G119" i="1"/>
  <c r="AJ506" i="4" l="1"/>
  <c r="AJ512" i="4" s="1"/>
  <c r="AJ31" i="4"/>
  <c r="AJ39" i="4"/>
  <c r="AJ41" i="4" s="1"/>
  <c r="D311" i="1"/>
  <c r="X30" i="4"/>
  <c r="X31" i="4" s="1"/>
  <c r="AF37" i="4"/>
  <c r="AF39" i="4" s="1"/>
  <c r="AI506" i="4"/>
  <c r="AI512" i="4" s="1"/>
  <c r="D33" i="4"/>
  <c r="D37" i="4" s="1"/>
  <c r="D30" i="4"/>
  <c r="D31" i="4" s="1"/>
  <c r="AE39" i="4"/>
  <c r="AE41" i="4" s="1"/>
  <c r="AE31" i="4"/>
  <c r="P39" i="4"/>
  <c r="P41" i="4" s="1"/>
  <c r="P31" i="4"/>
  <c r="M39" i="4"/>
  <c r="M41" i="4" s="1"/>
  <c r="M31" i="4"/>
  <c r="AV39" i="4"/>
  <c r="AV41" i="4" s="1"/>
  <c r="AV31" i="4"/>
  <c r="AK39" i="4"/>
  <c r="AK41" i="4" s="1"/>
  <c r="AK31" i="4"/>
  <c r="G309" i="1"/>
  <c r="D211" i="1"/>
  <c r="D212" i="1" s="1"/>
  <c r="G334" i="1"/>
  <c r="D335" i="1"/>
  <c r="G70" i="1"/>
  <c r="G71" i="1"/>
  <c r="G192" i="1"/>
  <c r="D184" i="1"/>
  <c r="G280" i="1"/>
  <c r="G465" i="1"/>
  <c r="D67" i="1"/>
  <c r="D458" i="1"/>
  <c r="D327" i="1"/>
  <c r="G72" i="1"/>
  <c r="G210" i="1"/>
  <c r="D338" i="1"/>
  <c r="D116" i="1"/>
  <c r="D124" i="1" s="1"/>
  <c r="G68" i="1"/>
  <c r="G211" i="1"/>
  <c r="G283" i="1"/>
  <c r="G191" i="1"/>
  <c r="D315" i="1"/>
  <c r="D66" i="1"/>
  <c r="D161" i="1"/>
  <c r="G117" i="1"/>
  <c r="G124" i="1" s="1"/>
  <c r="G311" i="1"/>
  <c r="E74" i="1"/>
  <c r="E106" i="1" s="1"/>
  <c r="D319" i="1"/>
  <c r="G69" i="1"/>
  <c r="E124" i="1"/>
  <c r="E173" i="1" s="1"/>
  <c r="G337" i="1"/>
  <c r="D324" i="1"/>
  <c r="E212" i="1"/>
  <c r="D316" i="1"/>
  <c r="D328" i="1"/>
  <c r="G335" i="1"/>
  <c r="G325" i="1"/>
  <c r="D240" i="1"/>
  <c r="G456" i="1"/>
  <c r="G432" i="1"/>
  <c r="G508" i="1"/>
  <c r="D496" i="1"/>
  <c r="G320" i="1"/>
  <c r="G318" i="1"/>
  <c r="M55" i="5"/>
  <c r="N55" i="5" s="1"/>
  <c r="D396" i="1"/>
  <c r="M512" i="4"/>
  <c r="AE512" i="4"/>
  <c r="AV512" i="4"/>
  <c r="AK512" i="4"/>
  <c r="P512" i="4"/>
  <c r="V506" i="4"/>
  <c r="V512" i="4" s="1"/>
  <c r="V39" i="4"/>
  <c r="V41" i="4" s="1"/>
  <c r="G449" i="1"/>
  <c r="E17" i="1"/>
  <c r="G17" i="1" s="1"/>
  <c r="G396" i="1"/>
  <c r="E41" i="4"/>
  <c r="M39" i="19"/>
  <c r="M41" i="19" s="1"/>
  <c r="N41" i="19" s="1"/>
  <c r="G14" i="3" s="1"/>
  <c r="G40" i="3" s="1"/>
  <c r="L19" i="19"/>
  <c r="M7" i="19"/>
  <c r="X39" i="4" l="1"/>
  <c r="X41" i="4" s="1"/>
  <c r="X512" i="4"/>
  <c r="AF41" i="4"/>
  <c r="D39" i="4"/>
  <c r="D512" i="4"/>
  <c r="E336" i="1"/>
  <c r="D74" i="1"/>
  <c r="D106" i="1" s="1"/>
  <c r="G212" i="1"/>
  <c r="G74" i="1"/>
  <c r="G106" i="1" s="1"/>
  <c r="E177" i="1"/>
  <c r="H177" i="1" s="1"/>
  <c r="D17" i="1"/>
  <c r="E310" i="1"/>
  <c r="G310" i="1" s="1"/>
  <c r="E507" i="1"/>
  <c r="G507" i="1" s="1"/>
  <c r="B36" i="6"/>
  <c r="E272" i="1"/>
  <c r="E274" i="1" s="1"/>
  <c r="I36" i="17"/>
  <c r="I38" i="17" s="1"/>
  <c r="E314" i="1"/>
  <c r="G314" i="1" s="1"/>
  <c r="E312" i="1"/>
  <c r="U24" i="13"/>
  <c r="G14" i="13" s="1"/>
  <c r="B32" i="6"/>
  <c r="F32" i="6" s="1"/>
  <c r="E292" i="1"/>
  <c r="G292" i="1" s="1"/>
  <c r="G38" i="3"/>
  <c r="E321" i="1"/>
  <c r="G321" i="1" s="1"/>
  <c r="K24" i="13"/>
  <c r="E239" i="1"/>
  <c r="G239" i="1" s="1"/>
  <c r="E317" i="1"/>
  <c r="D317" i="1" s="1"/>
  <c r="E241" i="1"/>
  <c r="D241" i="1" s="1"/>
  <c r="M19" i="19"/>
  <c r="N7" i="19"/>
  <c r="N19" i="19" s="1"/>
  <c r="D177" i="1"/>
  <c r="D173" i="1"/>
  <c r="G177" i="1"/>
  <c r="G173" i="1"/>
  <c r="G16" i="3"/>
  <c r="E472" i="1" s="1"/>
  <c r="H173" i="1"/>
  <c r="G312" i="1" l="1"/>
  <c r="C10" i="28"/>
  <c r="E10" i="28" s="1"/>
  <c r="F10" i="28" s="1"/>
  <c r="J10" i="28" s="1"/>
  <c r="E339" i="1"/>
  <c r="C12" i="28"/>
  <c r="E12" i="28" s="1"/>
  <c r="F12" i="28" s="1"/>
  <c r="J12" i="28" s="1"/>
  <c r="U21" i="13"/>
  <c r="D41" i="4"/>
  <c r="E354" i="1"/>
  <c r="D354" i="1" s="1"/>
  <c r="E185" i="1"/>
  <c r="G20" i="3"/>
  <c r="G272" i="1"/>
  <c r="D292" i="1"/>
  <c r="D321" i="1"/>
  <c r="D314" i="1"/>
  <c r="D312" i="1"/>
  <c r="D272" i="1"/>
  <c r="D274" i="1" s="1"/>
  <c r="D11" i="1" s="1"/>
  <c r="D239" i="1"/>
  <c r="D507" i="1"/>
  <c r="E108" i="1"/>
  <c r="E427" i="1"/>
  <c r="G427" i="1" s="1"/>
  <c r="E435" i="1"/>
  <c r="D435" i="1" s="1"/>
  <c r="E423" i="1"/>
  <c r="D423" i="1" s="1"/>
  <c r="E422" i="1"/>
  <c r="D422" i="1" s="1"/>
  <c r="G241" i="1"/>
  <c r="G336" i="1"/>
  <c r="E430" i="1"/>
  <c r="G430" i="1" s="1"/>
  <c r="C24" i="28" s="1"/>
  <c r="E24" i="28" s="1"/>
  <c r="F24" i="28" s="1"/>
  <c r="J24" i="28" s="1"/>
  <c r="E439" i="1"/>
  <c r="G439" i="1" s="1"/>
  <c r="D336" i="1"/>
  <c r="D339" i="1" s="1"/>
  <c r="E426" i="1"/>
  <c r="D426" i="1" s="1"/>
  <c r="E434" i="1"/>
  <c r="G434" i="1" s="1"/>
  <c r="D310" i="1"/>
  <c r="E438" i="1"/>
  <c r="G438" i="1" s="1"/>
  <c r="E433" i="1"/>
  <c r="G433" i="1" s="1"/>
  <c r="E424" i="1"/>
  <c r="G424" i="1" s="1"/>
  <c r="G317" i="1"/>
  <c r="E322" i="1"/>
  <c r="E428" i="1"/>
  <c r="D428" i="1" s="1"/>
  <c r="E425" i="1"/>
  <c r="E429" i="1"/>
  <c r="D429" i="1" s="1"/>
  <c r="G447" i="1"/>
  <c r="G274" i="1"/>
  <c r="E11" i="1"/>
  <c r="G11" i="1" s="1"/>
  <c r="E13" i="8" s="1"/>
  <c r="I13" i="8" s="1"/>
  <c r="E457" i="1"/>
  <c r="E365" i="1"/>
  <c r="E362" i="1"/>
  <c r="E359" i="1"/>
  <c r="E352" i="1"/>
  <c r="E348" i="1"/>
  <c r="E345" i="1"/>
  <c r="E466" i="1"/>
  <c r="E361" i="1"/>
  <c r="E355" i="1"/>
  <c r="E347" i="1"/>
  <c r="E364" i="1"/>
  <c r="E360" i="1"/>
  <c r="E346" i="1"/>
  <c r="E344" i="1"/>
  <c r="E242" i="1"/>
  <c r="E349" i="1"/>
  <c r="E299" i="1"/>
  <c r="E363" i="1"/>
  <c r="E297" i="1"/>
  <c r="E281" i="1"/>
  <c r="E215" i="1"/>
  <c r="E497" i="1"/>
  <c r="E284" i="1"/>
  <c r="E288" i="1"/>
  <c r="E214" i="1"/>
  <c r="G322" i="1" l="1"/>
  <c r="G354" i="1"/>
  <c r="G339" i="1"/>
  <c r="D427" i="1"/>
  <c r="D322" i="1"/>
  <c r="D430" i="1"/>
  <c r="D434" i="1"/>
  <c r="D424" i="1"/>
  <c r="D439" i="1"/>
  <c r="D472" i="1"/>
  <c r="D473" i="1" s="1"/>
  <c r="G472" i="1"/>
  <c r="G473" i="1" s="1"/>
  <c r="G428" i="1"/>
  <c r="D108" i="1"/>
  <c r="D110" i="1" s="1"/>
  <c r="D181" i="1" s="1"/>
  <c r="G108" i="1"/>
  <c r="G110" i="1" s="1"/>
  <c r="G181" i="1" s="1"/>
  <c r="G426" i="1"/>
  <c r="G435" i="1"/>
  <c r="G423" i="1"/>
  <c r="E436" i="1"/>
  <c r="E440" i="1" s="1"/>
  <c r="G451" i="1" s="1"/>
  <c r="D425" i="1"/>
  <c r="D438" i="1"/>
  <c r="G422" i="1"/>
  <c r="G425" i="1"/>
  <c r="G429" i="1"/>
  <c r="D433" i="1"/>
  <c r="D284" i="1"/>
  <c r="G284" i="1"/>
  <c r="G344" i="1"/>
  <c r="D344" i="1"/>
  <c r="E356" i="1"/>
  <c r="D497" i="1"/>
  <c r="G497" i="1"/>
  <c r="D355" i="1"/>
  <c r="G355" i="1"/>
  <c r="D345" i="1"/>
  <c r="G345" i="1"/>
  <c r="D362" i="1"/>
  <c r="G362" i="1"/>
  <c r="D185" i="1"/>
  <c r="G185" i="1"/>
  <c r="E473" i="1"/>
  <c r="G297" i="1"/>
  <c r="E301" i="1"/>
  <c r="D297" i="1"/>
  <c r="D299" i="1"/>
  <c r="G299" i="1"/>
  <c r="E216" i="1"/>
  <c r="D214" i="1"/>
  <c r="G214" i="1"/>
  <c r="E110" i="1"/>
  <c r="E181" i="1" s="1"/>
  <c r="D349" i="1"/>
  <c r="G349" i="1"/>
  <c r="G360" i="1"/>
  <c r="D360" i="1"/>
  <c r="D361" i="1"/>
  <c r="G361" i="1"/>
  <c r="D348" i="1"/>
  <c r="G348" i="1"/>
  <c r="D365" i="1"/>
  <c r="G365" i="1"/>
  <c r="D489" i="1"/>
  <c r="G489" i="1"/>
  <c r="G281" i="1"/>
  <c r="D281" i="1"/>
  <c r="E289" i="1"/>
  <c r="D347" i="1"/>
  <c r="G347" i="1"/>
  <c r="D359" i="1"/>
  <c r="E366" i="1"/>
  <c r="G359" i="1"/>
  <c r="G346" i="1"/>
  <c r="D346" i="1"/>
  <c r="D288" i="1"/>
  <c r="G288" i="1"/>
  <c r="G215" i="1"/>
  <c r="D215" i="1"/>
  <c r="D363" i="1"/>
  <c r="G363" i="1"/>
  <c r="D242" i="1"/>
  <c r="D244" i="1" s="1"/>
  <c r="D48" i="1" s="1"/>
  <c r="G242" i="1"/>
  <c r="G244" i="1" s="1"/>
  <c r="E244" i="1"/>
  <c r="E48" i="1" s="1"/>
  <c r="G48" i="1" s="1"/>
  <c r="G364" i="1"/>
  <c r="D364" i="1"/>
  <c r="D466" i="1"/>
  <c r="G466" i="1"/>
  <c r="D352" i="1"/>
  <c r="G352" i="1"/>
  <c r="D457" i="1"/>
  <c r="G457" i="1"/>
  <c r="D436" i="1" l="1"/>
  <c r="D440" i="1" s="1"/>
  <c r="E21" i="1"/>
  <c r="G436" i="1"/>
  <c r="G440" i="1" s="1"/>
  <c r="G289" i="1"/>
  <c r="E303" i="1"/>
  <c r="E305" i="1" s="1"/>
  <c r="D289" i="1"/>
  <c r="D366" i="1"/>
  <c r="G22" i="3"/>
  <c r="E500" i="1" s="1"/>
  <c r="H181" i="1"/>
  <c r="D216" i="1"/>
  <c r="D301" i="1"/>
  <c r="G356" i="1"/>
  <c r="D356" i="1"/>
  <c r="G366" i="1"/>
  <c r="G216" i="1"/>
  <c r="G301" i="1"/>
  <c r="E368" i="1"/>
  <c r="D21" i="1" l="1"/>
  <c r="D500" i="1"/>
  <c r="G500" i="1"/>
  <c r="G303" i="1"/>
  <c r="G305" i="1" s="1"/>
  <c r="E10" i="1"/>
  <c r="E12" i="1" s="1"/>
  <c r="D303" i="1"/>
  <c r="D305" i="1" s="1"/>
  <c r="G448" i="1"/>
  <c r="G452" i="1" s="1"/>
  <c r="G453" i="1" s="1"/>
  <c r="E452" i="1"/>
  <c r="E49" i="1" s="1"/>
  <c r="D368" i="1"/>
  <c r="G368" i="1"/>
  <c r="E460" i="1"/>
  <c r="E493" i="1"/>
  <c r="E468" i="1"/>
  <c r="E223" i="1"/>
  <c r="E228" i="1" s="1"/>
  <c r="E195" i="1"/>
  <c r="E154" i="1"/>
  <c r="E150" i="1"/>
  <c r="E146" i="1"/>
  <c r="E499" i="1"/>
  <c r="E40" i="1" s="1"/>
  <c r="E235" i="1"/>
  <c r="E222" i="1"/>
  <c r="E187" i="1"/>
  <c r="E153" i="1"/>
  <c r="E149" i="1"/>
  <c r="E464" i="1"/>
  <c r="E164" i="1"/>
  <c r="E160" i="1"/>
  <c r="E152" i="1"/>
  <c r="E148" i="1"/>
  <c r="E145" i="1"/>
  <c r="E155" i="1"/>
  <c r="E60" i="1"/>
  <c r="E151" i="1"/>
  <c r="E147" i="1"/>
  <c r="E61" i="1"/>
  <c r="E16" i="1"/>
  <c r="G32" i="3"/>
  <c r="H305" i="1"/>
  <c r="D452" i="1" l="1"/>
  <c r="D49" i="1" s="1"/>
  <c r="G10" i="1"/>
  <c r="E12" i="8" s="1"/>
  <c r="D10" i="1"/>
  <c r="D12" i="1" s="1"/>
  <c r="E165" i="1"/>
  <c r="G160" i="1"/>
  <c r="D160" i="1"/>
  <c r="D460" i="1"/>
  <c r="D461" i="1" s="1"/>
  <c r="G460" i="1"/>
  <c r="G461" i="1" s="1"/>
  <c r="E461" i="1"/>
  <c r="G164" i="1"/>
  <c r="D164" i="1"/>
  <c r="D187" i="1"/>
  <c r="D188" i="1" s="1"/>
  <c r="G187" i="1"/>
  <c r="G188" i="1" s="1"/>
  <c r="E188" i="1"/>
  <c r="D146" i="1"/>
  <c r="G146" i="1"/>
  <c r="D223" i="1"/>
  <c r="D228" i="1" s="1"/>
  <c r="G223" i="1"/>
  <c r="G228" i="1" s="1"/>
  <c r="D155" i="1"/>
  <c r="G155" i="1"/>
  <c r="D499" i="1"/>
  <c r="D40" i="1" s="1"/>
  <c r="G499" i="1"/>
  <c r="G40" i="1"/>
  <c r="E32" i="8" s="1"/>
  <c r="I32" i="8" s="1"/>
  <c r="D147" i="1"/>
  <c r="G147" i="1"/>
  <c r="D151" i="1"/>
  <c r="G151" i="1"/>
  <c r="D464" i="1"/>
  <c r="E469" i="1"/>
  <c r="G464" i="1"/>
  <c r="D150" i="1"/>
  <c r="G150" i="1"/>
  <c r="D16" i="1"/>
  <c r="G61" i="1"/>
  <c r="D61" i="1"/>
  <c r="D153" i="1"/>
  <c r="G153" i="1"/>
  <c r="D195" i="1"/>
  <c r="D196" i="1" s="1"/>
  <c r="G195" i="1"/>
  <c r="G196" i="1" s="1"/>
  <c r="E196" i="1"/>
  <c r="G145" i="1"/>
  <c r="E157" i="1"/>
  <c r="D145" i="1"/>
  <c r="G148" i="1"/>
  <c r="D148" i="1"/>
  <c r="E224" i="1"/>
  <c r="E226" i="1" s="1"/>
  <c r="D222" i="1"/>
  <c r="G222" i="1"/>
  <c r="E229" i="1"/>
  <c r="E50" i="1" s="1"/>
  <c r="D468" i="1"/>
  <c r="G468" i="1"/>
  <c r="G16" i="1"/>
  <c r="E62" i="1"/>
  <c r="D60" i="1"/>
  <c r="G60" i="1"/>
  <c r="G152" i="1"/>
  <c r="D152" i="1"/>
  <c r="D149" i="1"/>
  <c r="G149" i="1"/>
  <c r="D235" i="1"/>
  <c r="D236" i="1" s="1"/>
  <c r="D46" i="1" s="1"/>
  <c r="G235" i="1"/>
  <c r="G236" i="1" s="1"/>
  <c r="E236" i="1"/>
  <c r="E46" i="1" s="1"/>
  <c r="G46" i="1" s="1"/>
  <c r="D154" i="1"/>
  <c r="G154" i="1"/>
  <c r="G493" i="1"/>
  <c r="D493" i="1"/>
  <c r="G201" i="1" l="1"/>
  <c r="D201" i="1"/>
  <c r="G12" i="1"/>
  <c r="G62" i="1"/>
  <c r="E179" i="1"/>
  <c r="H179" i="1" s="1"/>
  <c r="E44" i="1"/>
  <c r="G157" i="1"/>
  <c r="D469" i="1"/>
  <c r="D475" i="1" s="1"/>
  <c r="D25" i="1" s="1"/>
  <c r="D165" i="1"/>
  <c r="G224" i="1"/>
  <c r="G226" i="1" s="1"/>
  <c r="G229" i="1"/>
  <c r="G50" i="1" s="1"/>
  <c r="D157" i="1"/>
  <c r="E15" i="8"/>
  <c r="I12" i="8"/>
  <c r="G44" i="1"/>
  <c r="E475" i="1"/>
  <c r="E25" i="1" s="1"/>
  <c r="G25" i="1" s="1"/>
  <c r="G165" i="1"/>
  <c r="D62" i="1"/>
  <c r="D224" i="1"/>
  <c r="D226" i="1" s="1"/>
  <c r="D229" i="1"/>
  <c r="D50" i="1" s="1"/>
  <c r="E201" i="1"/>
  <c r="G469" i="1"/>
  <c r="G475" i="1" s="1"/>
  <c r="D44" i="1"/>
  <c r="E171" i="1"/>
  <c r="E19" i="8" l="1"/>
  <c r="I19" i="8" s="1"/>
  <c r="C18" i="28"/>
  <c r="E18" i="28" s="1"/>
  <c r="F18" i="28" s="1"/>
  <c r="J18" i="28" s="1"/>
  <c r="G171" i="1"/>
  <c r="G203" i="1" s="1"/>
  <c r="G24" i="3"/>
  <c r="G179" i="1"/>
  <c r="D171" i="1"/>
  <c r="D43" i="1" s="1"/>
  <c r="D45" i="1" s="1"/>
  <c r="D179" i="1"/>
  <c r="E203" i="1"/>
  <c r="E43" i="1"/>
  <c r="E45" i="1" s="1"/>
  <c r="G26" i="3" s="1"/>
  <c r="E484" i="1" l="1"/>
  <c r="G484" i="1" s="1"/>
  <c r="C26" i="28" s="1"/>
  <c r="E26" i="28" s="1"/>
  <c r="F26" i="28" s="1"/>
  <c r="J26" i="28" s="1"/>
  <c r="E487" i="1"/>
  <c r="G43" i="1"/>
  <c r="G45" i="1" s="1"/>
  <c r="G24" i="13"/>
  <c r="Y24" i="13"/>
  <c r="E247" i="1"/>
  <c r="D247" i="1" s="1"/>
  <c r="E485" i="1"/>
  <c r="G485" i="1" s="1"/>
  <c r="W24" i="13"/>
  <c r="E248" i="1"/>
  <c r="D253" i="1"/>
  <c r="D261" i="1" s="1"/>
  <c r="D203" i="1"/>
  <c r="G16" i="13" l="1"/>
  <c r="G12" i="13"/>
  <c r="AB14" i="13"/>
  <c r="AD14" i="13" s="1"/>
  <c r="E13" i="10" s="1"/>
  <c r="D484" i="1"/>
  <c r="G487" i="1"/>
  <c r="D487" i="1"/>
  <c r="G247" i="1"/>
  <c r="D485" i="1"/>
  <c r="E249" i="1"/>
  <c r="E47" i="1"/>
  <c r="G47" i="1" s="1"/>
  <c r="G248" i="1"/>
  <c r="D248" i="1"/>
  <c r="D249" i="1" s="1"/>
  <c r="E52" i="1"/>
  <c r="G52" i="1" s="1"/>
  <c r="G253" i="1"/>
  <c r="G261" i="1" s="1"/>
  <c r="E510" i="1"/>
  <c r="E512" i="1"/>
  <c r="D52" i="1"/>
  <c r="AD12" i="13" l="1"/>
  <c r="E11" i="10" s="1"/>
  <c r="E263" i="1"/>
  <c r="D47" i="1"/>
  <c r="D53" i="1" s="1"/>
  <c r="G249" i="1"/>
  <c r="G263" i="1" s="1"/>
  <c r="G18" i="13"/>
  <c r="G21" i="13" s="1"/>
  <c r="E53" i="1"/>
  <c r="D263" i="1"/>
  <c r="D512" i="1"/>
  <c r="G512" i="1"/>
  <c r="D510" i="1"/>
  <c r="G510" i="1"/>
  <c r="E513" i="1"/>
  <c r="E29" i="1" s="1"/>
  <c r="G511" i="1"/>
  <c r="G513" i="1" l="1"/>
  <c r="G29" i="1"/>
  <c r="D513" i="1"/>
  <c r="D29" i="1" s="1"/>
  <c r="E22" i="8" l="1"/>
  <c r="I22" i="8" l="1"/>
  <c r="I21" i="13"/>
  <c r="I16" i="13"/>
  <c r="AB16" i="13" l="1"/>
  <c r="AD16" i="13" s="1"/>
  <c r="E15" i="10" s="1"/>
  <c r="AB18" i="13" l="1"/>
  <c r="AB21" i="13" s="1"/>
  <c r="AD18" i="13"/>
  <c r="AD21" i="13" l="1"/>
  <c r="E17" i="10" l="1"/>
  <c r="G11" i="10" l="1"/>
  <c r="K11" i="10" s="1"/>
  <c r="G15" i="10"/>
  <c r="K15" i="10" s="1"/>
  <c r="G13" i="10"/>
  <c r="K13" i="10" s="1"/>
  <c r="I40" i="8"/>
  <c r="K17" i="10" l="1"/>
  <c r="M13" i="10"/>
  <c r="G17" i="10"/>
  <c r="E10" i="9" l="1"/>
  <c r="BC27" i="4"/>
  <c r="I41" i="8" l="1"/>
  <c r="BC30" i="4"/>
  <c r="BC33" i="4" l="1"/>
  <c r="BC506" i="4"/>
  <c r="BC512" i="4" s="1"/>
  <c r="BC31" i="4"/>
  <c r="BC37" i="4" l="1"/>
  <c r="BC39" i="4" s="1"/>
  <c r="BC41" i="4" l="1"/>
  <c r="E326" i="1" l="1"/>
  <c r="K326" i="1" s="1"/>
  <c r="D326" i="1" l="1"/>
  <c r="D329" i="1" s="1"/>
  <c r="D397" i="1" s="1"/>
  <c r="G326" i="1"/>
  <c r="G329" i="1" s="1"/>
  <c r="G397" i="1" s="1"/>
  <c r="E329" i="1"/>
  <c r="E331" i="1" s="1"/>
  <c r="E341" i="1" s="1"/>
  <c r="E15" i="1" s="1"/>
  <c r="D331" i="1" l="1"/>
  <c r="D341" i="1" s="1"/>
  <c r="D15" i="1" s="1"/>
  <c r="D23" i="1" s="1"/>
  <c r="E442" i="1"/>
  <c r="H442" i="1" s="1"/>
  <c r="G331" i="1"/>
  <c r="G341" i="1" s="1"/>
  <c r="G442" i="1" s="1"/>
  <c r="G444" i="1" s="1"/>
  <c r="E397" i="1"/>
  <c r="G15" i="1"/>
  <c r="G23" i="1" s="1"/>
  <c r="E18" i="8" s="1"/>
  <c r="E23" i="1"/>
  <c r="D442" i="1" l="1"/>
  <c r="D444" i="1" s="1"/>
  <c r="E444" i="1"/>
  <c r="H444" i="1" s="1"/>
  <c r="G28" i="3"/>
  <c r="G30" i="3" l="1"/>
  <c r="E480" i="1" s="1"/>
  <c r="E481" i="1" l="1"/>
  <c r="G481" i="1" s="1"/>
  <c r="E492" i="1"/>
  <c r="G492" i="1" s="1"/>
  <c r="C20" i="28" s="1"/>
  <c r="E20" i="28" s="1"/>
  <c r="F20" i="28" s="1"/>
  <c r="J20" i="28" s="1"/>
  <c r="E479" i="1"/>
  <c r="D479" i="1" s="1"/>
  <c r="D480" i="1"/>
  <c r="G480" i="1"/>
  <c r="C28" i="28" s="1"/>
  <c r="E28" i="28" s="1"/>
  <c r="F28" i="28" s="1"/>
  <c r="J28" i="28" s="1"/>
  <c r="D481" i="1" l="1"/>
  <c r="D482" i="1" s="1"/>
  <c r="D492" i="1"/>
  <c r="G479" i="1"/>
  <c r="E482" i="1"/>
  <c r="E494" i="1" s="1"/>
  <c r="E26" i="1" s="1"/>
  <c r="G26" i="1" s="1"/>
  <c r="G482" i="1" l="1"/>
  <c r="G494" i="1" s="1"/>
  <c r="C14" i="28"/>
  <c r="D494" i="1"/>
  <c r="D26" i="1" s="1"/>
  <c r="E20" i="8"/>
  <c r="E14" i="28" l="1"/>
  <c r="I20" i="8"/>
  <c r="F14" i="28" l="1"/>
  <c r="J14" i="28" s="1"/>
  <c r="C508" i="4" l="1"/>
  <c r="AG503" i="4"/>
  <c r="AG501" i="4"/>
  <c r="AG502" i="4" s="1"/>
  <c r="AG506" i="4" l="1"/>
  <c r="AG33" i="4"/>
  <c r="AG34" i="4"/>
  <c r="AG27" i="4"/>
  <c r="AG30" i="4" l="1"/>
  <c r="AG31" i="4" s="1"/>
  <c r="AG37" i="4"/>
  <c r="AG512" i="4" l="1"/>
  <c r="AG39" i="4"/>
  <c r="AG41" i="4" l="1"/>
  <c r="BA34" i="4" l="1"/>
  <c r="BA506" i="4"/>
  <c r="BA512" i="4" s="1"/>
  <c r="C503" i="4"/>
  <c r="F519" i="1" s="1"/>
  <c r="F34" i="1" l="1"/>
  <c r="G34" i="1" s="1"/>
  <c r="E25" i="8" s="1"/>
  <c r="I25" i="8" s="1"/>
  <c r="G519" i="1"/>
  <c r="C36" i="28" s="1"/>
  <c r="E36" i="28" s="1"/>
  <c r="F36" i="28" s="1"/>
  <c r="J36" i="28" s="1"/>
  <c r="BA37" i="4"/>
  <c r="BA39" i="4" s="1"/>
  <c r="BA41" i="4" s="1"/>
  <c r="C34" i="4"/>
  <c r="D517" i="1" l="1"/>
  <c r="D27" i="1" s="1"/>
  <c r="D30" i="1" s="1"/>
  <c r="E27" i="1"/>
  <c r="D518" i="1"/>
  <c r="D33" i="1" s="1"/>
  <c r="D37" i="1" s="1"/>
  <c r="E522" i="1"/>
  <c r="C501" i="4"/>
  <c r="F517" i="1" s="1"/>
  <c r="AZ27" i="4"/>
  <c r="C502" i="4"/>
  <c r="F518" i="1" s="1"/>
  <c r="F33" i="1" s="1"/>
  <c r="F37" i="1" s="1"/>
  <c r="AZ33" i="4"/>
  <c r="G518" i="1" l="1"/>
  <c r="C35" i="28" s="1"/>
  <c r="C27" i="4"/>
  <c r="C30" i="4" s="1"/>
  <c r="C31" i="4" s="1"/>
  <c r="AZ30" i="4"/>
  <c r="F27" i="1"/>
  <c r="F30" i="1" s="1"/>
  <c r="F522" i="1"/>
  <c r="G27" i="1"/>
  <c r="E30" i="1"/>
  <c r="AZ37" i="4"/>
  <c r="C33" i="4"/>
  <c r="C37" i="4" s="1"/>
  <c r="D39" i="1"/>
  <c r="D41" i="1" s="1"/>
  <c r="D55" i="1" s="1"/>
  <c r="G517" i="1"/>
  <c r="C506" i="4"/>
  <c r="E33" i="1"/>
  <c r="D522" i="1"/>
  <c r="AZ506" i="4"/>
  <c r="AZ512" i="4" s="1"/>
  <c r="E31" i="1" l="1"/>
  <c r="E39" i="1"/>
  <c r="E41" i="1" s="1"/>
  <c r="E55" i="1" s="1"/>
  <c r="E21" i="8"/>
  <c r="G30" i="1"/>
  <c r="F31" i="1"/>
  <c r="F39" i="1"/>
  <c r="F41" i="1" s="1"/>
  <c r="G522" i="1"/>
  <c r="C40" i="28"/>
  <c r="E37" i="1"/>
  <c r="G33" i="1"/>
  <c r="AZ39" i="4"/>
  <c r="AZ31" i="4"/>
  <c r="E35" i="28"/>
  <c r="C37" i="28"/>
  <c r="E40" i="28" l="1"/>
  <c r="C42" i="28"/>
  <c r="G31" i="1"/>
  <c r="F35" i="28"/>
  <c r="J35" i="28" s="1"/>
  <c r="J37" i="28" s="1"/>
  <c r="E37" i="28"/>
  <c r="C39" i="4"/>
  <c r="C41" i="4" s="1"/>
  <c r="AZ41" i="4"/>
  <c r="E24" i="8"/>
  <c r="G37" i="1"/>
  <c r="G39" i="1" s="1"/>
  <c r="G41" i="1" s="1"/>
  <c r="E14" i="9" l="1"/>
  <c r="E28" i="8"/>
  <c r="E31" i="8" s="1"/>
  <c r="E34" i="8" s="1"/>
  <c r="F40" i="28"/>
  <c r="J40" i="28" s="1"/>
  <c r="J42" i="28" s="1"/>
  <c r="E42" i="28"/>
  <c r="J55" i="28" l="1"/>
  <c r="BG437" i="4"/>
  <c r="BG438" i="4"/>
  <c r="BG49" i="4" s="1"/>
  <c r="C49" i="4" l="1"/>
  <c r="BG53" i="4"/>
  <c r="F453" i="1" l="1"/>
  <c r="F49" i="1" s="1"/>
  <c r="C53" i="4"/>
  <c r="G49" i="1" l="1"/>
  <c r="G53" i="1" s="1"/>
  <c r="F53" i="1"/>
  <c r="I37" i="8" l="1"/>
  <c r="E8" i="9" s="1"/>
  <c r="G55" i="1"/>
  <c r="E12" i="9" l="1"/>
  <c r="E16" i="9" s="1"/>
  <c r="E20" i="9" s="1"/>
  <c r="G11" i="8" s="1"/>
  <c r="C46" i="28"/>
  <c r="E46" i="28" s="1"/>
  <c r="F46" i="28" s="1"/>
  <c r="J46" i="28" s="1"/>
  <c r="C44" i="28"/>
  <c r="E44" i="28" l="1"/>
  <c r="C48" i="28"/>
  <c r="I11" i="8"/>
  <c r="I15" i="8" s="1"/>
  <c r="G15" i="8"/>
  <c r="I47" i="8" l="1"/>
  <c r="D12" i="23" s="1"/>
  <c r="G18" i="8"/>
  <c r="I44" i="8"/>
  <c r="E48" i="28"/>
  <c r="F44" i="28"/>
  <c r="J44" i="28" s="1"/>
  <c r="I18" i="8" l="1"/>
  <c r="G21" i="8"/>
  <c r="I21" i="8" s="1"/>
  <c r="F12" i="23"/>
  <c r="F14" i="23"/>
  <c r="D16" i="23"/>
  <c r="F16" i="23"/>
  <c r="G24" i="8" l="1"/>
  <c r="I24" i="8" s="1"/>
  <c r="G28" i="8"/>
  <c r="G31" i="8" s="1"/>
  <c r="G34" i="8" s="1"/>
  <c r="I28" i="8"/>
  <c r="I31" i="8" s="1"/>
  <c r="I34" i="8" s="1"/>
  <c r="I38" i="8" s="1"/>
</calcChain>
</file>

<file path=xl/sharedStrings.xml><?xml version="1.0" encoding="utf-8"?>
<sst xmlns="http://schemas.openxmlformats.org/spreadsheetml/2006/main" count="2321" uniqueCount="1209">
  <si>
    <t>PER BOOKS</t>
  </si>
  <si>
    <t>ADJUSTED</t>
  </si>
  <si>
    <t>Line</t>
  </si>
  <si>
    <t>COMPANY</t>
  </si>
  <si>
    <t>GOING LEVEL</t>
  </si>
  <si>
    <t xml:space="preserve">HARD CODES  </t>
  </si>
  <si>
    <t>No.</t>
  </si>
  <si>
    <t>Description</t>
  </si>
  <si>
    <t>JURIS</t>
  </si>
  <si>
    <t>ADJUSTMENTS</t>
  </si>
  <si>
    <t>ALLOCATOR</t>
  </si>
  <si>
    <t>TO BE ALLOCATED</t>
  </si>
  <si>
    <t>(1)</t>
  </si>
  <si>
    <t>(2)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</si>
  <si>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</si>
  <si>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</si>
  <si>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</si>
  <si>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</si>
  <si>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</si>
  <si>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</si>
  <si>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</si>
  <si>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</si>
  <si>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</si>
  <si>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</si>
  <si>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</si>
  <si>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</si>
  <si>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</si>
  <si>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</si>
  <si>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</si>
  <si>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</si>
  <si>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</si>
  <si>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</si>
  <si>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</si>
  <si>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</si>
  <si>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</si>
  <si>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</si>
  <si>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</si>
  <si>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</si>
  <si>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</si>
  <si>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  Total Federal Income Taxes</t>
  </si>
  <si>
    <t>Operating Income</t>
  </si>
  <si>
    <t>Net Operating Income</t>
  </si>
  <si>
    <t>Electric Plant in Service - Original Cost</t>
  </si>
  <si>
    <t>Accumulated Provision for Depreciation &amp; Amortization</t>
  </si>
  <si>
    <t>Construction Work in Progress</t>
  </si>
  <si>
    <t>Electric Plant Held for Future Use</t>
  </si>
  <si>
    <t>Accumulated Deferred Income Taxes</t>
  </si>
  <si>
    <t>Rate Base</t>
  </si>
  <si>
    <t>`</t>
  </si>
  <si>
    <t>Rate of Return</t>
  </si>
  <si>
    <t>Development of Rate Base</t>
  </si>
  <si>
    <t>Electric Plant in Service</t>
  </si>
  <si>
    <t>Intangible Plant</t>
  </si>
  <si>
    <t>Capitalized Software</t>
  </si>
  <si>
    <t>Direct</t>
  </si>
  <si>
    <t xml:space="preserve">     AFUDC</t>
  </si>
  <si>
    <t>Production Plant</t>
  </si>
  <si>
    <t>Steam Production</t>
  </si>
  <si>
    <t>A310 Land &amp; Land Rights</t>
  </si>
  <si>
    <t>Demand</t>
  </si>
  <si>
    <t>A311 Structures and Improvements</t>
  </si>
  <si>
    <t xml:space="preserve">A312 Boiler Plant Equipment </t>
  </si>
  <si>
    <t>A313 Engines/Engine Driven Gen.</t>
  </si>
  <si>
    <t>A314 Turbogenerator Units</t>
  </si>
  <si>
    <t>A315 Accessory Electric Equip.</t>
  </si>
  <si>
    <t>A316 Misc. Power Plant Equip.</t>
  </si>
  <si>
    <t>A317 ARO Steam Production Plant</t>
  </si>
  <si>
    <t>Nuclear Production</t>
  </si>
  <si>
    <t>A320 Land &amp; Land Rights</t>
  </si>
  <si>
    <t>A321 Structures and Improvements</t>
  </si>
  <si>
    <t xml:space="preserve">A322 Reactor Plant Equipment </t>
  </si>
  <si>
    <t>A323 Turbogenerator Units</t>
  </si>
  <si>
    <t>A324 Accessory Electric Equip.</t>
  </si>
  <si>
    <t>A325 Misc. Power Plant Equipment</t>
  </si>
  <si>
    <t>Hydraulic Production</t>
  </si>
  <si>
    <t>A330 Land &amp; Land Rights(MACSS Cap)</t>
  </si>
  <si>
    <t>A331 Structures and Improvements</t>
  </si>
  <si>
    <t>A332 Reserviors, Dams, and Waterways</t>
  </si>
  <si>
    <t>A333 Water Wheels, Turbines, and Generators</t>
  </si>
  <si>
    <t>A334 Accessory Electric Equipment</t>
  </si>
  <si>
    <t>A335 Miscellaneous Power Plant Equip.</t>
  </si>
  <si>
    <t>A336 Roads, Railroads, and Bridges</t>
  </si>
  <si>
    <t>A337 ARO Hydraulic Production</t>
  </si>
  <si>
    <t>Other Production</t>
  </si>
  <si>
    <t>A340 Land &amp; Land Rights</t>
  </si>
  <si>
    <t>A341 Structures and Improvements</t>
  </si>
  <si>
    <t>A342 Fuel Holder, Producer &amp; Acc</t>
  </si>
  <si>
    <t>A343 Prime Movers</t>
  </si>
  <si>
    <t>A344 Generators</t>
  </si>
  <si>
    <t>A345 Accessory Plant Equipment</t>
  </si>
  <si>
    <t>A346 Misc. Power Plant Equipment</t>
  </si>
  <si>
    <t>FERC AFUDC Adjustment</t>
  </si>
  <si>
    <t>Contra AFUDC Adjustment</t>
  </si>
  <si>
    <t>Transmission Plant</t>
  </si>
  <si>
    <t>A350 Land and Land Rights</t>
  </si>
  <si>
    <t>A352 Structures and Improvements TRAN</t>
  </si>
  <si>
    <t>A353 Station Equipment TRAN</t>
  </si>
  <si>
    <t>A352 Structures and Improvements GEN</t>
  </si>
  <si>
    <t>A353 Station Equipment GEN</t>
  </si>
  <si>
    <t>A354 Towers and Fixtures</t>
  </si>
  <si>
    <t>A355 Poles and Fixtures</t>
  </si>
  <si>
    <t>A356 O.H. Conductors &amp; Devices</t>
  </si>
  <si>
    <t>A357 Undergound Conduit</t>
  </si>
  <si>
    <t>A358 Underground Conductors</t>
  </si>
  <si>
    <t>A359 Roads and Trails</t>
  </si>
  <si>
    <t>Distribution Plant</t>
  </si>
  <si>
    <t>A360Land and Land Rights</t>
  </si>
  <si>
    <t>A361Structures and Improvements</t>
  </si>
  <si>
    <t>A362Station Equipment</t>
  </si>
  <si>
    <t>A363Storage Battery Equipment</t>
  </si>
  <si>
    <t>A364Poles,Towers &amp; Fixtures Primary</t>
  </si>
  <si>
    <t>A365O.H. Conductors &amp; Devices Primary</t>
  </si>
  <si>
    <t>A366Underground Conduits Primary</t>
  </si>
  <si>
    <t>A367U.G. Conductors &amp; Devices Primary</t>
  </si>
  <si>
    <t>A368Line Transformers Primary</t>
  </si>
  <si>
    <t>A369Services</t>
  </si>
  <si>
    <t>A370Meters</t>
  </si>
  <si>
    <t>A371Install. on Customer Prem.</t>
  </si>
  <si>
    <t>A372Leased Prop. on Cust. Premises</t>
  </si>
  <si>
    <t>A373Street Lights</t>
  </si>
  <si>
    <t>A374ARO</t>
  </si>
  <si>
    <t>General Plant</t>
  </si>
  <si>
    <t>A389Land and Land Rights</t>
  </si>
  <si>
    <t>A390Structures and Improvements</t>
  </si>
  <si>
    <t>A391Office Furniture &amp; Equip.</t>
  </si>
  <si>
    <t>A392Transportation Equipment</t>
  </si>
  <si>
    <t xml:space="preserve">A393Stores Equipment </t>
  </si>
  <si>
    <t>A394Tools, Shop &amp; Garage Equip.</t>
  </si>
  <si>
    <t>A395Laboratory Equipment</t>
  </si>
  <si>
    <t>A396Power Operated Equipment</t>
  </si>
  <si>
    <t>A397Communication Equipment</t>
  </si>
  <si>
    <t>A398Misc. Equipment</t>
  </si>
  <si>
    <t>A399Other Tang. Property</t>
  </si>
  <si>
    <t>39919ARO General Plant</t>
  </si>
  <si>
    <t>Total Plant in Service</t>
  </si>
  <si>
    <t>Less: Reserve for Depreciation/RWIP - Accts 1080001,1080011,1080005</t>
  </si>
  <si>
    <t xml:space="preserve">     Production</t>
  </si>
  <si>
    <t xml:space="preserve">     Transmission Plant</t>
  </si>
  <si>
    <t xml:space="preserve">     Distribution</t>
  </si>
  <si>
    <t xml:space="preserve">     General</t>
  </si>
  <si>
    <t>Less Reserve for Amortization</t>
  </si>
  <si>
    <t>Net Electric Plant in Service</t>
  </si>
  <si>
    <t>Construction Work in Progress - Account 107</t>
  </si>
  <si>
    <t xml:space="preserve">     Intangible</t>
  </si>
  <si>
    <t xml:space="preserve">    AFUDC</t>
  </si>
  <si>
    <t xml:space="preserve">     Transmission</t>
  </si>
  <si>
    <t>Total Construction Work in Progress</t>
  </si>
  <si>
    <t>Completed Construction Not Classified -Acct 106</t>
  </si>
  <si>
    <t xml:space="preserve">    Intangible Plant</t>
  </si>
  <si>
    <t xml:space="preserve">     Production Plant</t>
  </si>
  <si>
    <t xml:space="preserve">     Distribution Plant</t>
  </si>
  <si>
    <t xml:space="preserve">     General Plant</t>
  </si>
  <si>
    <t>Plant Held for Future Use - Acct 105</t>
  </si>
  <si>
    <t xml:space="preserve">     Fuel / Allowance Inventory</t>
  </si>
  <si>
    <t>Energy</t>
  </si>
  <si>
    <t xml:space="preserve">     Production M&amp;S Inventory</t>
  </si>
  <si>
    <t xml:space="preserve">     Transmission M&amp;S Inventory</t>
  </si>
  <si>
    <t xml:space="preserve">     Distribution M&amp;S Inventory</t>
  </si>
  <si>
    <t xml:space="preserve">     Prepaid Pension Benefit</t>
  </si>
  <si>
    <t xml:space="preserve">     Prepaid Other</t>
  </si>
  <si>
    <t>Rate Base Additions (Deductions)</t>
  </si>
  <si>
    <t xml:space="preserve">     Accumulated Deferred Income Taxes, other than Deferred Fuel</t>
  </si>
  <si>
    <t xml:space="preserve">     Unallocated Deferred FIT</t>
  </si>
  <si>
    <t xml:space="preserve">     Deferred Investment Tax Credit</t>
  </si>
  <si>
    <t xml:space="preserve">     Customer Deposits</t>
  </si>
  <si>
    <t xml:space="preserve">     After Tax Effect of ARO </t>
  </si>
  <si>
    <t xml:space="preserve">     Total Rate Base Deductions</t>
  </si>
  <si>
    <t>Total Rate Base</t>
  </si>
  <si>
    <t>Non-Firm Sales:</t>
  </si>
  <si>
    <t xml:space="preserve">     Demand Related </t>
  </si>
  <si>
    <t xml:space="preserve">     Energy Related</t>
  </si>
  <si>
    <t xml:space="preserve">     Unallocated</t>
  </si>
  <si>
    <t>Other Operating Revenues</t>
  </si>
  <si>
    <t xml:space="preserve">     450-Forfeited Discounts</t>
  </si>
  <si>
    <t xml:space="preserve">     451-Miscellaneous Service Revenues</t>
  </si>
  <si>
    <t>Rent from Electric Property</t>
  </si>
  <si>
    <t xml:space="preserve">     4541-Rent-Assoc Cos- Production</t>
  </si>
  <si>
    <t xml:space="preserve">     4541-Rent-Assoc Cos- Transmission</t>
  </si>
  <si>
    <t xml:space="preserve">     4541-Rent-Assoc Cos- Distribution </t>
  </si>
  <si>
    <t xml:space="preserve">     4542-Rent-Non-Assoc Cos- Production</t>
  </si>
  <si>
    <t xml:space="preserve">     4542-Rent-Non-Assoc Cos- Transmission</t>
  </si>
  <si>
    <t xml:space="preserve">     4542-Rent-Non-Assoc Cos- Distribution </t>
  </si>
  <si>
    <t xml:space="preserve">     4540005 Rent from Elec Prop-Pole Attch</t>
  </si>
  <si>
    <t xml:space="preserve">     4540004-Rent-Non-Assoc Cos-ABD Distribution</t>
  </si>
  <si>
    <t xml:space="preserve">     4540004-Rent-Non-Assoc Cos-ABD Transmission</t>
  </si>
  <si>
    <t>Other Electric Revenues</t>
  </si>
  <si>
    <t xml:space="preserve">     456-Other Electric Production</t>
  </si>
  <si>
    <t>Power Production Expenses</t>
  </si>
  <si>
    <t xml:space="preserve"> Steam Generation Expenses</t>
  </si>
  <si>
    <t xml:space="preserve">     500-Supervision  &amp; Engineering</t>
  </si>
  <si>
    <t xml:space="preserve">     503-Steam other Sources</t>
  </si>
  <si>
    <t xml:space="preserve">     504-Steam Transferred Credit</t>
  </si>
  <si>
    <t xml:space="preserve">     505-Electric</t>
  </si>
  <si>
    <t xml:space="preserve">     506-Misc. Steam Power Expenses</t>
  </si>
  <si>
    <t xml:space="preserve">     507-Rents</t>
  </si>
  <si>
    <t xml:space="preserve">     509-Allowances</t>
  </si>
  <si>
    <t xml:space="preserve">          Total Steam Operation</t>
  </si>
  <si>
    <t xml:space="preserve">     510-Supervision &amp; Engineering</t>
  </si>
  <si>
    <t xml:space="preserve">     511-Structures</t>
  </si>
  <si>
    <t xml:space="preserve">     512-Boiler Plant</t>
  </si>
  <si>
    <t xml:space="preserve">     513-Electric Plant</t>
  </si>
  <si>
    <t xml:space="preserve">     514-Misc Steam Plant</t>
  </si>
  <si>
    <t xml:space="preserve">     Total Steam Generation Expense</t>
  </si>
  <si>
    <t>Other Power Supply Expense</t>
  </si>
  <si>
    <t xml:space="preserve">     555-Purchased Power Expense Demand</t>
  </si>
  <si>
    <t xml:space="preserve">     555-Purchased Power Expense Energy</t>
  </si>
  <si>
    <t xml:space="preserve">     556-Sys Control &amp; Load Dispatching</t>
  </si>
  <si>
    <t xml:space="preserve">     557- Other Expenses</t>
  </si>
  <si>
    <t xml:space="preserve">         Total Other Power Supply Expense</t>
  </si>
  <si>
    <t xml:space="preserve">   Total Production O&amp;M Expense</t>
  </si>
  <si>
    <t>Transmission Expense</t>
  </si>
  <si>
    <t xml:space="preserve">     560-Supervision &amp; Engineering</t>
  </si>
  <si>
    <t xml:space="preserve">     562-Station Equipment</t>
  </si>
  <si>
    <t xml:space="preserve">     563-Overhead Lines</t>
  </si>
  <si>
    <t xml:space="preserve">     564-Underground Lines</t>
  </si>
  <si>
    <t xml:space="preserve">     566-Misc Transmission</t>
  </si>
  <si>
    <t xml:space="preserve">     567-Rents</t>
  </si>
  <si>
    <t xml:space="preserve">   Total Transmission Operation Expense</t>
  </si>
  <si>
    <t>Transmission Maintenance</t>
  </si>
  <si>
    <t xml:space="preserve">     568-Supervision &amp; Engineering</t>
  </si>
  <si>
    <t xml:space="preserve">     569-Structures</t>
  </si>
  <si>
    <t xml:space="preserve">     570-Station Equipment</t>
  </si>
  <si>
    <t xml:space="preserve">     571-Overhead Lines</t>
  </si>
  <si>
    <t xml:space="preserve">     572-Underground Lines</t>
  </si>
  <si>
    <t xml:space="preserve">     573-Misc Transmission Expenses</t>
  </si>
  <si>
    <t xml:space="preserve">     575- PJM Admin</t>
  </si>
  <si>
    <t xml:space="preserve">   Total Transmission Maintenance Expense</t>
  </si>
  <si>
    <t xml:space="preserve">   Total Transmission O&amp;M Expense</t>
  </si>
  <si>
    <t>Distribution Expense</t>
  </si>
  <si>
    <t xml:space="preserve">     580-Supervision &amp; Engineering</t>
  </si>
  <si>
    <t xml:space="preserve">     581-Load Dispatching</t>
  </si>
  <si>
    <t xml:space="preserve">     582-Station Equipment</t>
  </si>
  <si>
    <t xml:space="preserve">     583-Overhead Lines</t>
  </si>
  <si>
    <t xml:space="preserve">     584-Underground Lines</t>
  </si>
  <si>
    <t xml:space="preserve">     585-Street &amp; Area Lighting</t>
  </si>
  <si>
    <t xml:space="preserve">     586-Meters</t>
  </si>
  <si>
    <t xml:space="preserve">     587-Customer Installations</t>
  </si>
  <si>
    <t xml:space="preserve">     588-Misc Distribution </t>
  </si>
  <si>
    <t xml:space="preserve">     589-Rents</t>
  </si>
  <si>
    <t xml:space="preserve">     590-Supervision &amp; Engineering</t>
  </si>
  <si>
    <t xml:space="preserve">     591-Structures</t>
  </si>
  <si>
    <t xml:space="preserve">     592-Station Equipment</t>
  </si>
  <si>
    <t xml:space="preserve">     593-Overhead Lines</t>
  </si>
  <si>
    <t xml:space="preserve">     593-Forestry Direct Assigned</t>
  </si>
  <si>
    <t xml:space="preserve">     594-Underground Lines</t>
  </si>
  <si>
    <t xml:space="preserve">     595-Line Transformers</t>
  </si>
  <si>
    <t xml:space="preserve">     596-Street &amp; Area Lighting</t>
  </si>
  <si>
    <t xml:space="preserve">     597-Meters</t>
  </si>
  <si>
    <t xml:space="preserve">     598-Misc Distribution Plant</t>
  </si>
  <si>
    <t xml:space="preserve">     Total Distribution Expense</t>
  </si>
  <si>
    <t>Customer Accounts Expense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</si>
  <si>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</si>
  <si>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</si>
  <si>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</si>
  <si>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</si>
  <si>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</si>
  <si>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</si>
  <si>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>Customer Information Expense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</si>
  <si>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</si>
  <si>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</si>
  <si>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</si>
  <si>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</si>
  <si>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>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</si>
  <si>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</si>
  <si>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</si>
  <si>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</si>
  <si>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</si>
  <si>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Administrative &amp; General Expense</t>
  </si>
  <si>
    <t xml:space="preserve">     920-Salaries</t>
  </si>
  <si>
    <t xml:space="preserve">     921-Office Supplies</t>
  </si>
  <si>
    <t xml:space="preserve">     922-Administrative Expense Transferred</t>
  </si>
  <si>
    <t xml:space="preserve">     923-Outside Services</t>
  </si>
  <si>
    <t xml:space="preserve">     924-Property Insurance</t>
  </si>
  <si>
    <t xml:space="preserve">     925-Injuries &amp; Damages</t>
  </si>
  <si>
    <t xml:space="preserve">     926-Employee Pension &amp; Benefits</t>
  </si>
  <si>
    <t xml:space="preserve">     9260057 Post Ret Medicare Subsidy Direct</t>
  </si>
  <si>
    <t xml:space="preserve">     927-Franchise Requirements</t>
  </si>
  <si>
    <t xml:space="preserve">     928-Regulatory Commission Expense Allocated</t>
  </si>
  <si>
    <t xml:space="preserve">     930.1-General Advertising Expense</t>
  </si>
  <si>
    <t xml:space="preserve">     930.2-Misc General Expense</t>
  </si>
  <si>
    <t xml:space="preserve">     931-Rent</t>
  </si>
  <si>
    <t xml:space="preserve">     935-Admin &amp; General Maintenance</t>
  </si>
  <si>
    <t xml:space="preserve">     9350015 - Software License Deferral</t>
  </si>
  <si>
    <t xml:space="preserve">     Total Admin &amp; General Expense</t>
  </si>
  <si>
    <t>Depreciation Expense</t>
  </si>
  <si>
    <t xml:space="preserve">      Production</t>
  </si>
  <si>
    <t xml:space="preserve">     Transmission Excl. GSU's</t>
  </si>
  <si>
    <t xml:space="preserve">     Transmission - GSU's</t>
  </si>
  <si>
    <t>Amortization Expense</t>
  </si>
  <si>
    <t xml:space="preserve">     Intangible Plant</t>
  </si>
  <si>
    <t>Regulatory Debits</t>
  </si>
  <si>
    <t>Taxes Other than F.I.T.</t>
  </si>
  <si>
    <t>Current Payroll Taxes</t>
  </si>
  <si>
    <t xml:space="preserve">     FICA</t>
  </si>
  <si>
    <t xml:space="preserve">     Fed Unemployment</t>
  </si>
  <si>
    <t xml:space="preserve">     State Unemployment</t>
  </si>
  <si>
    <t xml:space="preserve"> Real and Personal Property Tax</t>
  </si>
  <si>
    <t>Net Plant</t>
  </si>
  <si>
    <t>Sales &amp; Use</t>
  </si>
  <si>
    <t>Regis Fee</t>
  </si>
  <si>
    <t>Business Franchise Taxes</t>
  </si>
  <si>
    <t>Federal Excise</t>
  </si>
  <si>
    <t>Taxes on Capital Leases</t>
  </si>
  <si>
    <t>Interest On Customer Deposits</t>
  </si>
  <si>
    <t>Other Expense Items</t>
  </si>
  <si>
    <t>G/L Disp. Of Util Plant Gain Disp. Of Util Plant 4116000</t>
  </si>
  <si>
    <t>Loss Disp. Of Util Plant 4117000</t>
  </si>
  <si>
    <t>Accretion 4110005</t>
  </si>
  <si>
    <t>A/R Factoring</t>
  </si>
  <si>
    <t>431-Other Interest Expense</t>
  </si>
  <si>
    <t xml:space="preserve">     Total Other</t>
  </si>
  <si>
    <t>Income Taxes</t>
  </si>
  <si>
    <t>Current Federal Income Taxes</t>
  </si>
  <si>
    <t>Deferred Federal Income Taxes</t>
  </si>
  <si>
    <t>Deferred Investment Tax Credit</t>
  </si>
  <si>
    <t xml:space="preserve">     Total Income Taxes</t>
  </si>
  <si>
    <t>Production</t>
  </si>
  <si>
    <t>KPCo TOTAL</t>
  </si>
  <si>
    <t>Operating Revenues - Sale of Electricity</t>
  </si>
  <si>
    <t>Operating Revenues - Sales of Electricity</t>
  </si>
  <si>
    <t xml:space="preserve">     5010005-Def Fuel</t>
  </si>
  <si>
    <t xml:space="preserve">     561-Load Dispatching</t>
  </si>
  <si>
    <t xml:space="preserve">     5930010 Storm Expense Amortization</t>
  </si>
  <si>
    <t xml:space="preserve">     928- Rate Case Expense</t>
  </si>
  <si>
    <t xml:space="preserve">    Reg Debits - 4073000</t>
  </si>
  <si>
    <t>Municipal License</t>
  </si>
  <si>
    <t>P.S.C.</t>
  </si>
  <si>
    <t>Gross Reciepts Tax</t>
  </si>
  <si>
    <t>Current/Deferred State Income Tax</t>
  </si>
  <si>
    <t>ITC Adjustment</t>
  </si>
  <si>
    <t>AFUDC Offset</t>
  </si>
  <si>
    <t>Prov-Leased Assets - Capital Leases 1011006</t>
  </si>
  <si>
    <t>Capital Leases Acct 1011001</t>
  </si>
  <si>
    <t>Accrued Capital Leases Acct 1011012</t>
  </si>
  <si>
    <t>KENTUCKY POWER COMPANY</t>
  </si>
  <si>
    <t>LINE       NO.</t>
  </si>
  <si>
    <t>DESCRIPTION</t>
  </si>
  <si>
    <t>FACTOR</t>
  </si>
  <si>
    <t>RETAIL</t>
  </si>
  <si>
    <t>SOURCE</t>
  </si>
  <si>
    <t>Production Demand</t>
  </si>
  <si>
    <t>PDAF</t>
  </si>
  <si>
    <t>Transmission Demand</t>
  </si>
  <si>
    <t>TDAF</t>
  </si>
  <si>
    <t>EAF</t>
  </si>
  <si>
    <t>Gross Plant Transmission</t>
  </si>
  <si>
    <t>GP-TRANS</t>
  </si>
  <si>
    <t>Gross Plant Distribution</t>
  </si>
  <si>
    <t>GP-DIST</t>
  </si>
  <si>
    <t>Gross Plant - T&amp;D</t>
  </si>
  <si>
    <t>GP-T&amp;D</t>
  </si>
  <si>
    <t>Gross Plant - PTD</t>
  </si>
  <si>
    <t>GP-PTD</t>
  </si>
  <si>
    <t>Gross Plant - Total</t>
  </si>
  <si>
    <t>GP-TOT</t>
  </si>
  <si>
    <t>NP</t>
  </si>
  <si>
    <t>O&amp;M Expense</t>
  </si>
  <si>
    <t>O&amp;M</t>
  </si>
  <si>
    <t>O&amp;M Labor</t>
  </si>
  <si>
    <t>OML</t>
  </si>
  <si>
    <t>Operating Revenue</t>
  </si>
  <si>
    <t>OP-REV</t>
  </si>
  <si>
    <t>SPECIFIC</t>
  </si>
  <si>
    <t>N/A</t>
  </si>
  <si>
    <t>JURIS ONLY</t>
  </si>
  <si>
    <t>KENTUCKY PSC</t>
  </si>
  <si>
    <t>NON-KY P.S.C</t>
  </si>
  <si>
    <t>PDAF / EAF</t>
  </si>
  <si>
    <t>Operating Revenues - Wholesale Sales of Electricity</t>
  </si>
  <si>
    <t>System Sales Clause</t>
  </si>
  <si>
    <t>Labor - OML</t>
  </si>
  <si>
    <t>Regional Market Expenses</t>
  </si>
  <si>
    <t xml:space="preserve">     Electric Plant In Service - Net</t>
  </si>
  <si>
    <t>Prepayments</t>
  </si>
  <si>
    <t>Materials &amp; Supplies</t>
  </si>
  <si>
    <t>Cash Working Capital</t>
  </si>
  <si>
    <t xml:space="preserve">     Customer Advances</t>
  </si>
  <si>
    <t>Customer Advances &amp; Deposits</t>
  </si>
  <si>
    <t>Specific</t>
  </si>
  <si>
    <t xml:space="preserve">     Total Power Production</t>
  </si>
  <si>
    <t xml:space="preserve">     Transmission Expense</t>
  </si>
  <si>
    <t xml:space="preserve">     Total Customer Related Expense</t>
  </si>
  <si>
    <t xml:space="preserve">     Total A&amp;G Expense</t>
  </si>
  <si>
    <t xml:space="preserve">     501-Fuel Delivered and Consumed</t>
  </si>
  <si>
    <t xml:space="preserve">     501-Fuel Other</t>
  </si>
  <si>
    <t xml:space="preserve">KPSC                                         Maintenance                                                                      Assessment                                               </t>
  </si>
  <si>
    <t>State Income Tax Rate</t>
  </si>
  <si>
    <t>Federal Income Tax Rate</t>
  </si>
  <si>
    <t>Rate Case                                                                               Expense</t>
  </si>
  <si>
    <t xml:space="preserve">  ITC Adjustment</t>
  </si>
  <si>
    <t xml:space="preserve">Customer                                     Annualization </t>
  </si>
  <si>
    <t>KY PSC JURIS</t>
  </si>
  <si>
    <t xml:space="preserve">     Total Transmission Expense</t>
  </si>
  <si>
    <t xml:space="preserve">     Total Power Production Expense</t>
  </si>
  <si>
    <t xml:space="preserve">     Total Admin.&amp; General Expense</t>
  </si>
  <si>
    <t xml:space="preserve">KPCo AFUDC                                                                     Offset </t>
  </si>
  <si>
    <t>Mitchell                                                                  Coal                                                                                 Stock</t>
  </si>
  <si>
    <t>Labor - OML / SPECIFIC</t>
  </si>
  <si>
    <t>Kentucky Power Company</t>
  </si>
  <si>
    <r>
      <t xml:space="preserve">Acct       </t>
    </r>
    <r>
      <rPr>
        <u/>
        <sz val="10"/>
        <rFont val="Arial"/>
        <family val="2"/>
      </rPr>
      <t>No.</t>
    </r>
  </si>
  <si>
    <t>Expense</t>
  </si>
  <si>
    <t>Supervision &amp; Engineering</t>
  </si>
  <si>
    <t>Fuel</t>
  </si>
  <si>
    <t>Fuel Expense Deferred</t>
  </si>
  <si>
    <t>Steam Expense</t>
  </si>
  <si>
    <t>Electric Expense</t>
  </si>
  <si>
    <t>Misc Steam Power Expense</t>
  </si>
  <si>
    <t>Rents</t>
  </si>
  <si>
    <t>Steam Generation Maintenance</t>
  </si>
  <si>
    <t>514 &amp; 515</t>
  </si>
  <si>
    <t>Maintenance of Structures</t>
  </si>
  <si>
    <t>Maintenance of Boiler Plant</t>
  </si>
  <si>
    <t>Maintenance of Electric Plant</t>
  </si>
  <si>
    <t>Maintenance of Miscellaneous Steam</t>
  </si>
  <si>
    <t>Total Steam Power O &amp; M</t>
  </si>
  <si>
    <t>Total Steam Generation - Maintenance</t>
  </si>
  <si>
    <t>Total KPCo O&amp;M Expense Per Books</t>
  </si>
  <si>
    <t>Total O&amp;M Payroll</t>
  </si>
  <si>
    <t>A&amp;G Excluding Regulation</t>
  </si>
  <si>
    <t>Restated Expense</t>
  </si>
  <si>
    <t>Non-Jurisdictional</t>
  </si>
  <si>
    <t>Customer Account Expense</t>
  </si>
  <si>
    <t>Customer Services</t>
  </si>
  <si>
    <t>A &amp; G Regulatory</t>
  </si>
  <si>
    <t>A &amp; G Other</t>
  </si>
  <si>
    <t>Total Operating &amp; Maintenance Expense</t>
  </si>
  <si>
    <t>Operations</t>
  </si>
  <si>
    <t>Maintenance</t>
  </si>
  <si>
    <t>Distribution Operations Expense</t>
  </si>
  <si>
    <t>Distribution Maintenance Expense</t>
  </si>
  <si>
    <t>Purchased</t>
  </si>
  <si>
    <t>System Pool</t>
  </si>
  <si>
    <t>Total Purchased Power</t>
  </si>
  <si>
    <t>Less:</t>
  </si>
  <si>
    <t>System Sales / Resale</t>
  </si>
  <si>
    <t>System Sales/Resale's - Associated Companies</t>
  </si>
  <si>
    <t>Transmission Charges</t>
  </si>
  <si>
    <t>Total System Sales</t>
  </si>
  <si>
    <t>Backup Energy</t>
  </si>
  <si>
    <t xml:space="preserve">Total </t>
  </si>
  <si>
    <t>Purchased Power</t>
  </si>
  <si>
    <t>Capacity</t>
  </si>
  <si>
    <t>Total</t>
  </si>
  <si>
    <t>MONTHLY BOOK CREDITS</t>
  </si>
  <si>
    <t>ALLOWANCE FOR FUNDS USED DURING CONSTRUCTION (AFUDC) - CREDITS</t>
  </si>
  <si>
    <r>
      <t xml:space="preserve">LINE             </t>
    </r>
    <r>
      <rPr>
        <u/>
        <sz val="10"/>
        <rFont val="Arial"/>
        <family val="2"/>
      </rPr>
      <t>NO.</t>
    </r>
  </si>
  <si>
    <t>MONTH</t>
  </si>
  <si>
    <r>
      <t xml:space="preserve">432         </t>
    </r>
    <r>
      <rPr>
        <u/>
        <sz val="10"/>
        <rFont val="Arial"/>
        <family val="2"/>
      </rPr>
      <t>Borrowed</t>
    </r>
  </si>
  <si>
    <r>
      <t xml:space="preserve">419               </t>
    </r>
    <r>
      <rPr>
        <u/>
        <sz val="10"/>
        <rFont val="Arial"/>
        <family val="2"/>
      </rPr>
      <t>Other</t>
    </r>
  </si>
  <si>
    <r>
      <t xml:space="preserve">Total             </t>
    </r>
    <r>
      <rPr>
        <u/>
        <sz val="10"/>
        <rFont val="Arial"/>
        <family val="2"/>
      </rPr>
      <t>AFUDC</t>
    </r>
  </si>
  <si>
    <t>April</t>
  </si>
  <si>
    <t xml:space="preserve">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</si>
  <si>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</si>
  <si>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</si>
  <si>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</si>
  <si>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</si>
  <si>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</si>
  <si>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</si>
  <si>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</si>
  <si>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</si>
  <si>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</si>
  <si>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</si>
  <si>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</si>
  <si>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-------------</t>
  </si>
  <si>
    <t>TOTAL</t>
  </si>
  <si>
    <t>=======</t>
  </si>
  <si>
    <t>=========</t>
  </si>
  <si>
    <t xml:space="preserve">    Total Operating Revenues</t>
  </si>
  <si>
    <t xml:space="preserve">    Total Operation and Maintenance Expense</t>
  </si>
  <si>
    <t xml:space="preserve">    Electric Plant In Service - Net</t>
  </si>
  <si>
    <t xml:space="preserve">    Total Intangible Plant</t>
  </si>
  <si>
    <t xml:space="preserve">    Total Steam Production</t>
  </si>
  <si>
    <t xml:space="preserve">    Total Nuclear Production</t>
  </si>
  <si>
    <t xml:space="preserve">    Total  Hydraulic Production</t>
  </si>
  <si>
    <t xml:space="preserve">    Total Other Production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</si>
  <si>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</si>
  <si>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</si>
  <si>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</si>
  <si>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</si>
  <si>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 xml:space="preserve">    Total Capital Leases</t>
  </si>
  <si>
    <t xml:space="preserve">     Total Reserve for Depreciaton / RWIP</t>
  </si>
  <si>
    <t xml:space="preserve">     Total Transmission Plant</t>
  </si>
  <si>
    <t xml:space="preserve">     Total Distribution Plant</t>
  </si>
  <si>
    <t xml:space="preserve">     Total General Plant</t>
  </si>
  <si>
    <t xml:space="preserve">     Total Reserve for Amortization</t>
  </si>
  <si>
    <t xml:space="preserve">     Total Intangilbe Plant</t>
  </si>
  <si>
    <t xml:space="preserve">     Total Production Plant</t>
  </si>
  <si>
    <t xml:space="preserve">     Total Prov-Leased Assets</t>
  </si>
  <si>
    <t xml:space="preserve">     Total Plant Held for Future Use</t>
  </si>
  <si>
    <t xml:space="preserve">     Total Completed Construction Not Classified</t>
  </si>
  <si>
    <t xml:space="preserve">     Total Non-Firm Sales</t>
  </si>
  <si>
    <t xml:space="preserve">     Total Rent from Electric Property</t>
  </si>
  <si>
    <t xml:space="preserve">     Total Other Electric Revenues</t>
  </si>
  <si>
    <t xml:space="preserve">     Total Other Operating Revenues</t>
  </si>
  <si>
    <t xml:space="preserve">     Total Operating Revenues</t>
  </si>
  <si>
    <t xml:space="preserve">     Total Steam Operation</t>
  </si>
  <si>
    <t xml:space="preserve">     Total Steam Maintenance</t>
  </si>
  <si>
    <t xml:space="preserve">     Total Other Power Supply Expense</t>
  </si>
  <si>
    <t xml:space="preserve">     Total Production O&amp;M Expense</t>
  </si>
  <si>
    <t xml:space="preserve">     Total Transmission Operation Expense</t>
  </si>
  <si>
    <t xml:space="preserve">     Total Transmission Maintenance Expense</t>
  </si>
  <si>
    <t xml:space="preserve">     Total Transmission O&amp;M Expense</t>
  </si>
  <si>
    <t xml:space="preserve">     Total Distribution Operation</t>
  </si>
  <si>
    <t xml:space="preserve">     Total Distribution Maintenance</t>
  </si>
  <si>
    <t xml:space="preserve">     Total Customer Accounts</t>
  </si>
  <si>
    <t xml:space="preserve">     Total Customer Information</t>
  </si>
  <si>
    <t xml:space="preserve">     Total Customer Service</t>
  </si>
  <si>
    <t xml:space="preserve">     Total Admin &amp; General Operation</t>
  </si>
  <si>
    <t xml:space="preserve">     Total Operation &amp; Maint Exp</t>
  </si>
  <si>
    <t xml:space="preserve">        Subtotal</t>
  </si>
  <si>
    <t xml:space="preserve">     Total Cash Working Capital</t>
  </si>
  <si>
    <t xml:space="preserve">     Total Depreciation Expense</t>
  </si>
  <si>
    <t xml:space="preserve">     Total Amortization Expense</t>
  </si>
  <si>
    <t xml:space="preserve">     Total Regulatory Debits</t>
  </si>
  <si>
    <t xml:space="preserve">     Total Depreciation &amp; Amortization Expense</t>
  </si>
  <si>
    <t xml:space="preserve">     Total Payroll Related Tax</t>
  </si>
  <si>
    <t xml:space="preserve">     Total Taxes Other than F.I.T.</t>
  </si>
  <si>
    <t xml:space="preserve">     Total Acc Prov Depreciation and Amortization</t>
  </si>
  <si>
    <t xml:space="preserve">     Total Materials &amp; Supplies</t>
  </si>
  <si>
    <t xml:space="preserve">     Total Prepayments</t>
  </si>
  <si>
    <t xml:space="preserve">     Total Intangible Plant</t>
  </si>
  <si>
    <t xml:space="preserve">     Total Steam Production</t>
  </si>
  <si>
    <t xml:space="preserve">     Total Nuclear Production</t>
  </si>
  <si>
    <t xml:space="preserve">     Total  Hydraulic Production</t>
  </si>
  <si>
    <t xml:space="preserve">     Total Other Production</t>
  </si>
  <si>
    <t xml:space="preserve">     Total Capital Leases</t>
  </si>
  <si>
    <t>Real and Personal Property Tax</t>
  </si>
  <si>
    <t>System Sales Adjusted</t>
  </si>
  <si>
    <t>SECTION   V</t>
  </si>
  <si>
    <t>FULLY ADJUSTED BASE CASE SUMMARY</t>
  </si>
  <si>
    <t>SCHEDULE   1</t>
  </si>
  <si>
    <r>
      <t xml:space="preserve">LINE   </t>
    </r>
    <r>
      <rPr>
        <u/>
        <sz val="10"/>
        <rFont val="Arial"/>
        <family val="2"/>
      </rPr>
      <t>NO.</t>
    </r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</si>
  <si>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</si>
  <si>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</si>
  <si>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</si>
  <si>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</si>
  <si>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</si>
  <si>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</si>
  <si>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</si>
  <si>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</si>
  <si>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</si>
  <si>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</si>
  <si>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</si>
  <si>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</si>
  <si>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</si>
  <si>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</si>
  <si>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</si>
  <si>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</si>
  <si>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AFUDC Offset Adjustment / Deferred Income</t>
  </si>
  <si>
    <t xml:space="preserve">Net Electric Operating Income - Adjusted  </t>
  </si>
  <si>
    <t>============</t>
  </si>
  <si>
    <t>Capitalization</t>
  </si>
  <si>
    <t>Change in Revenue Requirement</t>
  </si>
  <si>
    <t>Rate of Return (WP S-2, Pg 1, L 5, Col 6)</t>
  </si>
  <si>
    <t>SECTION V</t>
  </si>
  <si>
    <t>SCHEDULE 2</t>
  </si>
  <si>
    <t>Line       No.</t>
  </si>
  <si>
    <t xml:space="preserve">Percent of                  Incremental                          Gross Revenues </t>
  </si>
  <si>
    <t>---------------------</t>
  </si>
  <si>
    <t>Required Net Electric Operating Income (L1 X L2)</t>
  </si>
  <si>
    <t>Net Electric Operating Income Change (L3 - L4)</t>
  </si>
  <si>
    <t>Gross Revenue Conversion Factor (Per WP S-2, Pg 2, L 9)</t>
  </si>
  <si>
    <t>Change in Revenue Requirement (L5 X L6) Increase / (Decrease)</t>
  </si>
  <si>
    <t>*</t>
  </si>
  <si>
    <t>===========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</si>
  <si>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</si>
  <si>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</si>
  <si>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</si>
  <si>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</si>
  <si>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</si>
  <si>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</si>
  <si>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</si>
  <si>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</si>
  <si>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</si>
  <si>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</si>
  <si>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Jurisdictional</t>
  </si>
  <si>
    <t>of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</si>
  <si>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</si>
  <si>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</si>
  <si>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</si>
  <si>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</si>
  <si>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</si>
  <si>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</si>
  <si>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</si>
  <si>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</si>
  <si>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Common Equity</t>
  </si>
  <si>
    <t>-------------------</t>
  </si>
  <si>
    <t>==========</t>
  </si>
  <si>
    <t>1/</t>
  </si>
  <si>
    <t>Per workpaper S-3, Pg 2, Ln 16</t>
  </si>
  <si>
    <t>PAGE 2 OF 3</t>
  </si>
  <si>
    <t>Less: Uncollectible Accounts Expense   1/</t>
  </si>
  <si>
    <t>KPSC Maintenance Fee</t>
  </si>
  <si>
    <t>Income Before income Taxes</t>
  </si>
  <si>
    <t>Income Before Federal Income Taxes</t>
  </si>
  <si>
    <t>Less: Federal income Taxes (L6 X 35.00%)</t>
  </si>
  <si>
    <t>Operating Income Percentage</t>
  </si>
  <si>
    <t>Gross Revenue Conversion Factor (100% / L8)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</si>
  <si>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</si>
  <si>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</si>
  <si>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</si>
  <si>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</si>
  <si>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</si>
  <si>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</si>
  <si>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</si>
  <si>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</si>
  <si>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</si>
  <si>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</si>
  <si>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</si>
  <si>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</si>
  <si>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</si>
  <si>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PAGE 3 OF 3</t>
  </si>
  <si>
    <t>Electric       Revenues</t>
  </si>
  <si>
    <t>Account-Net       Charged Off</t>
  </si>
  <si>
    <t>Percent of Electric       Revenues</t>
  </si>
  <si>
    <t>Three Year Average</t>
  </si>
  <si>
    <t>CAPITALIZATION</t>
  </si>
  <si>
    <t>Mitchell</t>
  </si>
  <si>
    <t>FRECO</t>
  </si>
  <si>
    <t>Non</t>
  </si>
  <si>
    <t>PER BOOK</t>
  </si>
  <si>
    <t>Coal Stock</t>
  </si>
  <si>
    <t>A/C 124</t>
  </si>
  <si>
    <t>Utility</t>
  </si>
  <si>
    <t>BALANCE</t>
  </si>
  <si>
    <t>Adjustment</t>
  </si>
  <si>
    <t>Property</t>
  </si>
  <si>
    <t>Sub-Total</t>
  </si>
  <si>
    <t>($000)</t>
  </si>
  <si>
    <t>Net Proceeds</t>
  </si>
  <si>
    <t>Cost of</t>
  </si>
  <si>
    <t>Original</t>
  </si>
  <si>
    <t>on Principal</t>
  </si>
  <si>
    <t>Debt</t>
  </si>
  <si>
    <t xml:space="preserve">Average </t>
  </si>
  <si>
    <t>Principal</t>
  </si>
  <si>
    <t>Discount</t>
  </si>
  <si>
    <t>Amt. Based on</t>
  </si>
  <si>
    <t>Net</t>
  </si>
  <si>
    <t>Effective</t>
  </si>
  <si>
    <t>Current</t>
  </si>
  <si>
    <t>Based on</t>
  </si>
  <si>
    <t>Name</t>
  </si>
  <si>
    <t>Ln</t>
  </si>
  <si>
    <t>Interest</t>
  </si>
  <si>
    <t>Date of</t>
  </si>
  <si>
    <t>Term</t>
  </si>
  <si>
    <t>Amount</t>
  </si>
  <si>
    <t>(Prem) &amp;</t>
  </si>
  <si>
    <t>Original Prem.</t>
  </si>
  <si>
    <t>Proceed</t>
  </si>
  <si>
    <t xml:space="preserve">Carrying </t>
  </si>
  <si>
    <t xml:space="preserve">Cost of </t>
  </si>
  <si>
    <t>No</t>
  </si>
  <si>
    <t>Rate (%)</t>
  </si>
  <si>
    <t>Offering</t>
  </si>
  <si>
    <t>Maturity</t>
  </si>
  <si>
    <t>InYears</t>
  </si>
  <si>
    <t>Issued</t>
  </si>
  <si>
    <t>(Disc) &amp; Exp</t>
  </si>
  <si>
    <t>Ratio</t>
  </si>
  <si>
    <t>Outstanding</t>
  </si>
  <si>
    <t>Value</t>
  </si>
  <si>
    <t>Issuer</t>
  </si>
  <si>
    <t>KPCo</t>
  </si>
  <si>
    <t>Subtotal</t>
  </si>
  <si>
    <t>Senior Notes</t>
  </si>
  <si>
    <t>Senior Unsecured Notes</t>
  </si>
  <si>
    <t>06/13/2003</t>
  </si>
  <si>
    <t>12/01/2032</t>
  </si>
  <si>
    <t>06/18/2009</t>
  </si>
  <si>
    <t>06/18/2029</t>
  </si>
  <si>
    <t>06/18/2039</t>
  </si>
  <si>
    <t>Total Kentucky Power</t>
  </si>
  <si>
    <t>WORKPAPER S-3</t>
  </si>
  <si>
    <t>PAGE 2 OF 4</t>
  </si>
  <si>
    <t>Month</t>
  </si>
  <si>
    <t>Year</t>
  </si>
  <si>
    <t>Notes Payable                        Outstanding at                                                   End of Month</t>
  </si>
  <si>
    <t>---------------</t>
  </si>
  <si>
    <t>Average Borrowings Outstanding During the Period</t>
  </si>
  <si>
    <t>Weighted Average Interest Rate of Borrowings</t>
  </si>
  <si>
    <t xml:space="preserve">       Outstanding During the Period (Ln 15 / Ln 14)</t>
  </si>
  <si>
    <t>========</t>
  </si>
  <si>
    <t>Line No.</t>
  </si>
  <si>
    <t>Tons</t>
  </si>
  <si>
    <t>Average       $/Ton</t>
  </si>
  <si>
    <t>PAGE 4 OF 4</t>
  </si>
  <si>
    <t xml:space="preserve">     502-Steam / Consumables</t>
  </si>
  <si>
    <t>(5)</t>
  </si>
  <si>
    <t>(6)</t>
  </si>
  <si>
    <t>Customers</t>
  </si>
  <si>
    <t>CUST.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</si>
  <si>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</si>
  <si>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</si>
  <si>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</si>
  <si>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</si>
  <si>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</si>
  <si>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</si>
  <si>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</si>
  <si>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</si>
  <si>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</si>
  <si>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</si>
  <si>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</si>
  <si>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</si>
  <si>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</si>
  <si>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</si>
  <si>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TOTAL /</t>
  </si>
  <si>
    <t>Hour of MW Peak</t>
  </si>
  <si>
    <t>1600</t>
  </si>
  <si>
    <t>0800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</si>
  <si>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</si>
  <si>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</si>
  <si>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</si>
  <si>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</si>
  <si>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</si>
  <si>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</si>
  <si>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</si>
  <si>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</si>
  <si>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</si>
  <si>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</si>
  <si>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</si>
  <si>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</si>
  <si>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</si>
  <si>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</si>
  <si>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</si>
  <si>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</si>
  <si>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</si>
  <si>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Kentucky Power Company Internal Load plus System Sales at time of Internal Peak.</t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</si>
  <si>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</si>
  <si>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</si>
  <si>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</si>
  <si>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</si>
  <si>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 xml:space="preserve">Transmission - 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</si>
  <si>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</si>
  <si>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</si>
  <si>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</si>
  <si>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</si>
  <si>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</si>
  <si>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</si>
  <si>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</si>
  <si>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</si>
  <si>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</si>
  <si>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</si>
  <si>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</si>
  <si>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</si>
  <si>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</si>
  <si>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</si>
  <si>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</si>
  <si>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</si>
  <si>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Sales for Resale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</si>
  <si>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</si>
  <si>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</si>
  <si>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</si>
  <si>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</si>
  <si>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</si>
  <si>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</si>
  <si>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City of Olive Hill</t>
  </si>
  <si>
    <t>City of Vanceburg</t>
  </si>
  <si>
    <t xml:space="preserve">Year </t>
  </si>
  <si>
    <t>Loss Factors by System</t>
  </si>
  <si>
    <t>% Demand</t>
  </si>
  <si>
    <t>% Energy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</si>
  <si>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</si>
  <si>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>System</t>
  </si>
  <si>
    <t>Loss</t>
  </si>
  <si>
    <t>Subtransmission</t>
  </si>
  <si>
    <t xml:space="preserve">Distribution Substation Trxfrs - 69kV (1) </t>
  </si>
  <si>
    <t>Composite                             Loss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</si>
  <si>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</si>
  <si>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</si>
  <si>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 xml:space="preserve">  </t>
  </si>
  <si>
    <t>Allocated</t>
  </si>
  <si>
    <t xml:space="preserve">     Subtotal Gross Plant     GP-TOT</t>
  </si>
  <si>
    <t>State Business Occup Taxes</t>
  </si>
  <si>
    <t>G/L Disp. Of Allowances 411.8</t>
  </si>
  <si>
    <t>Exclude FERC RQ</t>
  </si>
  <si>
    <t>9/30/2014</t>
  </si>
  <si>
    <t>9/30/2026</t>
  </si>
  <si>
    <t>Pollution Control Bond</t>
  </si>
  <si>
    <t>Balance End of Test Year (Low Sulfur)</t>
  </si>
  <si>
    <t>Balance End of Test Year (High Sulfur)</t>
  </si>
  <si>
    <t>Daily Burn Rate  (Low Sulfur)</t>
  </si>
  <si>
    <t>Daily Burn Rate  (High Sulfur)</t>
  </si>
  <si>
    <t>Day Supply Requested (Low Sulfur)</t>
  </si>
  <si>
    <t>Day Supply Requested (High Sulfur)</t>
  </si>
  <si>
    <t>Days Supply on Hand - Low Sulfur (Ln 1 / Ln 3)</t>
  </si>
  <si>
    <t>Days Supply on Hand - High Sulfur (Ln 2 / Ln 4)</t>
  </si>
  <si>
    <t>=============</t>
  </si>
  <si>
    <t>Annualization                                                of Lease Costs</t>
  </si>
  <si>
    <t>ARO Accretion</t>
  </si>
  <si>
    <t>Weather Normalization</t>
  </si>
  <si>
    <t xml:space="preserve">     Subtotal Gross Plant     GP-PTD</t>
  </si>
  <si>
    <t xml:space="preserve">     Subtotal Gross Plant     GP-TRANS</t>
  </si>
  <si>
    <t xml:space="preserve">     Subtotal Gross Plant     GP-DIST</t>
  </si>
  <si>
    <t xml:space="preserve">     Subtotal Gross Plant     GP-T&amp;D</t>
  </si>
  <si>
    <t>CUST</t>
  </si>
  <si>
    <t>Accretion 4111005</t>
  </si>
  <si>
    <t>AFUDC Offset - Production</t>
  </si>
  <si>
    <t>AFUDC Offset - Transmission</t>
  </si>
  <si>
    <t>AFUDC Offset - Distribution</t>
  </si>
  <si>
    <t>AFUDC Offset - General</t>
  </si>
  <si>
    <t xml:space="preserve">     456-Other Electric LSE Charge - Retail Demand</t>
  </si>
  <si>
    <t xml:space="preserve">     456-Other Electric LSE Charge - Retail Energy</t>
  </si>
  <si>
    <t xml:space="preserve">     456-Other Electric Non-Juris</t>
  </si>
  <si>
    <t xml:space="preserve">     456-Other ElectricTransmission ABD</t>
  </si>
  <si>
    <t xml:space="preserve">     456-Other Electric Transmission EKPC</t>
  </si>
  <si>
    <t xml:space="preserve">     456-Other Electric TO Revenues</t>
  </si>
  <si>
    <t xml:space="preserve">     456-Other Electric Distribution ABD</t>
  </si>
  <si>
    <t xml:space="preserve">     456-Other Electric Revenues DSM</t>
  </si>
  <si>
    <t xml:space="preserve">     565  Transmission by Others</t>
  </si>
  <si>
    <t xml:space="preserve">     565  LSE Transmission Purchases - Retail Demand</t>
  </si>
  <si>
    <t>4310007-Other Interest Expense</t>
  </si>
  <si>
    <t>Acct 4190005</t>
  </si>
  <si>
    <t>Acct 4300003</t>
  </si>
  <si>
    <t>Mitchell FGD</t>
  </si>
  <si>
    <t>From Base to</t>
  </si>
  <si>
    <t>Environmental</t>
  </si>
  <si>
    <t xml:space="preserve"> CP Demand</t>
  </si>
  <si>
    <t>CP Demand</t>
  </si>
  <si>
    <t xml:space="preserve">     561-Load Dispatching - PJM</t>
  </si>
  <si>
    <t xml:space="preserve">     561-Load Dispatching - Company</t>
  </si>
  <si>
    <t>Removal</t>
  </si>
  <si>
    <t xml:space="preserve">     Subtotal O&amp;M Labor - OML</t>
  </si>
  <si>
    <t>Total Construction Work in Progress Less AFUDC</t>
  </si>
  <si>
    <t>Total  AFUDC</t>
  </si>
  <si>
    <t>Other Including Customer Deposits</t>
  </si>
  <si>
    <t>Schedule M Adjustment  ---  Addback &lt;Deduct&gt;</t>
  </si>
  <si>
    <t>Normalization %</t>
  </si>
  <si>
    <t>HR-J Post in Service AFUDC</t>
  </si>
  <si>
    <t>Accum. Dep. On ARO Assets</t>
  </si>
  <si>
    <t>KPCO DEMAND ALLOCATION FACTORS</t>
  </si>
  <si>
    <t>KPCO ENERGY ALLOCATION FACTORS</t>
  </si>
  <si>
    <t>KPCO JURISDICTIONAL ALLOCATION FACTORS</t>
  </si>
  <si>
    <t>Schedule 9</t>
  </si>
  <si>
    <t>Schedule 10</t>
  </si>
  <si>
    <t>Schedule 9                                (Vanceburg)</t>
  </si>
  <si>
    <t>Schedule 9                                (Olive Hill)</t>
  </si>
  <si>
    <t>Schedule 10                                (Olive Hill)</t>
  </si>
  <si>
    <t>Schedule 10                                (Vanceburg)</t>
  </si>
  <si>
    <t>Sch 9</t>
  </si>
  <si>
    <t>Sch 10</t>
  </si>
  <si>
    <t>Sch 4, Line 425</t>
  </si>
  <si>
    <t>Sch 4, Line 423</t>
  </si>
  <si>
    <t>Sch 4, Line 167</t>
  </si>
  <si>
    <t>Sch 4, Line 169</t>
  </si>
  <si>
    <t>Sch 4, Line 171</t>
  </si>
  <si>
    <t>Sch 4, Line 173</t>
  </si>
  <si>
    <t>Sch 4, Line 39</t>
  </si>
  <si>
    <t>Total Operating Revenue</t>
  </si>
  <si>
    <t>Per workpaper S-3, Pg 1, Ln 15, Col 14</t>
  </si>
  <si>
    <t>Fuel Stock Requested - Low Sulfur (Ln 3 X Ln 7)</t>
  </si>
  <si>
    <t>Fuel Stock Requested - High Sulfur (Ln 4 X Ln 8)</t>
  </si>
  <si>
    <t>Adjustment to Test Year - Low Sulfur (Ln 9 - Ln 1)</t>
  </si>
  <si>
    <t>Adjustment to Test Year - High Sulfur (Ln 10 - Ln 1)</t>
  </si>
  <si>
    <t>KPCo's Adjustment Test Year (Ln 11 + Ln 12)</t>
  </si>
  <si>
    <t>KPSC Jurisdictional Amount (Ln 13 X Ln 14)</t>
  </si>
  <si>
    <r>
      <t xml:space="preserve">Monthly               Debt                          Rate                  </t>
    </r>
    <r>
      <rPr>
        <u/>
        <sz val="10"/>
        <rFont val="Arial"/>
        <family val="2"/>
      </rPr>
      <t>Applicable</t>
    </r>
  </si>
  <si>
    <r>
      <t xml:space="preserve">Monthly               Equity                        Rate                  </t>
    </r>
    <r>
      <rPr>
        <u/>
        <sz val="10"/>
        <rFont val="Arial"/>
        <family val="2"/>
      </rPr>
      <t>Applicable</t>
    </r>
  </si>
  <si>
    <r>
      <t>ENERGY</t>
    </r>
    <r>
      <rPr>
        <u/>
        <sz val="10"/>
        <rFont val="Arial"/>
        <family val="2"/>
      </rPr>
      <t xml:space="preserve"> LOSS CALCULATIONS</t>
    </r>
  </si>
  <si>
    <t>A&amp;G Allocators</t>
  </si>
  <si>
    <t>Non-KY P.S.C. Juris</t>
  </si>
  <si>
    <t xml:space="preserve">     565  LSE Transmission Purchases - Retail Energy</t>
  </si>
  <si>
    <t xml:space="preserve">     565  Transmission Purchases - Non-Juris</t>
  </si>
  <si>
    <t xml:space="preserve">     508-IPP Operations</t>
  </si>
  <si>
    <t>12/30/2014</t>
  </si>
  <si>
    <t>12/30/2026</t>
  </si>
  <si>
    <t xml:space="preserve">     501-Gas Reservation Fee</t>
  </si>
  <si>
    <t>Kentucky Internal Peak Load</t>
  </si>
  <si>
    <t xml:space="preserve">TOTAL       Non Retail Jurisdiction       </t>
  </si>
  <si>
    <t>LSE OATT Charges - Retail Demand 565&amp;456</t>
  </si>
  <si>
    <t>LSE OATT Charges - Retail Energy 565&amp;456</t>
  </si>
  <si>
    <t>Trans COS - Demand</t>
  </si>
  <si>
    <t>Transmission Owner PJM Revenue</t>
  </si>
  <si>
    <t>CITY OF       HAMILTON</t>
  </si>
  <si>
    <t>Remove DSM Rider</t>
  </si>
  <si>
    <t>Remove Economic Development Surcharge</t>
  </si>
  <si>
    <t>Pension and OPEB Expense</t>
  </si>
  <si>
    <t>Employee Related Group Benefit Expenses</t>
  </si>
  <si>
    <t>Severance Related Payroll Expenses</t>
  </si>
  <si>
    <t>Total Incentive Compensation &amp; Payroll Adjustments</t>
  </si>
  <si>
    <t>ARO Depreciation Expense</t>
  </si>
  <si>
    <t>Fuel Under (Over) Revenue &amp; Expense</t>
  </si>
  <si>
    <t>O&amp;M Expense Interest on Customer Deposits</t>
  </si>
  <si>
    <t>Remove Non-Recoverable Business Expenses</t>
  </si>
  <si>
    <t>PJM LSE OATT Expense</t>
  </si>
  <si>
    <t>System Sales Clause - reset OSS Margin Baseline</t>
  </si>
  <si>
    <t>NERC Compliance &amp; Cyber Security</t>
  </si>
  <si>
    <t>Consumables</t>
  </si>
  <si>
    <t>Env Surcharge - Remove Mitchell FGD Expenses</t>
  </si>
  <si>
    <t>Annualization Depreciation/Amortization Expense</t>
  </si>
  <si>
    <t>Decommissioning Rider Removal</t>
  </si>
  <si>
    <t>Decommissioning</t>
  </si>
  <si>
    <t>Remove FGD Plant and M&amp;S from Rate Base (Mitchell)</t>
  </si>
  <si>
    <t>Environmental Surcharge Revenue Sync - remove FGD revenue, sync non-FGD revenue, remove deferrals</t>
  </si>
  <si>
    <t>Allocation Factor - EAF</t>
  </si>
  <si>
    <t>ALLOCATED</t>
  </si>
  <si>
    <t xml:space="preserve"> Adjustments</t>
  </si>
  <si>
    <t>Kentucky Jurisdiction</t>
  </si>
  <si>
    <t>Surcharge Book to Bill</t>
  </si>
  <si>
    <t>KY Retail</t>
  </si>
  <si>
    <t xml:space="preserve">     565  LSE Transmission Purchases </t>
  </si>
  <si>
    <t>Per Recommendation of Company Witnesses McKenzie</t>
  </si>
  <si>
    <t>Olive Hill Substation</t>
  </si>
  <si>
    <t>Olive Hill Meters</t>
  </si>
  <si>
    <t>Retail bad debt amount acct 4265010</t>
  </si>
  <si>
    <t>565 Trans by Others</t>
  </si>
  <si>
    <t>A&amp;G</t>
  </si>
  <si>
    <t>Schedules 6, 9 and 10</t>
  </si>
  <si>
    <t xml:space="preserve">     Accumulated Deferred Income Taxes</t>
  </si>
  <si>
    <t>Property Tax Expense Annualization</t>
  </si>
  <si>
    <t>Non-firm Sales</t>
  </si>
  <si>
    <t>PDAF/EAF</t>
  </si>
  <si>
    <t xml:space="preserve">    Total AFUDC Adjustment</t>
  </si>
  <si>
    <t xml:space="preserve">     Total AFUDC Adjustment</t>
  </si>
  <si>
    <t xml:space="preserve">     Total Rate Base (excludng Cash Working Capital)</t>
  </si>
  <si>
    <t>Total Rate Base (excluding Cash Working Capital)</t>
  </si>
  <si>
    <t>Less: State Income Taxes (L4 X 5.8742%)   2/</t>
  </si>
  <si>
    <t>PAGE 3 OF 4</t>
  </si>
  <si>
    <t>(3)</t>
  </si>
  <si>
    <t>(4)</t>
  </si>
  <si>
    <r>
      <t xml:space="preserve">Ln </t>
    </r>
    <r>
      <rPr>
        <b/>
        <u/>
        <sz val="10"/>
        <rFont val="Arial"/>
        <family val="2"/>
      </rPr>
      <t>No.</t>
    </r>
  </si>
  <si>
    <t>Reference</t>
  </si>
  <si>
    <r>
      <rPr>
        <b/>
        <sz val="10"/>
        <rFont val="Arial"/>
        <family val="2"/>
      </rPr>
      <t>Cumulative Percentage</t>
    </r>
    <r>
      <rPr>
        <b/>
        <u/>
        <sz val="10"/>
        <rFont val="Arial"/>
        <family val="2"/>
      </rPr>
      <t xml:space="preserve"> Increase</t>
    </r>
  </si>
  <si>
    <t xml:space="preserve">Proposed Increase to Revenue Requirement  </t>
  </si>
  <si>
    <t>Section V, Schedule 1, Cell I47</t>
  </si>
  <si>
    <t>REVENUE REQUIREMENT</t>
  </si>
  <si>
    <t>COMPUTATION OF THE GROSS REVENUE</t>
  </si>
  <si>
    <t>CONVERSION FACTOR</t>
  </si>
  <si>
    <t>COMPUTATION OF FACTOR TO BE APPLIED TO ADDITIONAL</t>
  </si>
  <si>
    <t>DETERMINATION OF AN UNCOLLECTIBLE ACCOUNTS</t>
  </si>
  <si>
    <t>REVENUES GENERATED BY RATE INCREASE, IN</t>
  </si>
  <si>
    <t>ADJUSTMENT TO BE ADDED TO O&amp;M EXPENSE</t>
  </si>
  <si>
    <t>LONG-TERM DEBT</t>
  </si>
  <si>
    <t>SCHEDULE OF SHORT-TERM DEBT</t>
  </si>
  <si>
    <t>COAL STOCK ADJUSTMENT</t>
  </si>
  <si>
    <t>MICTHELL PLANT</t>
  </si>
  <si>
    <t>ELECTRIC OPERATION &amp; MAINTENANCE EXPENSE</t>
  </si>
  <si>
    <t>ENERGY &amp; CAPACITY CHARGES</t>
  </si>
  <si>
    <t>(1a)</t>
  </si>
  <si>
    <t>Test Year Retail Sales Revenues per Income Statement</t>
  </si>
  <si>
    <t>(1b)</t>
  </si>
  <si>
    <t>Test Year Retail Sales Revenues</t>
  </si>
  <si>
    <t>Section V, Schedule 4, Cell C7</t>
  </si>
  <si>
    <t>Net Electric Operating Income   (Line 4 - Line 12)</t>
  </si>
  <si>
    <t>Test Year Net Electric Operating Income (Per Sch 4, Col 6, Ln 35)</t>
  </si>
  <si>
    <t>Sch 4, Line 175</t>
  </si>
  <si>
    <t>Sch 4, Line 287</t>
  </si>
  <si>
    <t>9/12/2017</t>
  </si>
  <si>
    <t>9/12/2024</t>
  </si>
  <si>
    <t>9/12/2027</t>
  </si>
  <si>
    <t>9/12/2029</t>
  </si>
  <si>
    <t>9/12/2047</t>
  </si>
  <si>
    <t>0700</t>
  </si>
  <si>
    <t xml:space="preserve">April </t>
  </si>
  <si>
    <t>Accrued Capital and Operating Leases Acct 1011012, 1011031, 1011032, 1011036</t>
  </si>
  <si>
    <t xml:space="preserve">     Prepaid Pension Benefit -1650010, 1650035</t>
  </si>
  <si>
    <t xml:space="preserve">Amort Big Sandy Operation Rider </t>
  </si>
  <si>
    <t>AFUDC Offset - Intangible</t>
  </si>
  <si>
    <t>Sales and Use Tax</t>
  </si>
  <si>
    <t>State Business Occupation Tax</t>
  </si>
  <si>
    <t>Term Loan</t>
  </si>
  <si>
    <t xml:space="preserve">January </t>
  </si>
  <si>
    <t>Februrary</t>
  </si>
  <si>
    <t>Removal of Pole Rental Revenues and Expenese to prior periods</t>
  </si>
  <si>
    <t>Removal Non-Ongoing Expense Related to COVID-19 Pandemic</t>
  </si>
  <si>
    <t>Removal Prior Period Insurance Proceeds</t>
  </si>
  <si>
    <t>Amoritization Deferred Plant Maintenance Costs</t>
  </si>
  <si>
    <t>Removal NERC Compliance Cyber Security Assets from Capitalization</t>
  </si>
  <si>
    <t>Removal Rockport Def. Reg. Asset net of Def. Tax from Capitalization</t>
  </si>
  <si>
    <t>NERC Compliance</t>
  </si>
  <si>
    <t>Cyber Security</t>
  </si>
  <si>
    <t>Rockport</t>
  </si>
  <si>
    <t>Deferral</t>
  </si>
  <si>
    <t>Removal of Federal Tax Cut Rider Credits</t>
  </si>
  <si>
    <t>Book to Bill</t>
  </si>
  <si>
    <t xml:space="preserve">Remove PPA Rider Revenue, Expense </t>
  </si>
  <si>
    <t>671H, 671I</t>
  </si>
  <si>
    <t>671K,671N, 671O, 671P</t>
  </si>
  <si>
    <t>432I split between 6 &amp; 7</t>
  </si>
  <si>
    <t>671J</t>
  </si>
  <si>
    <t>632U</t>
  </si>
  <si>
    <t>605B 906A</t>
  </si>
  <si>
    <t>672O</t>
  </si>
  <si>
    <t>612Y</t>
  </si>
  <si>
    <t>230A, 280A</t>
  </si>
  <si>
    <t>280H</t>
  </si>
  <si>
    <t>906P</t>
  </si>
  <si>
    <t>960F-XS</t>
  </si>
  <si>
    <t>911S</t>
  </si>
  <si>
    <t>No Def Fuel</t>
  </si>
  <si>
    <t>No Timing Dif</t>
  </si>
  <si>
    <t>No Timing Diff</t>
  </si>
  <si>
    <t>ETR</t>
  </si>
  <si>
    <t xml:space="preserve">     561-Load Dispatching-PJM</t>
  </si>
  <si>
    <t>Removal Regulatory Asset Amort.</t>
  </si>
  <si>
    <t>Line of Credit Fees</t>
  </si>
  <si>
    <t>BSDR Direct Assign</t>
  </si>
  <si>
    <t xml:space="preserve">DSM, Econ Dev &amp; HEAP Rider Expenses </t>
  </si>
  <si>
    <t>PPA Direct Assign</t>
  </si>
  <si>
    <t>ACCOUNTS</t>
  </si>
  <si>
    <t>1060001, 1060007</t>
  </si>
  <si>
    <t>1011012, 1011031, 1011032, 1011036</t>
  </si>
  <si>
    <t>1080001, 1080011, 1080005</t>
  </si>
  <si>
    <t>1540001, 1540003, 1540004, 1540006, 1540012,1540013, 1540014, 1540016, 1540022, 1540023</t>
  </si>
  <si>
    <t>1650010, 1650035</t>
  </si>
  <si>
    <t>1650001, 165000218, 165000219, 1650005, 1650006, 1650009, 165001118, 165001119, 165001120, 165001218, 165001219, 165001220, 1650021, 1650023</t>
  </si>
  <si>
    <t>4560001, 4560007, 4560012, 4560015, 4560043, 4561002, 4561005, 4561006, 4561007, 4561019, 4561028, 4561029, 4561030, 4561033, 4561034, 4561035, 4561036, 4561058, 4561059, 4561060, 4561061, 4561062, 4561063, 4561064, 4561065, 4561073</t>
  </si>
  <si>
    <t>5010034, 5010040</t>
  </si>
  <si>
    <t>9280002, 9280005</t>
  </si>
  <si>
    <t>4030001, 4031001, 4030029</t>
  </si>
  <si>
    <t>4040001, 4040007, 4060001</t>
  </si>
  <si>
    <t>4073000, 4073014</t>
  </si>
  <si>
    <t>4081002, 4081033</t>
  </si>
  <si>
    <t>4081003, 4081034</t>
  </si>
  <si>
    <t>4081007, 4081035</t>
  </si>
  <si>
    <t>408100516, 408100517, 408100518, 408100519</t>
  </si>
  <si>
    <t>408100600, 408100613, 408100617, 408100618, 408100619, 408100620</t>
  </si>
  <si>
    <t>408100817, 408100818, 408100819, 408100820</t>
  </si>
  <si>
    <t>408101418, 408101419</t>
  </si>
  <si>
    <t>408101900, 408101917, 408101918, 408101919, 408101920</t>
  </si>
  <si>
    <t>408101817, 408101818, 408101819</t>
  </si>
  <si>
    <t>408101718, 408101719</t>
  </si>
  <si>
    <t>408102017, 408102018, 408102019, 408102020</t>
  </si>
  <si>
    <t>408102917, 408102918, 408102919, 408102920, 408103618, 408103619, 408103620</t>
  </si>
  <si>
    <t>9350000, 9350001, 9350002, 9350012, 9350013, 9350016, 9350017, 9350019, 9350024</t>
  </si>
  <si>
    <t>9200000, 92000003, 9200005</t>
  </si>
  <si>
    <t>9210001, 9210003, 9210004, 9210005, 9210006, 9210021, 9210022, 9210023, 9210024, 9210025, 9210026, 9210027, 9210028, 9210030, 9210031, 9210032, 9210033, 9210034, 9210035, 9210036, 9210040</t>
  </si>
  <si>
    <t>9220000, 9220001, 9220004</t>
  </si>
  <si>
    <t>9230001, 9230003, 9230024, 9230025, 9230034, 9230035</t>
  </si>
  <si>
    <t>9250000, 9250001, 9250002, 9250006, 9250007, 9250010</t>
  </si>
  <si>
    <t>9260000, 9260001, 9260002, 9260003, 9260004, 9260005, 9260007, 9260009, 9260010, 9260012, 9260014, 9260021, 9260027, 9260036, 9260037, 9260040, 9260042, 9260043, 9260050, 9260051, 9260052, 9260053, 9260055, 9260058, 9260060, 9260062</t>
  </si>
  <si>
    <t>9301000, 9301001, 9301002, 9301003, 9301009, 9301010, 9301012, 9301014, 9301015</t>
  </si>
  <si>
    <t>9302000, 9302003, 9302004, 9302006, 9302007</t>
  </si>
  <si>
    <t>9310001, 9310002, 9310005</t>
  </si>
  <si>
    <t>9110001, 9220002</t>
  </si>
  <si>
    <t>9120000, 9120001, 9120003</t>
  </si>
  <si>
    <t>9130000, 9130001</t>
  </si>
  <si>
    <t>9070000, 9070001</t>
  </si>
  <si>
    <t>9080000, 9080004, 9080009</t>
  </si>
  <si>
    <t>9100000, 9100001</t>
  </si>
  <si>
    <t>9010000, 9020000</t>
  </si>
  <si>
    <t>9020002, 9020003</t>
  </si>
  <si>
    <t>9030000, 9300001, 9030002, 9030003, 9030004, 9030005, 9030006, 9030007, 9030009</t>
  </si>
  <si>
    <t>9040007</t>
  </si>
  <si>
    <t>9050000</t>
  </si>
  <si>
    <t>5890001, 5890002</t>
  </si>
  <si>
    <t>5690000, 5691000, 5692000, 5693000</t>
  </si>
  <si>
    <t>5757000, 5757001</t>
  </si>
  <si>
    <t>5612000, 5615000</t>
  </si>
  <si>
    <t>5611000, 5614000, 5614001, 5614007, 5614008, 5614009, 5618000, 5618001</t>
  </si>
  <si>
    <t>5660000, 5660009, 5660010, 5660011</t>
  </si>
  <si>
    <t>5670001, 5670002</t>
  </si>
  <si>
    <t>5650020, 5650021, 5650060</t>
  </si>
  <si>
    <t>5650012, 5650016, 5650019</t>
  </si>
  <si>
    <t>5550001, 5550032, 5550039, 5550040, 5550078, 5550079, 5550080, 5550083, 5550084, 5550090, 5550099, 5550124, 5550132, 5550139, 5550153, 5550326, 5550327, 5550027, 5550046</t>
  </si>
  <si>
    <t>5550074, 5550075, 5550076, 5550123, 5550137, 5550328, 5550329, 5550027, 5550046</t>
  </si>
  <si>
    <t>5570000, 5570007</t>
  </si>
  <si>
    <t>5000000, 5000001</t>
  </si>
  <si>
    <t>5020000, 5020002, 5020003, 5020004, 5020005, 5020007, 5020025</t>
  </si>
  <si>
    <t>5060000, 5060002, 5060003, 5060004, 5060011</t>
  </si>
  <si>
    <t>5090000, 5090009, 5090013</t>
  </si>
  <si>
    <t>5010003, 5010012, 5010013, 5010027, 5010028, 5010033</t>
  </si>
  <si>
    <t>5010000, 5010001, 5010019, 5010020, 5010021</t>
  </si>
  <si>
    <t>5100000, 5100001</t>
  </si>
  <si>
    <t>5120000, 5120025, 5120034</t>
  </si>
  <si>
    <t>5140000, 5140025</t>
  </si>
  <si>
    <t>4561002, 4561005, 4561006, 4561007, 4561018, 4561026, 4561028, 4561029, 4561030, 4561033, 4561034, 4561035</t>
  </si>
  <si>
    <t>4561002, 4561005, 4561035, 4561060</t>
  </si>
  <si>
    <t>4560001, 4560012</t>
  </si>
  <si>
    <t>4561062, 4561063, 4561064, 4561065, 4561073</t>
  </si>
  <si>
    <t>1010001, 1010008</t>
  </si>
  <si>
    <t>1110001, 1110007</t>
  </si>
  <si>
    <t>1070000, 1070001</t>
  </si>
  <si>
    <t>1540001, 1540003, 1540013, 1540016</t>
  </si>
  <si>
    <t>1540001, 1540016</t>
  </si>
  <si>
    <t>1540006, 1540012, 1540023</t>
  </si>
  <si>
    <t>1540001, 1540003, 1540004, 1540022</t>
  </si>
  <si>
    <t>1510001, 1510002, 1510003, 1510020, 1520000, 1581000, 1581003, 1581009</t>
  </si>
  <si>
    <t>2350001, 2350003</t>
  </si>
  <si>
    <t>2811001, 2821001, 2831001, 2831102, 2831302, 1901001</t>
  </si>
  <si>
    <t>4400001, 4400002, 4400005, 4420001, 4420002, 4420004, 4420006, 4420007, 4420013, 4420016, 4440000, 4440002</t>
  </si>
  <si>
    <t>4470027, 4470033, 4470150</t>
  </si>
  <si>
    <t>4470001, 4470006, 4470010, 4470074, 4470081, 4470082, 4470089, 4470098, 4470099, 4470100, 4470103, 4470107, 4470110, 4470112, 4470115, 4470116, 4470126, 4470127, 4470131, 4470143, 4470151, 4470175, 4470176, 4470206, 4470209, 4470214, 4470215, 4470220, 4470221, 4470222</t>
  </si>
  <si>
    <t>4118002, 4118008</t>
  </si>
  <si>
    <t>4265009, 4265010</t>
  </si>
  <si>
    <t>4091001, 4091002, 4092001, 4092002, 4101001, 4101002, 4102001, 4111001, 411002, 4112001</t>
  </si>
  <si>
    <t>Test Year Ended March 31, 2023</t>
  </si>
  <si>
    <t>TEST YEAR ENDED MARCH 31, 2023</t>
  </si>
  <si>
    <t>Twelve Months Ended 03/31/2023</t>
  </si>
  <si>
    <t>12 Months Ended 3/31/2021</t>
  </si>
  <si>
    <t>12 Months Ended 3/31/2022</t>
  </si>
  <si>
    <t>12 Months Ended 3/31/2023</t>
  </si>
  <si>
    <t>APR 20, 2022</t>
  </si>
  <si>
    <t>MAY 31, 2022</t>
  </si>
  <si>
    <t>1500</t>
  </si>
  <si>
    <t>JUN 16, 2022</t>
  </si>
  <si>
    <t>JUL 12, 2022</t>
  </si>
  <si>
    <t>AUG 9, 2022</t>
  </si>
  <si>
    <t>1400</t>
  </si>
  <si>
    <t>SEP 21, 2022</t>
  </si>
  <si>
    <t>OCT 20, 2022</t>
  </si>
  <si>
    <t>NOV 21, 2022</t>
  </si>
  <si>
    <t>DEC 23, 2022</t>
  </si>
  <si>
    <t>2100</t>
  </si>
  <si>
    <t>JAN 15, 2023</t>
  </si>
  <si>
    <t>0900</t>
  </si>
  <si>
    <t>FEB 4, 2023</t>
  </si>
  <si>
    <t>MAR 20, 2023</t>
  </si>
  <si>
    <t xml:space="preserve">     Special Deposits</t>
  </si>
  <si>
    <t>2022</t>
  </si>
  <si>
    <t>2023</t>
  </si>
  <si>
    <t xml:space="preserve">        KPCo Losses based on Test Year ended March 31, 2023</t>
  </si>
  <si>
    <t>4491002, 4491003, 4491004</t>
  </si>
  <si>
    <t>FERC Trans Rate Case Expense - 9280005</t>
  </si>
  <si>
    <t>PPA Direct Assign - 5660009</t>
  </si>
  <si>
    <t xml:space="preserve">     549&amp;550-Misc Other Power Generation Expense</t>
  </si>
  <si>
    <t xml:space="preserve">     Other Rate Base</t>
  </si>
  <si>
    <t>Rate Base (Per Sch 1, L 16, Col 5)</t>
  </si>
  <si>
    <t>1340018, 1340048, 1340051, 1340057</t>
  </si>
  <si>
    <t>Construction Work in Progress (excludes AFUDC in CWIP)</t>
  </si>
  <si>
    <t>Customer Advances &amp; Deposits &amp; Other</t>
  </si>
  <si>
    <t>9280000, 9280001, 9280006</t>
  </si>
  <si>
    <t xml:space="preserve">     Customer Advances/Credits</t>
  </si>
  <si>
    <t>2520000, 2530124, 2530050</t>
  </si>
  <si>
    <t xml:space="preserve">Cash Working Capital </t>
  </si>
  <si>
    <t>Description
(a)</t>
  </si>
  <si>
    <t>Adjusted Test Year Amount
(b)</t>
  </si>
  <si>
    <t>Prepayments
(c)</t>
  </si>
  <si>
    <t>Cash Working Capital Amount
(d)</t>
  </si>
  <si>
    <t>Avg. Daily Expense
(e)</t>
  </si>
  <si>
    <t>Revenue Lag Days
(f)</t>
  </si>
  <si>
    <t xml:space="preserve">Expense Lead Days
(g) </t>
  </si>
  <si>
    <t>Net (Lead)/Lag
(h)</t>
  </si>
  <si>
    <t>Working Capital Requirement
(i)</t>
  </si>
  <si>
    <t>RAS Comments</t>
  </si>
  <si>
    <t>Fuel Expense</t>
  </si>
  <si>
    <t xml:space="preserve">Purchased Power </t>
  </si>
  <si>
    <t xml:space="preserve">Operation &amp; Maintenance Expense </t>
  </si>
  <si>
    <t>Link to Adjusted Test-Year Amount included in the following Adjustments:
(1)  KPCo Incentive Compensation Expense Adjustment 
(2) KPCo Annualization of Payroll Expense Adjustment
(3)  KPCo Overtime Related to Employee Merit Increases Adjustment</t>
  </si>
  <si>
    <t xml:space="preserve">Interest on Long Term Debt </t>
  </si>
  <si>
    <t>Federal Excise Taxes</t>
  </si>
  <si>
    <t>Kentucky Sales and Use Tax - Energy Exemption Annual Return</t>
  </si>
  <si>
    <t>Local Street Lighting Fee</t>
  </si>
  <si>
    <t xml:space="preserve">Federal Income Taxes </t>
  </si>
  <si>
    <t xml:space="preserve">           Current </t>
  </si>
  <si>
    <t>Section V Sch 4 -Income Taxes</t>
  </si>
  <si>
    <t xml:space="preserve">           Deferred </t>
  </si>
  <si>
    <t xml:space="preserve">                     Total FIT </t>
  </si>
  <si>
    <t xml:space="preserve">State Income Taxes </t>
  </si>
  <si>
    <t>Witness:</t>
  </si>
  <si>
    <t>H.M. Whitney</t>
  </si>
  <si>
    <t xml:space="preserve">Term Loan </t>
  </si>
  <si>
    <t>Interest Expense for the Twelve Months Ended 03/31/2023</t>
  </si>
  <si>
    <t>pre-tax</t>
  </si>
  <si>
    <t>System Sales Clause - reset OSS Margin Baseline to exclude Rockport</t>
  </si>
  <si>
    <t>Remove HEAP/REA Surcharge</t>
  </si>
  <si>
    <t>Normalize bad debt expense</t>
  </si>
  <si>
    <t>Remove Rockport UPA Non-Fuel Expense, Net of Deferral</t>
  </si>
  <si>
    <t>Working Funds and Other</t>
  </si>
  <si>
    <t xml:space="preserve">     Regulatory Commission Expense (incl 9280006)</t>
  </si>
  <si>
    <t>Schedules 9 and 10</t>
  </si>
  <si>
    <t>Linked into Schedule V (After Tax WACC X Rate base)</t>
  </si>
  <si>
    <t>Veg Management Tree Trimming &amp; Dist Investment</t>
  </si>
  <si>
    <t>Replacement Capcity Expense</t>
  </si>
  <si>
    <t>Schedule 3, Column 15, Lines 1, 2, 3 &amp; 4</t>
  </si>
  <si>
    <t>Amortize Non FAC Eligible Fuel Costs Since Last Base Case</t>
  </si>
  <si>
    <t>Non - FAC Eligibile Cost Adj</t>
  </si>
  <si>
    <t xml:space="preserve">Eliminate Misc                               Expense        </t>
  </si>
  <si>
    <t>27-32</t>
  </si>
  <si>
    <t>DFIT Only</t>
  </si>
  <si>
    <t>DFIT</t>
  </si>
  <si>
    <t>Cost of Removal - DFIT</t>
  </si>
  <si>
    <t>FERC Account 501 - Exclude Regulatory Asset Account 5010005 (Test-Year Book)</t>
  </si>
  <si>
    <t>FERC Account 555 (Test -Year Book plus RockPort Adjustment and Capacity Replacement Adj)</t>
  </si>
  <si>
    <t>Total Proforma O&amp;M per Section V - Sch 4 less Proforma Payroll, Fuel Expense, and Purchase Power… Also added customer deposit interest and Business Occ Taxes</t>
  </si>
  <si>
    <t>Payroll</t>
  </si>
  <si>
    <t>Linked into Schedule 4 (Depreciation)</t>
  </si>
  <si>
    <t>Section V Sch 4 (Federal Excise)</t>
  </si>
  <si>
    <t>See w/ps (Sales and Use Tax - Energy Exam)</t>
  </si>
  <si>
    <t>927-Franchise Requirements</t>
  </si>
  <si>
    <t>Property / Real Estate Tax</t>
  </si>
  <si>
    <t>Section V Sch 4 ( Real and Personal Property Tax.)</t>
  </si>
  <si>
    <t>Return</t>
  </si>
  <si>
    <t>See CWC WPS</t>
  </si>
  <si>
    <t>Remove FIT Expenses - Excess Related to Tax Rider</t>
  </si>
  <si>
    <t>total company amounts are KPCo retail</t>
  </si>
  <si>
    <t>DIRECT</t>
  </si>
  <si>
    <t>Interest Sync with going level tax</t>
  </si>
  <si>
    <t>NOLC</t>
  </si>
  <si>
    <t>Include Capacity Charge and SSC Over/Under (Adj 1&amp;7)</t>
  </si>
  <si>
    <t>4/</t>
  </si>
  <si>
    <t>Deferred SIT from Tax Schedule</t>
  </si>
  <si>
    <t xml:space="preserve">     5930001 Forestry - Tree &amp; Brush Control</t>
  </si>
  <si>
    <t>Proposed Increase DRR Rider - Year 1</t>
  </si>
  <si>
    <t>Federal Unemployment Taxes</t>
  </si>
  <si>
    <t>State Unemployment Taxes - Kentucky</t>
  </si>
  <si>
    <t>State Unemployment Taxes - West Virginia</t>
  </si>
  <si>
    <t>Total Increase  (Ln 2 + Ln 3)</t>
  </si>
  <si>
    <t>Remove Rockport Capacity Charge Revenue</t>
  </si>
  <si>
    <t>Normalization                                                             Storm Damage</t>
  </si>
  <si>
    <t>Remove Decommissioning Rider from Capitalization (N/A for Rate Base)</t>
  </si>
  <si>
    <t>W61</t>
  </si>
  <si>
    <t>As-Filed</t>
  </si>
  <si>
    <t>AG-KIUC Adj Prepaid pension &amp; other prepaids</t>
  </si>
  <si>
    <t>Total ADIT Adjustment (removed NOL)</t>
  </si>
  <si>
    <t>AG-KIUC Incentive Adjustments</t>
  </si>
  <si>
    <t>Case No. 2023-00159</t>
  </si>
  <si>
    <t>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</si>
</sst>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,##0.0000_);\(#,##0.0000\)"/>
    <numFmt numFmtId="168" formatCode="#,##0.000000"/>
    <numFmt numFmtId="169" formatCode="#,##0.0000000"/>
    <numFmt numFmtId="170" formatCode="#,##0.00000"/>
    <numFmt numFmtId="171" formatCode="_(* #,##0.0_);_(* \(#,##0.0\);&quot;&quot;;_(@_)"/>
    <numFmt numFmtId="172" formatCode="[Blue]#,##0,_);[Red]\(#,##0,\)"/>
    <numFmt numFmtId="173" formatCode="#,##0.000_);\(#,##0.000\)"/>
    <numFmt numFmtId="174" formatCode="#,##0.000"/>
    <numFmt numFmtId="175" formatCode="&quot;$&quot;#,##0"/>
    <numFmt numFmtId="176" formatCode="0.0000%"/>
    <numFmt numFmtId="177" formatCode="0.000000%"/>
    <numFmt numFmtId="178" formatCode="0_);\(0\)"/>
    <numFmt numFmtId="179" formatCode="mm/dd/yy"/>
    <numFmt numFmtId="180" formatCode="0.000"/>
    <numFmt numFmtId="181" formatCode="_(* #,##0.000_);_(* \(#,##0.000\);_(* &quot;-&quot;??_);_(@_)"/>
    <numFmt numFmtId="182" formatCode="0.0"/>
    <numFmt numFmtId="183" formatCode="_(&quot;$&quot;* #,##0_);_(&quot;$&quot;* \(#,##0\);_(&quot;$&quot;* &quot;-&quot;??_);_(@_)"/>
    <numFmt numFmtId="184" formatCode="#,##0.00000_);\(#,##0.0000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#,##0.00000000_);\(#,##0.00000000\)"/>
    <numFmt numFmtId="188" formatCode="0.00000000_);\(0.00000000\)"/>
    <numFmt numFmtId="189" formatCode="#,##0.0_);\(#,##0.0\)"/>
    <numFmt numFmtId="190" formatCode="0.00000%"/>
    <numFmt numFmtId="191" formatCode="_(* #,##0.00000000_);_(* \(#,##0.00000000\);_(* &quot;-&quot;??_);_(@_)"/>
    <numFmt numFmtId="192" formatCode="#,##0.000000_);\(#,##0.000000\)"/>
    <numFmt numFmtId="193" formatCode="0.0000"/>
    <numFmt numFmtId="194" formatCode="#0;&quot;-&quot;#0;#0;_(@_)"/>
    <numFmt numFmtId="195" formatCode="&quot;$&quot;* #,##0_);&quot;$&quot;* \(#,##0\);&quot;$&quot;* &quot;—&quot;_);_(@_)"/>
    <numFmt numFmtId="196" formatCode="#,##0.#######################;\(#,##0.#######################\);&quot;—&quot;;_(@_)"/>
    <numFmt numFmtId="197" formatCode="* #,##0.00;* \(#,##0.00\);* &quot;—&quot;;_(@_)"/>
    <numFmt numFmtId="198" formatCode="* #,##0;* \(#,##0\);* &quot;—&quot;;_(@_)"/>
    <numFmt numFmtId="199" formatCode="#,##0;\(#,##0\);#,##0;_(@_)"/>
    <numFmt numFmtId="200" formatCode="&quot;$&quot;#,##0_);&quot;$&quot;\(#,##0\);&quot;$&quot;#,##0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name val="Arial MT"/>
    </font>
    <font>
      <sz val="10"/>
      <color rgb="FF000000"/>
      <name val="Arial"/>
      <family val="2"/>
    </font>
    <font>
      <b/>
      <sz val="10"/>
      <color rgb="FFEE2724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469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3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5" fillId="2" borderId="6" applyNumberFormat="0" applyAlignment="0" applyProtection="0"/>
    <xf numFmtId="0" fontId="36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8" fillId="26" borderId="7" applyNumberFormat="0" applyAlignment="0" applyProtection="0"/>
    <xf numFmtId="0" fontId="37" fillId="26" borderId="7" applyNumberFormat="0" applyAlignment="0" applyProtection="0"/>
    <xf numFmtId="0" fontId="36" fillId="26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4" fillId="9" borderId="6" applyNumberFormat="0" applyAlignment="0" applyProtection="0"/>
    <xf numFmtId="41" fontId="65" fillId="0" borderId="0">
      <alignment horizontal="left"/>
    </xf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0"/>
    <xf numFmtId="0" fontId="20" fillId="0" borderId="0"/>
    <xf numFmtId="37" fontId="23" fillId="0" borderId="0"/>
    <xf numFmtId="0" fontId="23" fillId="0" borderId="0"/>
    <xf numFmtId="0" fontId="40" fillId="0" borderId="0"/>
    <xf numFmtId="0" fontId="17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20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17" fillId="0" borderId="0"/>
    <xf numFmtId="0" fontId="20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72" fillId="0" borderId="0"/>
    <xf numFmtId="0" fontId="18" fillId="5" borderId="15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43" fontId="63" fillId="0" borderId="0"/>
    <xf numFmtId="172" fontId="74" fillId="0" borderId="0"/>
    <xf numFmtId="0" fontId="75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7" fillId="2" borderId="16" applyNumberFormat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2" fillId="0" borderId="19" applyNumberFormat="0" applyFill="0" applyAlignment="0" applyProtection="0"/>
    <xf numFmtId="0" fontId="81" fillId="0" borderId="1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16" fillId="0" borderId="0"/>
    <xf numFmtId="44" fontId="8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18" fillId="0" borderId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28" borderId="0"/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01" fillId="0" borderId="0" applyBorder="0">
      <alignment wrapText="1"/>
    </xf>
    <xf numFmtId="0" fontId="18" fillId="0" borderId="0"/>
  </cellStyleXfs>
  <cellXfs count="506">
    <xf numFmtId="0" fontId="0" fillId="0" borderId="0" xfId="0"/>
    <xf numFmtId="37" fontId="0" fillId="0" borderId="0" xfId="0" applyNumberFormat="1" applyFill="1" applyBorder="1"/>
    <xf numFmtId="0" fontId="19" fillId="0" borderId="0" xfId="0" applyFont="1" applyFill="1" applyAlignment="1">
      <alignment horizontal="left" vertical="center"/>
    </xf>
    <xf numFmtId="0" fontId="19" fillId="0" borderId="0" xfId="0" applyFont="1" applyFill="1"/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164" fontId="18" fillId="0" borderId="0" xfId="1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165" fontId="18" fillId="0" borderId="0" xfId="2" applyNumberFormat="1" applyFont="1" applyFill="1" applyAlignment="1">
      <alignment horizontal="right"/>
    </xf>
    <xf numFmtId="164" fontId="18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43" fontId="18" fillId="0" borderId="0" xfId="1" applyFont="1" applyFill="1"/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7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/>
    <xf numFmtId="37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3"/>
    <xf numFmtId="0" fontId="18" fillId="0" borderId="0" xfId="3" applyFont="1"/>
    <xf numFmtId="49" fontId="18" fillId="0" borderId="0" xfId="3" applyNumberFormat="1" applyAlignment="1">
      <alignment wrapText="1"/>
    </xf>
    <xf numFmtId="37" fontId="18" fillId="0" borderId="0" xfId="3" applyNumberFormat="1" applyAlignment="1">
      <alignment horizontal="center"/>
    </xf>
    <xf numFmtId="173" fontId="18" fillId="0" borderId="0" xfId="3" applyNumberFormat="1"/>
    <xf numFmtId="49" fontId="18" fillId="0" borderId="0" xfId="3" applyNumberFormat="1"/>
    <xf numFmtId="49" fontId="19" fillId="0" borderId="0" xfId="3" applyNumberFormat="1" applyFont="1" applyAlignment="1">
      <alignment horizontal="center" wrapText="1"/>
    </xf>
    <xf numFmtId="37" fontId="19" fillId="0" borderId="0" xfId="3" applyNumberFormat="1" applyFont="1" applyAlignment="1">
      <alignment horizontal="center"/>
    </xf>
    <xf numFmtId="0" fontId="18" fillId="0" borderId="0" xfId="3" applyBorder="1" applyAlignment="1">
      <alignment horizontal="center"/>
    </xf>
    <xf numFmtId="0" fontId="18" fillId="0" borderId="0" xfId="3" applyBorder="1"/>
    <xf numFmtId="0" fontId="21" fillId="0" borderId="0" xfId="3" applyFont="1" applyAlignment="1">
      <alignment horizontal="center"/>
    </xf>
    <xf numFmtId="37" fontId="19" fillId="0" borderId="0" xfId="3" applyNumberFormat="1" applyFont="1" applyAlignment="1">
      <alignment horizontal="center" wrapText="1"/>
    </xf>
    <xf numFmtId="37" fontId="18" fillId="0" borderId="0" xfId="0" applyNumberFormat="1" applyFont="1" applyFill="1"/>
    <xf numFmtId="37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1" fillId="0" borderId="0" xfId="0" applyFont="1" applyFill="1" applyBorder="1"/>
    <xf numFmtId="37" fontId="18" fillId="0" borderId="0" xfId="0" applyNumberFormat="1" applyFont="1" applyFill="1" applyBorder="1" applyAlignment="1">
      <alignment horizontal="right"/>
    </xf>
    <xf numFmtId="0" fontId="91" fillId="0" borderId="0" xfId="0" applyFont="1" applyFill="1" applyBorder="1"/>
    <xf numFmtId="0" fontId="18" fillId="0" borderId="0" xfId="3"/>
    <xf numFmtId="173" fontId="0" fillId="0" borderId="0" xfId="0" applyNumberFormat="1"/>
    <xf numFmtId="37" fontId="18" fillId="0" borderId="2" xfId="0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37" fontId="18" fillId="0" borderId="2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center"/>
    </xf>
    <xf numFmtId="165" fontId="18" fillId="0" borderId="1" xfId="2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37" fontId="19" fillId="0" borderId="0" xfId="0" applyNumberFormat="1" applyFont="1" applyFill="1" applyBorder="1"/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horizontal="right"/>
    </xf>
    <xf numFmtId="37" fontId="18" fillId="0" borderId="0" xfId="0" applyNumberFormat="1" applyFont="1" applyFill="1" applyBorder="1"/>
    <xf numFmtId="164" fontId="18" fillId="0" borderId="0" xfId="1" applyNumberFormat="1" applyFont="1" applyFill="1" applyBorder="1"/>
    <xf numFmtId="173" fontId="0" fillId="0" borderId="0" xfId="0" applyNumberFormat="1" applyFill="1"/>
    <xf numFmtId="173" fontId="18" fillId="0" borderId="0" xfId="3" applyNumberFormat="1" applyFill="1"/>
    <xf numFmtId="164" fontId="0" fillId="0" borderId="0" xfId="0" applyNumberFormat="1"/>
    <xf numFmtId="0" fontId="0" fillId="0" borderId="0" xfId="0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73" fontId="18" fillId="0" borderId="0" xfId="3" applyNumberFormat="1" applyFill="1" applyBorder="1"/>
    <xf numFmtId="0" fontId="18" fillId="0" borderId="0" xfId="3" applyFill="1" applyBorder="1"/>
    <xf numFmtId="49" fontId="18" fillId="0" borderId="0" xfId="3" applyNumberFormat="1" applyFill="1" applyBorder="1"/>
    <xf numFmtId="181" fontId="0" fillId="0" borderId="0" xfId="1" applyNumberFormat="1" applyFont="1"/>
    <xf numFmtId="3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 applyBorder="1"/>
    <xf numFmtId="37" fontId="18" fillId="0" borderId="2" xfId="0" applyNumberFormat="1" applyFont="1" applyFill="1" applyBorder="1" applyAlignment="1">
      <alignment horizontal="right" vertical="center"/>
    </xf>
    <xf numFmtId="49" fontId="18" fillId="0" borderId="0" xfId="3" applyNumberFormat="1" applyFont="1" applyFill="1" applyAlignment="1">
      <alignment horizontal="center" wrapText="1"/>
    </xf>
    <xf numFmtId="37" fontId="0" fillId="0" borderId="0" xfId="0" applyNumberFormat="1" applyFill="1"/>
    <xf numFmtId="0" fontId="18" fillId="0" borderId="0" xfId="0" applyFont="1" applyFill="1"/>
    <xf numFmtId="164" fontId="18" fillId="0" borderId="0" xfId="1" applyNumberFormat="1" applyFont="1" applyFill="1"/>
    <xf numFmtId="0" fontId="19" fillId="0" borderId="0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right" vertical="center"/>
    </xf>
    <xf numFmtId="37" fontId="18" fillId="0" borderId="3" xfId="0" applyNumberFormat="1" applyFont="1" applyFill="1" applyBorder="1" applyAlignment="1">
      <alignment horizontal="right" vertical="center"/>
    </xf>
    <xf numFmtId="37" fontId="22" fillId="0" borderId="0" xfId="0" applyNumberFormat="1" applyFont="1" applyFill="1"/>
    <xf numFmtId="0" fontId="0" fillId="0" borderId="0" xfId="0" applyFill="1"/>
    <xf numFmtId="176" fontId="22" fillId="0" borderId="0" xfId="0" applyNumberFormat="1" applyFont="1" applyFill="1"/>
    <xf numFmtId="181" fontId="19" fillId="0" borderId="0" xfId="1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right"/>
    </xf>
    <xf numFmtId="173" fontId="19" fillId="0" borderId="0" xfId="0" applyNumberFormat="1" applyFont="1" applyFill="1" applyAlignment="1">
      <alignment horizontal="right"/>
    </xf>
    <xf numFmtId="173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9" fontId="91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wrapText="1"/>
    </xf>
    <xf numFmtId="49" fontId="91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Alignment="1">
      <alignment horizontal="center"/>
    </xf>
    <xf numFmtId="0" fontId="91" fillId="0" borderId="0" xfId="0" applyFont="1" applyFill="1"/>
    <xf numFmtId="5" fontId="1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5" fontId="19" fillId="0" borderId="0" xfId="0" applyNumberFormat="1" applyFont="1" applyFill="1"/>
    <xf numFmtId="10" fontId="18" fillId="0" borderId="0" xfId="0" applyNumberFormat="1" applyFont="1" applyFill="1"/>
    <xf numFmtId="5" fontId="18" fillId="0" borderId="0" xfId="0" applyNumberFormat="1" applyFont="1" applyFill="1" applyAlignment="1">
      <alignment horizontal="right"/>
    </xf>
    <xf numFmtId="10" fontId="19" fillId="0" borderId="0" xfId="0" applyNumberFormat="1" applyFont="1" applyFill="1"/>
    <xf numFmtId="0" fontId="18" fillId="0" borderId="0" xfId="0" applyFont="1" applyFill="1" applyAlignment="1">
      <alignment horizontal="left"/>
    </xf>
    <xf numFmtId="7" fontId="0" fillId="0" borderId="0" xfId="0" applyNumberFormat="1" applyFill="1"/>
    <xf numFmtId="0" fontId="18" fillId="0" borderId="0" xfId="0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37" fontId="18" fillId="0" borderId="1" xfId="0" applyNumberFormat="1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 vertical="top" wrapText="1"/>
    </xf>
    <xf numFmtId="164" fontId="18" fillId="0" borderId="0" xfId="1" quotePrefix="1" applyNumberFormat="1" applyFont="1" applyFill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37" fontId="18" fillId="0" borderId="0" xfId="1" quotePrefix="1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5" fontId="18" fillId="0" borderId="0" xfId="2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73" fontId="18" fillId="0" borderId="0" xfId="0" applyNumberFormat="1" applyFont="1" applyFill="1" applyBorder="1" applyAlignment="1">
      <alignment horizontal="right" vertical="center"/>
    </xf>
    <xf numFmtId="37" fontId="9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37" fontId="18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textRotation="180"/>
    </xf>
    <xf numFmtId="37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textRotation="180"/>
    </xf>
    <xf numFmtId="166" fontId="18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right" vertical="center"/>
    </xf>
    <xf numFmtId="10" fontId="18" fillId="0" borderId="0" xfId="0" applyNumberFormat="1" applyFont="1" applyFill="1" applyAlignment="1">
      <alignment horizontal="right" vertical="center"/>
    </xf>
    <xf numFmtId="43" fontId="18" fillId="0" borderId="0" xfId="1" applyFont="1" applyFill="1" applyAlignment="1">
      <alignment horizontal="center" vertical="center"/>
    </xf>
    <xf numFmtId="37" fontId="18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37" fontId="18" fillId="0" borderId="2" xfId="0" applyNumberFormat="1" applyFont="1" applyFill="1" applyBorder="1" applyAlignment="1">
      <alignment horizontal="left" vertical="center"/>
    </xf>
    <xf numFmtId="167" fontId="18" fillId="0" borderId="0" xfId="0" applyNumberFormat="1" applyFont="1" applyFill="1" applyAlignment="1">
      <alignment horizontal="right"/>
    </xf>
    <xf numFmtId="37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>
      <alignment horizontal="left" vertical="center"/>
    </xf>
    <xf numFmtId="43" fontId="18" fillId="0" borderId="0" xfId="0" applyNumberFormat="1" applyFont="1" applyFill="1" applyBorder="1" applyAlignment="1">
      <alignment horizontal="left"/>
    </xf>
    <xf numFmtId="39" fontId="18" fillId="0" borderId="4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vertical="center"/>
    </xf>
    <xf numFmtId="7" fontId="18" fillId="0" borderId="0" xfId="457" applyNumberFormat="1" applyFont="1" applyFill="1" applyBorder="1"/>
    <xf numFmtId="37" fontId="18" fillId="0" borderId="2" xfId="1" applyNumberFormat="1" applyFont="1" applyFill="1" applyBorder="1" applyAlignment="1">
      <alignment horizontal="right" vertical="center"/>
    </xf>
    <xf numFmtId="164" fontId="18" fillId="0" borderId="2" xfId="1" applyNumberFormat="1" applyFont="1" applyFill="1" applyBorder="1" applyAlignment="1">
      <alignment horizontal="left" vertical="center"/>
    </xf>
    <xf numFmtId="37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vertical="center"/>
    </xf>
    <xf numFmtId="37" fontId="18" fillId="0" borderId="0" xfId="1" applyNumberFormat="1" applyFont="1" applyFill="1" applyBorder="1" applyAlignment="1">
      <alignment horizontal="right" vertical="center"/>
    </xf>
    <xf numFmtId="37" fontId="18" fillId="0" borderId="0" xfId="1" applyNumberFormat="1" applyFont="1" applyFill="1" applyAlignment="1">
      <alignment horizontal="right" vertical="center"/>
    </xf>
    <xf numFmtId="164" fontId="18" fillId="0" borderId="1" xfId="1" applyNumberFormat="1" applyFont="1" applyFill="1" applyBorder="1" applyAlignment="1">
      <alignment vertical="center"/>
    </xf>
    <xf numFmtId="37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left" vertical="center"/>
    </xf>
    <xf numFmtId="164" fontId="18" fillId="0" borderId="5" xfId="1" applyNumberFormat="1" applyFont="1" applyFill="1" applyBorder="1" applyAlignment="1">
      <alignment vertical="center"/>
    </xf>
    <xf numFmtId="37" fontId="18" fillId="0" borderId="5" xfId="0" applyNumberFormat="1" applyFont="1" applyFill="1" applyBorder="1" applyAlignment="1">
      <alignment horizontal="right"/>
    </xf>
    <xf numFmtId="37" fontId="18" fillId="0" borderId="5" xfId="1" applyNumberFormat="1" applyFont="1" applyFill="1" applyBorder="1" applyAlignment="1">
      <alignment horizontal="right" vertical="center"/>
    </xf>
    <xf numFmtId="164" fontId="18" fillId="0" borderId="5" xfId="1" applyNumberFormat="1" applyFont="1" applyFill="1" applyBorder="1" applyAlignment="1">
      <alignment horizontal="left" vertical="center"/>
    </xf>
    <xf numFmtId="164" fontId="18" fillId="0" borderId="3" xfId="1" applyNumberFormat="1" applyFont="1" applyFill="1" applyBorder="1" applyAlignment="1">
      <alignment vertical="center"/>
    </xf>
    <xf numFmtId="37" fontId="18" fillId="0" borderId="3" xfId="1" applyNumberFormat="1" applyFont="1" applyFill="1" applyBorder="1" applyAlignment="1">
      <alignment horizontal="right" vertical="center"/>
    </xf>
    <xf numFmtId="164" fontId="18" fillId="0" borderId="3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/>
    </xf>
    <xf numFmtId="175" fontId="18" fillId="0" borderId="0" xfId="457" applyNumberFormat="1" applyFont="1" applyFill="1" applyBorder="1"/>
    <xf numFmtId="4" fontId="18" fillId="0" borderId="0" xfId="0" applyNumberFormat="1" applyFont="1" applyFill="1" applyBorder="1" applyAlignment="1">
      <alignment horizontal="left"/>
    </xf>
    <xf numFmtId="43" fontId="18" fillId="0" borderId="0" xfId="1" applyFont="1" applyFill="1" applyBorder="1"/>
    <xf numFmtId="4" fontId="18" fillId="0" borderId="0" xfId="0" applyNumberFormat="1" applyFont="1" applyFill="1" applyBorder="1"/>
    <xf numFmtId="168" fontId="18" fillId="0" borderId="0" xfId="0" applyNumberFormat="1" applyFont="1" applyFill="1" applyBorder="1"/>
    <xf numFmtId="169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4" fontId="18" fillId="0" borderId="0" xfId="0" applyNumberFormat="1" applyFont="1" applyFill="1"/>
    <xf numFmtId="168" fontId="18" fillId="0" borderId="0" xfId="0" applyNumberFormat="1" applyFont="1" applyFill="1"/>
    <xf numFmtId="170" fontId="18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left"/>
    </xf>
    <xf numFmtId="0" fontId="18" fillId="0" borderId="0" xfId="3" applyFont="1" applyFill="1"/>
    <xf numFmtId="37" fontId="18" fillId="0" borderId="0" xfId="3" applyNumberFormat="1" applyFont="1" applyFill="1"/>
    <xf numFmtId="37" fontId="18" fillId="0" borderId="0" xfId="3" applyNumberFormat="1" applyFont="1" applyFill="1" applyBorder="1"/>
    <xf numFmtId="0" fontId="19" fillId="0" borderId="0" xfId="0" applyFont="1" applyFill="1" applyAlignment="1">
      <alignment horizontal="center"/>
    </xf>
    <xf numFmtId="37" fontId="18" fillId="0" borderId="1" xfId="0" applyNumberFormat="1" applyFont="1" applyFill="1" applyBorder="1"/>
    <xf numFmtId="39" fontId="18" fillId="0" borderId="3" xfId="0" applyNumberFormat="1" applyFont="1" applyFill="1" applyBorder="1" applyAlignment="1">
      <alignment horizontal="right" vertical="center"/>
    </xf>
    <xf numFmtId="37" fontId="18" fillId="0" borderId="2" xfId="0" applyNumberFormat="1" applyFont="1" applyFill="1" applyBorder="1" applyAlignment="1">
      <alignment vertical="center"/>
    </xf>
    <xf numFmtId="37" fontId="18" fillId="0" borderId="5" xfId="0" applyNumberFormat="1" applyFont="1" applyFill="1" applyBorder="1"/>
    <xf numFmtId="37" fontId="18" fillId="0" borderId="0" xfId="1" applyNumberFormat="1" applyFont="1" applyFill="1"/>
    <xf numFmtId="10" fontId="18" fillId="0" borderId="0" xfId="3" applyNumberFormat="1" applyFont="1" applyFill="1" applyAlignment="1">
      <alignment horizontal="right"/>
    </xf>
    <xf numFmtId="49" fontId="18" fillId="0" borderId="0" xfId="3" applyNumberFormat="1" applyFont="1" applyFill="1" applyBorder="1" applyAlignment="1">
      <alignment horizontal="center" wrapText="1"/>
    </xf>
    <xf numFmtId="43" fontId="18" fillId="0" borderId="0" xfId="0" applyNumberFormat="1" applyFont="1" applyFill="1"/>
    <xf numFmtId="164" fontId="18" fillId="0" borderId="1" xfId="1" applyNumberFormat="1" applyFont="1" applyFill="1" applyBorder="1"/>
    <xf numFmtId="0" fontId="91" fillId="0" borderId="0" xfId="0" applyFont="1" applyFill="1" applyAlignment="1">
      <alignment horizontal="left"/>
    </xf>
    <xf numFmtId="0" fontId="18" fillId="0" borderId="0" xfId="3" applyFont="1" applyFill="1" applyAlignment="1">
      <alignment horizontal="left"/>
    </xf>
    <xf numFmtId="43" fontId="18" fillId="0" borderId="0" xfId="0" applyNumberFormat="1" applyFont="1" applyFill="1" applyBorder="1"/>
    <xf numFmtId="0" fontId="19" fillId="0" borderId="0" xfId="3" applyFont="1" applyFill="1" applyAlignment="1">
      <alignment horizontal="center"/>
    </xf>
    <xf numFmtId="37" fontId="18" fillId="0" borderId="0" xfId="1" applyNumberFormat="1" applyFont="1" applyFill="1" applyBorder="1" applyAlignment="1">
      <alignment horizontal="right"/>
    </xf>
    <xf numFmtId="164" fontId="18" fillId="0" borderId="0" xfId="0" applyNumberFormat="1" applyFont="1" applyFill="1"/>
    <xf numFmtId="164" fontId="92" fillId="0" borderId="0" xfId="1" applyNumberFormat="1" applyFont="1" applyFill="1"/>
    <xf numFmtId="164" fontId="18" fillId="0" borderId="0" xfId="0" applyNumberFormat="1" applyFont="1" applyFill="1" applyBorder="1"/>
    <xf numFmtId="173" fontId="18" fillId="0" borderId="0" xfId="0" applyNumberFormat="1" applyFont="1" applyFill="1"/>
    <xf numFmtId="0" fontId="9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18" fillId="0" borderId="0" xfId="0" applyNumberFormat="1" applyFont="1" applyFill="1" applyAlignment="1">
      <alignment horizontal="left"/>
    </xf>
    <xf numFmtId="37" fontId="18" fillId="0" borderId="0" xfId="0" applyNumberFormat="1" applyFont="1" applyFill="1" applyAlignment="1">
      <alignment horizontal="right" wrapText="1"/>
    </xf>
    <xf numFmtId="10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horizontal="center" wrapText="1"/>
    </xf>
    <xf numFmtId="37" fontId="91" fillId="0" borderId="0" xfId="0" applyNumberFormat="1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textRotation="180" wrapText="1"/>
    </xf>
    <xf numFmtId="173" fontId="19" fillId="0" borderId="0" xfId="0" applyNumberFormat="1" applyFont="1" applyFill="1"/>
    <xf numFmtId="0" fontId="97" fillId="0" borderId="0" xfId="0" applyFont="1" applyFill="1" applyBorder="1" applyAlignment="1">
      <alignment horizontal="center"/>
    </xf>
    <xf numFmtId="164" fontId="18" fillId="0" borderId="1" xfId="0" applyNumberFormat="1" applyFont="1" applyFill="1" applyBorder="1"/>
    <xf numFmtId="181" fontId="19" fillId="0" borderId="0" xfId="1" applyNumberFormat="1" applyFont="1" applyFill="1" applyBorder="1"/>
    <xf numFmtId="43" fontId="18" fillId="0" borderId="0" xfId="1" applyFont="1" applyFill="1" applyBorder="1" applyAlignment="1">
      <alignment horizontal="right"/>
    </xf>
    <xf numFmtId="49" fontId="18" fillId="0" borderId="0" xfId="0" applyNumberFormat="1" applyFont="1" applyFill="1"/>
    <xf numFmtId="183" fontId="18" fillId="0" borderId="0" xfId="457" applyNumberFormat="1" applyFont="1" applyFill="1" applyAlignment="1">
      <alignment horizontal="right"/>
    </xf>
    <xf numFmtId="39" fontId="18" fillId="0" borderId="0" xfId="0" applyNumberFormat="1" applyFont="1" applyFill="1"/>
    <xf numFmtId="184" fontId="18" fillId="0" borderId="0" xfId="0" applyNumberFormat="1" applyFont="1" applyFill="1"/>
    <xf numFmtId="5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/>
    <xf numFmtId="183" fontId="18" fillId="0" borderId="0" xfId="457" applyNumberFormat="1" applyFont="1" applyFill="1"/>
    <xf numFmtId="0" fontId="18" fillId="0" borderId="0" xfId="3" applyFill="1"/>
    <xf numFmtId="49" fontId="18" fillId="0" borderId="0" xfId="3" applyNumberFormat="1" applyFill="1" applyAlignment="1">
      <alignment wrapText="1"/>
    </xf>
    <xf numFmtId="49" fontId="18" fillId="0" borderId="0" xfId="3" applyNumberFormat="1" applyFill="1"/>
    <xf numFmtId="164" fontId="18" fillId="0" borderId="0" xfId="0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right"/>
    </xf>
    <xf numFmtId="164" fontId="18" fillId="0" borderId="0" xfId="1" applyNumberFormat="1" applyFont="1" applyFill="1" applyAlignment="1">
      <alignment horizontal="right"/>
    </xf>
    <xf numFmtId="10" fontId="96" fillId="0" borderId="0" xfId="3" applyNumberFormat="1" applyFont="1" applyFill="1" applyAlignment="1">
      <alignment horizontal="right"/>
    </xf>
    <xf numFmtId="37" fontId="18" fillId="0" borderId="0" xfId="0" applyNumberFormat="1" applyFont="1" applyFill="1" applyBorder="1" applyAlignment="1">
      <alignment horizontal="left"/>
    </xf>
    <xf numFmtId="37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43" fontId="18" fillId="0" borderId="0" xfId="1" applyFont="1" applyFill="1" applyAlignment="1">
      <alignment horizontal="center"/>
    </xf>
    <xf numFmtId="7" fontId="18" fillId="0" borderId="0" xfId="0" applyNumberFormat="1" applyFont="1" applyFill="1"/>
    <xf numFmtId="37" fontId="18" fillId="0" borderId="0" xfId="0" applyNumberFormat="1" applyFont="1" applyFill="1" applyAlignment="1">
      <alignment horizontal="center" wrapText="1"/>
    </xf>
    <xf numFmtId="10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/>
    <xf numFmtId="177" fontId="18" fillId="0" borderId="0" xfId="0" applyNumberFormat="1" applyFont="1" applyFill="1"/>
    <xf numFmtId="176" fontId="18" fillId="0" borderId="0" xfId="0" applyNumberFormat="1" applyFont="1" applyFill="1" applyAlignment="1">
      <alignment horizontal="right"/>
    </xf>
    <xf numFmtId="44" fontId="18" fillId="0" borderId="0" xfId="0" applyNumberFormat="1" applyFont="1" applyFill="1"/>
    <xf numFmtId="180" fontId="18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21" fillId="0" borderId="0" xfId="0" applyNumberFormat="1" applyFont="1" applyFill="1" applyAlignment="1">
      <alignment wrapText="1"/>
    </xf>
    <xf numFmtId="166" fontId="0" fillId="0" borderId="0" xfId="0" applyNumberFormat="1" applyFill="1"/>
    <xf numFmtId="179" fontId="0" fillId="0" borderId="0" xfId="1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5" fontId="0" fillId="0" borderId="0" xfId="0" applyNumberFormat="1" applyFill="1"/>
    <xf numFmtId="5" fontId="0" fillId="0" borderId="0" xfId="0" applyNumberFormat="1" applyFill="1" applyBorder="1"/>
    <xf numFmtId="10" fontId="0" fillId="0" borderId="0" xfId="0" applyNumberFormat="1" applyFill="1"/>
    <xf numFmtId="2" fontId="0" fillId="0" borderId="0" xfId="0" applyNumberFormat="1" applyFill="1"/>
    <xf numFmtId="5" fontId="18" fillId="0" borderId="0" xfId="0" applyNumberFormat="1" applyFont="1" applyFill="1" applyBorder="1"/>
    <xf numFmtId="49" fontId="0" fillId="0" borderId="0" xfId="0" applyNumberFormat="1" applyFill="1"/>
    <xf numFmtId="39" fontId="0" fillId="0" borderId="0" xfId="0" applyNumberFormat="1" applyFill="1" applyAlignment="1">
      <alignment horizontal="center"/>
    </xf>
    <xf numFmtId="0" fontId="0" fillId="0" borderId="1" xfId="0" applyFill="1" applyBorder="1"/>
    <xf numFmtId="5" fontId="0" fillId="0" borderId="5" xfId="0" applyNumberFormat="1" applyFill="1" applyBorder="1"/>
    <xf numFmtId="10" fontId="0" fillId="0" borderId="0" xfId="0" applyNumberFormat="1" applyFill="1" applyBorder="1"/>
    <xf numFmtId="0" fontId="21" fillId="0" borderId="0" xfId="0" applyFont="1" applyFill="1"/>
    <xf numFmtId="164" fontId="0" fillId="0" borderId="5" xfId="0" applyNumberFormat="1" applyFill="1" applyBorder="1"/>
    <xf numFmtId="0" fontId="21" fillId="0" borderId="0" xfId="3" applyFont="1" applyFill="1"/>
    <xf numFmtId="0" fontId="18" fillId="0" borderId="0" xfId="3" applyFill="1" applyAlignment="1">
      <alignment horizontal="center"/>
    </xf>
    <xf numFmtId="164" fontId="18" fillId="0" borderId="5" xfId="3" applyNumberFormat="1" applyFill="1" applyBorder="1"/>
    <xf numFmtId="5" fontId="18" fillId="0" borderId="5" xfId="3" applyNumberFormat="1" applyFill="1" applyBorder="1"/>
    <xf numFmtId="164" fontId="0" fillId="0" borderId="4" xfId="0" applyNumberFormat="1" applyFill="1" applyBorder="1"/>
    <xf numFmtId="176" fontId="0" fillId="0" borderId="4" xfId="0" applyNumberFormat="1" applyFill="1" applyBorder="1"/>
    <xf numFmtId="0" fontId="9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wrapText="1"/>
    </xf>
    <xf numFmtId="37" fontId="0" fillId="0" borderId="0" xfId="0" applyNumberFormat="1" applyFill="1" applyAlignment="1">
      <alignment horizontal="right" wrapText="1"/>
    </xf>
    <xf numFmtId="7" fontId="0" fillId="0" borderId="0" xfId="0" applyNumberFormat="1" applyFill="1" applyAlignment="1">
      <alignment horizontal="right" wrapText="1"/>
    </xf>
    <xf numFmtId="5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wrapText="1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49" fontId="18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wrapText="1"/>
    </xf>
    <xf numFmtId="176" fontId="19" fillId="0" borderId="0" xfId="3" applyNumberFormat="1" applyFont="1" applyFill="1" applyAlignment="1">
      <alignment horizontal="right"/>
    </xf>
    <xf numFmtId="37" fontId="18" fillId="0" borderId="1" xfId="3" applyNumberFormat="1" applyFont="1" applyFill="1" applyBorder="1"/>
    <xf numFmtId="0" fontId="91" fillId="0" borderId="0" xfId="3" applyFont="1" applyFill="1" applyAlignment="1">
      <alignment horizontal="center"/>
    </xf>
    <xf numFmtId="49" fontId="91" fillId="0" borderId="0" xfId="3" applyNumberFormat="1" applyFont="1" applyFill="1" applyAlignment="1">
      <alignment horizontal="center" wrapText="1"/>
    </xf>
    <xf numFmtId="5" fontId="18" fillId="0" borderId="1" xfId="0" applyNumberFormat="1" applyFont="1" applyFill="1" applyBorder="1"/>
    <xf numFmtId="37" fontId="18" fillId="0" borderId="0" xfId="3" applyNumberFormat="1" applyFill="1"/>
    <xf numFmtId="49" fontId="18" fillId="0" borderId="0" xfId="3" applyNumberFormat="1" applyFont="1" applyFill="1" applyAlignment="1">
      <alignment wrapText="1"/>
    </xf>
    <xf numFmtId="49" fontId="18" fillId="0" borderId="0" xfId="3" applyNumberFormat="1" applyFont="1" applyFill="1"/>
    <xf numFmtId="0" fontId="18" fillId="0" borderId="0" xfId="3" applyFont="1" applyFill="1" applyAlignment="1">
      <alignment horizontal="right"/>
    </xf>
    <xf numFmtId="49" fontId="87" fillId="0" borderId="0" xfId="3" applyNumberFormat="1" applyFont="1" applyFill="1" applyAlignment="1">
      <alignment horizontal="center"/>
    </xf>
    <xf numFmtId="43" fontId="18" fillId="0" borderId="0" xfId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49" fontId="96" fillId="0" borderId="0" xfId="0" applyNumberFormat="1" applyFont="1" applyFill="1"/>
    <xf numFmtId="166" fontId="19" fillId="0" borderId="0" xfId="0" applyNumberFormat="1" applyFont="1" applyFill="1"/>
    <xf numFmtId="166" fontId="18" fillId="0" borderId="0" xfId="0" applyNumberFormat="1" applyFont="1" applyFill="1"/>
    <xf numFmtId="166" fontId="19" fillId="0" borderId="0" xfId="0" applyNumberFormat="1" applyFont="1" applyFill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78" fontId="19" fillId="0" borderId="0" xfId="0" quotePrefix="1" applyNumberFormat="1" applyFont="1" applyFill="1" applyAlignment="1">
      <alignment horizontal="center"/>
    </xf>
    <xf numFmtId="183" fontId="19" fillId="0" borderId="0" xfId="214" applyNumberFormat="1" applyFont="1" applyFill="1" applyBorder="1"/>
    <xf numFmtId="183" fontId="19" fillId="0" borderId="0" xfId="214" applyNumberFormat="1" applyFont="1" applyFill="1"/>
    <xf numFmtId="178" fontId="19" fillId="0" borderId="0" xfId="0" applyNumberFormat="1" applyFont="1" applyFill="1" applyAlignment="1">
      <alignment horizontal="center"/>
    </xf>
    <xf numFmtId="10" fontId="19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185" fontId="0" fillId="0" borderId="0" xfId="1" applyNumberFormat="1" applyFont="1" applyFill="1" applyBorder="1"/>
    <xf numFmtId="43" fontId="0" fillId="0" borderId="0" xfId="0" applyNumberFormat="1" applyFill="1"/>
    <xf numFmtId="186" fontId="0" fillId="0" borderId="0" xfId="214" applyNumberFormat="1" applyFont="1" applyFill="1"/>
    <xf numFmtId="185" fontId="0" fillId="0" borderId="0" xfId="1" applyNumberFormat="1" applyFont="1" applyFill="1"/>
    <xf numFmtId="10" fontId="18" fillId="0" borderId="0" xfId="2" applyNumberFormat="1" applyFont="1" applyFill="1"/>
    <xf numFmtId="186" fontId="0" fillId="0" borderId="0" xfId="214" applyNumberFormat="1" applyFont="1" applyFill="1" applyBorder="1"/>
    <xf numFmtId="7" fontId="0" fillId="0" borderId="0" xfId="0" applyNumberFormat="1" applyFill="1" applyBorder="1"/>
    <xf numFmtId="10" fontId="0" fillId="0" borderId="0" xfId="2" applyNumberFormat="1" applyFont="1" applyFill="1" applyBorder="1"/>
    <xf numFmtId="187" fontId="18" fillId="0" borderId="0" xfId="0" applyNumberFormat="1" applyFont="1" applyFill="1"/>
    <xf numFmtId="5" fontId="18" fillId="0" borderId="0" xfId="1" applyNumberFormat="1" applyFont="1" applyFill="1"/>
    <xf numFmtId="44" fontId="18" fillId="0" borderId="0" xfId="457" applyFont="1" applyFill="1"/>
    <xf numFmtId="183" fontId="98" fillId="0" borderId="0" xfId="0" applyNumberFormat="1" applyFont="1" applyFill="1"/>
    <xf numFmtId="0" fontId="0" fillId="0" borderId="0" xfId="0" applyFill="1" applyAlignment="1">
      <alignment horizontal="center"/>
    </xf>
    <xf numFmtId="188" fontId="19" fillId="0" borderId="0" xfId="0" applyNumberFormat="1" applyFont="1" applyFill="1"/>
    <xf numFmtId="183" fontId="0" fillId="0" borderId="0" xfId="214" applyNumberFormat="1" applyFont="1" applyFill="1" applyBorder="1"/>
    <xf numFmtId="0" fontId="0" fillId="0" borderId="0" xfId="0"/>
    <xf numFmtId="37" fontId="0" fillId="0" borderId="0" xfId="0" applyNumberFormat="1" applyAlignment="1">
      <alignment horizontal="center"/>
    </xf>
    <xf numFmtId="0" fontId="18" fillId="0" borderId="0" xfId="0" applyFont="1"/>
    <xf numFmtId="40" fontId="0" fillId="0" borderId="0" xfId="0" applyNumberFormat="1" applyFill="1"/>
    <xf numFmtId="40" fontId="0" fillId="0" borderId="0" xfId="0" applyNumberForma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91" fontId="18" fillId="0" borderId="0" xfId="0" applyNumberFormat="1" applyFont="1" applyFill="1"/>
    <xf numFmtId="190" fontId="18" fillId="0" borderId="1" xfId="2" applyNumberFormat="1" applyFont="1" applyFill="1" applyBorder="1"/>
    <xf numFmtId="190" fontId="18" fillId="0" borderId="1" xfId="0" applyNumberFormat="1" applyFont="1" applyFill="1" applyBorder="1"/>
    <xf numFmtId="192" fontId="18" fillId="0" borderId="0" xfId="0" applyNumberFormat="1" applyFont="1" applyFill="1" applyAlignment="1">
      <alignment horizontal="center"/>
    </xf>
    <xf numFmtId="192" fontId="18" fillId="0" borderId="0" xfId="0" applyNumberFormat="1" applyFont="1" applyFill="1"/>
    <xf numFmtId="176" fontId="18" fillId="0" borderId="0" xfId="2" applyNumberFormat="1" applyFont="1" applyFill="1"/>
    <xf numFmtId="10" fontId="19" fillId="0" borderId="0" xfId="3" applyNumberFormat="1" applyFont="1" applyFill="1" applyAlignment="1">
      <alignment horizontal="right"/>
    </xf>
    <xf numFmtId="49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18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37" fontId="0" fillId="0" borderId="0" xfId="0" applyNumberForma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89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0" fontId="90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18" fillId="0" borderId="1" xfId="1" applyNumberFormat="1" applyFont="1" applyFill="1" applyBorder="1" applyAlignment="1">
      <alignment horizontal="right"/>
    </xf>
    <xf numFmtId="39" fontId="18" fillId="0" borderId="0" xfId="0" applyNumberFormat="1" applyFont="1" applyFill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center" wrapText="1"/>
    </xf>
    <xf numFmtId="37" fontId="18" fillId="0" borderId="0" xfId="0" quotePrefix="1" applyNumberFormat="1" applyFont="1" applyFill="1" applyAlignment="1">
      <alignment horizontal="center"/>
    </xf>
    <xf numFmtId="167" fontId="18" fillId="0" borderId="0" xfId="0" applyNumberFormat="1" applyFont="1" applyFill="1"/>
    <xf numFmtId="185" fontId="18" fillId="0" borderId="0" xfId="1" applyNumberFormat="1" applyFont="1" applyFill="1"/>
    <xf numFmtId="178" fontId="18" fillId="0" borderId="0" xfId="2466" applyNumberFormat="1" applyAlignment="1">
      <alignment horizontal="center"/>
    </xf>
    <xf numFmtId="0" fontId="18" fillId="0" borderId="0" xfId="2466"/>
    <xf numFmtId="37" fontId="19" fillId="0" borderId="0" xfId="3" applyNumberFormat="1" applyFont="1" applyFill="1" applyAlignment="1">
      <alignment horizontal="center"/>
    </xf>
    <xf numFmtId="193" fontId="18" fillId="0" borderId="0" xfId="3" applyNumberFormat="1" applyFill="1"/>
    <xf numFmtId="193" fontId="0" fillId="0" borderId="0" xfId="0" applyNumberFormat="1" applyFill="1"/>
    <xf numFmtId="193" fontId="0" fillId="0" borderId="0" xfId="0" applyNumberFormat="1" applyFill="1" applyBorder="1"/>
    <xf numFmtId="193" fontId="0" fillId="0" borderId="0" xfId="1" applyNumberFormat="1" applyFont="1" applyFill="1" applyBorder="1"/>
    <xf numFmtId="167" fontId="18" fillId="0" borderId="0" xfId="3" applyNumberFormat="1" applyFill="1"/>
    <xf numFmtId="17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164" fontId="101" fillId="0" borderId="0" xfId="1" applyNumberFormat="1" applyFont="1" applyFill="1" applyAlignment="1">
      <alignment wrapText="1"/>
    </xf>
    <xf numFmtId="164" fontId="101" fillId="0" borderId="0" xfId="1" applyNumberFormat="1" applyFont="1" applyFill="1" applyAlignment="1">
      <alignment horizontal="left" wrapText="1"/>
    </xf>
    <xf numFmtId="164" fontId="18" fillId="0" borderId="0" xfId="1" applyNumberFormat="1" applyFill="1" applyAlignment="1"/>
    <xf numFmtId="164" fontId="101" fillId="0" borderId="22" xfId="1" applyNumberFormat="1" applyFont="1" applyFill="1" applyBorder="1" applyAlignment="1">
      <alignment wrapText="1"/>
    </xf>
    <xf numFmtId="164" fontId="103" fillId="0" borderId="0" xfId="1" applyNumberFormat="1" applyFont="1" applyFill="1" applyAlignment="1">
      <alignment wrapText="1"/>
    </xf>
    <xf numFmtId="164" fontId="101" fillId="0" borderId="0" xfId="1" applyNumberFormat="1" applyFont="1" applyFill="1" applyBorder="1" applyAlignment="1">
      <alignment wrapText="1"/>
    </xf>
    <xf numFmtId="0" fontId="101" fillId="0" borderId="0" xfId="2465" applyFont="1" applyFill="1" applyAlignment="1">
      <alignment wrapText="1"/>
    </xf>
    <xf numFmtId="37" fontId="18" fillId="0" borderId="0" xfId="1" applyNumberFormat="1" applyFont="1" applyFill="1" applyBorder="1"/>
    <xf numFmtId="49" fontId="99" fillId="0" borderId="0" xfId="0" applyNumberFormat="1" applyFont="1" applyFill="1" applyAlignment="1">
      <alignment horizontal="center" vertical="center" wrapText="1"/>
    </xf>
    <xf numFmtId="190" fontId="18" fillId="0" borderId="0" xfId="0" applyNumberFormat="1" applyFont="1" applyFill="1" applyAlignment="1">
      <alignment horizontal="center"/>
    </xf>
    <xf numFmtId="166" fontId="18" fillId="0" borderId="0" xfId="2" applyNumberFormat="1" applyFont="1" applyFill="1"/>
    <xf numFmtId="190" fontId="18" fillId="0" borderId="0" xfId="2" applyNumberFormat="1" applyFont="1" applyFill="1"/>
    <xf numFmtId="183" fontId="19" fillId="0" borderId="1" xfId="214" applyNumberFormat="1" applyFont="1" applyFill="1" applyBorder="1"/>
    <xf numFmtId="185" fontId="0" fillId="0" borderId="0" xfId="0" applyNumberFormat="1" applyFill="1" applyBorder="1"/>
    <xf numFmtId="183" fontId="19" fillId="0" borderId="0" xfId="457" applyNumberFormat="1" applyFont="1" applyFill="1" applyAlignment="1">
      <alignment horizontal="center"/>
    </xf>
    <xf numFmtId="5" fontId="18" fillId="0" borderId="0" xfId="457" applyNumberFormat="1" applyFont="1" applyFill="1"/>
    <xf numFmtId="183" fontId="0" fillId="0" borderId="0" xfId="0" applyNumberFormat="1" applyFill="1"/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189" fontId="0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164" fontId="0" fillId="0" borderId="0" xfId="1" applyNumberFormat="1" applyFont="1" applyFill="1"/>
    <xf numFmtId="166" fontId="18" fillId="0" borderId="0" xfId="352" applyNumberFormat="1" applyFont="1" applyFill="1"/>
    <xf numFmtId="14" fontId="18" fillId="0" borderId="0" xfId="3" applyNumberFormat="1" applyFill="1"/>
    <xf numFmtId="164" fontId="18" fillId="0" borderId="0" xfId="184" applyNumberFormat="1" applyFont="1" applyFill="1"/>
    <xf numFmtId="5" fontId="18" fillId="0" borderId="0" xfId="3" applyNumberFormat="1" applyFont="1" applyFill="1" applyBorder="1"/>
    <xf numFmtId="164" fontId="0" fillId="0" borderId="0" xfId="0" applyNumberFormat="1" applyFill="1"/>
    <xf numFmtId="49" fontId="99" fillId="0" borderId="0" xfId="3" applyNumberFormat="1" applyFont="1" applyFill="1" applyAlignment="1">
      <alignment horizontal="center" vertical="center" wrapText="1"/>
    </xf>
    <xf numFmtId="164" fontId="92" fillId="0" borderId="0" xfId="1" applyNumberFormat="1" applyFont="1" applyFill="1" applyBorder="1"/>
    <xf numFmtId="5" fontId="18" fillId="0" borderId="0" xfId="3" applyNumberFormat="1" applyFont="1" applyFill="1"/>
    <xf numFmtId="37" fontId="18" fillId="0" borderId="1" xfId="3" applyNumberFormat="1" applyFill="1" applyBorder="1"/>
    <xf numFmtId="200" fontId="101" fillId="0" borderId="24" xfId="2465" applyNumberFormat="1" applyFont="1" applyFill="1" applyBorder="1" applyAlignment="1">
      <alignment wrapText="1"/>
    </xf>
    <xf numFmtId="197" fontId="101" fillId="0" borderId="0" xfId="2465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94" fillId="0" borderId="0" xfId="0" applyFont="1" applyFill="1" applyAlignment="1">
      <alignment horizontal="right" vertical="center" textRotation="180" wrapText="1"/>
    </xf>
    <xf numFmtId="0" fontId="18" fillId="0" borderId="0" xfId="0" applyFont="1" applyFill="1" applyAlignment="1">
      <alignment horizontal="center" textRotation="180" wrapText="1"/>
    </xf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8" fillId="0" borderId="0" xfId="3" applyFont="1" applyFill="1" applyAlignment="1">
      <alignment horizontal="center"/>
    </xf>
    <xf numFmtId="49" fontId="18" fillId="0" borderId="0" xfId="3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0" fontId="0" fillId="0" borderId="0" xfId="0"/>
    <xf numFmtId="0" fontId="19" fillId="0" borderId="0" xfId="3" applyFont="1" applyAlignment="1">
      <alignment horizontal="center"/>
    </xf>
    <xf numFmtId="0" fontId="0" fillId="0" borderId="0" xfId="0" applyAlignment="1">
      <alignment horizontal="center"/>
    </xf>
    <xf numFmtId="49" fontId="87" fillId="0" borderId="0" xfId="3" applyNumberFormat="1" applyFont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10" fontId="19" fillId="0" borderId="0" xfId="0" applyNumberFormat="1" applyFont="1" applyFill="1" applyAlignment="1">
      <alignment horizontal="center"/>
    </xf>
    <xf numFmtId="164" fontId="100" fillId="0" borderId="0" xfId="0" applyNumberFormat="1" applyFont="1" applyFill="1" applyAlignment="1"/>
    <xf numFmtId="37" fontId="18" fillId="0" borderId="0" xfId="1" applyNumberFormat="1" applyFont="1" applyFill="1" applyAlignment="1">
      <alignment vertical="center"/>
    </xf>
    <xf numFmtId="0" fontId="101" fillId="0" borderId="0" xfId="2465" applyFont="1" applyFill="1" applyAlignment="1">
      <alignment horizontal="center" wrapText="1"/>
    </xf>
    <xf numFmtId="0" fontId="18" fillId="0" borderId="0" xfId="2465" applyFill="1"/>
    <xf numFmtId="0" fontId="18" fillId="0" borderId="0" xfId="2465" applyFill="1"/>
    <xf numFmtId="43" fontId="18" fillId="0" borderId="0" xfId="1" applyFill="1"/>
    <xf numFmtId="43" fontId="18" fillId="0" borderId="0" xfId="2465" applyNumberFormat="1" applyFill="1"/>
    <xf numFmtId="0" fontId="101" fillId="0" borderId="20" xfId="2465" applyFont="1" applyFill="1" applyBorder="1" applyAlignment="1">
      <alignment wrapText="1"/>
    </xf>
    <xf numFmtId="0" fontId="101" fillId="0" borderId="20" xfId="2465" applyFont="1" applyFill="1" applyBorder="1" applyAlignment="1">
      <alignment horizontal="center" wrapText="1"/>
    </xf>
    <xf numFmtId="0" fontId="102" fillId="0" borderId="21" xfId="2465" applyFont="1" applyFill="1" applyBorder="1" applyAlignment="1">
      <alignment horizontal="center" wrapText="1"/>
    </xf>
    <xf numFmtId="0" fontId="101" fillId="0" borderId="22" xfId="2465" applyFont="1" applyFill="1" applyBorder="1" applyAlignment="1">
      <alignment wrapText="1"/>
    </xf>
    <xf numFmtId="0" fontId="101" fillId="0" borderId="0" xfId="2465" applyFont="1" applyFill="1" applyAlignment="1">
      <alignment horizontal="center" vertical="top" wrapText="1"/>
    </xf>
    <xf numFmtId="0" fontId="101" fillId="0" borderId="0" xfId="2465" applyFont="1" applyFill="1" applyAlignment="1">
      <alignment horizontal="left" vertical="top" wrapText="1"/>
    </xf>
    <xf numFmtId="0" fontId="101" fillId="0" borderId="0" xfId="2467" applyFill="1">
      <alignment wrapText="1"/>
    </xf>
    <xf numFmtId="194" fontId="101" fillId="0" borderId="0" xfId="2465" applyNumberFormat="1" applyFont="1" applyFill="1" applyAlignment="1">
      <alignment horizontal="center" vertical="top" wrapText="1"/>
    </xf>
    <xf numFmtId="0" fontId="101" fillId="0" borderId="0" xfId="2465" applyFont="1" applyFill="1" applyAlignment="1">
      <alignment horizontal="left" wrapText="1"/>
    </xf>
    <xf numFmtId="195" fontId="101" fillId="0" borderId="0" xfId="2465" applyNumberFormat="1" applyFont="1" applyFill="1" applyAlignment="1">
      <alignment wrapText="1"/>
    </xf>
    <xf numFmtId="196" fontId="101" fillId="0" borderId="0" xfId="2465" applyNumberFormat="1" applyFont="1" applyFill="1" applyAlignment="1">
      <alignment wrapText="1"/>
    </xf>
    <xf numFmtId="164" fontId="18" fillId="0" borderId="0" xfId="1" applyNumberFormat="1" applyFill="1"/>
    <xf numFmtId="0" fontId="102" fillId="0" borderId="0" xfId="2465" applyFont="1" applyFill="1" applyAlignment="1">
      <alignment wrapText="1"/>
    </xf>
    <xf numFmtId="164" fontId="101" fillId="0" borderId="0" xfId="1" applyNumberFormat="1" applyFont="1" applyFill="1" applyAlignment="1">
      <alignment horizontal="center" wrapText="1"/>
    </xf>
    <xf numFmtId="198" fontId="101" fillId="0" borderId="0" xfId="2465" applyNumberFormat="1" applyFont="1" applyFill="1" applyAlignment="1">
      <alignment wrapText="1"/>
    </xf>
    <xf numFmtId="0" fontId="102" fillId="0" borderId="0" xfId="2465" applyFont="1" applyFill="1" applyAlignment="1">
      <alignment horizontal="left" wrapText="1"/>
    </xf>
    <xf numFmtId="198" fontId="101" fillId="0" borderId="0" xfId="2467" applyNumberFormat="1" applyFill="1">
      <alignment wrapText="1"/>
    </xf>
    <xf numFmtId="164" fontId="1" fillId="0" borderId="0" xfId="1" applyNumberFormat="1" applyFont="1" applyFill="1" applyBorder="1" applyAlignment="1"/>
    <xf numFmtId="0" fontId="102" fillId="0" borderId="0" xfId="2465" applyFont="1" applyFill="1" applyAlignment="1">
      <alignment vertical="top" wrapText="1"/>
    </xf>
    <xf numFmtId="198" fontId="18" fillId="0" borderId="0" xfId="2465" applyNumberFormat="1" applyFill="1"/>
    <xf numFmtId="0" fontId="18" fillId="0" borderId="0" xfId="2465" applyFill="1" applyAlignment="1">
      <alignment wrapText="1"/>
    </xf>
    <xf numFmtId="164" fontId="101" fillId="0" borderId="23" xfId="1" applyNumberFormat="1" applyFont="1" applyFill="1" applyBorder="1" applyAlignment="1">
      <alignment wrapText="1"/>
    </xf>
    <xf numFmtId="197" fontId="101" fillId="0" borderId="1" xfId="2465" applyNumberFormat="1" applyFont="1" applyFill="1" applyBorder="1" applyAlignment="1">
      <alignment wrapText="1"/>
    </xf>
    <xf numFmtId="199" fontId="101" fillId="0" borderId="22" xfId="2465" applyNumberFormat="1" applyFont="1" applyFill="1" applyBorder="1" applyAlignment="1">
      <alignment wrapText="1"/>
    </xf>
    <xf numFmtId="164" fontId="101" fillId="0" borderId="0" xfId="1" applyNumberFormat="1" applyFont="1" applyFill="1" applyAlignment="1">
      <alignment horizontal="right" wrapText="1"/>
    </xf>
    <xf numFmtId="164" fontId="103" fillId="0" borderId="0" xfId="1" applyNumberFormat="1" applyFont="1" applyFill="1" applyAlignment="1">
      <alignment horizontal="center" wrapText="1"/>
    </xf>
    <xf numFmtId="197" fontId="101" fillId="0" borderId="23" xfId="2465" applyNumberFormat="1" applyFont="1" applyFill="1" applyBorder="1" applyAlignment="1">
      <alignment wrapText="1"/>
    </xf>
    <xf numFmtId="0" fontId="101" fillId="0" borderId="0" xfId="2465" applyFont="1" applyFill="1" applyAlignment="1">
      <alignment horizontal="right" wrapText="1"/>
    </xf>
    <xf numFmtId="0" fontId="101" fillId="0" borderId="25" xfId="2465" applyFont="1" applyFill="1" applyBorder="1" applyAlignment="1">
      <alignment wrapText="1"/>
    </xf>
    <xf numFmtId="0" fontId="101" fillId="0" borderId="25" xfId="2465" applyFont="1" applyFill="1" applyBorder="1" applyAlignment="1">
      <alignment horizontal="right" wrapText="1"/>
    </xf>
    <xf numFmtId="37" fontId="18" fillId="0" borderId="0" xfId="2465" applyNumberFormat="1" applyFill="1"/>
    <xf numFmtId="183" fontId="18" fillId="0" borderId="0" xfId="214" applyNumberFormat="1" applyFont="1" applyFill="1"/>
    <xf numFmtId="200" fontId="18" fillId="0" borderId="0" xfId="2465" applyNumberFormat="1" applyFill="1"/>
    <xf numFmtId="183" fontId="18" fillId="0" borderId="3" xfId="214" applyNumberFormat="1" applyFont="1" applyFill="1" applyBorder="1"/>
    <xf numFmtId="183" fontId="18" fillId="0" borderId="0" xfId="2465" applyNumberFormat="1" applyFill="1"/>
    <xf numFmtId="183" fontId="19" fillId="0" borderId="3" xfId="214" applyNumberFormat="1" applyFont="1" applyFill="1" applyBorder="1"/>
  </cellXfs>
  <cellStyles count="2469">
    <cellStyle name="20% - Accent1 2" xfId="7" xr:uid="{00000000-0005-0000-0000-000000000000}"/>
    <cellStyle name="20% - Accent1 2 2" xfId="8" xr:uid="{00000000-0005-0000-0000-000001000000}"/>
    <cellStyle name="20% - Accent1 3" xfId="9" xr:uid="{00000000-0005-0000-0000-000002000000}"/>
    <cellStyle name="20% - Accent1 4" xfId="10" xr:uid="{00000000-0005-0000-0000-000003000000}"/>
    <cellStyle name="20% - Accent1 5" xfId="11" xr:uid="{00000000-0005-0000-0000-000004000000}"/>
    <cellStyle name="20% - Accent1 6" xfId="12" xr:uid="{00000000-0005-0000-0000-000005000000}"/>
    <cellStyle name="20% - Accent1 7" xfId="13" xr:uid="{00000000-0005-0000-0000-000006000000}"/>
    <cellStyle name="20% - Accent1 8" xfId="14" xr:uid="{00000000-0005-0000-0000-000007000000}"/>
    <cellStyle name="20% - Accent2 2" xfId="15" xr:uid="{00000000-0005-0000-0000-000008000000}"/>
    <cellStyle name="20% - Accent2 2 2" xfId="16" xr:uid="{00000000-0005-0000-0000-000009000000}"/>
    <cellStyle name="20% - Accent2 3" xfId="17" xr:uid="{00000000-0005-0000-0000-00000A000000}"/>
    <cellStyle name="20% - Accent2 4" xfId="18" xr:uid="{00000000-0005-0000-0000-00000B000000}"/>
    <cellStyle name="20% - Accent2 5" xfId="19" xr:uid="{00000000-0005-0000-0000-00000C000000}"/>
    <cellStyle name="20% - Accent2 6" xfId="20" xr:uid="{00000000-0005-0000-0000-00000D000000}"/>
    <cellStyle name="20% - Accent3 2" xfId="21" xr:uid="{00000000-0005-0000-0000-00000E000000}"/>
    <cellStyle name="20% - Accent3 2 2" xfId="22" xr:uid="{00000000-0005-0000-0000-00000F000000}"/>
    <cellStyle name="20% - Accent3 3" xfId="23" xr:uid="{00000000-0005-0000-0000-000010000000}"/>
    <cellStyle name="20% - Accent3 4" xfId="24" xr:uid="{00000000-0005-0000-0000-000011000000}"/>
    <cellStyle name="20% - Accent3 5" xfId="25" xr:uid="{00000000-0005-0000-0000-000012000000}"/>
    <cellStyle name="20% - Accent3 6" xfId="26" xr:uid="{00000000-0005-0000-0000-000013000000}"/>
    <cellStyle name="20% - Accent3 7" xfId="27" xr:uid="{00000000-0005-0000-0000-000014000000}"/>
    <cellStyle name="20% - Accent3 8" xfId="28" xr:uid="{00000000-0005-0000-0000-000015000000}"/>
    <cellStyle name="20% - Accent4 2" xfId="29" xr:uid="{00000000-0005-0000-0000-000016000000}"/>
    <cellStyle name="20% - Accent4 2 2" xfId="30" xr:uid="{00000000-0005-0000-0000-000017000000}"/>
    <cellStyle name="20% - Accent4 3" xfId="31" xr:uid="{00000000-0005-0000-0000-000018000000}"/>
    <cellStyle name="20% - Accent4 4" xfId="32" xr:uid="{00000000-0005-0000-0000-000019000000}"/>
    <cellStyle name="20% - Accent4 5" xfId="33" xr:uid="{00000000-0005-0000-0000-00001A000000}"/>
    <cellStyle name="20% - Accent4 6" xfId="34" xr:uid="{00000000-0005-0000-0000-00001B000000}"/>
    <cellStyle name="20% - Accent4 7" xfId="35" xr:uid="{00000000-0005-0000-0000-00001C000000}"/>
    <cellStyle name="20% - Accent4 8" xfId="36" xr:uid="{00000000-0005-0000-0000-00001D000000}"/>
    <cellStyle name="20% - Accent5 2" xfId="37" xr:uid="{00000000-0005-0000-0000-00001E000000}"/>
    <cellStyle name="20% - Accent5 2 2" xfId="38" xr:uid="{00000000-0005-0000-0000-00001F000000}"/>
    <cellStyle name="20% - Accent5 3" xfId="39" xr:uid="{00000000-0005-0000-0000-000020000000}"/>
    <cellStyle name="20% - Accent5 4" xfId="40" xr:uid="{00000000-0005-0000-0000-000021000000}"/>
    <cellStyle name="20% - Accent5 5" xfId="41" xr:uid="{00000000-0005-0000-0000-000022000000}"/>
    <cellStyle name="20% - Accent5 6" xfId="42" xr:uid="{00000000-0005-0000-0000-000023000000}"/>
    <cellStyle name="20% - Accent6 2" xfId="43" xr:uid="{00000000-0005-0000-0000-000024000000}"/>
    <cellStyle name="20% - Accent6 2 2" xfId="44" xr:uid="{00000000-0005-0000-0000-000025000000}"/>
    <cellStyle name="20% - Accent6 3" xfId="45" xr:uid="{00000000-0005-0000-0000-000026000000}"/>
    <cellStyle name="20% - Accent6 4" xfId="46" xr:uid="{00000000-0005-0000-0000-000027000000}"/>
    <cellStyle name="20% - Accent6 5" xfId="47" xr:uid="{00000000-0005-0000-0000-000028000000}"/>
    <cellStyle name="20% - Accent6 6" xfId="48" xr:uid="{00000000-0005-0000-0000-000029000000}"/>
    <cellStyle name="40% - Accent1 2" xfId="49" xr:uid="{00000000-0005-0000-0000-00002A000000}"/>
    <cellStyle name="40% - Accent1 2 2" xfId="50" xr:uid="{00000000-0005-0000-0000-00002B000000}"/>
    <cellStyle name="40% - Accent1 3" xfId="51" xr:uid="{00000000-0005-0000-0000-00002C000000}"/>
    <cellStyle name="40% - Accent1 4" xfId="52" xr:uid="{00000000-0005-0000-0000-00002D000000}"/>
    <cellStyle name="40% - Accent1 5" xfId="53" xr:uid="{00000000-0005-0000-0000-00002E000000}"/>
    <cellStyle name="40% - Accent1 6" xfId="54" xr:uid="{00000000-0005-0000-0000-00002F000000}"/>
    <cellStyle name="40% - Accent1 7" xfId="55" xr:uid="{00000000-0005-0000-0000-000030000000}"/>
    <cellStyle name="40% - Accent1 8" xfId="56" xr:uid="{00000000-0005-0000-0000-000031000000}"/>
    <cellStyle name="40% - Accent2 2" xfId="57" xr:uid="{00000000-0005-0000-0000-000032000000}"/>
    <cellStyle name="40% - Accent2 2 2" xfId="58" xr:uid="{00000000-0005-0000-0000-000033000000}"/>
    <cellStyle name="40% - Accent2 3" xfId="59" xr:uid="{00000000-0005-0000-0000-000034000000}"/>
    <cellStyle name="40% - Accent2 4" xfId="60" xr:uid="{00000000-0005-0000-0000-000035000000}"/>
    <cellStyle name="40% - Accent2 5" xfId="61" xr:uid="{00000000-0005-0000-0000-000036000000}"/>
    <cellStyle name="40% - Accent2 6" xfId="62" xr:uid="{00000000-0005-0000-0000-000037000000}"/>
    <cellStyle name="40% - Accent3 2" xfId="63" xr:uid="{00000000-0005-0000-0000-000038000000}"/>
    <cellStyle name="40% - Accent3 2 2" xfId="64" xr:uid="{00000000-0005-0000-0000-000039000000}"/>
    <cellStyle name="40% - Accent3 3" xfId="65" xr:uid="{00000000-0005-0000-0000-00003A000000}"/>
    <cellStyle name="40% - Accent3 4" xfId="66" xr:uid="{00000000-0005-0000-0000-00003B000000}"/>
    <cellStyle name="40% - Accent3 5" xfId="67" xr:uid="{00000000-0005-0000-0000-00003C000000}"/>
    <cellStyle name="40% - Accent3 6" xfId="68" xr:uid="{00000000-0005-0000-0000-00003D000000}"/>
    <cellStyle name="40% - Accent3 7" xfId="69" xr:uid="{00000000-0005-0000-0000-00003E000000}"/>
    <cellStyle name="40% - Accent3 8" xfId="70" xr:uid="{00000000-0005-0000-0000-00003F000000}"/>
    <cellStyle name="40% - Accent4 2" xfId="71" xr:uid="{00000000-0005-0000-0000-000040000000}"/>
    <cellStyle name="40% - Accent4 2 2" xfId="72" xr:uid="{00000000-0005-0000-0000-000041000000}"/>
    <cellStyle name="40% - Accent4 3" xfId="73" xr:uid="{00000000-0005-0000-0000-000042000000}"/>
    <cellStyle name="40% - Accent4 4" xfId="74" xr:uid="{00000000-0005-0000-0000-000043000000}"/>
    <cellStyle name="40% - Accent4 5" xfId="75" xr:uid="{00000000-0005-0000-0000-000044000000}"/>
    <cellStyle name="40% - Accent4 6" xfId="76" xr:uid="{00000000-0005-0000-0000-000045000000}"/>
    <cellStyle name="40% - Accent4 7" xfId="77" xr:uid="{00000000-0005-0000-0000-000046000000}"/>
    <cellStyle name="40% - Accent4 8" xfId="78" xr:uid="{00000000-0005-0000-0000-000047000000}"/>
    <cellStyle name="40% - Accent5 2" xfId="79" xr:uid="{00000000-0005-0000-0000-000048000000}"/>
    <cellStyle name="40% - Accent5 2 2" xfId="80" xr:uid="{00000000-0005-0000-0000-000049000000}"/>
    <cellStyle name="40% - Accent5 3" xfId="81" xr:uid="{00000000-0005-0000-0000-00004A000000}"/>
    <cellStyle name="40% - Accent5 4" xfId="82" xr:uid="{00000000-0005-0000-0000-00004B000000}"/>
    <cellStyle name="40% - Accent5 5" xfId="83" xr:uid="{00000000-0005-0000-0000-00004C000000}"/>
    <cellStyle name="40% - Accent5 6" xfId="84" xr:uid="{00000000-0005-0000-0000-00004D000000}"/>
    <cellStyle name="40% - Accent6 2" xfId="85" xr:uid="{00000000-0005-0000-0000-00004E000000}"/>
    <cellStyle name="40% - Accent6 2 2" xfId="86" xr:uid="{00000000-0005-0000-0000-00004F000000}"/>
    <cellStyle name="40% - Accent6 3" xfId="87" xr:uid="{00000000-0005-0000-0000-000050000000}"/>
    <cellStyle name="40% - Accent6 4" xfId="88" xr:uid="{00000000-0005-0000-0000-000051000000}"/>
    <cellStyle name="40% - Accent6 5" xfId="89" xr:uid="{00000000-0005-0000-0000-000052000000}"/>
    <cellStyle name="40% - Accent6 6" xfId="90" xr:uid="{00000000-0005-0000-0000-000053000000}"/>
    <cellStyle name="40% - Accent6 7" xfId="91" xr:uid="{00000000-0005-0000-0000-000054000000}"/>
    <cellStyle name="40% - Accent6 8" xfId="92" xr:uid="{00000000-0005-0000-0000-000055000000}"/>
    <cellStyle name="60% - Accent1 2" xfId="93" xr:uid="{00000000-0005-0000-0000-000056000000}"/>
    <cellStyle name="60% - Accent1 3" xfId="94" xr:uid="{00000000-0005-0000-0000-000057000000}"/>
    <cellStyle name="60% - Accent1 4" xfId="95" xr:uid="{00000000-0005-0000-0000-000058000000}"/>
    <cellStyle name="60% - Accent1 5" xfId="96" xr:uid="{00000000-0005-0000-0000-000059000000}"/>
    <cellStyle name="60% - Accent1 6" xfId="97" xr:uid="{00000000-0005-0000-0000-00005A000000}"/>
    <cellStyle name="60% - Accent1 7" xfId="98" xr:uid="{00000000-0005-0000-0000-00005B000000}"/>
    <cellStyle name="60% - Accent1 8" xfId="99" xr:uid="{00000000-0005-0000-0000-00005C000000}"/>
    <cellStyle name="60% - Accent2 2" xfId="100" xr:uid="{00000000-0005-0000-0000-00005D000000}"/>
    <cellStyle name="60% - Accent2 3" xfId="101" xr:uid="{00000000-0005-0000-0000-00005E000000}"/>
    <cellStyle name="60% - Accent2 4" xfId="102" xr:uid="{00000000-0005-0000-0000-00005F000000}"/>
    <cellStyle name="60% - Accent2 5" xfId="103" xr:uid="{00000000-0005-0000-0000-000060000000}"/>
    <cellStyle name="60% - Accent2 6" xfId="104" xr:uid="{00000000-0005-0000-0000-000061000000}"/>
    <cellStyle name="60% - Accent3 2" xfId="105" xr:uid="{00000000-0005-0000-0000-000062000000}"/>
    <cellStyle name="60% - Accent3 3" xfId="106" xr:uid="{00000000-0005-0000-0000-000063000000}"/>
    <cellStyle name="60% - Accent3 4" xfId="107" xr:uid="{00000000-0005-0000-0000-000064000000}"/>
    <cellStyle name="60% - Accent3 5" xfId="108" xr:uid="{00000000-0005-0000-0000-000065000000}"/>
    <cellStyle name="60% - Accent3 6" xfId="109" xr:uid="{00000000-0005-0000-0000-000066000000}"/>
    <cellStyle name="60% - Accent3 7" xfId="110" xr:uid="{00000000-0005-0000-0000-000067000000}"/>
    <cellStyle name="60% - Accent3 8" xfId="111" xr:uid="{00000000-0005-0000-0000-000068000000}"/>
    <cellStyle name="60% - Accent4 2" xfId="112" xr:uid="{00000000-0005-0000-0000-000069000000}"/>
    <cellStyle name="60% - Accent4 3" xfId="113" xr:uid="{00000000-0005-0000-0000-00006A000000}"/>
    <cellStyle name="60% - Accent4 4" xfId="114" xr:uid="{00000000-0005-0000-0000-00006B000000}"/>
    <cellStyle name="60% - Accent4 5" xfId="115" xr:uid="{00000000-0005-0000-0000-00006C000000}"/>
    <cellStyle name="60% - Accent4 6" xfId="116" xr:uid="{00000000-0005-0000-0000-00006D000000}"/>
    <cellStyle name="60% - Accent4 7" xfId="117" xr:uid="{00000000-0005-0000-0000-00006E000000}"/>
    <cellStyle name="60% - Accent4 8" xfId="118" xr:uid="{00000000-0005-0000-0000-00006F000000}"/>
    <cellStyle name="60% - Accent5 2" xfId="119" xr:uid="{00000000-0005-0000-0000-000070000000}"/>
    <cellStyle name="60% - Accent5 3" xfId="120" xr:uid="{00000000-0005-0000-0000-000071000000}"/>
    <cellStyle name="60% - Accent5 4" xfId="121" xr:uid="{00000000-0005-0000-0000-000072000000}"/>
    <cellStyle name="60% - Accent5 5" xfId="122" xr:uid="{00000000-0005-0000-0000-000073000000}"/>
    <cellStyle name="60% - Accent5 6" xfId="123" xr:uid="{00000000-0005-0000-0000-000074000000}"/>
    <cellStyle name="60% - Accent6 2" xfId="124" xr:uid="{00000000-0005-0000-0000-000075000000}"/>
    <cellStyle name="60% - Accent6 3" xfId="125" xr:uid="{00000000-0005-0000-0000-000076000000}"/>
    <cellStyle name="60% - Accent6 4" xfId="126" xr:uid="{00000000-0005-0000-0000-000077000000}"/>
    <cellStyle name="60% - Accent6 5" xfId="127" xr:uid="{00000000-0005-0000-0000-000078000000}"/>
    <cellStyle name="60% - Accent6 6" xfId="128" xr:uid="{00000000-0005-0000-0000-000079000000}"/>
    <cellStyle name="60% - Accent6 7" xfId="129" xr:uid="{00000000-0005-0000-0000-00007A000000}"/>
    <cellStyle name="60% - Accent6 8" xfId="130" xr:uid="{00000000-0005-0000-0000-00007B000000}"/>
    <cellStyle name="Accent1 2" xfId="131" xr:uid="{00000000-0005-0000-0000-00007C000000}"/>
    <cellStyle name="Accent1 3" xfId="132" xr:uid="{00000000-0005-0000-0000-00007D000000}"/>
    <cellStyle name="Accent1 4" xfId="133" xr:uid="{00000000-0005-0000-0000-00007E000000}"/>
    <cellStyle name="Accent1 5" xfId="134" xr:uid="{00000000-0005-0000-0000-00007F000000}"/>
    <cellStyle name="Accent1 6" xfId="135" xr:uid="{00000000-0005-0000-0000-000080000000}"/>
    <cellStyle name="Accent1 7" xfId="136" xr:uid="{00000000-0005-0000-0000-000081000000}"/>
    <cellStyle name="Accent1 8" xfId="137" xr:uid="{00000000-0005-0000-0000-000082000000}"/>
    <cellStyle name="Accent2 2" xfId="138" xr:uid="{00000000-0005-0000-0000-000083000000}"/>
    <cellStyle name="Accent2 3" xfId="139" xr:uid="{00000000-0005-0000-0000-000084000000}"/>
    <cellStyle name="Accent2 4" xfId="140" xr:uid="{00000000-0005-0000-0000-000085000000}"/>
    <cellStyle name="Accent2 5" xfId="141" xr:uid="{00000000-0005-0000-0000-000086000000}"/>
    <cellStyle name="Accent2 6" xfId="142" xr:uid="{00000000-0005-0000-0000-000087000000}"/>
    <cellStyle name="Accent3 2" xfId="143" xr:uid="{00000000-0005-0000-0000-000088000000}"/>
    <cellStyle name="Accent3 3" xfId="144" xr:uid="{00000000-0005-0000-0000-000089000000}"/>
    <cellStyle name="Accent3 4" xfId="145" xr:uid="{00000000-0005-0000-0000-00008A000000}"/>
    <cellStyle name="Accent3 5" xfId="146" xr:uid="{00000000-0005-0000-0000-00008B000000}"/>
    <cellStyle name="Accent3 6" xfId="147" xr:uid="{00000000-0005-0000-0000-00008C000000}"/>
    <cellStyle name="Accent4 2" xfId="148" xr:uid="{00000000-0005-0000-0000-00008D000000}"/>
    <cellStyle name="Accent4 3" xfId="149" xr:uid="{00000000-0005-0000-0000-00008E000000}"/>
    <cellStyle name="Accent4 4" xfId="150" xr:uid="{00000000-0005-0000-0000-00008F000000}"/>
    <cellStyle name="Accent4 5" xfId="151" xr:uid="{00000000-0005-0000-0000-000090000000}"/>
    <cellStyle name="Accent4 6" xfId="152" xr:uid="{00000000-0005-0000-0000-000091000000}"/>
    <cellStyle name="Accent4 7" xfId="153" xr:uid="{00000000-0005-0000-0000-000092000000}"/>
    <cellStyle name="Accent4 8" xfId="154" xr:uid="{00000000-0005-0000-0000-000093000000}"/>
    <cellStyle name="Accent5 2" xfId="155" xr:uid="{00000000-0005-0000-0000-000094000000}"/>
    <cellStyle name="Accent5 3" xfId="156" xr:uid="{00000000-0005-0000-0000-000095000000}"/>
    <cellStyle name="Accent5 4" xfId="157" xr:uid="{00000000-0005-0000-0000-000096000000}"/>
    <cellStyle name="Accent5 5" xfId="158" xr:uid="{00000000-0005-0000-0000-000097000000}"/>
    <cellStyle name="Accent5 6" xfId="159" xr:uid="{00000000-0005-0000-0000-000098000000}"/>
    <cellStyle name="Accent6 2" xfId="160" xr:uid="{00000000-0005-0000-0000-000099000000}"/>
    <cellStyle name="Accent6 3" xfId="161" xr:uid="{00000000-0005-0000-0000-00009A000000}"/>
    <cellStyle name="Accent6 4" xfId="162" xr:uid="{00000000-0005-0000-0000-00009B000000}"/>
    <cellStyle name="Accent6 5" xfId="163" xr:uid="{00000000-0005-0000-0000-00009C000000}"/>
    <cellStyle name="Accent6 6" xfId="164" xr:uid="{00000000-0005-0000-0000-00009D000000}"/>
    <cellStyle name="Bad 2" xfId="165" xr:uid="{00000000-0005-0000-0000-00009E000000}"/>
    <cellStyle name="Bad 3" xfId="166" xr:uid="{00000000-0005-0000-0000-00009F000000}"/>
    <cellStyle name="Bad 4" xfId="167" xr:uid="{00000000-0005-0000-0000-0000A0000000}"/>
    <cellStyle name="Bad 5" xfId="168" xr:uid="{00000000-0005-0000-0000-0000A1000000}"/>
    <cellStyle name="Bad 6" xfId="169" xr:uid="{00000000-0005-0000-0000-0000A2000000}"/>
    <cellStyle name="Bad 7" xfId="170" xr:uid="{00000000-0005-0000-0000-0000A3000000}"/>
    <cellStyle name="Bad 8" xfId="171" xr:uid="{00000000-0005-0000-0000-0000A4000000}"/>
    <cellStyle name="Calculation 2" xfId="172" xr:uid="{00000000-0005-0000-0000-0000A5000000}"/>
    <cellStyle name="Calculation 3" xfId="173" xr:uid="{00000000-0005-0000-0000-0000A6000000}"/>
    <cellStyle name="Calculation 4" xfId="174" xr:uid="{00000000-0005-0000-0000-0000A7000000}"/>
    <cellStyle name="Calculation 5" xfId="175" xr:uid="{00000000-0005-0000-0000-0000A8000000}"/>
    <cellStyle name="Calculation 6" xfId="176" xr:uid="{00000000-0005-0000-0000-0000A9000000}"/>
    <cellStyle name="Check Cell 2" xfId="177" xr:uid="{00000000-0005-0000-0000-0000AA000000}"/>
    <cellStyle name="Check Cell 3" xfId="178" xr:uid="{00000000-0005-0000-0000-0000AB000000}"/>
    <cellStyle name="Check Cell 4" xfId="179" xr:uid="{00000000-0005-0000-0000-0000AC000000}"/>
    <cellStyle name="Check Cell 5" xfId="180" xr:uid="{00000000-0005-0000-0000-0000AD000000}"/>
    <cellStyle name="Check Cell 6" xfId="181" xr:uid="{00000000-0005-0000-0000-0000AE000000}"/>
    <cellStyle name="Check Cell 7" xfId="182" xr:uid="{00000000-0005-0000-0000-0000AF000000}"/>
    <cellStyle name="Check Cell 8" xfId="183" xr:uid="{00000000-0005-0000-0000-0000B0000000}"/>
    <cellStyle name="Comma" xfId="1" builtinId="3"/>
    <cellStyle name="Comma 10" xfId="184" xr:uid="{00000000-0005-0000-0000-0000B2000000}"/>
    <cellStyle name="Comma 11" xfId="185" xr:uid="{00000000-0005-0000-0000-0000B3000000}"/>
    <cellStyle name="Comma 12" xfId="186" xr:uid="{00000000-0005-0000-0000-0000B4000000}"/>
    <cellStyle name="Comma 13" xfId="187" xr:uid="{00000000-0005-0000-0000-0000B5000000}"/>
    <cellStyle name="Comma 14" xfId="188" xr:uid="{00000000-0005-0000-0000-0000B6000000}"/>
    <cellStyle name="Comma 15" xfId="189" xr:uid="{00000000-0005-0000-0000-0000B7000000}"/>
    <cellStyle name="Comma 16" xfId="4" xr:uid="{00000000-0005-0000-0000-0000B8000000}"/>
    <cellStyle name="Comma 17" xfId="190" xr:uid="{00000000-0005-0000-0000-0000B9000000}"/>
    <cellStyle name="Comma 17 2" xfId="472" xr:uid="{00000000-0005-0000-0000-0000BA000000}"/>
    <cellStyle name="Comma 17 2 2" xfId="521" xr:uid="{00000000-0005-0000-0000-0000BB000000}"/>
    <cellStyle name="Comma 17 2 2 2" xfId="645" xr:uid="{00000000-0005-0000-0000-0000BC000000}"/>
    <cellStyle name="Comma 17 2 2 2 2" xfId="893" xr:uid="{00000000-0005-0000-0000-0000BD000000}"/>
    <cellStyle name="Comma 17 2 2 2 2 2" xfId="1397" xr:uid="{00000000-0005-0000-0000-0000BE000000}"/>
    <cellStyle name="Comma 17 2 2 2 2 2 2" xfId="2399" xr:uid="{00000000-0005-0000-0000-0000BF000000}"/>
    <cellStyle name="Comma 17 2 2 2 2 3" xfId="1898" xr:uid="{00000000-0005-0000-0000-0000C0000000}"/>
    <cellStyle name="Comma 17 2 2 2 3" xfId="1149" xr:uid="{00000000-0005-0000-0000-0000C1000000}"/>
    <cellStyle name="Comma 17 2 2 2 3 2" xfId="2151" xr:uid="{00000000-0005-0000-0000-0000C2000000}"/>
    <cellStyle name="Comma 17 2 2 2 4" xfId="1650" xr:uid="{00000000-0005-0000-0000-0000C3000000}"/>
    <cellStyle name="Comma 17 2 2 3" xfId="769" xr:uid="{00000000-0005-0000-0000-0000C4000000}"/>
    <cellStyle name="Comma 17 2 2 3 2" xfId="1273" xr:uid="{00000000-0005-0000-0000-0000C5000000}"/>
    <cellStyle name="Comma 17 2 2 3 2 2" xfId="2275" xr:uid="{00000000-0005-0000-0000-0000C6000000}"/>
    <cellStyle name="Comma 17 2 2 3 3" xfId="1774" xr:uid="{00000000-0005-0000-0000-0000C7000000}"/>
    <cellStyle name="Comma 17 2 2 4" xfId="1025" xr:uid="{00000000-0005-0000-0000-0000C8000000}"/>
    <cellStyle name="Comma 17 2 2 4 2" xfId="2027" xr:uid="{00000000-0005-0000-0000-0000C9000000}"/>
    <cellStyle name="Comma 17 2 2 5" xfId="1526" xr:uid="{00000000-0005-0000-0000-0000CA000000}"/>
    <cellStyle name="Comma 17 2 3" xfId="604" xr:uid="{00000000-0005-0000-0000-0000CB000000}"/>
    <cellStyle name="Comma 17 2 3 2" xfId="852" xr:uid="{00000000-0005-0000-0000-0000CC000000}"/>
    <cellStyle name="Comma 17 2 3 2 2" xfId="1356" xr:uid="{00000000-0005-0000-0000-0000CD000000}"/>
    <cellStyle name="Comma 17 2 3 2 2 2" xfId="2358" xr:uid="{00000000-0005-0000-0000-0000CE000000}"/>
    <cellStyle name="Comma 17 2 3 2 3" xfId="1857" xr:uid="{00000000-0005-0000-0000-0000CF000000}"/>
    <cellStyle name="Comma 17 2 3 3" xfId="1108" xr:uid="{00000000-0005-0000-0000-0000D0000000}"/>
    <cellStyle name="Comma 17 2 3 3 2" xfId="2110" xr:uid="{00000000-0005-0000-0000-0000D1000000}"/>
    <cellStyle name="Comma 17 2 3 4" xfId="1609" xr:uid="{00000000-0005-0000-0000-0000D2000000}"/>
    <cellStyle name="Comma 17 2 4" xfId="728" xr:uid="{00000000-0005-0000-0000-0000D3000000}"/>
    <cellStyle name="Comma 17 2 4 2" xfId="1232" xr:uid="{00000000-0005-0000-0000-0000D4000000}"/>
    <cellStyle name="Comma 17 2 4 2 2" xfId="2234" xr:uid="{00000000-0005-0000-0000-0000D5000000}"/>
    <cellStyle name="Comma 17 2 4 3" xfId="1733" xr:uid="{00000000-0005-0000-0000-0000D6000000}"/>
    <cellStyle name="Comma 17 2 5" xfId="984" xr:uid="{00000000-0005-0000-0000-0000D7000000}"/>
    <cellStyle name="Comma 17 2 5 2" xfId="1986" xr:uid="{00000000-0005-0000-0000-0000D8000000}"/>
    <cellStyle name="Comma 17 2 6" xfId="1485" xr:uid="{00000000-0005-0000-0000-0000D9000000}"/>
    <cellStyle name="Comma 17 3" xfId="500" xr:uid="{00000000-0005-0000-0000-0000DA000000}"/>
    <cellStyle name="Comma 17 3 2" xfId="522" xr:uid="{00000000-0005-0000-0000-0000DB000000}"/>
    <cellStyle name="Comma 17 3 2 2" xfId="646" xr:uid="{00000000-0005-0000-0000-0000DC000000}"/>
    <cellStyle name="Comma 17 3 2 2 2" xfId="894" xr:uid="{00000000-0005-0000-0000-0000DD000000}"/>
    <cellStyle name="Comma 17 3 2 2 2 2" xfId="1398" xr:uid="{00000000-0005-0000-0000-0000DE000000}"/>
    <cellStyle name="Comma 17 3 2 2 2 2 2" xfId="2400" xr:uid="{00000000-0005-0000-0000-0000DF000000}"/>
    <cellStyle name="Comma 17 3 2 2 2 3" xfId="1899" xr:uid="{00000000-0005-0000-0000-0000E0000000}"/>
    <cellStyle name="Comma 17 3 2 2 3" xfId="1150" xr:uid="{00000000-0005-0000-0000-0000E1000000}"/>
    <cellStyle name="Comma 17 3 2 2 3 2" xfId="2152" xr:uid="{00000000-0005-0000-0000-0000E2000000}"/>
    <cellStyle name="Comma 17 3 2 2 4" xfId="1651" xr:uid="{00000000-0005-0000-0000-0000E3000000}"/>
    <cellStyle name="Comma 17 3 2 3" xfId="770" xr:uid="{00000000-0005-0000-0000-0000E4000000}"/>
    <cellStyle name="Comma 17 3 2 3 2" xfId="1274" xr:uid="{00000000-0005-0000-0000-0000E5000000}"/>
    <cellStyle name="Comma 17 3 2 3 2 2" xfId="2276" xr:uid="{00000000-0005-0000-0000-0000E6000000}"/>
    <cellStyle name="Comma 17 3 2 3 3" xfId="1775" xr:uid="{00000000-0005-0000-0000-0000E7000000}"/>
    <cellStyle name="Comma 17 3 2 4" xfId="1026" xr:uid="{00000000-0005-0000-0000-0000E8000000}"/>
    <cellStyle name="Comma 17 3 2 4 2" xfId="2028" xr:uid="{00000000-0005-0000-0000-0000E9000000}"/>
    <cellStyle name="Comma 17 3 2 5" xfId="1527" xr:uid="{00000000-0005-0000-0000-0000EA000000}"/>
    <cellStyle name="Comma 17 3 3" xfId="624" xr:uid="{00000000-0005-0000-0000-0000EB000000}"/>
    <cellStyle name="Comma 17 3 3 2" xfId="872" xr:uid="{00000000-0005-0000-0000-0000EC000000}"/>
    <cellStyle name="Comma 17 3 3 2 2" xfId="1376" xr:uid="{00000000-0005-0000-0000-0000ED000000}"/>
    <cellStyle name="Comma 17 3 3 2 2 2" xfId="2378" xr:uid="{00000000-0005-0000-0000-0000EE000000}"/>
    <cellStyle name="Comma 17 3 3 2 3" xfId="1877" xr:uid="{00000000-0005-0000-0000-0000EF000000}"/>
    <cellStyle name="Comma 17 3 3 3" xfId="1128" xr:uid="{00000000-0005-0000-0000-0000F0000000}"/>
    <cellStyle name="Comma 17 3 3 3 2" xfId="2130" xr:uid="{00000000-0005-0000-0000-0000F1000000}"/>
    <cellStyle name="Comma 17 3 3 4" xfId="1629" xr:uid="{00000000-0005-0000-0000-0000F2000000}"/>
    <cellStyle name="Comma 17 3 4" xfId="748" xr:uid="{00000000-0005-0000-0000-0000F3000000}"/>
    <cellStyle name="Comma 17 3 4 2" xfId="1252" xr:uid="{00000000-0005-0000-0000-0000F4000000}"/>
    <cellStyle name="Comma 17 3 4 2 2" xfId="2254" xr:uid="{00000000-0005-0000-0000-0000F5000000}"/>
    <cellStyle name="Comma 17 3 4 3" xfId="1753" xr:uid="{00000000-0005-0000-0000-0000F6000000}"/>
    <cellStyle name="Comma 17 3 5" xfId="1004" xr:uid="{00000000-0005-0000-0000-0000F7000000}"/>
    <cellStyle name="Comma 17 3 5 2" xfId="2006" xr:uid="{00000000-0005-0000-0000-0000F8000000}"/>
    <cellStyle name="Comma 17 3 6" xfId="1505" xr:uid="{00000000-0005-0000-0000-0000F9000000}"/>
    <cellStyle name="Comma 17 4" xfId="520" xr:uid="{00000000-0005-0000-0000-0000FA000000}"/>
    <cellStyle name="Comma 17 4 2" xfId="644" xr:uid="{00000000-0005-0000-0000-0000FB000000}"/>
    <cellStyle name="Comma 17 4 2 2" xfId="892" xr:uid="{00000000-0005-0000-0000-0000FC000000}"/>
    <cellStyle name="Comma 17 4 2 2 2" xfId="1396" xr:uid="{00000000-0005-0000-0000-0000FD000000}"/>
    <cellStyle name="Comma 17 4 2 2 2 2" xfId="2398" xr:uid="{00000000-0005-0000-0000-0000FE000000}"/>
    <cellStyle name="Comma 17 4 2 2 3" xfId="1897" xr:uid="{00000000-0005-0000-0000-0000FF000000}"/>
    <cellStyle name="Comma 17 4 2 3" xfId="1148" xr:uid="{00000000-0005-0000-0000-000000010000}"/>
    <cellStyle name="Comma 17 4 2 3 2" xfId="2150" xr:uid="{00000000-0005-0000-0000-000001010000}"/>
    <cellStyle name="Comma 17 4 2 4" xfId="1649" xr:uid="{00000000-0005-0000-0000-000002010000}"/>
    <cellStyle name="Comma 17 4 3" xfId="768" xr:uid="{00000000-0005-0000-0000-000003010000}"/>
    <cellStyle name="Comma 17 4 3 2" xfId="1272" xr:uid="{00000000-0005-0000-0000-000004010000}"/>
    <cellStyle name="Comma 17 4 3 2 2" xfId="2274" xr:uid="{00000000-0005-0000-0000-000005010000}"/>
    <cellStyle name="Comma 17 4 3 3" xfId="1773" xr:uid="{00000000-0005-0000-0000-000006010000}"/>
    <cellStyle name="Comma 17 4 4" xfId="1024" xr:uid="{00000000-0005-0000-0000-000007010000}"/>
    <cellStyle name="Comma 17 4 4 2" xfId="2026" xr:uid="{00000000-0005-0000-0000-000008010000}"/>
    <cellStyle name="Comma 17 4 5" xfId="1525" xr:uid="{00000000-0005-0000-0000-000009010000}"/>
    <cellStyle name="Comma 17 5" xfId="582" xr:uid="{00000000-0005-0000-0000-00000A010000}"/>
    <cellStyle name="Comma 17 5 2" xfId="830" xr:uid="{00000000-0005-0000-0000-00000B010000}"/>
    <cellStyle name="Comma 17 5 2 2" xfId="1334" xr:uid="{00000000-0005-0000-0000-00000C010000}"/>
    <cellStyle name="Comma 17 5 2 2 2" xfId="2336" xr:uid="{00000000-0005-0000-0000-00000D010000}"/>
    <cellStyle name="Comma 17 5 2 3" xfId="1835" xr:uid="{00000000-0005-0000-0000-00000E010000}"/>
    <cellStyle name="Comma 17 5 3" xfId="1086" xr:uid="{00000000-0005-0000-0000-00000F010000}"/>
    <cellStyle name="Comma 17 5 3 2" xfId="2088" xr:uid="{00000000-0005-0000-0000-000010010000}"/>
    <cellStyle name="Comma 17 5 4" xfId="1587" xr:uid="{00000000-0005-0000-0000-000011010000}"/>
    <cellStyle name="Comma 17 6" xfId="706" xr:uid="{00000000-0005-0000-0000-000012010000}"/>
    <cellStyle name="Comma 17 6 2" xfId="1210" xr:uid="{00000000-0005-0000-0000-000013010000}"/>
    <cellStyle name="Comma 17 6 2 2" xfId="2212" xr:uid="{00000000-0005-0000-0000-000014010000}"/>
    <cellStyle name="Comma 17 6 3" xfId="1711" xr:uid="{00000000-0005-0000-0000-000015010000}"/>
    <cellStyle name="Comma 17 7" xfId="962" xr:uid="{00000000-0005-0000-0000-000016010000}"/>
    <cellStyle name="Comma 17 7 2" xfId="1964" xr:uid="{00000000-0005-0000-0000-000017010000}"/>
    <cellStyle name="Comma 17 8" xfId="1463" xr:uid="{00000000-0005-0000-0000-000018010000}"/>
    <cellStyle name="Comma 18" xfId="191" xr:uid="{00000000-0005-0000-0000-000019010000}"/>
    <cellStyle name="Comma 19" xfId="5" xr:uid="{00000000-0005-0000-0000-00001A010000}"/>
    <cellStyle name="Comma 2" xfId="192" xr:uid="{00000000-0005-0000-0000-00001B010000}"/>
    <cellStyle name="Comma 2 2" xfId="193" xr:uid="{00000000-0005-0000-0000-00001C010000}"/>
    <cellStyle name="Comma 2 2 2" xfId="451" xr:uid="{00000000-0005-0000-0000-00001D010000}"/>
    <cellStyle name="Comma 2 2 3" xfId="473" xr:uid="{00000000-0005-0000-0000-00001E010000}"/>
    <cellStyle name="Comma 2 3" xfId="194" xr:uid="{00000000-0005-0000-0000-00001F010000}"/>
    <cellStyle name="Comma 2 4" xfId="195" xr:uid="{00000000-0005-0000-0000-000020010000}"/>
    <cellStyle name="Comma 2_Allocators" xfId="196" xr:uid="{00000000-0005-0000-0000-000021010000}"/>
    <cellStyle name="Comma 20" xfId="197" xr:uid="{00000000-0005-0000-0000-000022010000}"/>
    <cellStyle name="Comma 20 2" xfId="474" xr:uid="{00000000-0005-0000-0000-000023010000}"/>
    <cellStyle name="Comma 20 2 2" xfId="524" xr:uid="{00000000-0005-0000-0000-000024010000}"/>
    <cellStyle name="Comma 20 2 2 2" xfId="648" xr:uid="{00000000-0005-0000-0000-000025010000}"/>
    <cellStyle name="Comma 20 2 2 2 2" xfId="896" xr:uid="{00000000-0005-0000-0000-000026010000}"/>
    <cellStyle name="Comma 20 2 2 2 2 2" xfId="1400" xr:uid="{00000000-0005-0000-0000-000027010000}"/>
    <cellStyle name="Comma 20 2 2 2 2 2 2" xfId="2402" xr:uid="{00000000-0005-0000-0000-000028010000}"/>
    <cellStyle name="Comma 20 2 2 2 2 3" xfId="1901" xr:uid="{00000000-0005-0000-0000-000029010000}"/>
    <cellStyle name="Comma 20 2 2 2 3" xfId="1152" xr:uid="{00000000-0005-0000-0000-00002A010000}"/>
    <cellStyle name="Comma 20 2 2 2 3 2" xfId="2154" xr:uid="{00000000-0005-0000-0000-00002B010000}"/>
    <cellStyle name="Comma 20 2 2 2 4" xfId="1653" xr:uid="{00000000-0005-0000-0000-00002C010000}"/>
    <cellStyle name="Comma 20 2 2 3" xfId="772" xr:uid="{00000000-0005-0000-0000-00002D010000}"/>
    <cellStyle name="Comma 20 2 2 3 2" xfId="1276" xr:uid="{00000000-0005-0000-0000-00002E010000}"/>
    <cellStyle name="Comma 20 2 2 3 2 2" xfId="2278" xr:uid="{00000000-0005-0000-0000-00002F010000}"/>
    <cellStyle name="Comma 20 2 2 3 3" xfId="1777" xr:uid="{00000000-0005-0000-0000-000030010000}"/>
    <cellStyle name="Comma 20 2 2 4" xfId="1028" xr:uid="{00000000-0005-0000-0000-000031010000}"/>
    <cellStyle name="Comma 20 2 2 4 2" xfId="2030" xr:uid="{00000000-0005-0000-0000-000032010000}"/>
    <cellStyle name="Comma 20 2 2 5" xfId="1529" xr:uid="{00000000-0005-0000-0000-000033010000}"/>
    <cellStyle name="Comma 20 2 3" xfId="605" xr:uid="{00000000-0005-0000-0000-000034010000}"/>
    <cellStyle name="Comma 20 2 3 2" xfId="853" xr:uid="{00000000-0005-0000-0000-000035010000}"/>
    <cellStyle name="Comma 20 2 3 2 2" xfId="1357" xr:uid="{00000000-0005-0000-0000-000036010000}"/>
    <cellStyle name="Comma 20 2 3 2 2 2" xfId="2359" xr:uid="{00000000-0005-0000-0000-000037010000}"/>
    <cellStyle name="Comma 20 2 3 2 3" xfId="1858" xr:uid="{00000000-0005-0000-0000-000038010000}"/>
    <cellStyle name="Comma 20 2 3 3" xfId="1109" xr:uid="{00000000-0005-0000-0000-000039010000}"/>
    <cellStyle name="Comma 20 2 3 3 2" xfId="2111" xr:uid="{00000000-0005-0000-0000-00003A010000}"/>
    <cellStyle name="Comma 20 2 3 4" xfId="1610" xr:uid="{00000000-0005-0000-0000-00003B010000}"/>
    <cellStyle name="Comma 20 2 4" xfId="729" xr:uid="{00000000-0005-0000-0000-00003C010000}"/>
    <cellStyle name="Comma 20 2 4 2" xfId="1233" xr:uid="{00000000-0005-0000-0000-00003D010000}"/>
    <cellStyle name="Comma 20 2 4 2 2" xfId="2235" xr:uid="{00000000-0005-0000-0000-00003E010000}"/>
    <cellStyle name="Comma 20 2 4 3" xfId="1734" xr:uid="{00000000-0005-0000-0000-00003F010000}"/>
    <cellStyle name="Comma 20 2 5" xfId="985" xr:uid="{00000000-0005-0000-0000-000040010000}"/>
    <cellStyle name="Comma 20 2 5 2" xfId="1987" xr:uid="{00000000-0005-0000-0000-000041010000}"/>
    <cellStyle name="Comma 20 2 6" xfId="1486" xr:uid="{00000000-0005-0000-0000-000042010000}"/>
    <cellStyle name="Comma 20 3" xfId="501" xr:uid="{00000000-0005-0000-0000-000043010000}"/>
    <cellStyle name="Comma 20 3 2" xfId="525" xr:uid="{00000000-0005-0000-0000-000044010000}"/>
    <cellStyle name="Comma 20 3 2 2" xfId="649" xr:uid="{00000000-0005-0000-0000-000045010000}"/>
    <cellStyle name="Comma 20 3 2 2 2" xfId="897" xr:uid="{00000000-0005-0000-0000-000046010000}"/>
    <cellStyle name="Comma 20 3 2 2 2 2" xfId="1401" xr:uid="{00000000-0005-0000-0000-000047010000}"/>
    <cellStyle name="Comma 20 3 2 2 2 2 2" xfId="2403" xr:uid="{00000000-0005-0000-0000-000048010000}"/>
    <cellStyle name="Comma 20 3 2 2 2 3" xfId="1902" xr:uid="{00000000-0005-0000-0000-000049010000}"/>
    <cellStyle name="Comma 20 3 2 2 3" xfId="1153" xr:uid="{00000000-0005-0000-0000-00004A010000}"/>
    <cellStyle name="Comma 20 3 2 2 3 2" xfId="2155" xr:uid="{00000000-0005-0000-0000-00004B010000}"/>
    <cellStyle name="Comma 20 3 2 2 4" xfId="1654" xr:uid="{00000000-0005-0000-0000-00004C010000}"/>
    <cellStyle name="Comma 20 3 2 3" xfId="773" xr:uid="{00000000-0005-0000-0000-00004D010000}"/>
    <cellStyle name="Comma 20 3 2 3 2" xfId="1277" xr:uid="{00000000-0005-0000-0000-00004E010000}"/>
    <cellStyle name="Comma 20 3 2 3 2 2" xfId="2279" xr:uid="{00000000-0005-0000-0000-00004F010000}"/>
    <cellStyle name="Comma 20 3 2 3 3" xfId="1778" xr:uid="{00000000-0005-0000-0000-000050010000}"/>
    <cellStyle name="Comma 20 3 2 4" xfId="1029" xr:uid="{00000000-0005-0000-0000-000051010000}"/>
    <cellStyle name="Comma 20 3 2 4 2" xfId="2031" xr:uid="{00000000-0005-0000-0000-000052010000}"/>
    <cellStyle name="Comma 20 3 2 5" xfId="1530" xr:uid="{00000000-0005-0000-0000-000053010000}"/>
    <cellStyle name="Comma 20 3 3" xfId="625" xr:uid="{00000000-0005-0000-0000-000054010000}"/>
    <cellStyle name="Comma 20 3 3 2" xfId="873" xr:uid="{00000000-0005-0000-0000-000055010000}"/>
    <cellStyle name="Comma 20 3 3 2 2" xfId="1377" xr:uid="{00000000-0005-0000-0000-000056010000}"/>
    <cellStyle name="Comma 20 3 3 2 2 2" xfId="2379" xr:uid="{00000000-0005-0000-0000-000057010000}"/>
    <cellStyle name="Comma 20 3 3 2 3" xfId="1878" xr:uid="{00000000-0005-0000-0000-000058010000}"/>
    <cellStyle name="Comma 20 3 3 3" xfId="1129" xr:uid="{00000000-0005-0000-0000-000059010000}"/>
    <cellStyle name="Comma 20 3 3 3 2" xfId="2131" xr:uid="{00000000-0005-0000-0000-00005A010000}"/>
    <cellStyle name="Comma 20 3 3 4" xfId="1630" xr:uid="{00000000-0005-0000-0000-00005B010000}"/>
    <cellStyle name="Comma 20 3 4" xfId="749" xr:uid="{00000000-0005-0000-0000-00005C010000}"/>
    <cellStyle name="Comma 20 3 4 2" xfId="1253" xr:uid="{00000000-0005-0000-0000-00005D010000}"/>
    <cellStyle name="Comma 20 3 4 2 2" xfId="2255" xr:uid="{00000000-0005-0000-0000-00005E010000}"/>
    <cellStyle name="Comma 20 3 4 3" xfId="1754" xr:uid="{00000000-0005-0000-0000-00005F010000}"/>
    <cellStyle name="Comma 20 3 5" xfId="1005" xr:uid="{00000000-0005-0000-0000-000060010000}"/>
    <cellStyle name="Comma 20 3 5 2" xfId="2007" xr:uid="{00000000-0005-0000-0000-000061010000}"/>
    <cellStyle name="Comma 20 3 6" xfId="1506" xr:uid="{00000000-0005-0000-0000-000062010000}"/>
    <cellStyle name="Comma 20 4" xfId="523" xr:uid="{00000000-0005-0000-0000-000063010000}"/>
    <cellStyle name="Comma 20 4 2" xfId="647" xr:uid="{00000000-0005-0000-0000-000064010000}"/>
    <cellStyle name="Comma 20 4 2 2" xfId="895" xr:uid="{00000000-0005-0000-0000-000065010000}"/>
    <cellStyle name="Comma 20 4 2 2 2" xfId="1399" xr:uid="{00000000-0005-0000-0000-000066010000}"/>
    <cellStyle name="Comma 20 4 2 2 2 2" xfId="2401" xr:uid="{00000000-0005-0000-0000-000067010000}"/>
    <cellStyle name="Comma 20 4 2 2 3" xfId="1900" xr:uid="{00000000-0005-0000-0000-000068010000}"/>
    <cellStyle name="Comma 20 4 2 3" xfId="1151" xr:uid="{00000000-0005-0000-0000-000069010000}"/>
    <cellStyle name="Comma 20 4 2 3 2" xfId="2153" xr:uid="{00000000-0005-0000-0000-00006A010000}"/>
    <cellStyle name="Comma 20 4 2 4" xfId="1652" xr:uid="{00000000-0005-0000-0000-00006B010000}"/>
    <cellStyle name="Comma 20 4 3" xfId="771" xr:uid="{00000000-0005-0000-0000-00006C010000}"/>
    <cellStyle name="Comma 20 4 3 2" xfId="1275" xr:uid="{00000000-0005-0000-0000-00006D010000}"/>
    <cellStyle name="Comma 20 4 3 2 2" xfId="2277" xr:uid="{00000000-0005-0000-0000-00006E010000}"/>
    <cellStyle name="Comma 20 4 3 3" xfId="1776" xr:uid="{00000000-0005-0000-0000-00006F010000}"/>
    <cellStyle name="Comma 20 4 4" xfId="1027" xr:uid="{00000000-0005-0000-0000-000070010000}"/>
    <cellStyle name="Comma 20 4 4 2" xfId="2029" xr:uid="{00000000-0005-0000-0000-000071010000}"/>
    <cellStyle name="Comma 20 4 5" xfId="1528" xr:uid="{00000000-0005-0000-0000-000072010000}"/>
    <cellStyle name="Comma 20 5" xfId="583" xr:uid="{00000000-0005-0000-0000-000073010000}"/>
    <cellStyle name="Comma 20 5 2" xfId="831" xr:uid="{00000000-0005-0000-0000-000074010000}"/>
    <cellStyle name="Comma 20 5 2 2" xfId="1335" xr:uid="{00000000-0005-0000-0000-000075010000}"/>
    <cellStyle name="Comma 20 5 2 2 2" xfId="2337" xr:uid="{00000000-0005-0000-0000-000076010000}"/>
    <cellStyle name="Comma 20 5 2 3" xfId="1836" xr:uid="{00000000-0005-0000-0000-000077010000}"/>
    <cellStyle name="Comma 20 5 3" xfId="1087" xr:uid="{00000000-0005-0000-0000-000078010000}"/>
    <cellStyle name="Comma 20 5 3 2" xfId="2089" xr:uid="{00000000-0005-0000-0000-000079010000}"/>
    <cellStyle name="Comma 20 5 4" xfId="1588" xr:uid="{00000000-0005-0000-0000-00007A010000}"/>
    <cellStyle name="Comma 20 6" xfId="707" xr:uid="{00000000-0005-0000-0000-00007B010000}"/>
    <cellStyle name="Comma 20 6 2" xfId="1211" xr:uid="{00000000-0005-0000-0000-00007C010000}"/>
    <cellStyle name="Comma 20 6 2 2" xfId="2213" xr:uid="{00000000-0005-0000-0000-00007D010000}"/>
    <cellStyle name="Comma 20 6 3" xfId="1712" xr:uid="{00000000-0005-0000-0000-00007E010000}"/>
    <cellStyle name="Comma 20 7" xfId="963" xr:uid="{00000000-0005-0000-0000-00007F010000}"/>
    <cellStyle name="Comma 20 7 2" xfId="1965" xr:uid="{00000000-0005-0000-0000-000080010000}"/>
    <cellStyle name="Comma 20 8" xfId="1464" xr:uid="{00000000-0005-0000-0000-000081010000}"/>
    <cellStyle name="Comma 3" xfId="198" xr:uid="{00000000-0005-0000-0000-000082010000}"/>
    <cellStyle name="Comma 3 10" xfId="468" xr:uid="{00000000-0005-0000-0000-000083010000}"/>
    <cellStyle name="Comma 3 10 2" xfId="498" xr:uid="{00000000-0005-0000-0000-000084010000}"/>
    <cellStyle name="Comma 3 10 2 2" xfId="527" xr:uid="{00000000-0005-0000-0000-000085010000}"/>
    <cellStyle name="Comma 3 10 2 2 2" xfId="651" xr:uid="{00000000-0005-0000-0000-000086010000}"/>
    <cellStyle name="Comma 3 10 2 2 2 2" xfId="899" xr:uid="{00000000-0005-0000-0000-000087010000}"/>
    <cellStyle name="Comma 3 10 2 2 2 2 2" xfId="1403" xr:uid="{00000000-0005-0000-0000-000088010000}"/>
    <cellStyle name="Comma 3 10 2 2 2 2 2 2" xfId="2405" xr:uid="{00000000-0005-0000-0000-000089010000}"/>
    <cellStyle name="Comma 3 10 2 2 2 2 3" xfId="1904" xr:uid="{00000000-0005-0000-0000-00008A010000}"/>
    <cellStyle name="Comma 3 10 2 2 2 3" xfId="1155" xr:uid="{00000000-0005-0000-0000-00008B010000}"/>
    <cellStyle name="Comma 3 10 2 2 2 3 2" xfId="2157" xr:uid="{00000000-0005-0000-0000-00008C010000}"/>
    <cellStyle name="Comma 3 10 2 2 2 4" xfId="1656" xr:uid="{00000000-0005-0000-0000-00008D010000}"/>
    <cellStyle name="Comma 3 10 2 2 3" xfId="775" xr:uid="{00000000-0005-0000-0000-00008E010000}"/>
    <cellStyle name="Comma 3 10 2 2 3 2" xfId="1279" xr:uid="{00000000-0005-0000-0000-00008F010000}"/>
    <cellStyle name="Comma 3 10 2 2 3 2 2" xfId="2281" xr:uid="{00000000-0005-0000-0000-000090010000}"/>
    <cellStyle name="Comma 3 10 2 2 3 3" xfId="1780" xr:uid="{00000000-0005-0000-0000-000091010000}"/>
    <cellStyle name="Comma 3 10 2 2 4" xfId="1031" xr:uid="{00000000-0005-0000-0000-000092010000}"/>
    <cellStyle name="Comma 3 10 2 2 4 2" xfId="2033" xr:uid="{00000000-0005-0000-0000-000093010000}"/>
    <cellStyle name="Comma 3 10 2 2 5" xfId="1532" xr:uid="{00000000-0005-0000-0000-000094010000}"/>
    <cellStyle name="Comma 3 10 2 3" xfId="622" xr:uid="{00000000-0005-0000-0000-000095010000}"/>
    <cellStyle name="Comma 3 10 2 3 2" xfId="870" xr:uid="{00000000-0005-0000-0000-000096010000}"/>
    <cellStyle name="Comma 3 10 2 3 2 2" xfId="1374" xr:uid="{00000000-0005-0000-0000-000097010000}"/>
    <cellStyle name="Comma 3 10 2 3 2 2 2" xfId="2376" xr:uid="{00000000-0005-0000-0000-000098010000}"/>
    <cellStyle name="Comma 3 10 2 3 2 3" xfId="1875" xr:uid="{00000000-0005-0000-0000-000099010000}"/>
    <cellStyle name="Comma 3 10 2 3 3" xfId="1126" xr:uid="{00000000-0005-0000-0000-00009A010000}"/>
    <cellStyle name="Comma 3 10 2 3 3 2" xfId="2128" xr:uid="{00000000-0005-0000-0000-00009B010000}"/>
    <cellStyle name="Comma 3 10 2 3 4" xfId="1627" xr:uid="{00000000-0005-0000-0000-00009C010000}"/>
    <cellStyle name="Comma 3 10 2 4" xfId="746" xr:uid="{00000000-0005-0000-0000-00009D010000}"/>
    <cellStyle name="Comma 3 10 2 4 2" xfId="1250" xr:uid="{00000000-0005-0000-0000-00009E010000}"/>
    <cellStyle name="Comma 3 10 2 4 2 2" xfId="2252" xr:uid="{00000000-0005-0000-0000-00009F010000}"/>
    <cellStyle name="Comma 3 10 2 4 3" xfId="1751" xr:uid="{00000000-0005-0000-0000-0000A0010000}"/>
    <cellStyle name="Comma 3 10 2 5" xfId="1002" xr:uid="{00000000-0005-0000-0000-0000A1010000}"/>
    <cellStyle name="Comma 3 10 2 5 2" xfId="2004" xr:uid="{00000000-0005-0000-0000-0000A2010000}"/>
    <cellStyle name="Comma 3 10 2 6" xfId="1503" xr:uid="{00000000-0005-0000-0000-0000A3010000}"/>
    <cellStyle name="Comma 3 10 3" xfId="518" xr:uid="{00000000-0005-0000-0000-0000A4010000}"/>
    <cellStyle name="Comma 3 10 3 2" xfId="528" xr:uid="{00000000-0005-0000-0000-0000A5010000}"/>
    <cellStyle name="Comma 3 10 3 2 2" xfId="652" xr:uid="{00000000-0005-0000-0000-0000A6010000}"/>
    <cellStyle name="Comma 3 10 3 2 2 2" xfId="900" xr:uid="{00000000-0005-0000-0000-0000A7010000}"/>
    <cellStyle name="Comma 3 10 3 2 2 2 2" xfId="1404" xr:uid="{00000000-0005-0000-0000-0000A8010000}"/>
    <cellStyle name="Comma 3 10 3 2 2 2 2 2" xfId="2406" xr:uid="{00000000-0005-0000-0000-0000A9010000}"/>
    <cellStyle name="Comma 3 10 3 2 2 2 3" xfId="1905" xr:uid="{00000000-0005-0000-0000-0000AA010000}"/>
    <cellStyle name="Comma 3 10 3 2 2 3" xfId="1156" xr:uid="{00000000-0005-0000-0000-0000AB010000}"/>
    <cellStyle name="Comma 3 10 3 2 2 3 2" xfId="2158" xr:uid="{00000000-0005-0000-0000-0000AC010000}"/>
    <cellStyle name="Comma 3 10 3 2 2 4" xfId="1657" xr:uid="{00000000-0005-0000-0000-0000AD010000}"/>
    <cellStyle name="Comma 3 10 3 2 3" xfId="776" xr:uid="{00000000-0005-0000-0000-0000AE010000}"/>
    <cellStyle name="Comma 3 10 3 2 3 2" xfId="1280" xr:uid="{00000000-0005-0000-0000-0000AF010000}"/>
    <cellStyle name="Comma 3 10 3 2 3 2 2" xfId="2282" xr:uid="{00000000-0005-0000-0000-0000B0010000}"/>
    <cellStyle name="Comma 3 10 3 2 3 3" xfId="1781" xr:uid="{00000000-0005-0000-0000-0000B1010000}"/>
    <cellStyle name="Comma 3 10 3 2 4" xfId="1032" xr:uid="{00000000-0005-0000-0000-0000B2010000}"/>
    <cellStyle name="Comma 3 10 3 2 4 2" xfId="2034" xr:uid="{00000000-0005-0000-0000-0000B3010000}"/>
    <cellStyle name="Comma 3 10 3 2 5" xfId="1533" xr:uid="{00000000-0005-0000-0000-0000B4010000}"/>
    <cellStyle name="Comma 3 10 3 3" xfId="642" xr:uid="{00000000-0005-0000-0000-0000B5010000}"/>
    <cellStyle name="Comma 3 10 3 3 2" xfId="890" xr:uid="{00000000-0005-0000-0000-0000B6010000}"/>
    <cellStyle name="Comma 3 10 3 3 2 2" xfId="1394" xr:uid="{00000000-0005-0000-0000-0000B7010000}"/>
    <cellStyle name="Comma 3 10 3 3 2 2 2" xfId="2396" xr:uid="{00000000-0005-0000-0000-0000B8010000}"/>
    <cellStyle name="Comma 3 10 3 3 2 3" xfId="1895" xr:uid="{00000000-0005-0000-0000-0000B9010000}"/>
    <cellStyle name="Comma 3 10 3 3 3" xfId="1146" xr:uid="{00000000-0005-0000-0000-0000BA010000}"/>
    <cellStyle name="Comma 3 10 3 3 3 2" xfId="2148" xr:uid="{00000000-0005-0000-0000-0000BB010000}"/>
    <cellStyle name="Comma 3 10 3 3 4" xfId="1647" xr:uid="{00000000-0005-0000-0000-0000BC010000}"/>
    <cellStyle name="Comma 3 10 3 4" xfId="766" xr:uid="{00000000-0005-0000-0000-0000BD010000}"/>
    <cellStyle name="Comma 3 10 3 4 2" xfId="1270" xr:uid="{00000000-0005-0000-0000-0000BE010000}"/>
    <cellStyle name="Comma 3 10 3 4 2 2" xfId="2272" xr:uid="{00000000-0005-0000-0000-0000BF010000}"/>
    <cellStyle name="Comma 3 10 3 4 3" xfId="1771" xr:uid="{00000000-0005-0000-0000-0000C0010000}"/>
    <cellStyle name="Comma 3 10 3 5" xfId="1022" xr:uid="{00000000-0005-0000-0000-0000C1010000}"/>
    <cellStyle name="Comma 3 10 3 5 2" xfId="2024" xr:uid="{00000000-0005-0000-0000-0000C2010000}"/>
    <cellStyle name="Comma 3 10 3 6" xfId="1523" xr:uid="{00000000-0005-0000-0000-0000C3010000}"/>
    <cellStyle name="Comma 3 10 4" xfId="526" xr:uid="{00000000-0005-0000-0000-0000C4010000}"/>
    <cellStyle name="Comma 3 10 4 2" xfId="650" xr:uid="{00000000-0005-0000-0000-0000C5010000}"/>
    <cellStyle name="Comma 3 10 4 2 2" xfId="898" xr:uid="{00000000-0005-0000-0000-0000C6010000}"/>
    <cellStyle name="Comma 3 10 4 2 2 2" xfId="1402" xr:uid="{00000000-0005-0000-0000-0000C7010000}"/>
    <cellStyle name="Comma 3 10 4 2 2 2 2" xfId="2404" xr:uid="{00000000-0005-0000-0000-0000C8010000}"/>
    <cellStyle name="Comma 3 10 4 2 2 3" xfId="1903" xr:uid="{00000000-0005-0000-0000-0000C9010000}"/>
    <cellStyle name="Comma 3 10 4 2 3" xfId="1154" xr:uid="{00000000-0005-0000-0000-0000CA010000}"/>
    <cellStyle name="Comma 3 10 4 2 3 2" xfId="2156" xr:uid="{00000000-0005-0000-0000-0000CB010000}"/>
    <cellStyle name="Comma 3 10 4 2 4" xfId="1655" xr:uid="{00000000-0005-0000-0000-0000CC010000}"/>
    <cellStyle name="Comma 3 10 4 3" xfId="774" xr:uid="{00000000-0005-0000-0000-0000CD010000}"/>
    <cellStyle name="Comma 3 10 4 3 2" xfId="1278" xr:uid="{00000000-0005-0000-0000-0000CE010000}"/>
    <cellStyle name="Comma 3 10 4 3 2 2" xfId="2280" xr:uid="{00000000-0005-0000-0000-0000CF010000}"/>
    <cellStyle name="Comma 3 10 4 3 3" xfId="1779" xr:uid="{00000000-0005-0000-0000-0000D0010000}"/>
    <cellStyle name="Comma 3 10 4 4" xfId="1030" xr:uid="{00000000-0005-0000-0000-0000D1010000}"/>
    <cellStyle name="Comma 3 10 4 4 2" xfId="2032" xr:uid="{00000000-0005-0000-0000-0000D2010000}"/>
    <cellStyle name="Comma 3 10 4 5" xfId="1531" xr:uid="{00000000-0005-0000-0000-0000D3010000}"/>
    <cellStyle name="Comma 3 10 5" xfId="600" xr:uid="{00000000-0005-0000-0000-0000D4010000}"/>
    <cellStyle name="Comma 3 10 5 2" xfId="848" xr:uid="{00000000-0005-0000-0000-0000D5010000}"/>
    <cellStyle name="Comma 3 10 5 2 2" xfId="1352" xr:uid="{00000000-0005-0000-0000-0000D6010000}"/>
    <cellStyle name="Comma 3 10 5 2 2 2" xfId="2354" xr:uid="{00000000-0005-0000-0000-0000D7010000}"/>
    <cellStyle name="Comma 3 10 5 2 3" xfId="1853" xr:uid="{00000000-0005-0000-0000-0000D8010000}"/>
    <cellStyle name="Comma 3 10 5 3" xfId="1104" xr:uid="{00000000-0005-0000-0000-0000D9010000}"/>
    <cellStyle name="Comma 3 10 5 3 2" xfId="2106" xr:uid="{00000000-0005-0000-0000-0000DA010000}"/>
    <cellStyle name="Comma 3 10 5 4" xfId="1605" xr:uid="{00000000-0005-0000-0000-0000DB010000}"/>
    <cellStyle name="Comma 3 10 6" xfId="724" xr:uid="{00000000-0005-0000-0000-0000DC010000}"/>
    <cellStyle name="Comma 3 10 6 2" xfId="1228" xr:uid="{00000000-0005-0000-0000-0000DD010000}"/>
    <cellStyle name="Comma 3 10 6 2 2" xfId="2230" xr:uid="{00000000-0005-0000-0000-0000DE010000}"/>
    <cellStyle name="Comma 3 10 6 3" xfId="1729" xr:uid="{00000000-0005-0000-0000-0000DF010000}"/>
    <cellStyle name="Comma 3 10 7" xfId="980" xr:uid="{00000000-0005-0000-0000-0000E0010000}"/>
    <cellStyle name="Comma 3 10 7 2" xfId="1982" xr:uid="{00000000-0005-0000-0000-0000E1010000}"/>
    <cellStyle name="Comma 3 10 8" xfId="1481" xr:uid="{00000000-0005-0000-0000-0000E2010000}"/>
    <cellStyle name="Comma 3 11" xfId="475" xr:uid="{00000000-0005-0000-0000-0000E3010000}"/>
    <cellStyle name="Comma 3 12" xfId="470" xr:uid="{00000000-0005-0000-0000-0000E4010000}"/>
    <cellStyle name="Comma 3 12 2" xfId="529" xr:uid="{00000000-0005-0000-0000-0000E5010000}"/>
    <cellStyle name="Comma 3 12 2 2" xfId="653" xr:uid="{00000000-0005-0000-0000-0000E6010000}"/>
    <cellStyle name="Comma 3 12 2 2 2" xfId="901" xr:uid="{00000000-0005-0000-0000-0000E7010000}"/>
    <cellStyle name="Comma 3 12 2 2 2 2" xfId="1405" xr:uid="{00000000-0005-0000-0000-0000E8010000}"/>
    <cellStyle name="Comma 3 12 2 2 2 2 2" xfId="2407" xr:uid="{00000000-0005-0000-0000-0000E9010000}"/>
    <cellStyle name="Comma 3 12 2 2 2 3" xfId="1906" xr:uid="{00000000-0005-0000-0000-0000EA010000}"/>
    <cellStyle name="Comma 3 12 2 2 3" xfId="1157" xr:uid="{00000000-0005-0000-0000-0000EB010000}"/>
    <cellStyle name="Comma 3 12 2 2 3 2" xfId="2159" xr:uid="{00000000-0005-0000-0000-0000EC010000}"/>
    <cellStyle name="Comma 3 12 2 2 4" xfId="1658" xr:uid="{00000000-0005-0000-0000-0000ED010000}"/>
    <cellStyle name="Comma 3 12 2 3" xfId="777" xr:uid="{00000000-0005-0000-0000-0000EE010000}"/>
    <cellStyle name="Comma 3 12 2 3 2" xfId="1281" xr:uid="{00000000-0005-0000-0000-0000EF010000}"/>
    <cellStyle name="Comma 3 12 2 3 2 2" xfId="2283" xr:uid="{00000000-0005-0000-0000-0000F0010000}"/>
    <cellStyle name="Comma 3 12 2 3 3" xfId="1782" xr:uid="{00000000-0005-0000-0000-0000F1010000}"/>
    <cellStyle name="Comma 3 12 2 4" xfId="1033" xr:uid="{00000000-0005-0000-0000-0000F2010000}"/>
    <cellStyle name="Comma 3 12 2 4 2" xfId="2035" xr:uid="{00000000-0005-0000-0000-0000F3010000}"/>
    <cellStyle name="Comma 3 12 2 5" xfId="1534" xr:uid="{00000000-0005-0000-0000-0000F4010000}"/>
    <cellStyle name="Comma 3 12 3" xfId="602" xr:uid="{00000000-0005-0000-0000-0000F5010000}"/>
    <cellStyle name="Comma 3 12 3 2" xfId="850" xr:uid="{00000000-0005-0000-0000-0000F6010000}"/>
    <cellStyle name="Comma 3 12 3 2 2" xfId="1354" xr:uid="{00000000-0005-0000-0000-0000F7010000}"/>
    <cellStyle name="Comma 3 12 3 2 2 2" xfId="2356" xr:uid="{00000000-0005-0000-0000-0000F8010000}"/>
    <cellStyle name="Comma 3 12 3 2 3" xfId="1855" xr:uid="{00000000-0005-0000-0000-0000F9010000}"/>
    <cellStyle name="Comma 3 12 3 3" xfId="1106" xr:uid="{00000000-0005-0000-0000-0000FA010000}"/>
    <cellStyle name="Comma 3 12 3 3 2" xfId="2108" xr:uid="{00000000-0005-0000-0000-0000FB010000}"/>
    <cellStyle name="Comma 3 12 3 4" xfId="1607" xr:uid="{00000000-0005-0000-0000-0000FC010000}"/>
    <cellStyle name="Comma 3 12 4" xfId="726" xr:uid="{00000000-0005-0000-0000-0000FD010000}"/>
    <cellStyle name="Comma 3 12 4 2" xfId="1230" xr:uid="{00000000-0005-0000-0000-0000FE010000}"/>
    <cellStyle name="Comma 3 12 4 2 2" xfId="2232" xr:uid="{00000000-0005-0000-0000-0000FF010000}"/>
    <cellStyle name="Comma 3 12 4 3" xfId="1731" xr:uid="{00000000-0005-0000-0000-000000020000}"/>
    <cellStyle name="Comma 3 12 5" xfId="982" xr:uid="{00000000-0005-0000-0000-000001020000}"/>
    <cellStyle name="Comma 3 12 5 2" xfId="1984" xr:uid="{00000000-0005-0000-0000-000002020000}"/>
    <cellStyle name="Comma 3 12 6" xfId="1483" xr:uid="{00000000-0005-0000-0000-000003020000}"/>
    <cellStyle name="Comma 3 13" xfId="954" xr:uid="{00000000-0005-0000-0000-000004020000}"/>
    <cellStyle name="Comma 3 13 2" xfId="1458" xr:uid="{00000000-0005-0000-0000-000005020000}"/>
    <cellStyle name="Comma 3 13 2 2" xfId="2460" xr:uid="{00000000-0005-0000-0000-000006020000}"/>
    <cellStyle name="Comma 3 13 3" xfId="1959" xr:uid="{00000000-0005-0000-0000-000007020000}"/>
    <cellStyle name="Comma 3 2" xfId="199" xr:uid="{00000000-0005-0000-0000-000008020000}"/>
    <cellStyle name="Comma 3 3" xfId="200" xr:uid="{00000000-0005-0000-0000-000009020000}"/>
    <cellStyle name="Comma 3 4" xfId="452" xr:uid="{00000000-0005-0000-0000-00000A020000}"/>
    <cellStyle name="Comma 3 4 2" xfId="486" xr:uid="{00000000-0005-0000-0000-00000B020000}"/>
    <cellStyle name="Comma 3 4 2 2" xfId="531" xr:uid="{00000000-0005-0000-0000-00000C020000}"/>
    <cellStyle name="Comma 3 4 2 2 2" xfId="655" xr:uid="{00000000-0005-0000-0000-00000D020000}"/>
    <cellStyle name="Comma 3 4 2 2 2 2" xfId="903" xr:uid="{00000000-0005-0000-0000-00000E020000}"/>
    <cellStyle name="Comma 3 4 2 2 2 2 2" xfId="1407" xr:uid="{00000000-0005-0000-0000-00000F020000}"/>
    <cellStyle name="Comma 3 4 2 2 2 2 2 2" xfId="2409" xr:uid="{00000000-0005-0000-0000-000010020000}"/>
    <cellStyle name="Comma 3 4 2 2 2 2 3" xfId="1908" xr:uid="{00000000-0005-0000-0000-000011020000}"/>
    <cellStyle name="Comma 3 4 2 2 2 3" xfId="1159" xr:uid="{00000000-0005-0000-0000-000012020000}"/>
    <cellStyle name="Comma 3 4 2 2 2 3 2" xfId="2161" xr:uid="{00000000-0005-0000-0000-000013020000}"/>
    <cellStyle name="Comma 3 4 2 2 2 4" xfId="1660" xr:uid="{00000000-0005-0000-0000-000014020000}"/>
    <cellStyle name="Comma 3 4 2 2 3" xfId="779" xr:uid="{00000000-0005-0000-0000-000015020000}"/>
    <cellStyle name="Comma 3 4 2 2 3 2" xfId="1283" xr:uid="{00000000-0005-0000-0000-000016020000}"/>
    <cellStyle name="Comma 3 4 2 2 3 2 2" xfId="2285" xr:uid="{00000000-0005-0000-0000-000017020000}"/>
    <cellStyle name="Comma 3 4 2 2 3 3" xfId="1784" xr:uid="{00000000-0005-0000-0000-000018020000}"/>
    <cellStyle name="Comma 3 4 2 2 4" xfId="1035" xr:uid="{00000000-0005-0000-0000-000019020000}"/>
    <cellStyle name="Comma 3 4 2 2 4 2" xfId="2037" xr:uid="{00000000-0005-0000-0000-00001A020000}"/>
    <cellStyle name="Comma 3 4 2 2 5" xfId="1536" xr:uid="{00000000-0005-0000-0000-00001B020000}"/>
    <cellStyle name="Comma 3 4 2 3" xfId="610" xr:uid="{00000000-0005-0000-0000-00001C020000}"/>
    <cellStyle name="Comma 3 4 2 3 2" xfId="858" xr:uid="{00000000-0005-0000-0000-00001D020000}"/>
    <cellStyle name="Comma 3 4 2 3 2 2" xfId="1362" xr:uid="{00000000-0005-0000-0000-00001E020000}"/>
    <cellStyle name="Comma 3 4 2 3 2 2 2" xfId="2364" xr:uid="{00000000-0005-0000-0000-00001F020000}"/>
    <cellStyle name="Comma 3 4 2 3 2 3" xfId="1863" xr:uid="{00000000-0005-0000-0000-000020020000}"/>
    <cellStyle name="Comma 3 4 2 3 3" xfId="1114" xr:uid="{00000000-0005-0000-0000-000021020000}"/>
    <cellStyle name="Comma 3 4 2 3 3 2" xfId="2116" xr:uid="{00000000-0005-0000-0000-000022020000}"/>
    <cellStyle name="Comma 3 4 2 3 4" xfId="1615" xr:uid="{00000000-0005-0000-0000-000023020000}"/>
    <cellStyle name="Comma 3 4 2 4" xfId="734" xr:uid="{00000000-0005-0000-0000-000024020000}"/>
    <cellStyle name="Comma 3 4 2 4 2" xfId="1238" xr:uid="{00000000-0005-0000-0000-000025020000}"/>
    <cellStyle name="Comma 3 4 2 4 2 2" xfId="2240" xr:uid="{00000000-0005-0000-0000-000026020000}"/>
    <cellStyle name="Comma 3 4 2 4 3" xfId="1739" xr:uid="{00000000-0005-0000-0000-000027020000}"/>
    <cellStyle name="Comma 3 4 2 5" xfId="990" xr:uid="{00000000-0005-0000-0000-000028020000}"/>
    <cellStyle name="Comma 3 4 2 5 2" xfId="1992" xr:uid="{00000000-0005-0000-0000-000029020000}"/>
    <cellStyle name="Comma 3 4 2 6" xfId="1491" xr:uid="{00000000-0005-0000-0000-00002A020000}"/>
    <cellStyle name="Comma 3 4 3" xfId="506" xr:uid="{00000000-0005-0000-0000-00002B020000}"/>
    <cellStyle name="Comma 3 4 3 2" xfId="532" xr:uid="{00000000-0005-0000-0000-00002C020000}"/>
    <cellStyle name="Comma 3 4 3 2 2" xfId="656" xr:uid="{00000000-0005-0000-0000-00002D020000}"/>
    <cellStyle name="Comma 3 4 3 2 2 2" xfId="904" xr:uid="{00000000-0005-0000-0000-00002E020000}"/>
    <cellStyle name="Comma 3 4 3 2 2 2 2" xfId="1408" xr:uid="{00000000-0005-0000-0000-00002F020000}"/>
    <cellStyle name="Comma 3 4 3 2 2 2 2 2" xfId="2410" xr:uid="{00000000-0005-0000-0000-000030020000}"/>
    <cellStyle name="Comma 3 4 3 2 2 2 3" xfId="1909" xr:uid="{00000000-0005-0000-0000-000031020000}"/>
    <cellStyle name="Comma 3 4 3 2 2 3" xfId="1160" xr:uid="{00000000-0005-0000-0000-000032020000}"/>
    <cellStyle name="Comma 3 4 3 2 2 3 2" xfId="2162" xr:uid="{00000000-0005-0000-0000-000033020000}"/>
    <cellStyle name="Comma 3 4 3 2 2 4" xfId="1661" xr:uid="{00000000-0005-0000-0000-000034020000}"/>
    <cellStyle name="Comma 3 4 3 2 3" xfId="780" xr:uid="{00000000-0005-0000-0000-000035020000}"/>
    <cellStyle name="Comma 3 4 3 2 3 2" xfId="1284" xr:uid="{00000000-0005-0000-0000-000036020000}"/>
    <cellStyle name="Comma 3 4 3 2 3 2 2" xfId="2286" xr:uid="{00000000-0005-0000-0000-000037020000}"/>
    <cellStyle name="Comma 3 4 3 2 3 3" xfId="1785" xr:uid="{00000000-0005-0000-0000-000038020000}"/>
    <cellStyle name="Comma 3 4 3 2 4" xfId="1036" xr:uid="{00000000-0005-0000-0000-000039020000}"/>
    <cellStyle name="Comma 3 4 3 2 4 2" xfId="2038" xr:uid="{00000000-0005-0000-0000-00003A020000}"/>
    <cellStyle name="Comma 3 4 3 2 5" xfId="1537" xr:uid="{00000000-0005-0000-0000-00003B020000}"/>
    <cellStyle name="Comma 3 4 3 3" xfId="630" xr:uid="{00000000-0005-0000-0000-00003C020000}"/>
    <cellStyle name="Comma 3 4 3 3 2" xfId="878" xr:uid="{00000000-0005-0000-0000-00003D020000}"/>
    <cellStyle name="Comma 3 4 3 3 2 2" xfId="1382" xr:uid="{00000000-0005-0000-0000-00003E020000}"/>
    <cellStyle name="Comma 3 4 3 3 2 2 2" xfId="2384" xr:uid="{00000000-0005-0000-0000-00003F020000}"/>
    <cellStyle name="Comma 3 4 3 3 2 3" xfId="1883" xr:uid="{00000000-0005-0000-0000-000040020000}"/>
    <cellStyle name="Comma 3 4 3 3 3" xfId="1134" xr:uid="{00000000-0005-0000-0000-000041020000}"/>
    <cellStyle name="Comma 3 4 3 3 3 2" xfId="2136" xr:uid="{00000000-0005-0000-0000-000042020000}"/>
    <cellStyle name="Comma 3 4 3 3 4" xfId="1635" xr:uid="{00000000-0005-0000-0000-000043020000}"/>
    <cellStyle name="Comma 3 4 3 4" xfId="754" xr:uid="{00000000-0005-0000-0000-000044020000}"/>
    <cellStyle name="Comma 3 4 3 4 2" xfId="1258" xr:uid="{00000000-0005-0000-0000-000045020000}"/>
    <cellStyle name="Comma 3 4 3 4 2 2" xfId="2260" xr:uid="{00000000-0005-0000-0000-000046020000}"/>
    <cellStyle name="Comma 3 4 3 4 3" xfId="1759" xr:uid="{00000000-0005-0000-0000-000047020000}"/>
    <cellStyle name="Comma 3 4 3 5" xfId="1010" xr:uid="{00000000-0005-0000-0000-000048020000}"/>
    <cellStyle name="Comma 3 4 3 5 2" xfId="2012" xr:uid="{00000000-0005-0000-0000-000049020000}"/>
    <cellStyle name="Comma 3 4 3 6" xfId="1511" xr:uid="{00000000-0005-0000-0000-00004A020000}"/>
    <cellStyle name="Comma 3 4 4" xfId="530" xr:uid="{00000000-0005-0000-0000-00004B020000}"/>
    <cellStyle name="Comma 3 4 4 2" xfId="654" xr:uid="{00000000-0005-0000-0000-00004C020000}"/>
    <cellStyle name="Comma 3 4 4 2 2" xfId="902" xr:uid="{00000000-0005-0000-0000-00004D020000}"/>
    <cellStyle name="Comma 3 4 4 2 2 2" xfId="1406" xr:uid="{00000000-0005-0000-0000-00004E020000}"/>
    <cellStyle name="Comma 3 4 4 2 2 2 2" xfId="2408" xr:uid="{00000000-0005-0000-0000-00004F020000}"/>
    <cellStyle name="Comma 3 4 4 2 2 3" xfId="1907" xr:uid="{00000000-0005-0000-0000-000050020000}"/>
    <cellStyle name="Comma 3 4 4 2 3" xfId="1158" xr:uid="{00000000-0005-0000-0000-000051020000}"/>
    <cellStyle name="Comma 3 4 4 2 3 2" xfId="2160" xr:uid="{00000000-0005-0000-0000-000052020000}"/>
    <cellStyle name="Comma 3 4 4 2 4" xfId="1659" xr:uid="{00000000-0005-0000-0000-000053020000}"/>
    <cellStyle name="Comma 3 4 4 3" xfId="778" xr:uid="{00000000-0005-0000-0000-000054020000}"/>
    <cellStyle name="Comma 3 4 4 3 2" xfId="1282" xr:uid="{00000000-0005-0000-0000-000055020000}"/>
    <cellStyle name="Comma 3 4 4 3 2 2" xfId="2284" xr:uid="{00000000-0005-0000-0000-000056020000}"/>
    <cellStyle name="Comma 3 4 4 3 3" xfId="1783" xr:uid="{00000000-0005-0000-0000-000057020000}"/>
    <cellStyle name="Comma 3 4 4 4" xfId="1034" xr:uid="{00000000-0005-0000-0000-000058020000}"/>
    <cellStyle name="Comma 3 4 4 4 2" xfId="2036" xr:uid="{00000000-0005-0000-0000-000059020000}"/>
    <cellStyle name="Comma 3 4 4 5" xfId="1535" xr:uid="{00000000-0005-0000-0000-00005A020000}"/>
    <cellStyle name="Comma 3 4 5" xfId="588" xr:uid="{00000000-0005-0000-0000-00005B020000}"/>
    <cellStyle name="Comma 3 4 5 2" xfId="836" xr:uid="{00000000-0005-0000-0000-00005C020000}"/>
    <cellStyle name="Comma 3 4 5 2 2" xfId="1340" xr:uid="{00000000-0005-0000-0000-00005D020000}"/>
    <cellStyle name="Comma 3 4 5 2 2 2" xfId="2342" xr:uid="{00000000-0005-0000-0000-00005E020000}"/>
    <cellStyle name="Comma 3 4 5 2 3" xfId="1841" xr:uid="{00000000-0005-0000-0000-00005F020000}"/>
    <cellStyle name="Comma 3 4 5 3" xfId="1092" xr:uid="{00000000-0005-0000-0000-000060020000}"/>
    <cellStyle name="Comma 3 4 5 3 2" xfId="2094" xr:uid="{00000000-0005-0000-0000-000061020000}"/>
    <cellStyle name="Comma 3 4 5 4" xfId="1593" xr:uid="{00000000-0005-0000-0000-000062020000}"/>
    <cellStyle name="Comma 3 4 6" xfId="712" xr:uid="{00000000-0005-0000-0000-000063020000}"/>
    <cellStyle name="Comma 3 4 6 2" xfId="1216" xr:uid="{00000000-0005-0000-0000-000064020000}"/>
    <cellStyle name="Comma 3 4 6 2 2" xfId="2218" xr:uid="{00000000-0005-0000-0000-000065020000}"/>
    <cellStyle name="Comma 3 4 6 3" xfId="1717" xr:uid="{00000000-0005-0000-0000-000066020000}"/>
    <cellStyle name="Comma 3 4 7" xfId="968" xr:uid="{00000000-0005-0000-0000-000067020000}"/>
    <cellStyle name="Comma 3 4 7 2" xfId="1970" xr:uid="{00000000-0005-0000-0000-000068020000}"/>
    <cellStyle name="Comma 3 4 8" xfId="1469" xr:uid="{00000000-0005-0000-0000-000069020000}"/>
    <cellStyle name="Comma 3 5" xfId="458" xr:uid="{00000000-0005-0000-0000-00006A020000}"/>
    <cellStyle name="Comma 3 5 2" xfId="488" xr:uid="{00000000-0005-0000-0000-00006B020000}"/>
    <cellStyle name="Comma 3 5 2 2" xfId="534" xr:uid="{00000000-0005-0000-0000-00006C020000}"/>
    <cellStyle name="Comma 3 5 2 2 2" xfId="658" xr:uid="{00000000-0005-0000-0000-00006D020000}"/>
    <cellStyle name="Comma 3 5 2 2 2 2" xfId="906" xr:uid="{00000000-0005-0000-0000-00006E020000}"/>
    <cellStyle name="Comma 3 5 2 2 2 2 2" xfId="1410" xr:uid="{00000000-0005-0000-0000-00006F020000}"/>
    <cellStyle name="Comma 3 5 2 2 2 2 2 2" xfId="2412" xr:uid="{00000000-0005-0000-0000-000070020000}"/>
    <cellStyle name="Comma 3 5 2 2 2 2 3" xfId="1911" xr:uid="{00000000-0005-0000-0000-000071020000}"/>
    <cellStyle name="Comma 3 5 2 2 2 3" xfId="1162" xr:uid="{00000000-0005-0000-0000-000072020000}"/>
    <cellStyle name="Comma 3 5 2 2 2 3 2" xfId="2164" xr:uid="{00000000-0005-0000-0000-000073020000}"/>
    <cellStyle name="Comma 3 5 2 2 2 4" xfId="1663" xr:uid="{00000000-0005-0000-0000-000074020000}"/>
    <cellStyle name="Comma 3 5 2 2 3" xfId="782" xr:uid="{00000000-0005-0000-0000-000075020000}"/>
    <cellStyle name="Comma 3 5 2 2 3 2" xfId="1286" xr:uid="{00000000-0005-0000-0000-000076020000}"/>
    <cellStyle name="Comma 3 5 2 2 3 2 2" xfId="2288" xr:uid="{00000000-0005-0000-0000-000077020000}"/>
    <cellStyle name="Comma 3 5 2 2 3 3" xfId="1787" xr:uid="{00000000-0005-0000-0000-000078020000}"/>
    <cellStyle name="Comma 3 5 2 2 4" xfId="1038" xr:uid="{00000000-0005-0000-0000-000079020000}"/>
    <cellStyle name="Comma 3 5 2 2 4 2" xfId="2040" xr:uid="{00000000-0005-0000-0000-00007A020000}"/>
    <cellStyle name="Comma 3 5 2 2 5" xfId="1539" xr:uid="{00000000-0005-0000-0000-00007B020000}"/>
    <cellStyle name="Comma 3 5 2 3" xfId="612" xr:uid="{00000000-0005-0000-0000-00007C020000}"/>
    <cellStyle name="Comma 3 5 2 3 2" xfId="860" xr:uid="{00000000-0005-0000-0000-00007D020000}"/>
    <cellStyle name="Comma 3 5 2 3 2 2" xfId="1364" xr:uid="{00000000-0005-0000-0000-00007E020000}"/>
    <cellStyle name="Comma 3 5 2 3 2 2 2" xfId="2366" xr:uid="{00000000-0005-0000-0000-00007F020000}"/>
    <cellStyle name="Comma 3 5 2 3 2 3" xfId="1865" xr:uid="{00000000-0005-0000-0000-000080020000}"/>
    <cellStyle name="Comma 3 5 2 3 3" xfId="1116" xr:uid="{00000000-0005-0000-0000-000081020000}"/>
    <cellStyle name="Comma 3 5 2 3 3 2" xfId="2118" xr:uid="{00000000-0005-0000-0000-000082020000}"/>
    <cellStyle name="Comma 3 5 2 3 4" xfId="1617" xr:uid="{00000000-0005-0000-0000-000083020000}"/>
    <cellStyle name="Comma 3 5 2 4" xfId="736" xr:uid="{00000000-0005-0000-0000-000084020000}"/>
    <cellStyle name="Comma 3 5 2 4 2" xfId="1240" xr:uid="{00000000-0005-0000-0000-000085020000}"/>
    <cellStyle name="Comma 3 5 2 4 2 2" xfId="2242" xr:uid="{00000000-0005-0000-0000-000086020000}"/>
    <cellStyle name="Comma 3 5 2 4 3" xfId="1741" xr:uid="{00000000-0005-0000-0000-000087020000}"/>
    <cellStyle name="Comma 3 5 2 5" xfId="992" xr:uid="{00000000-0005-0000-0000-000088020000}"/>
    <cellStyle name="Comma 3 5 2 5 2" xfId="1994" xr:uid="{00000000-0005-0000-0000-000089020000}"/>
    <cellStyle name="Comma 3 5 2 6" xfId="1493" xr:uid="{00000000-0005-0000-0000-00008A020000}"/>
    <cellStyle name="Comma 3 5 3" xfId="508" xr:uid="{00000000-0005-0000-0000-00008B020000}"/>
    <cellStyle name="Comma 3 5 3 2" xfId="535" xr:uid="{00000000-0005-0000-0000-00008C020000}"/>
    <cellStyle name="Comma 3 5 3 2 2" xfId="659" xr:uid="{00000000-0005-0000-0000-00008D020000}"/>
    <cellStyle name="Comma 3 5 3 2 2 2" xfId="907" xr:uid="{00000000-0005-0000-0000-00008E020000}"/>
    <cellStyle name="Comma 3 5 3 2 2 2 2" xfId="1411" xr:uid="{00000000-0005-0000-0000-00008F020000}"/>
    <cellStyle name="Comma 3 5 3 2 2 2 2 2" xfId="2413" xr:uid="{00000000-0005-0000-0000-000090020000}"/>
    <cellStyle name="Comma 3 5 3 2 2 2 3" xfId="1912" xr:uid="{00000000-0005-0000-0000-000091020000}"/>
    <cellStyle name="Comma 3 5 3 2 2 3" xfId="1163" xr:uid="{00000000-0005-0000-0000-000092020000}"/>
    <cellStyle name="Comma 3 5 3 2 2 3 2" xfId="2165" xr:uid="{00000000-0005-0000-0000-000093020000}"/>
    <cellStyle name="Comma 3 5 3 2 2 4" xfId="1664" xr:uid="{00000000-0005-0000-0000-000094020000}"/>
    <cellStyle name="Comma 3 5 3 2 3" xfId="783" xr:uid="{00000000-0005-0000-0000-000095020000}"/>
    <cellStyle name="Comma 3 5 3 2 3 2" xfId="1287" xr:uid="{00000000-0005-0000-0000-000096020000}"/>
    <cellStyle name="Comma 3 5 3 2 3 2 2" xfId="2289" xr:uid="{00000000-0005-0000-0000-000097020000}"/>
    <cellStyle name="Comma 3 5 3 2 3 3" xfId="1788" xr:uid="{00000000-0005-0000-0000-000098020000}"/>
    <cellStyle name="Comma 3 5 3 2 4" xfId="1039" xr:uid="{00000000-0005-0000-0000-000099020000}"/>
    <cellStyle name="Comma 3 5 3 2 4 2" xfId="2041" xr:uid="{00000000-0005-0000-0000-00009A020000}"/>
    <cellStyle name="Comma 3 5 3 2 5" xfId="1540" xr:uid="{00000000-0005-0000-0000-00009B020000}"/>
    <cellStyle name="Comma 3 5 3 3" xfId="632" xr:uid="{00000000-0005-0000-0000-00009C020000}"/>
    <cellStyle name="Comma 3 5 3 3 2" xfId="880" xr:uid="{00000000-0005-0000-0000-00009D020000}"/>
    <cellStyle name="Comma 3 5 3 3 2 2" xfId="1384" xr:uid="{00000000-0005-0000-0000-00009E020000}"/>
    <cellStyle name="Comma 3 5 3 3 2 2 2" xfId="2386" xr:uid="{00000000-0005-0000-0000-00009F020000}"/>
    <cellStyle name="Comma 3 5 3 3 2 3" xfId="1885" xr:uid="{00000000-0005-0000-0000-0000A0020000}"/>
    <cellStyle name="Comma 3 5 3 3 3" xfId="1136" xr:uid="{00000000-0005-0000-0000-0000A1020000}"/>
    <cellStyle name="Comma 3 5 3 3 3 2" xfId="2138" xr:uid="{00000000-0005-0000-0000-0000A2020000}"/>
    <cellStyle name="Comma 3 5 3 3 4" xfId="1637" xr:uid="{00000000-0005-0000-0000-0000A3020000}"/>
    <cellStyle name="Comma 3 5 3 4" xfId="756" xr:uid="{00000000-0005-0000-0000-0000A4020000}"/>
    <cellStyle name="Comma 3 5 3 4 2" xfId="1260" xr:uid="{00000000-0005-0000-0000-0000A5020000}"/>
    <cellStyle name="Comma 3 5 3 4 2 2" xfId="2262" xr:uid="{00000000-0005-0000-0000-0000A6020000}"/>
    <cellStyle name="Comma 3 5 3 4 3" xfId="1761" xr:uid="{00000000-0005-0000-0000-0000A7020000}"/>
    <cellStyle name="Comma 3 5 3 5" xfId="1012" xr:uid="{00000000-0005-0000-0000-0000A8020000}"/>
    <cellStyle name="Comma 3 5 3 5 2" xfId="2014" xr:uid="{00000000-0005-0000-0000-0000A9020000}"/>
    <cellStyle name="Comma 3 5 3 6" xfId="1513" xr:uid="{00000000-0005-0000-0000-0000AA020000}"/>
    <cellStyle name="Comma 3 5 4" xfId="533" xr:uid="{00000000-0005-0000-0000-0000AB020000}"/>
    <cellStyle name="Comma 3 5 4 2" xfId="657" xr:uid="{00000000-0005-0000-0000-0000AC020000}"/>
    <cellStyle name="Comma 3 5 4 2 2" xfId="905" xr:uid="{00000000-0005-0000-0000-0000AD020000}"/>
    <cellStyle name="Comma 3 5 4 2 2 2" xfId="1409" xr:uid="{00000000-0005-0000-0000-0000AE020000}"/>
    <cellStyle name="Comma 3 5 4 2 2 2 2" xfId="2411" xr:uid="{00000000-0005-0000-0000-0000AF020000}"/>
    <cellStyle name="Comma 3 5 4 2 2 3" xfId="1910" xr:uid="{00000000-0005-0000-0000-0000B0020000}"/>
    <cellStyle name="Comma 3 5 4 2 3" xfId="1161" xr:uid="{00000000-0005-0000-0000-0000B1020000}"/>
    <cellStyle name="Comma 3 5 4 2 3 2" xfId="2163" xr:uid="{00000000-0005-0000-0000-0000B2020000}"/>
    <cellStyle name="Comma 3 5 4 2 4" xfId="1662" xr:uid="{00000000-0005-0000-0000-0000B3020000}"/>
    <cellStyle name="Comma 3 5 4 3" xfId="781" xr:uid="{00000000-0005-0000-0000-0000B4020000}"/>
    <cellStyle name="Comma 3 5 4 3 2" xfId="1285" xr:uid="{00000000-0005-0000-0000-0000B5020000}"/>
    <cellStyle name="Comma 3 5 4 3 2 2" xfId="2287" xr:uid="{00000000-0005-0000-0000-0000B6020000}"/>
    <cellStyle name="Comma 3 5 4 3 3" xfId="1786" xr:uid="{00000000-0005-0000-0000-0000B7020000}"/>
    <cellStyle name="Comma 3 5 4 4" xfId="1037" xr:uid="{00000000-0005-0000-0000-0000B8020000}"/>
    <cellStyle name="Comma 3 5 4 4 2" xfId="2039" xr:uid="{00000000-0005-0000-0000-0000B9020000}"/>
    <cellStyle name="Comma 3 5 4 5" xfId="1538" xr:uid="{00000000-0005-0000-0000-0000BA020000}"/>
    <cellStyle name="Comma 3 5 5" xfId="590" xr:uid="{00000000-0005-0000-0000-0000BB020000}"/>
    <cellStyle name="Comma 3 5 5 2" xfId="838" xr:uid="{00000000-0005-0000-0000-0000BC020000}"/>
    <cellStyle name="Comma 3 5 5 2 2" xfId="1342" xr:uid="{00000000-0005-0000-0000-0000BD020000}"/>
    <cellStyle name="Comma 3 5 5 2 2 2" xfId="2344" xr:uid="{00000000-0005-0000-0000-0000BE020000}"/>
    <cellStyle name="Comma 3 5 5 2 3" xfId="1843" xr:uid="{00000000-0005-0000-0000-0000BF020000}"/>
    <cellStyle name="Comma 3 5 5 3" xfId="1094" xr:uid="{00000000-0005-0000-0000-0000C0020000}"/>
    <cellStyle name="Comma 3 5 5 3 2" xfId="2096" xr:uid="{00000000-0005-0000-0000-0000C1020000}"/>
    <cellStyle name="Comma 3 5 5 4" xfId="1595" xr:uid="{00000000-0005-0000-0000-0000C2020000}"/>
    <cellStyle name="Comma 3 5 6" xfId="714" xr:uid="{00000000-0005-0000-0000-0000C3020000}"/>
    <cellStyle name="Comma 3 5 6 2" xfId="1218" xr:uid="{00000000-0005-0000-0000-0000C4020000}"/>
    <cellStyle name="Comma 3 5 6 2 2" xfId="2220" xr:uid="{00000000-0005-0000-0000-0000C5020000}"/>
    <cellStyle name="Comma 3 5 6 3" xfId="1719" xr:uid="{00000000-0005-0000-0000-0000C6020000}"/>
    <cellStyle name="Comma 3 5 7" xfId="970" xr:uid="{00000000-0005-0000-0000-0000C7020000}"/>
    <cellStyle name="Comma 3 5 7 2" xfId="1972" xr:uid="{00000000-0005-0000-0000-0000C8020000}"/>
    <cellStyle name="Comma 3 5 8" xfId="1471" xr:uid="{00000000-0005-0000-0000-0000C9020000}"/>
    <cellStyle name="Comma 3 6" xfId="460" xr:uid="{00000000-0005-0000-0000-0000CA020000}"/>
    <cellStyle name="Comma 3 6 2" xfId="490" xr:uid="{00000000-0005-0000-0000-0000CB020000}"/>
    <cellStyle name="Comma 3 6 2 2" xfId="537" xr:uid="{00000000-0005-0000-0000-0000CC020000}"/>
    <cellStyle name="Comma 3 6 2 2 2" xfId="661" xr:uid="{00000000-0005-0000-0000-0000CD020000}"/>
    <cellStyle name="Comma 3 6 2 2 2 2" xfId="909" xr:uid="{00000000-0005-0000-0000-0000CE020000}"/>
    <cellStyle name="Comma 3 6 2 2 2 2 2" xfId="1413" xr:uid="{00000000-0005-0000-0000-0000CF020000}"/>
    <cellStyle name="Comma 3 6 2 2 2 2 2 2" xfId="2415" xr:uid="{00000000-0005-0000-0000-0000D0020000}"/>
    <cellStyle name="Comma 3 6 2 2 2 2 3" xfId="1914" xr:uid="{00000000-0005-0000-0000-0000D1020000}"/>
    <cellStyle name="Comma 3 6 2 2 2 3" xfId="1165" xr:uid="{00000000-0005-0000-0000-0000D2020000}"/>
    <cellStyle name="Comma 3 6 2 2 2 3 2" xfId="2167" xr:uid="{00000000-0005-0000-0000-0000D3020000}"/>
    <cellStyle name="Comma 3 6 2 2 2 4" xfId="1666" xr:uid="{00000000-0005-0000-0000-0000D4020000}"/>
    <cellStyle name="Comma 3 6 2 2 3" xfId="785" xr:uid="{00000000-0005-0000-0000-0000D5020000}"/>
    <cellStyle name="Comma 3 6 2 2 3 2" xfId="1289" xr:uid="{00000000-0005-0000-0000-0000D6020000}"/>
    <cellStyle name="Comma 3 6 2 2 3 2 2" xfId="2291" xr:uid="{00000000-0005-0000-0000-0000D7020000}"/>
    <cellStyle name="Comma 3 6 2 2 3 3" xfId="1790" xr:uid="{00000000-0005-0000-0000-0000D8020000}"/>
    <cellStyle name="Comma 3 6 2 2 4" xfId="1041" xr:uid="{00000000-0005-0000-0000-0000D9020000}"/>
    <cellStyle name="Comma 3 6 2 2 4 2" xfId="2043" xr:uid="{00000000-0005-0000-0000-0000DA020000}"/>
    <cellStyle name="Comma 3 6 2 2 5" xfId="1542" xr:uid="{00000000-0005-0000-0000-0000DB020000}"/>
    <cellStyle name="Comma 3 6 2 3" xfId="614" xr:uid="{00000000-0005-0000-0000-0000DC020000}"/>
    <cellStyle name="Comma 3 6 2 3 2" xfId="862" xr:uid="{00000000-0005-0000-0000-0000DD020000}"/>
    <cellStyle name="Comma 3 6 2 3 2 2" xfId="1366" xr:uid="{00000000-0005-0000-0000-0000DE020000}"/>
    <cellStyle name="Comma 3 6 2 3 2 2 2" xfId="2368" xr:uid="{00000000-0005-0000-0000-0000DF020000}"/>
    <cellStyle name="Comma 3 6 2 3 2 3" xfId="1867" xr:uid="{00000000-0005-0000-0000-0000E0020000}"/>
    <cellStyle name="Comma 3 6 2 3 3" xfId="1118" xr:uid="{00000000-0005-0000-0000-0000E1020000}"/>
    <cellStyle name="Comma 3 6 2 3 3 2" xfId="2120" xr:uid="{00000000-0005-0000-0000-0000E2020000}"/>
    <cellStyle name="Comma 3 6 2 3 4" xfId="1619" xr:uid="{00000000-0005-0000-0000-0000E3020000}"/>
    <cellStyle name="Comma 3 6 2 4" xfId="738" xr:uid="{00000000-0005-0000-0000-0000E4020000}"/>
    <cellStyle name="Comma 3 6 2 4 2" xfId="1242" xr:uid="{00000000-0005-0000-0000-0000E5020000}"/>
    <cellStyle name="Comma 3 6 2 4 2 2" xfId="2244" xr:uid="{00000000-0005-0000-0000-0000E6020000}"/>
    <cellStyle name="Comma 3 6 2 4 3" xfId="1743" xr:uid="{00000000-0005-0000-0000-0000E7020000}"/>
    <cellStyle name="Comma 3 6 2 5" xfId="994" xr:uid="{00000000-0005-0000-0000-0000E8020000}"/>
    <cellStyle name="Comma 3 6 2 5 2" xfId="1996" xr:uid="{00000000-0005-0000-0000-0000E9020000}"/>
    <cellStyle name="Comma 3 6 2 6" xfId="1495" xr:uid="{00000000-0005-0000-0000-0000EA020000}"/>
    <cellStyle name="Comma 3 6 3" xfId="510" xr:uid="{00000000-0005-0000-0000-0000EB020000}"/>
    <cellStyle name="Comma 3 6 3 2" xfId="538" xr:uid="{00000000-0005-0000-0000-0000EC020000}"/>
    <cellStyle name="Comma 3 6 3 2 2" xfId="662" xr:uid="{00000000-0005-0000-0000-0000ED020000}"/>
    <cellStyle name="Comma 3 6 3 2 2 2" xfId="910" xr:uid="{00000000-0005-0000-0000-0000EE020000}"/>
    <cellStyle name="Comma 3 6 3 2 2 2 2" xfId="1414" xr:uid="{00000000-0005-0000-0000-0000EF020000}"/>
    <cellStyle name="Comma 3 6 3 2 2 2 2 2" xfId="2416" xr:uid="{00000000-0005-0000-0000-0000F0020000}"/>
    <cellStyle name="Comma 3 6 3 2 2 2 3" xfId="1915" xr:uid="{00000000-0005-0000-0000-0000F1020000}"/>
    <cellStyle name="Comma 3 6 3 2 2 3" xfId="1166" xr:uid="{00000000-0005-0000-0000-0000F2020000}"/>
    <cellStyle name="Comma 3 6 3 2 2 3 2" xfId="2168" xr:uid="{00000000-0005-0000-0000-0000F3020000}"/>
    <cellStyle name="Comma 3 6 3 2 2 4" xfId="1667" xr:uid="{00000000-0005-0000-0000-0000F4020000}"/>
    <cellStyle name="Comma 3 6 3 2 3" xfId="786" xr:uid="{00000000-0005-0000-0000-0000F5020000}"/>
    <cellStyle name="Comma 3 6 3 2 3 2" xfId="1290" xr:uid="{00000000-0005-0000-0000-0000F6020000}"/>
    <cellStyle name="Comma 3 6 3 2 3 2 2" xfId="2292" xr:uid="{00000000-0005-0000-0000-0000F7020000}"/>
    <cellStyle name="Comma 3 6 3 2 3 3" xfId="1791" xr:uid="{00000000-0005-0000-0000-0000F8020000}"/>
    <cellStyle name="Comma 3 6 3 2 4" xfId="1042" xr:uid="{00000000-0005-0000-0000-0000F9020000}"/>
    <cellStyle name="Comma 3 6 3 2 4 2" xfId="2044" xr:uid="{00000000-0005-0000-0000-0000FA020000}"/>
    <cellStyle name="Comma 3 6 3 2 5" xfId="1543" xr:uid="{00000000-0005-0000-0000-0000FB020000}"/>
    <cellStyle name="Comma 3 6 3 3" xfId="634" xr:uid="{00000000-0005-0000-0000-0000FC020000}"/>
    <cellStyle name="Comma 3 6 3 3 2" xfId="882" xr:uid="{00000000-0005-0000-0000-0000FD020000}"/>
    <cellStyle name="Comma 3 6 3 3 2 2" xfId="1386" xr:uid="{00000000-0005-0000-0000-0000FE020000}"/>
    <cellStyle name="Comma 3 6 3 3 2 2 2" xfId="2388" xr:uid="{00000000-0005-0000-0000-0000FF020000}"/>
    <cellStyle name="Comma 3 6 3 3 2 3" xfId="1887" xr:uid="{00000000-0005-0000-0000-000000030000}"/>
    <cellStyle name="Comma 3 6 3 3 3" xfId="1138" xr:uid="{00000000-0005-0000-0000-000001030000}"/>
    <cellStyle name="Comma 3 6 3 3 3 2" xfId="2140" xr:uid="{00000000-0005-0000-0000-000002030000}"/>
    <cellStyle name="Comma 3 6 3 3 4" xfId="1639" xr:uid="{00000000-0005-0000-0000-000003030000}"/>
    <cellStyle name="Comma 3 6 3 4" xfId="758" xr:uid="{00000000-0005-0000-0000-000004030000}"/>
    <cellStyle name="Comma 3 6 3 4 2" xfId="1262" xr:uid="{00000000-0005-0000-0000-000005030000}"/>
    <cellStyle name="Comma 3 6 3 4 2 2" xfId="2264" xr:uid="{00000000-0005-0000-0000-000006030000}"/>
    <cellStyle name="Comma 3 6 3 4 3" xfId="1763" xr:uid="{00000000-0005-0000-0000-000007030000}"/>
    <cellStyle name="Comma 3 6 3 5" xfId="1014" xr:uid="{00000000-0005-0000-0000-000008030000}"/>
    <cellStyle name="Comma 3 6 3 5 2" xfId="2016" xr:uid="{00000000-0005-0000-0000-000009030000}"/>
    <cellStyle name="Comma 3 6 3 6" xfId="1515" xr:uid="{00000000-0005-0000-0000-00000A030000}"/>
    <cellStyle name="Comma 3 6 4" xfId="536" xr:uid="{00000000-0005-0000-0000-00000B030000}"/>
    <cellStyle name="Comma 3 6 4 2" xfId="660" xr:uid="{00000000-0005-0000-0000-00000C030000}"/>
    <cellStyle name="Comma 3 6 4 2 2" xfId="908" xr:uid="{00000000-0005-0000-0000-00000D030000}"/>
    <cellStyle name="Comma 3 6 4 2 2 2" xfId="1412" xr:uid="{00000000-0005-0000-0000-00000E030000}"/>
    <cellStyle name="Comma 3 6 4 2 2 2 2" xfId="2414" xr:uid="{00000000-0005-0000-0000-00000F030000}"/>
    <cellStyle name="Comma 3 6 4 2 2 3" xfId="1913" xr:uid="{00000000-0005-0000-0000-000010030000}"/>
    <cellStyle name="Comma 3 6 4 2 3" xfId="1164" xr:uid="{00000000-0005-0000-0000-000011030000}"/>
    <cellStyle name="Comma 3 6 4 2 3 2" xfId="2166" xr:uid="{00000000-0005-0000-0000-000012030000}"/>
    <cellStyle name="Comma 3 6 4 2 4" xfId="1665" xr:uid="{00000000-0005-0000-0000-000013030000}"/>
    <cellStyle name="Comma 3 6 4 3" xfId="784" xr:uid="{00000000-0005-0000-0000-000014030000}"/>
    <cellStyle name="Comma 3 6 4 3 2" xfId="1288" xr:uid="{00000000-0005-0000-0000-000015030000}"/>
    <cellStyle name="Comma 3 6 4 3 2 2" xfId="2290" xr:uid="{00000000-0005-0000-0000-000016030000}"/>
    <cellStyle name="Comma 3 6 4 3 3" xfId="1789" xr:uid="{00000000-0005-0000-0000-000017030000}"/>
    <cellStyle name="Comma 3 6 4 4" xfId="1040" xr:uid="{00000000-0005-0000-0000-000018030000}"/>
    <cellStyle name="Comma 3 6 4 4 2" xfId="2042" xr:uid="{00000000-0005-0000-0000-000019030000}"/>
    <cellStyle name="Comma 3 6 4 5" xfId="1541" xr:uid="{00000000-0005-0000-0000-00001A030000}"/>
    <cellStyle name="Comma 3 6 5" xfId="592" xr:uid="{00000000-0005-0000-0000-00001B030000}"/>
    <cellStyle name="Comma 3 6 5 2" xfId="840" xr:uid="{00000000-0005-0000-0000-00001C030000}"/>
    <cellStyle name="Comma 3 6 5 2 2" xfId="1344" xr:uid="{00000000-0005-0000-0000-00001D030000}"/>
    <cellStyle name="Comma 3 6 5 2 2 2" xfId="2346" xr:uid="{00000000-0005-0000-0000-00001E030000}"/>
    <cellStyle name="Comma 3 6 5 2 3" xfId="1845" xr:uid="{00000000-0005-0000-0000-00001F030000}"/>
    <cellStyle name="Comma 3 6 5 3" xfId="1096" xr:uid="{00000000-0005-0000-0000-000020030000}"/>
    <cellStyle name="Comma 3 6 5 3 2" xfId="2098" xr:uid="{00000000-0005-0000-0000-000021030000}"/>
    <cellStyle name="Comma 3 6 5 4" xfId="1597" xr:uid="{00000000-0005-0000-0000-000022030000}"/>
    <cellStyle name="Comma 3 6 6" xfId="716" xr:uid="{00000000-0005-0000-0000-000023030000}"/>
    <cellStyle name="Comma 3 6 6 2" xfId="1220" xr:uid="{00000000-0005-0000-0000-000024030000}"/>
    <cellStyle name="Comma 3 6 6 2 2" xfId="2222" xr:uid="{00000000-0005-0000-0000-000025030000}"/>
    <cellStyle name="Comma 3 6 6 3" xfId="1721" xr:uid="{00000000-0005-0000-0000-000026030000}"/>
    <cellStyle name="Comma 3 6 7" xfId="972" xr:uid="{00000000-0005-0000-0000-000027030000}"/>
    <cellStyle name="Comma 3 6 7 2" xfId="1974" xr:uid="{00000000-0005-0000-0000-000028030000}"/>
    <cellStyle name="Comma 3 6 8" xfId="1473" xr:uid="{00000000-0005-0000-0000-000029030000}"/>
    <cellStyle name="Comma 3 7" xfId="462" xr:uid="{00000000-0005-0000-0000-00002A030000}"/>
    <cellStyle name="Comma 3 7 2" xfId="492" xr:uid="{00000000-0005-0000-0000-00002B030000}"/>
    <cellStyle name="Comma 3 7 2 2" xfId="540" xr:uid="{00000000-0005-0000-0000-00002C030000}"/>
    <cellStyle name="Comma 3 7 2 2 2" xfId="664" xr:uid="{00000000-0005-0000-0000-00002D030000}"/>
    <cellStyle name="Comma 3 7 2 2 2 2" xfId="912" xr:uid="{00000000-0005-0000-0000-00002E030000}"/>
    <cellStyle name="Comma 3 7 2 2 2 2 2" xfId="1416" xr:uid="{00000000-0005-0000-0000-00002F030000}"/>
    <cellStyle name="Comma 3 7 2 2 2 2 2 2" xfId="2418" xr:uid="{00000000-0005-0000-0000-000030030000}"/>
    <cellStyle name="Comma 3 7 2 2 2 2 3" xfId="1917" xr:uid="{00000000-0005-0000-0000-000031030000}"/>
    <cellStyle name="Comma 3 7 2 2 2 3" xfId="1168" xr:uid="{00000000-0005-0000-0000-000032030000}"/>
    <cellStyle name="Comma 3 7 2 2 2 3 2" xfId="2170" xr:uid="{00000000-0005-0000-0000-000033030000}"/>
    <cellStyle name="Comma 3 7 2 2 2 4" xfId="1669" xr:uid="{00000000-0005-0000-0000-000034030000}"/>
    <cellStyle name="Comma 3 7 2 2 3" xfId="788" xr:uid="{00000000-0005-0000-0000-000035030000}"/>
    <cellStyle name="Comma 3 7 2 2 3 2" xfId="1292" xr:uid="{00000000-0005-0000-0000-000036030000}"/>
    <cellStyle name="Comma 3 7 2 2 3 2 2" xfId="2294" xr:uid="{00000000-0005-0000-0000-000037030000}"/>
    <cellStyle name="Comma 3 7 2 2 3 3" xfId="1793" xr:uid="{00000000-0005-0000-0000-000038030000}"/>
    <cellStyle name="Comma 3 7 2 2 4" xfId="1044" xr:uid="{00000000-0005-0000-0000-000039030000}"/>
    <cellStyle name="Comma 3 7 2 2 4 2" xfId="2046" xr:uid="{00000000-0005-0000-0000-00003A030000}"/>
    <cellStyle name="Comma 3 7 2 2 5" xfId="1545" xr:uid="{00000000-0005-0000-0000-00003B030000}"/>
    <cellStyle name="Comma 3 7 2 3" xfId="616" xr:uid="{00000000-0005-0000-0000-00003C030000}"/>
    <cellStyle name="Comma 3 7 2 3 2" xfId="864" xr:uid="{00000000-0005-0000-0000-00003D030000}"/>
    <cellStyle name="Comma 3 7 2 3 2 2" xfId="1368" xr:uid="{00000000-0005-0000-0000-00003E030000}"/>
    <cellStyle name="Comma 3 7 2 3 2 2 2" xfId="2370" xr:uid="{00000000-0005-0000-0000-00003F030000}"/>
    <cellStyle name="Comma 3 7 2 3 2 3" xfId="1869" xr:uid="{00000000-0005-0000-0000-000040030000}"/>
    <cellStyle name="Comma 3 7 2 3 3" xfId="1120" xr:uid="{00000000-0005-0000-0000-000041030000}"/>
    <cellStyle name="Comma 3 7 2 3 3 2" xfId="2122" xr:uid="{00000000-0005-0000-0000-000042030000}"/>
    <cellStyle name="Comma 3 7 2 3 4" xfId="1621" xr:uid="{00000000-0005-0000-0000-000043030000}"/>
    <cellStyle name="Comma 3 7 2 4" xfId="740" xr:uid="{00000000-0005-0000-0000-000044030000}"/>
    <cellStyle name="Comma 3 7 2 4 2" xfId="1244" xr:uid="{00000000-0005-0000-0000-000045030000}"/>
    <cellStyle name="Comma 3 7 2 4 2 2" xfId="2246" xr:uid="{00000000-0005-0000-0000-000046030000}"/>
    <cellStyle name="Comma 3 7 2 4 3" xfId="1745" xr:uid="{00000000-0005-0000-0000-000047030000}"/>
    <cellStyle name="Comma 3 7 2 5" xfId="996" xr:uid="{00000000-0005-0000-0000-000048030000}"/>
    <cellStyle name="Comma 3 7 2 5 2" xfId="1998" xr:uid="{00000000-0005-0000-0000-000049030000}"/>
    <cellStyle name="Comma 3 7 2 6" xfId="1497" xr:uid="{00000000-0005-0000-0000-00004A030000}"/>
    <cellStyle name="Comma 3 7 3" xfId="512" xr:uid="{00000000-0005-0000-0000-00004B030000}"/>
    <cellStyle name="Comma 3 7 3 2" xfId="541" xr:uid="{00000000-0005-0000-0000-00004C030000}"/>
    <cellStyle name="Comma 3 7 3 2 2" xfId="665" xr:uid="{00000000-0005-0000-0000-00004D030000}"/>
    <cellStyle name="Comma 3 7 3 2 2 2" xfId="913" xr:uid="{00000000-0005-0000-0000-00004E030000}"/>
    <cellStyle name="Comma 3 7 3 2 2 2 2" xfId="1417" xr:uid="{00000000-0005-0000-0000-00004F030000}"/>
    <cellStyle name="Comma 3 7 3 2 2 2 2 2" xfId="2419" xr:uid="{00000000-0005-0000-0000-000050030000}"/>
    <cellStyle name="Comma 3 7 3 2 2 2 3" xfId="1918" xr:uid="{00000000-0005-0000-0000-000051030000}"/>
    <cellStyle name="Comma 3 7 3 2 2 3" xfId="1169" xr:uid="{00000000-0005-0000-0000-000052030000}"/>
    <cellStyle name="Comma 3 7 3 2 2 3 2" xfId="2171" xr:uid="{00000000-0005-0000-0000-000053030000}"/>
    <cellStyle name="Comma 3 7 3 2 2 4" xfId="1670" xr:uid="{00000000-0005-0000-0000-000054030000}"/>
    <cellStyle name="Comma 3 7 3 2 3" xfId="789" xr:uid="{00000000-0005-0000-0000-000055030000}"/>
    <cellStyle name="Comma 3 7 3 2 3 2" xfId="1293" xr:uid="{00000000-0005-0000-0000-000056030000}"/>
    <cellStyle name="Comma 3 7 3 2 3 2 2" xfId="2295" xr:uid="{00000000-0005-0000-0000-000057030000}"/>
    <cellStyle name="Comma 3 7 3 2 3 3" xfId="1794" xr:uid="{00000000-0005-0000-0000-000058030000}"/>
    <cellStyle name="Comma 3 7 3 2 4" xfId="1045" xr:uid="{00000000-0005-0000-0000-000059030000}"/>
    <cellStyle name="Comma 3 7 3 2 4 2" xfId="2047" xr:uid="{00000000-0005-0000-0000-00005A030000}"/>
    <cellStyle name="Comma 3 7 3 2 5" xfId="1546" xr:uid="{00000000-0005-0000-0000-00005B030000}"/>
    <cellStyle name="Comma 3 7 3 3" xfId="636" xr:uid="{00000000-0005-0000-0000-00005C030000}"/>
    <cellStyle name="Comma 3 7 3 3 2" xfId="884" xr:uid="{00000000-0005-0000-0000-00005D030000}"/>
    <cellStyle name="Comma 3 7 3 3 2 2" xfId="1388" xr:uid="{00000000-0005-0000-0000-00005E030000}"/>
    <cellStyle name="Comma 3 7 3 3 2 2 2" xfId="2390" xr:uid="{00000000-0005-0000-0000-00005F030000}"/>
    <cellStyle name="Comma 3 7 3 3 2 3" xfId="1889" xr:uid="{00000000-0005-0000-0000-000060030000}"/>
    <cellStyle name="Comma 3 7 3 3 3" xfId="1140" xr:uid="{00000000-0005-0000-0000-000061030000}"/>
    <cellStyle name="Comma 3 7 3 3 3 2" xfId="2142" xr:uid="{00000000-0005-0000-0000-000062030000}"/>
    <cellStyle name="Comma 3 7 3 3 4" xfId="1641" xr:uid="{00000000-0005-0000-0000-000063030000}"/>
    <cellStyle name="Comma 3 7 3 4" xfId="760" xr:uid="{00000000-0005-0000-0000-000064030000}"/>
    <cellStyle name="Comma 3 7 3 4 2" xfId="1264" xr:uid="{00000000-0005-0000-0000-000065030000}"/>
    <cellStyle name="Comma 3 7 3 4 2 2" xfId="2266" xr:uid="{00000000-0005-0000-0000-000066030000}"/>
    <cellStyle name="Comma 3 7 3 4 3" xfId="1765" xr:uid="{00000000-0005-0000-0000-000067030000}"/>
    <cellStyle name="Comma 3 7 3 5" xfId="1016" xr:uid="{00000000-0005-0000-0000-000068030000}"/>
    <cellStyle name="Comma 3 7 3 5 2" xfId="2018" xr:uid="{00000000-0005-0000-0000-000069030000}"/>
    <cellStyle name="Comma 3 7 3 6" xfId="1517" xr:uid="{00000000-0005-0000-0000-00006A030000}"/>
    <cellStyle name="Comma 3 7 4" xfId="539" xr:uid="{00000000-0005-0000-0000-00006B030000}"/>
    <cellStyle name="Comma 3 7 4 2" xfId="663" xr:uid="{00000000-0005-0000-0000-00006C030000}"/>
    <cellStyle name="Comma 3 7 4 2 2" xfId="911" xr:uid="{00000000-0005-0000-0000-00006D030000}"/>
    <cellStyle name="Comma 3 7 4 2 2 2" xfId="1415" xr:uid="{00000000-0005-0000-0000-00006E030000}"/>
    <cellStyle name="Comma 3 7 4 2 2 2 2" xfId="2417" xr:uid="{00000000-0005-0000-0000-00006F030000}"/>
    <cellStyle name="Comma 3 7 4 2 2 3" xfId="1916" xr:uid="{00000000-0005-0000-0000-000070030000}"/>
    <cellStyle name="Comma 3 7 4 2 3" xfId="1167" xr:uid="{00000000-0005-0000-0000-000071030000}"/>
    <cellStyle name="Comma 3 7 4 2 3 2" xfId="2169" xr:uid="{00000000-0005-0000-0000-000072030000}"/>
    <cellStyle name="Comma 3 7 4 2 4" xfId="1668" xr:uid="{00000000-0005-0000-0000-000073030000}"/>
    <cellStyle name="Comma 3 7 4 3" xfId="787" xr:uid="{00000000-0005-0000-0000-000074030000}"/>
    <cellStyle name="Comma 3 7 4 3 2" xfId="1291" xr:uid="{00000000-0005-0000-0000-000075030000}"/>
    <cellStyle name="Comma 3 7 4 3 2 2" xfId="2293" xr:uid="{00000000-0005-0000-0000-000076030000}"/>
    <cellStyle name="Comma 3 7 4 3 3" xfId="1792" xr:uid="{00000000-0005-0000-0000-000077030000}"/>
    <cellStyle name="Comma 3 7 4 4" xfId="1043" xr:uid="{00000000-0005-0000-0000-000078030000}"/>
    <cellStyle name="Comma 3 7 4 4 2" xfId="2045" xr:uid="{00000000-0005-0000-0000-000079030000}"/>
    <cellStyle name="Comma 3 7 4 5" xfId="1544" xr:uid="{00000000-0005-0000-0000-00007A030000}"/>
    <cellStyle name="Comma 3 7 5" xfId="594" xr:uid="{00000000-0005-0000-0000-00007B030000}"/>
    <cellStyle name="Comma 3 7 5 2" xfId="842" xr:uid="{00000000-0005-0000-0000-00007C030000}"/>
    <cellStyle name="Comma 3 7 5 2 2" xfId="1346" xr:uid="{00000000-0005-0000-0000-00007D030000}"/>
    <cellStyle name="Comma 3 7 5 2 2 2" xfId="2348" xr:uid="{00000000-0005-0000-0000-00007E030000}"/>
    <cellStyle name="Comma 3 7 5 2 3" xfId="1847" xr:uid="{00000000-0005-0000-0000-00007F030000}"/>
    <cellStyle name="Comma 3 7 5 3" xfId="1098" xr:uid="{00000000-0005-0000-0000-000080030000}"/>
    <cellStyle name="Comma 3 7 5 3 2" xfId="2100" xr:uid="{00000000-0005-0000-0000-000081030000}"/>
    <cellStyle name="Comma 3 7 5 4" xfId="1599" xr:uid="{00000000-0005-0000-0000-000082030000}"/>
    <cellStyle name="Comma 3 7 6" xfId="718" xr:uid="{00000000-0005-0000-0000-000083030000}"/>
    <cellStyle name="Comma 3 7 6 2" xfId="1222" xr:uid="{00000000-0005-0000-0000-000084030000}"/>
    <cellStyle name="Comma 3 7 6 2 2" xfId="2224" xr:uid="{00000000-0005-0000-0000-000085030000}"/>
    <cellStyle name="Comma 3 7 6 3" xfId="1723" xr:uid="{00000000-0005-0000-0000-000086030000}"/>
    <cellStyle name="Comma 3 7 7" xfId="974" xr:uid="{00000000-0005-0000-0000-000087030000}"/>
    <cellStyle name="Comma 3 7 7 2" xfId="1976" xr:uid="{00000000-0005-0000-0000-000088030000}"/>
    <cellStyle name="Comma 3 7 8" xfId="1475" xr:uid="{00000000-0005-0000-0000-000089030000}"/>
    <cellStyle name="Comma 3 8" xfId="464" xr:uid="{00000000-0005-0000-0000-00008A030000}"/>
    <cellStyle name="Comma 3 8 2" xfId="494" xr:uid="{00000000-0005-0000-0000-00008B030000}"/>
    <cellStyle name="Comma 3 8 2 2" xfId="543" xr:uid="{00000000-0005-0000-0000-00008C030000}"/>
    <cellStyle name="Comma 3 8 2 2 2" xfId="667" xr:uid="{00000000-0005-0000-0000-00008D030000}"/>
    <cellStyle name="Comma 3 8 2 2 2 2" xfId="915" xr:uid="{00000000-0005-0000-0000-00008E030000}"/>
    <cellStyle name="Comma 3 8 2 2 2 2 2" xfId="1419" xr:uid="{00000000-0005-0000-0000-00008F030000}"/>
    <cellStyle name="Comma 3 8 2 2 2 2 2 2" xfId="2421" xr:uid="{00000000-0005-0000-0000-000090030000}"/>
    <cellStyle name="Comma 3 8 2 2 2 2 3" xfId="1920" xr:uid="{00000000-0005-0000-0000-000091030000}"/>
    <cellStyle name="Comma 3 8 2 2 2 3" xfId="1171" xr:uid="{00000000-0005-0000-0000-000092030000}"/>
    <cellStyle name="Comma 3 8 2 2 2 3 2" xfId="2173" xr:uid="{00000000-0005-0000-0000-000093030000}"/>
    <cellStyle name="Comma 3 8 2 2 2 4" xfId="1672" xr:uid="{00000000-0005-0000-0000-000094030000}"/>
    <cellStyle name="Comma 3 8 2 2 3" xfId="791" xr:uid="{00000000-0005-0000-0000-000095030000}"/>
    <cellStyle name="Comma 3 8 2 2 3 2" xfId="1295" xr:uid="{00000000-0005-0000-0000-000096030000}"/>
    <cellStyle name="Comma 3 8 2 2 3 2 2" xfId="2297" xr:uid="{00000000-0005-0000-0000-000097030000}"/>
    <cellStyle name="Comma 3 8 2 2 3 3" xfId="1796" xr:uid="{00000000-0005-0000-0000-000098030000}"/>
    <cellStyle name="Comma 3 8 2 2 4" xfId="1047" xr:uid="{00000000-0005-0000-0000-000099030000}"/>
    <cellStyle name="Comma 3 8 2 2 4 2" xfId="2049" xr:uid="{00000000-0005-0000-0000-00009A030000}"/>
    <cellStyle name="Comma 3 8 2 2 5" xfId="1548" xr:uid="{00000000-0005-0000-0000-00009B030000}"/>
    <cellStyle name="Comma 3 8 2 3" xfId="618" xr:uid="{00000000-0005-0000-0000-00009C030000}"/>
    <cellStyle name="Comma 3 8 2 3 2" xfId="866" xr:uid="{00000000-0005-0000-0000-00009D030000}"/>
    <cellStyle name="Comma 3 8 2 3 2 2" xfId="1370" xr:uid="{00000000-0005-0000-0000-00009E030000}"/>
    <cellStyle name="Comma 3 8 2 3 2 2 2" xfId="2372" xr:uid="{00000000-0005-0000-0000-00009F030000}"/>
    <cellStyle name="Comma 3 8 2 3 2 3" xfId="1871" xr:uid="{00000000-0005-0000-0000-0000A0030000}"/>
    <cellStyle name="Comma 3 8 2 3 3" xfId="1122" xr:uid="{00000000-0005-0000-0000-0000A1030000}"/>
    <cellStyle name="Comma 3 8 2 3 3 2" xfId="2124" xr:uid="{00000000-0005-0000-0000-0000A2030000}"/>
    <cellStyle name="Comma 3 8 2 3 4" xfId="1623" xr:uid="{00000000-0005-0000-0000-0000A3030000}"/>
    <cellStyle name="Comma 3 8 2 4" xfId="742" xr:uid="{00000000-0005-0000-0000-0000A4030000}"/>
    <cellStyle name="Comma 3 8 2 4 2" xfId="1246" xr:uid="{00000000-0005-0000-0000-0000A5030000}"/>
    <cellStyle name="Comma 3 8 2 4 2 2" xfId="2248" xr:uid="{00000000-0005-0000-0000-0000A6030000}"/>
    <cellStyle name="Comma 3 8 2 4 3" xfId="1747" xr:uid="{00000000-0005-0000-0000-0000A7030000}"/>
    <cellStyle name="Comma 3 8 2 5" xfId="998" xr:uid="{00000000-0005-0000-0000-0000A8030000}"/>
    <cellStyle name="Comma 3 8 2 5 2" xfId="2000" xr:uid="{00000000-0005-0000-0000-0000A9030000}"/>
    <cellStyle name="Comma 3 8 2 6" xfId="1499" xr:uid="{00000000-0005-0000-0000-0000AA030000}"/>
    <cellStyle name="Comma 3 8 3" xfId="514" xr:uid="{00000000-0005-0000-0000-0000AB030000}"/>
    <cellStyle name="Comma 3 8 3 2" xfId="544" xr:uid="{00000000-0005-0000-0000-0000AC030000}"/>
    <cellStyle name="Comma 3 8 3 2 2" xfId="668" xr:uid="{00000000-0005-0000-0000-0000AD030000}"/>
    <cellStyle name="Comma 3 8 3 2 2 2" xfId="916" xr:uid="{00000000-0005-0000-0000-0000AE030000}"/>
    <cellStyle name="Comma 3 8 3 2 2 2 2" xfId="1420" xr:uid="{00000000-0005-0000-0000-0000AF030000}"/>
    <cellStyle name="Comma 3 8 3 2 2 2 2 2" xfId="2422" xr:uid="{00000000-0005-0000-0000-0000B0030000}"/>
    <cellStyle name="Comma 3 8 3 2 2 2 3" xfId="1921" xr:uid="{00000000-0005-0000-0000-0000B1030000}"/>
    <cellStyle name="Comma 3 8 3 2 2 3" xfId="1172" xr:uid="{00000000-0005-0000-0000-0000B2030000}"/>
    <cellStyle name="Comma 3 8 3 2 2 3 2" xfId="2174" xr:uid="{00000000-0005-0000-0000-0000B3030000}"/>
    <cellStyle name="Comma 3 8 3 2 2 4" xfId="1673" xr:uid="{00000000-0005-0000-0000-0000B4030000}"/>
    <cellStyle name="Comma 3 8 3 2 3" xfId="792" xr:uid="{00000000-0005-0000-0000-0000B5030000}"/>
    <cellStyle name="Comma 3 8 3 2 3 2" xfId="1296" xr:uid="{00000000-0005-0000-0000-0000B6030000}"/>
    <cellStyle name="Comma 3 8 3 2 3 2 2" xfId="2298" xr:uid="{00000000-0005-0000-0000-0000B7030000}"/>
    <cellStyle name="Comma 3 8 3 2 3 3" xfId="1797" xr:uid="{00000000-0005-0000-0000-0000B8030000}"/>
    <cellStyle name="Comma 3 8 3 2 4" xfId="1048" xr:uid="{00000000-0005-0000-0000-0000B9030000}"/>
    <cellStyle name="Comma 3 8 3 2 4 2" xfId="2050" xr:uid="{00000000-0005-0000-0000-0000BA030000}"/>
    <cellStyle name="Comma 3 8 3 2 5" xfId="1549" xr:uid="{00000000-0005-0000-0000-0000BB030000}"/>
    <cellStyle name="Comma 3 8 3 3" xfId="638" xr:uid="{00000000-0005-0000-0000-0000BC030000}"/>
    <cellStyle name="Comma 3 8 3 3 2" xfId="886" xr:uid="{00000000-0005-0000-0000-0000BD030000}"/>
    <cellStyle name="Comma 3 8 3 3 2 2" xfId="1390" xr:uid="{00000000-0005-0000-0000-0000BE030000}"/>
    <cellStyle name="Comma 3 8 3 3 2 2 2" xfId="2392" xr:uid="{00000000-0005-0000-0000-0000BF030000}"/>
    <cellStyle name="Comma 3 8 3 3 2 3" xfId="1891" xr:uid="{00000000-0005-0000-0000-0000C0030000}"/>
    <cellStyle name="Comma 3 8 3 3 3" xfId="1142" xr:uid="{00000000-0005-0000-0000-0000C1030000}"/>
    <cellStyle name="Comma 3 8 3 3 3 2" xfId="2144" xr:uid="{00000000-0005-0000-0000-0000C2030000}"/>
    <cellStyle name="Comma 3 8 3 3 4" xfId="1643" xr:uid="{00000000-0005-0000-0000-0000C3030000}"/>
    <cellStyle name="Comma 3 8 3 4" xfId="762" xr:uid="{00000000-0005-0000-0000-0000C4030000}"/>
    <cellStyle name="Comma 3 8 3 4 2" xfId="1266" xr:uid="{00000000-0005-0000-0000-0000C5030000}"/>
    <cellStyle name="Comma 3 8 3 4 2 2" xfId="2268" xr:uid="{00000000-0005-0000-0000-0000C6030000}"/>
    <cellStyle name="Comma 3 8 3 4 3" xfId="1767" xr:uid="{00000000-0005-0000-0000-0000C7030000}"/>
    <cellStyle name="Comma 3 8 3 5" xfId="1018" xr:uid="{00000000-0005-0000-0000-0000C8030000}"/>
    <cellStyle name="Comma 3 8 3 5 2" xfId="2020" xr:uid="{00000000-0005-0000-0000-0000C9030000}"/>
    <cellStyle name="Comma 3 8 3 6" xfId="1519" xr:uid="{00000000-0005-0000-0000-0000CA030000}"/>
    <cellStyle name="Comma 3 8 4" xfId="542" xr:uid="{00000000-0005-0000-0000-0000CB030000}"/>
    <cellStyle name="Comma 3 8 4 2" xfId="666" xr:uid="{00000000-0005-0000-0000-0000CC030000}"/>
    <cellStyle name="Comma 3 8 4 2 2" xfId="914" xr:uid="{00000000-0005-0000-0000-0000CD030000}"/>
    <cellStyle name="Comma 3 8 4 2 2 2" xfId="1418" xr:uid="{00000000-0005-0000-0000-0000CE030000}"/>
    <cellStyle name="Comma 3 8 4 2 2 2 2" xfId="2420" xr:uid="{00000000-0005-0000-0000-0000CF030000}"/>
    <cellStyle name="Comma 3 8 4 2 2 3" xfId="1919" xr:uid="{00000000-0005-0000-0000-0000D0030000}"/>
    <cellStyle name="Comma 3 8 4 2 3" xfId="1170" xr:uid="{00000000-0005-0000-0000-0000D1030000}"/>
    <cellStyle name="Comma 3 8 4 2 3 2" xfId="2172" xr:uid="{00000000-0005-0000-0000-0000D2030000}"/>
    <cellStyle name="Comma 3 8 4 2 4" xfId="1671" xr:uid="{00000000-0005-0000-0000-0000D3030000}"/>
    <cellStyle name="Comma 3 8 4 3" xfId="790" xr:uid="{00000000-0005-0000-0000-0000D4030000}"/>
    <cellStyle name="Comma 3 8 4 3 2" xfId="1294" xr:uid="{00000000-0005-0000-0000-0000D5030000}"/>
    <cellStyle name="Comma 3 8 4 3 2 2" xfId="2296" xr:uid="{00000000-0005-0000-0000-0000D6030000}"/>
    <cellStyle name="Comma 3 8 4 3 3" xfId="1795" xr:uid="{00000000-0005-0000-0000-0000D7030000}"/>
    <cellStyle name="Comma 3 8 4 4" xfId="1046" xr:uid="{00000000-0005-0000-0000-0000D8030000}"/>
    <cellStyle name="Comma 3 8 4 4 2" xfId="2048" xr:uid="{00000000-0005-0000-0000-0000D9030000}"/>
    <cellStyle name="Comma 3 8 4 5" xfId="1547" xr:uid="{00000000-0005-0000-0000-0000DA030000}"/>
    <cellStyle name="Comma 3 8 5" xfId="596" xr:uid="{00000000-0005-0000-0000-0000DB030000}"/>
    <cellStyle name="Comma 3 8 5 2" xfId="844" xr:uid="{00000000-0005-0000-0000-0000DC030000}"/>
    <cellStyle name="Comma 3 8 5 2 2" xfId="1348" xr:uid="{00000000-0005-0000-0000-0000DD030000}"/>
    <cellStyle name="Comma 3 8 5 2 2 2" xfId="2350" xr:uid="{00000000-0005-0000-0000-0000DE030000}"/>
    <cellStyle name="Comma 3 8 5 2 3" xfId="1849" xr:uid="{00000000-0005-0000-0000-0000DF030000}"/>
    <cellStyle name="Comma 3 8 5 3" xfId="1100" xr:uid="{00000000-0005-0000-0000-0000E0030000}"/>
    <cellStyle name="Comma 3 8 5 3 2" xfId="2102" xr:uid="{00000000-0005-0000-0000-0000E1030000}"/>
    <cellStyle name="Comma 3 8 5 4" xfId="1601" xr:uid="{00000000-0005-0000-0000-0000E2030000}"/>
    <cellStyle name="Comma 3 8 6" xfId="720" xr:uid="{00000000-0005-0000-0000-0000E3030000}"/>
    <cellStyle name="Comma 3 8 6 2" xfId="1224" xr:uid="{00000000-0005-0000-0000-0000E4030000}"/>
    <cellStyle name="Comma 3 8 6 2 2" xfId="2226" xr:uid="{00000000-0005-0000-0000-0000E5030000}"/>
    <cellStyle name="Comma 3 8 6 3" xfId="1725" xr:uid="{00000000-0005-0000-0000-0000E6030000}"/>
    <cellStyle name="Comma 3 8 7" xfId="976" xr:uid="{00000000-0005-0000-0000-0000E7030000}"/>
    <cellStyle name="Comma 3 8 7 2" xfId="1978" xr:uid="{00000000-0005-0000-0000-0000E8030000}"/>
    <cellStyle name="Comma 3 8 8" xfId="1477" xr:uid="{00000000-0005-0000-0000-0000E9030000}"/>
    <cellStyle name="Comma 3 9" xfId="466" xr:uid="{00000000-0005-0000-0000-0000EA030000}"/>
    <cellStyle name="Comma 3 9 2" xfId="496" xr:uid="{00000000-0005-0000-0000-0000EB030000}"/>
    <cellStyle name="Comma 3 9 2 2" xfId="546" xr:uid="{00000000-0005-0000-0000-0000EC030000}"/>
    <cellStyle name="Comma 3 9 2 2 2" xfId="670" xr:uid="{00000000-0005-0000-0000-0000ED030000}"/>
    <cellStyle name="Comma 3 9 2 2 2 2" xfId="918" xr:uid="{00000000-0005-0000-0000-0000EE030000}"/>
    <cellStyle name="Comma 3 9 2 2 2 2 2" xfId="1422" xr:uid="{00000000-0005-0000-0000-0000EF030000}"/>
    <cellStyle name="Comma 3 9 2 2 2 2 2 2" xfId="2424" xr:uid="{00000000-0005-0000-0000-0000F0030000}"/>
    <cellStyle name="Comma 3 9 2 2 2 2 3" xfId="1923" xr:uid="{00000000-0005-0000-0000-0000F1030000}"/>
    <cellStyle name="Comma 3 9 2 2 2 3" xfId="1174" xr:uid="{00000000-0005-0000-0000-0000F2030000}"/>
    <cellStyle name="Comma 3 9 2 2 2 3 2" xfId="2176" xr:uid="{00000000-0005-0000-0000-0000F3030000}"/>
    <cellStyle name="Comma 3 9 2 2 2 4" xfId="1675" xr:uid="{00000000-0005-0000-0000-0000F4030000}"/>
    <cellStyle name="Comma 3 9 2 2 3" xfId="794" xr:uid="{00000000-0005-0000-0000-0000F5030000}"/>
    <cellStyle name="Comma 3 9 2 2 3 2" xfId="1298" xr:uid="{00000000-0005-0000-0000-0000F6030000}"/>
    <cellStyle name="Comma 3 9 2 2 3 2 2" xfId="2300" xr:uid="{00000000-0005-0000-0000-0000F7030000}"/>
    <cellStyle name="Comma 3 9 2 2 3 3" xfId="1799" xr:uid="{00000000-0005-0000-0000-0000F8030000}"/>
    <cellStyle name="Comma 3 9 2 2 4" xfId="1050" xr:uid="{00000000-0005-0000-0000-0000F9030000}"/>
    <cellStyle name="Comma 3 9 2 2 4 2" xfId="2052" xr:uid="{00000000-0005-0000-0000-0000FA030000}"/>
    <cellStyle name="Comma 3 9 2 2 5" xfId="1551" xr:uid="{00000000-0005-0000-0000-0000FB030000}"/>
    <cellStyle name="Comma 3 9 2 3" xfId="620" xr:uid="{00000000-0005-0000-0000-0000FC030000}"/>
    <cellStyle name="Comma 3 9 2 3 2" xfId="868" xr:uid="{00000000-0005-0000-0000-0000FD030000}"/>
    <cellStyle name="Comma 3 9 2 3 2 2" xfId="1372" xr:uid="{00000000-0005-0000-0000-0000FE030000}"/>
    <cellStyle name="Comma 3 9 2 3 2 2 2" xfId="2374" xr:uid="{00000000-0005-0000-0000-0000FF030000}"/>
    <cellStyle name="Comma 3 9 2 3 2 3" xfId="1873" xr:uid="{00000000-0005-0000-0000-000000040000}"/>
    <cellStyle name="Comma 3 9 2 3 3" xfId="1124" xr:uid="{00000000-0005-0000-0000-000001040000}"/>
    <cellStyle name="Comma 3 9 2 3 3 2" xfId="2126" xr:uid="{00000000-0005-0000-0000-000002040000}"/>
    <cellStyle name="Comma 3 9 2 3 4" xfId="1625" xr:uid="{00000000-0005-0000-0000-000003040000}"/>
    <cellStyle name="Comma 3 9 2 4" xfId="744" xr:uid="{00000000-0005-0000-0000-000004040000}"/>
    <cellStyle name="Comma 3 9 2 4 2" xfId="1248" xr:uid="{00000000-0005-0000-0000-000005040000}"/>
    <cellStyle name="Comma 3 9 2 4 2 2" xfId="2250" xr:uid="{00000000-0005-0000-0000-000006040000}"/>
    <cellStyle name="Comma 3 9 2 4 3" xfId="1749" xr:uid="{00000000-0005-0000-0000-000007040000}"/>
    <cellStyle name="Comma 3 9 2 5" xfId="1000" xr:uid="{00000000-0005-0000-0000-000008040000}"/>
    <cellStyle name="Comma 3 9 2 5 2" xfId="2002" xr:uid="{00000000-0005-0000-0000-000009040000}"/>
    <cellStyle name="Comma 3 9 2 6" xfId="1501" xr:uid="{00000000-0005-0000-0000-00000A040000}"/>
    <cellStyle name="Comma 3 9 3" xfId="516" xr:uid="{00000000-0005-0000-0000-00000B040000}"/>
    <cellStyle name="Comma 3 9 3 2" xfId="547" xr:uid="{00000000-0005-0000-0000-00000C040000}"/>
    <cellStyle name="Comma 3 9 3 2 2" xfId="671" xr:uid="{00000000-0005-0000-0000-00000D040000}"/>
    <cellStyle name="Comma 3 9 3 2 2 2" xfId="919" xr:uid="{00000000-0005-0000-0000-00000E040000}"/>
    <cellStyle name="Comma 3 9 3 2 2 2 2" xfId="1423" xr:uid="{00000000-0005-0000-0000-00000F040000}"/>
    <cellStyle name="Comma 3 9 3 2 2 2 2 2" xfId="2425" xr:uid="{00000000-0005-0000-0000-000010040000}"/>
    <cellStyle name="Comma 3 9 3 2 2 2 3" xfId="1924" xr:uid="{00000000-0005-0000-0000-000011040000}"/>
    <cellStyle name="Comma 3 9 3 2 2 3" xfId="1175" xr:uid="{00000000-0005-0000-0000-000012040000}"/>
    <cellStyle name="Comma 3 9 3 2 2 3 2" xfId="2177" xr:uid="{00000000-0005-0000-0000-000013040000}"/>
    <cellStyle name="Comma 3 9 3 2 2 4" xfId="1676" xr:uid="{00000000-0005-0000-0000-000014040000}"/>
    <cellStyle name="Comma 3 9 3 2 3" xfId="795" xr:uid="{00000000-0005-0000-0000-000015040000}"/>
    <cellStyle name="Comma 3 9 3 2 3 2" xfId="1299" xr:uid="{00000000-0005-0000-0000-000016040000}"/>
    <cellStyle name="Comma 3 9 3 2 3 2 2" xfId="2301" xr:uid="{00000000-0005-0000-0000-000017040000}"/>
    <cellStyle name="Comma 3 9 3 2 3 3" xfId="1800" xr:uid="{00000000-0005-0000-0000-000018040000}"/>
    <cellStyle name="Comma 3 9 3 2 4" xfId="1051" xr:uid="{00000000-0005-0000-0000-000019040000}"/>
    <cellStyle name="Comma 3 9 3 2 4 2" xfId="2053" xr:uid="{00000000-0005-0000-0000-00001A040000}"/>
    <cellStyle name="Comma 3 9 3 2 5" xfId="1552" xr:uid="{00000000-0005-0000-0000-00001B040000}"/>
    <cellStyle name="Comma 3 9 3 3" xfId="640" xr:uid="{00000000-0005-0000-0000-00001C040000}"/>
    <cellStyle name="Comma 3 9 3 3 2" xfId="888" xr:uid="{00000000-0005-0000-0000-00001D040000}"/>
    <cellStyle name="Comma 3 9 3 3 2 2" xfId="1392" xr:uid="{00000000-0005-0000-0000-00001E040000}"/>
    <cellStyle name="Comma 3 9 3 3 2 2 2" xfId="2394" xr:uid="{00000000-0005-0000-0000-00001F040000}"/>
    <cellStyle name="Comma 3 9 3 3 2 3" xfId="1893" xr:uid="{00000000-0005-0000-0000-000020040000}"/>
    <cellStyle name="Comma 3 9 3 3 3" xfId="1144" xr:uid="{00000000-0005-0000-0000-000021040000}"/>
    <cellStyle name="Comma 3 9 3 3 3 2" xfId="2146" xr:uid="{00000000-0005-0000-0000-000022040000}"/>
    <cellStyle name="Comma 3 9 3 3 4" xfId="1645" xr:uid="{00000000-0005-0000-0000-000023040000}"/>
    <cellStyle name="Comma 3 9 3 4" xfId="764" xr:uid="{00000000-0005-0000-0000-000024040000}"/>
    <cellStyle name="Comma 3 9 3 4 2" xfId="1268" xr:uid="{00000000-0005-0000-0000-000025040000}"/>
    <cellStyle name="Comma 3 9 3 4 2 2" xfId="2270" xr:uid="{00000000-0005-0000-0000-000026040000}"/>
    <cellStyle name="Comma 3 9 3 4 3" xfId="1769" xr:uid="{00000000-0005-0000-0000-000027040000}"/>
    <cellStyle name="Comma 3 9 3 5" xfId="1020" xr:uid="{00000000-0005-0000-0000-000028040000}"/>
    <cellStyle name="Comma 3 9 3 5 2" xfId="2022" xr:uid="{00000000-0005-0000-0000-000029040000}"/>
    <cellStyle name="Comma 3 9 3 6" xfId="1521" xr:uid="{00000000-0005-0000-0000-00002A040000}"/>
    <cellStyle name="Comma 3 9 4" xfId="545" xr:uid="{00000000-0005-0000-0000-00002B040000}"/>
    <cellStyle name="Comma 3 9 4 2" xfId="669" xr:uid="{00000000-0005-0000-0000-00002C040000}"/>
    <cellStyle name="Comma 3 9 4 2 2" xfId="917" xr:uid="{00000000-0005-0000-0000-00002D040000}"/>
    <cellStyle name="Comma 3 9 4 2 2 2" xfId="1421" xr:uid="{00000000-0005-0000-0000-00002E040000}"/>
    <cellStyle name="Comma 3 9 4 2 2 2 2" xfId="2423" xr:uid="{00000000-0005-0000-0000-00002F040000}"/>
    <cellStyle name="Comma 3 9 4 2 2 3" xfId="1922" xr:uid="{00000000-0005-0000-0000-000030040000}"/>
    <cellStyle name="Comma 3 9 4 2 3" xfId="1173" xr:uid="{00000000-0005-0000-0000-000031040000}"/>
    <cellStyle name="Comma 3 9 4 2 3 2" xfId="2175" xr:uid="{00000000-0005-0000-0000-000032040000}"/>
    <cellStyle name="Comma 3 9 4 2 4" xfId="1674" xr:uid="{00000000-0005-0000-0000-000033040000}"/>
    <cellStyle name="Comma 3 9 4 3" xfId="793" xr:uid="{00000000-0005-0000-0000-000034040000}"/>
    <cellStyle name="Comma 3 9 4 3 2" xfId="1297" xr:uid="{00000000-0005-0000-0000-000035040000}"/>
    <cellStyle name="Comma 3 9 4 3 2 2" xfId="2299" xr:uid="{00000000-0005-0000-0000-000036040000}"/>
    <cellStyle name="Comma 3 9 4 3 3" xfId="1798" xr:uid="{00000000-0005-0000-0000-000037040000}"/>
    <cellStyle name="Comma 3 9 4 4" xfId="1049" xr:uid="{00000000-0005-0000-0000-000038040000}"/>
    <cellStyle name="Comma 3 9 4 4 2" xfId="2051" xr:uid="{00000000-0005-0000-0000-000039040000}"/>
    <cellStyle name="Comma 3 9 4 5" xfId="1550" xr:uid="{00000000-0005-0000-0000-00003A040000}"/>
    <cellStyle name="Comma 3 9 5" xfId="598" xr:uid="{00000000-0005-0000-0000-00003B040000}"/>
    <cellStyle name="Comma 3 9 5 2" xfId="846" xr:uid="{00000000-0005-0000-0000-00003C040000}"/>
    <cellStyle name="Comma 3 9 5 2 2" xfId="1350" xr:uid="{00000000-0005-0000-0000-00003D040000}"/>
    <cellStyle name="Comma 3 9 5 2 2 2" xfId="2352" xr:uid="{00000000-0005-0000-0000-00003E040000}"/>
    <cellStyle name="Comma 3 9 5 2 3" xfId="1851" xr:uid="{00000000-0005-0000-0000-00003F040000}"/>
    <cellStyle name="Comma 3 9 5 3" xfId="1102" xr:uid="{00000000-0005-0000-0000-000040040000}"/>
    <cellStyle name="Comma 3 9 5 3 2" xfId="2104" xr:uid="{00000000-0005-0000-0000-000041040000}"/>
    <cellStyle name="Comma 3 9 5 4" xfId="1603" xr:uid="{00000000-0005-0000-0000-000042040000}"/>
    <cellStyle name="Comma 3 9 6" xfId="722" xr:uid="{00000000-0005-0000-0000-000043040000}"/>
    <cellStyle name="Comma 3 9 6 2" xfId="1226" xr:uid="{00000000-0005-0000-0000-000044040000}"/>
    <cellStyle name="Comma 3 9 6 2 2" xfId="2228" xr:uid="{00000000-0005-0000-0000-000045040000}"/>
    <cellStyle name="Comma 3 9 6 3" xfId="1727" xr:uid="{00000000-0005-0000-0000-000046040000}"/>
    <cellStyle name="Comma 3 9 7" xfId="978" xr:uid="{00000000-0005-0000-0000-000047040000}"/>
    <cellStyle name="Comma 3 9 7 2" xfId="1980" xr:uid="{00000000-0005-0000-0000-000048040000}"/>
    <cellStyle name="Comma 3 9 8" xfId="1479" xr:uid="{00000000-0005-0000-0000-000049040000}"/>
    <cellStyle name="Comma 4" xfId="201" xr:uid="{00000000-0005-0000-0000-00004A040000}"/>
    <cellStyle name="Comma 4 2" xfId="6" xr:uid="{00000000-0005-0000-0000-00004B040000}"/>
    <cellStyle name="Comma 4 3" xfId="202" xr:uid="{00000000-0005-0000-0000-00004C040000}"/>
    <cellStyle name="Comma 5" xfId="203" xr:uid="{00000000-0005-0000-0000-00004D040000}"/>
    <cellStyle name="Comma 6" xfId="204" xr:uid="{00000000-0005-0000-0000-00004E040000}"/>
    <cellStyle name="Comma 6 2" xfId="205" xr:uid="{00000000-0005-0000-0000-00004F040000}"/>
    <cellStyle name="Comma 7" xfId="206" xr:uid="{00000000-0005-0000-0000-000050040000}"/>
    <cellStyle name="Comma 7 2" xfId="207" xr:uid="{00000000-0005-0000-0000-000051040000}"/>
    <cellStyle name="Comma 8" xfId="208" xr:uid="{00000000-0005-0000-0000-000052040000}"/>
    <cellStyle name="Comma 8 2" xfId="209" xr:uid="{00000000-0005-0000-0000-000053040000}"/>
    <cellStyle name="Comma 9" xfId="210" xr:uid="{00000000-0005-0000-0000-000054040000}"/>
    <cellStyle name="CommaBlank" xfId="211" xr:uid="{00000000-0005-0000-0000-000055040000}"/>
    <cellStyle name="CommaBlank 2" xfId="212" xr:uid="{00000000-0005-0000-0000-000056040000}"/>
    <cellStyle name="Currency" xfId="457" builtinId="4"/>
    <cellStyle name="Currency 10" xfId="213" xr:uid="{00000000-0005-0000-0000-000058040000}"/>
    <cellStyle name="Currency 10 2" xfId="476" xr:uid="{00000000-0005-0000-0000-000059040000}"/>
    <cellStyle name="Currency 10 2 2" xfId="549" xr:uid="{00000000-0005-0000-0000-00005A040000}"/>
    <cellStyle name="Currency 10 2 2 2" xfId="673" xr:uid="{00000000-0005-0000-0000-00005B040000}"/>
    <cellStyle name="Currency 10 2 2 2 2" xfId="921" xr:uid="{00000000-0005-0000-0000-00005C040000}"/>
    <cellStyle name="Currency 10 2 2 2 2 2" xfId="1425" xr:uid="{00000000-0005-0000-0000-00005D040000}"/>
    <cellStyle name="Currency 10 2 2 2 2 2 2" xfId="2427" xr:uid="{00000000-0005-0000-0000-00005E040000}"/>
    <cellStyle name="Currency 10 2 2 2 2 3" xfId="1926" xr:uid="{00000000-0005-0000-0000-00005F040000}"/>
    <cellStyle name="Currency 10 2 2 2 3" xfId="1177" xr:uid="{00000000-0005-0000-0000-000060040000}"/>
    <cellStyle name="Currency 10 2 2 2 3 2" xfId="2179" xr:uid="{00000000-0005-0000-0000-000061040000}"/>
    <cellStyle name="Currency 10 2 2 2 4" xfId="1678" xr:uid="{00000000-0005-0000-0000-000062040000}"/>
    <cellStyle name="Currency 10 2 2 3" xfId="797" xr:uid="{00000000-0005-0000-0000-000063040000}"/>
    <cellStyle name="Currency 10 2 2 3 2" xfId="1301" xr:uid="{00000000-0005-0000-0000-000064040000}"/>
    <cellStyle name="Currency 10 2 2 3 2 2" xfId="2303" xr:uid="{00000000-0005-0000-0000-000065040000}"/>
    <cellStyle name="Currency 10 2 2 3 3" xfId="1802" xr:uid="{00000000-0005-0000-0000-000066040000}"/>
    <cellStyle name="Currency 10 2 2 4" xfId="1053" xr:uid="{00000000-0005-0000-0000-000067040000}"/>
    <cellStyle name="Currency 10 2 2 4 2" xfId="2055" xr:uid="{00000000-0005-0000-0000-000068040000}"/>
    <cellStyle name="Currency 10 2 2 5" xfId="1554" xr:uid="{00000000-0005-0000-0000-000069040000}"/>
    <cellStyle name="Currency 10 2 3" xfId="606" xr:uid="{00000000-0005-0000-0000-00006A040000}"/>
    <cellStyle name="Currency 10 2 3 2" xfId="854" xr:uid="{00000000-0005-0000-0000-00006B040000}"/>
    <cellStyle name="Currency 10 2 3 2 2" xfId="1358" xr:uid="{00000000-0005-0000-0000-00006C040000}"/>
    <cellStyle name="Currency 10 2 3 2 2 2" xfId="2360" xr:uid="{00000000-0005-0000-0000-00006D040000}"/>
    <cellStyle name="Currency 10 2 3 2 3" xfId="1859" xr:uid="{00000000-0005-0000-0000-00006E040000}"/>
    <cellStyle name="Currency 10 2 3 3" xfId="1110" xr:uid="{00000000-0005-0000-0000-00006F040000}"/>
    <cellStyle name="Currency 10 2 3 3 2" xfId="2112" xr:uid="{00000000-0005-0000-0000-000070040000}"/>
    <cellStyle name="Currency 10 2 3 4" xfId="1611" xr:uid="{00000000-0005-0000-0000-000071040000}"/>
    <cellStyle name="Currency 10 2 4" xfId="730" xr:uid="{00000000-0005-0000-0000-000072040000}"/>
    <cellStyle name="Currency 10 2 4 2" xfId="1234" xr:uid="{00000000-0005-0000-0000-000073040000}"/>
    <cellStyle name="Currency 10 2 4 2 2" xfId="2236" xr:uid="{00000000-0005-0000-0000-000074040000}"/>
    <cellStyle name="Currency 10 2 4 3" xfId="1735" xr:uid="{00000000-0005-0000-0000-000075040000}"/>
    <cellStyle name="Currency 10 2 5" xfId="986" xr:uid="{00000000-0005-0000-0000-000076040000}"/>
    <cellStyle name="Currency 10 2 5 2" xfId="1988" xr:uid="{00000000-0005-0000-0000-000077040000}"/>
    <cellStyle name="Currency 10 2 6" xfId="1487" xr:uid="{00000000-0005-0000-0000-000078040000}"/>
    <cellStyle name="Currency 10 3" xfId="502" xr:uid="{00000000-0005-0000-0000-000079040000}"/>
    <cellStyle name="Currency 10 3 2" xfId="550" xr:uid="{00000000-0005-0000-0000-00007A040000}"/>
    <cellStyle name="Currency 10 3 2 2" xfId="674" xr:uid="{00000000-0005-0000-0000-00007B040000}"/>
    <cellStyle name="Currency 10 3 2 2 2" xfId="922" xr:uid="{00000000-0005-0000-0000-00007C040000}"/>
    <cellStyle name="Currency 10 3 2 2 2 2" xfId="1426" xr:uid="{00000000-0005-0000-0000-00007D040000}"/>
    <cellStyle name="Currency 10 3 2 2 2 2 2" xfId="2428" xr:uid="{00000000-0005-0000-0000-00007E040000}"/>
    <cellStyle name="Currency 10 3 2 2 2 3" xfId="1927" xr:uid="{00000000-0005-0000-0000-00007F040000}"/>
    <cellStyle name="Currency 10 3 2 2 3" xfId="1178" xr:uid="{00000000-0005-0000-0000-000080040000}"/>
    <cellStyle name="Currency 10 3 2 2 3 2" xfId="2180" xr:uid="{00000000-0005-0000-0000-000081040000}"/>
    <cellStyle name="Currency 10 3 2 2 4" xfId="1679" xr:uid="{00000000-0005-0000-0000-000082040000}"/>
    <cellStyle name="Currency 10 3 2 3" xfId="798" xr:uid="{00000000-0005-0000-0000-000083040000}"/>
    <cellStyle name="Currency 10 3 2 3 2" xfId="1302" xr:uid="{00000000-0005-0000-0000-000084040000}"/>
    <cellStyle name="Currency 10 3 2 3 2 2" xfId="2304" xr:uid="{00000000-0005-0000-0000-000085040000}"/>
    <cellStyle name="Currency 10 3 2 3 3" xfId="1803" xr:uid="{00000000-0005-0000-0000-000086040000}"/>
    <cellStyle name="Currency 10 3 2 4" xfId="1054" xr:uid="{00000000-0005-0000-0000-000087040000}"/>
    <cellStyle name="Currency 10 3 2 4 2" xfId="2056" xr:uid="{00000000-0005-0000-0000-000088040000}"/>
    <cellStyle name="Currency 10 3 2 5" xfId="1555" xr:uid="{00000000-0005-0000-0000-000089040000}"/>
    <cellStyle name="Currency 10 3 3" xfId="626" xr:uid="{00000000-0005-0000-0000-00008A040000}"/>
    <cellStyle name="Currency 10 3 3 2" xfId="874" xr:uid="{00000000-0005-0000-0000-00008B040000}"/>
    <cellStyle name="Currency 10 3 3 2 2" xfId="1378" xr:uid="{00000000-0005-0000-0000-00008C040000}"/>
    <cellStyle name="Currency 10 3 3 2 2 2" xfId="2380" xr:uid="{00000000-0005-0000-0000-00008D040000}"/>
    <cellStyle name="Currency 10 3 3 2 3" xfId="1879" xr:uid="{00000000-0005-0000-0000-00008E040000}"/>
    <cellStyle name="Currency 10 3 3 3" xfId="1130" xr:uid="{00000000-0005-0000-0000-00008F040000}"/>
    <cellStyle name="Currency 10 3 3 3 2" xfId="2132" xr:uid="{00000000-0005-0000-0000-000090040000}"/>
    <cellStyle name="Currency 10 3 3 4" xfId="1631" xr:uid="{00000000-0005-0000-0000-000091040000}"/>
    <cellStyle name="Currency 10 3 4" xfId="750" xr:uid="{00000000-0005-0000-0000-000092040000}"/>
    <cellStyle name="Currency 10 3 4 2" xfId="1254" xr:uid="{00000000-0005-0000-0000-000093040000}"/>
    <cellStyle name="Currency 10 3 4 2 2" xfId="2256" xr:uid="{00000000-0005-0000-0000-000094040000}"/>
    <cellStyle name="Currency 10 3 4 3" xfId="1755" xr:uid="{00000000-0005-0000-0000-000095040000}"/>
    <cellStyle name="Currency 10 3 5" xfId="1006" xr:uid="{00000000-0005-0000-0000-000096040000}"/>
    <cellStyle name="Currency 10 3 5 2" xfId="2008" xr:uid="{00000000-0005-0000-0000-000097040000}"/>
    <cellStyle name="Currency 10 3 6" xfId="1507" xr:uid="{00000000-0005-0000-0000-000098040000}"/>
    <cellStyle name="Currency 10 4" xfId="548" xr:uid="{00000000-0005-0000-0000-000099040000}"/>
    <cellStyle name="Currency 10 4 2" xfId="672" xr:uid="{00000000-0005-0000-0000-00009A040000}"/>
    <cellStyle name="Currency 10 4 2 2" xfId="920" xr:uid="{00000000-0005-0000-0000-00009B040000}"/>
    <cellStyle name="Currency 10 4 2 2 2" xfId="1424" xr:uid="{00000000-0005-0000-0000-00009C040000}"/>
    <cellStyle name="Currency 10 4 2 2 2 2" xfId="2426" xr:uid="{00000000-0005-0000-0000-00009D040000}"/>
    <cellStyle name="Currency 10 4 2 2 3" xfId="1925" xr:uid="{00000000-0005-0000-0000-00009E040000}"/>
    <cellStyle name="Currency 10 4 2 3" xfId="1176" xr:uid="{00000000-0005-0000-0000-00009F040000}"/>
    <cellStyle name="Currency 10 4 2 3 2" xfId="2178" xr:uid="{00000000-0005-0000-0000-0000A0040000}"/>
    <cellStyle name="Currency 10 4 2 4" xfId="1677" xr:uid="{00000000-0005-0000-0000-0000A1040000}"/>
    <cellStyle name="Currency 10 4 3" xfId="796" xr:uid="{00000000-0005-0000-0000-0000A2040000}"/>
    <cellStyle name="Currency 10 4 3 2" xfId="1300" xr:uid="{00000000-0005-0000-0000-0000A3040000}"/>
    <cellStyle name="Currency 10 4 3 2 2" xfId="2302" xr:uid="{00000000-0005-0000-0000-0000A4040000}"/>
    <cellStyle name="Currency 10 4 3 3" xfId="1801" xr:uid="{00000000-0005-0000-0000-0000A5040000}"/>
    <cellStyle name="Currency 10 4 4" xfId="1052" xr:uid="{00000000-0005-0000-0000-0000A6040000}"/>
    <cellStyle name="Currency 10 4 4 2" xfId="2054" xr:uid="{00000000-0005-0000-0000-0000A7040000}"/>
    <cellStyle name="Currency 10 4 5" xfId="1553" xr:uid="{00000000-0005-0000-0000-0000A8040000}"/>
    <cellStyle name="Currency 10 5" xfId="584" xr:uid="{00000000-0005-0000-0000-0000A9040000}"/>
    <cellStyle name="Currency 10 5 2" xfId="832" xr:uid="{00000000-0005-0000-0000-0000AA040000}"/>
    <cellStyle name="Currency 10 5 2 2" xfId="1336" xr:uid="{00000000-0005-0000-0000-0000AB040000}"/>
    <cellStyle name="Currency 10 5 2 2 2" xfId="2338" xr:uid="{00000000-0005-0000-0000-0000AC040000}"/>
    <cellStyle name="Currency 10 5 2 3" xfId="1837" xr:uid="{00000000-0005-0000-0000-0000AD040000}"/>
    <cellStyle name="Currency 10 5 3" xfId="1088" xr:uid="{00000000-0005-0000-0000-0000AE040000}"/>
    <cellStyle name="Currency 10 5 3 2" xfId="2090" xr:uid="{00000000-0005-0000-0000-0000AF040000}"/>
    <cellStyle name="Currency 10 5 4" xfId="1589" xr:uid="{00000000-0005-0000-0000-0000B0040000}"/>
    <cellStyle name="Currency 10 6" xfId="708" xr:uid="{00000000-0005-0000-0000-0000B1040000}"/>
    <cellStyle name="Currency 10 6 2" xfId="1212" xr:uid="{00000000-0005-0000-0000-0000B2040000}"/>
    <cellStyle name="Currency 10 6 2 2" xfId="2214" xr:uid="{00000000-0005-0000-0000-0000B3040000}"/>
    <cellStyle name="Currency 10 6 3" xfId="1713" xr:uid="{00000000-0005-0000-0000-0000B4040000}"/>
    <cellStyle name="Currency 10 7" xfId="964" xr:uid="{00000000-0005-0000-0000-0000B5040000}"/>
    <cellStyle name="Currency 10 7 2" xfId="1966" xr:uid="{00000000-0005-0000-0000-0000B6040000}"/>
    <cellStyle name="Currency 10 8" xfId="1465" xr:uid="{00000000-0005-0000-0000-0000B7040000}"/>
    <cellStyle name="Currency 2" xfId="214" xr:uid="{00000000-0005-0000-0000-0000B8040000}"/>
    <cellStyle name="Currency 2 2" xfId="215" xr:uid="{00000000-0005-0000-0000-0000B9040000}"/>
    <cellStyle name="Currency 2 3" xfId="450" xr:uid="{00000000-0005-0000-0000-0000BA040000}"/>
    <cellStyle name="Currency 3" xfId="216" xr:uid="{00000000-0005-0000-0000-0000BB040000}"/>
    <cellStyle name="Currency 3 2" xfId="217" xr:uid="{00000000-0005-0000-0000-0000BC040000}"/>
    <cellStyle name="Currency 3 3" xfId="218" xr:uid="{00000000-0005-0000-0000-0000BD040000}"/>
    <cellStyle name="Currency 3 4" xfId="219" xr:uid="{00000000-0005-0000-0000-0000BE040000}"/>
    <cellStyle name="Currency 3 5" xfId="477" xr:uid="{00000000-0005-0000-0000-0000BF040000}"/>
    <cellStyle name="Currency 4" xfId="220" xr:uid="{00000000-0005-0000-0000-0000C0040000}"/>
    <cellStyle name="Currency 4 2" xfId="221" xr:uid="{00000000-0005-0000-0000-0000C1040000}"/>
    <cellStyle name="Currency 4 3" xfId="222" xr:uid="{00000000-0005-0000-0000-0000C2040000}"/>
    <cellStyle name="Currency 4 4" xfId="223" xr:uid="{00000000-0005-0000-0000-0000C3040000}"/>
    <cellStyle name="Currency 5" xfId="224" xr:uid="{00000000-0005-0000-0000-0000C4040000}"/>
    <cellStyle name="Currency 6" xfId="225" xr:uid="{00000000-0005-0000-0000-0000C5040000}"/>
    <cellStyle name="Currency 7" xfId="226" xr:uid="{00000000-0005-0000-0000-0000C6040000}"/>
    <cellStyle name="Currency 8" xfId="227" xr:uid="{00000000-0005-0000-0000-0000C7040000}"/>
    <cellStyle name="Currency 9" xfId="228" xr:uid="{00000000-0005-0000-0000-0000C8040000}"/>
    <cellStyle name="Explanatory Text 2" xfId="229" xr:uid="{00000000-0005-0000-0000-0000C9040000}"/>
    <cellStyle name="Explanatory Text 3" xfId="230" xr:uid="{00000000-0005-0000-0000-0000CA040000}"/>
    <cellStyle name="Explanatory Text 4" xfId="231" xr:uid="{00000000-0005-0000-0000-0000CB040000}"/>
    <cellStyle name="Explanatory Text 5" xfId="232" xr:uid="{00000000-0005-0000-0000-0000CC040000}"/>
    <cellStyle name="Explanatory Text 6" xfId="233" xr:uid="{00000000-0005-0000-0000-0000CD040000}"/>
    <cellStyle name="Good 2" xfId="234" xr:uid="{00000000-0005-0000-0000-0000CE040000}"/>
    <cellStyle name="Good 3" xfId="235" xr:uid="{00000000-0005-0000-0000-0000CF040000}"/>
    <cellStyle name="Good 4" xfId="236" xr:uid="{00000000-0005-0000-0000-0000D0040000}"/>
    <cellStyle name="Good 5" xfId="237" xr:uid="{00000000-0005-0000-0000-0000D1040000}"/>
    <cellStyle name="Good 6" xfId="238" xr:uid="{00000000-0005-0000-0000-0000D2040000}"/>
    <cellStyle name="Heading 1 2" xfId="239" xr:uid="{00000000-0005-0000-0000-0000D3040000}"/>
    <cellStyle name="Heading 1 3" xfId="240" xr:uid="{00000000-0005-0000-0000-0000D4040000}"/>
    <cellStyle name="Heading 1 4" xfId="241" xr:uid="{00000000-0005-0000-0000-0000D5040000}"/>
    <cellStyle name="Heading 1 5" xfId="242" xr:uid="{00000000-0005-0000-0000-0000D6040000}"/>
    <cellStyle name="Heading 1 6" xfId="243" xr:uid="{00000000-0005-0000-0000-0000D7040000}"/>
    <cellStyle name="Heading 1 7" xfId="244" xr:uid="{00000000-0005-0000-0000-0000D8040000}"/>
    <cellStyle name="Heading 1 8" xfId="245" xr:uid="{00000000-0005-0000-0000-0000D9040000}"/>
    <cellStyle name="Heading 2 2" xfId="246" xr:uid="{00000000-0005-0000-0000-0000DA040000}"/>
    <cellStyle name="Heading 2 3" xfId="247" xr:uid="{00000000-0005-0000-0000-0000DB040000}"/>
    <cellStyle name="Heading 2 4" xfId="248" xr:uid="{00000000-0005-0000-0000-0000DC040000}"/>
    <cellStyle name="Heading 2 5" xfId="249" xr:uid="{00000000-0005-0000-0000-0000DD040000}"/>
    <cellStyle name="Heading 2 6" xfId="250" xr:uid="{00000000-0005-0000-0000-0000DE040000}"/>
    <cellStyle name="Heading 2 7" xfId="251" xr:uid="{00000000-0005-0000-0000-0000DF040000}"/>
    <cellStyle name="Heading 2 8" xfId="252" xr:uid="{00000000-0005-0000-0000-0000E0040000}"/>
    <cellStyle name="Heading 3 2" xfId="253" xr:uid="{00000000-0005-0000-0000-0000E1040000}"/>
    <cellStyle name="Heading 3 3" xfId="254" xr:uid="{00000000-0005-0000-0000-0000E2040000}"/>
    <cellStyle name="Heading 3 4" xfId="255" xr:uid="{00000000-0005-0000-0000-0000E3040000}"/>
    <cellStyle name="Heading 3 5" xfId="256" xr:uid="{00000000-0005-0000-0000-0000E4040000}"/>
    <cellStyle name="Heading 3 6" xfId="257" xr:uid="{00000000-0005-0000-0000-0000E5040000}"/>
    <cellStyle name="Heading 3 7" xfId="258" xr:uid="{00000000-0005-0000-0000-0000E6040000}"/>
    <cellStyle name="Heading 3 8" xfId="259" xr:uid="{00000000-0005-0000-0000-0000E7040000}"/>
    <cellStyle name="Heading 4 2" xfId="260" xr:uid="{00000000-0005-0000-0000-0000E8040000}"/>
    <cellStyle name="Heading 4 3" xfId="261" xr:uid="{00000000-0005-0000-0000-0000E9040000}"/>
    <cellStyle name="Heading 4 4" xfId="262" xr:uid="{00000000-0005-0000-0000-0000EA040000}"/>
    <cellStyle name="Heading 4 5" xfId="263" xr:uid="{00000000-0005-0000-0000-0000EB040000}"/>
    <cellStyle name="Heading 4 6" xfId="264" xr:uid="{00000000-0005-0000-0000-0000EC040000}"/>
    <cellStyle name="Heading 4 7" xfId="265" xr:uid="{00000000-0005-0000-0000-0000ED040000}"/>
    <cellStyle name="Heading 4 8" xfId="266" xr:uid="{00000000-0005-0000-0000-0000EE040000}"/>
    <cellStyle name="Input 2" xfId="267" xr:uid="{00000000-0005-0000-0000-0000EF040000}"/>
    <cellStyle name="Input 3" xfId="268" xr:uid="{00000000-0005-0000-0000-0000F0040000}"/>
    <cellStyle name="Input 4" xfId="269" xr:uid="{00000000-0005-0000-0000-0000F1040000}"/>
    <cellStyle name="Input 5" xfId="270" xr:uid="{00000000-0005-0000-0000-0000F2040000}"/>
    <cellStyle name="Input 6" xfId="271" xr:uid="{00000000-0005-0000-0000-0000F3040000}"/>
    <cellStyle name="kirkdollars" xfId="272" xr:uid="{00000000-0005-0000-0000-0000F4040000}"/>
    <cellStyle name="Lines" xfId="959" xr:uid="{00000000-0005-0000-0000-0000F5040000}"/>
    <cellStyle name="Linked Cell 2" xfId="273" xr:uid="{00000000-0005-0000-0000-0000F6040000}"/>
    <cellStyle name="Linked Cell 3" xfId="274" xr:uid="{00000000-0005-0000-0000-0000F7040000}"/>
    <cellStyle name="Linked Cell 4" xfId="275" xr:uid="{00000000-0005-0000-0000-0000F8040000}"/>
    <cellStyle name="Linked Cell 5" xfId="276" xr:uid="{00000000-0005-0000-0000-0000F9040000}"/>
    <cellStyle name="Linked Cell 6" xfId="277" xr:uid="{00000000-0005-0000-0000-0000FA040000}"/>
    <cellStyle name="Neutral 2" xfId="278" xr:uid="{00000000-0005-0000-0000-0000FB040000}"/>
    <cellStyle name="Neutral 3" xfId="279" xr:uid="{00000000-0005-0000-0000-0000FC040000}"/>
    <cellStyle name="Neutral 4" xfId="280" xr:uid="{00000000-0005-0000-0000-0000FD040000}"/>
    <cellStyle name="Neutral 5" xfId="281" xr:uid="{00000000-0005-0000-0000-0000FE040000}"/>
    <cellStyle name="Neutral 6" xfId="282" xr:uid="{00000000-0005-0000-0000-0000FF040000}"/>
    <cellStyle name="Normal" xfId="0" builtinId="0"/>
    <cellStyle name="Normal 10" xfId="283" xr:uid="{00000000-0005-0000-0000-000001050000}"/>
    <cellStyle name="Normal 10 2 2 2" xfId="2468" xr:uid="{0BBAC599-E6A7-4ED3-9512-3236BF6FA68B}"/>
    <cellStyle name="Normal 102" xfId="2465" xr:uid="{00000000-0005-0000-0000-000002050000}"/>
    <cellStyle name="Normal 11" xfId="284" xr:uid="{00000000-0005-0000-0000-000003050000}"/>
    <cellStyle name="Normal 12" xfId="285" xr:uid="{00000000-0005-0000-0000-000004050000}"/>
    <cellStyle name="Normal 129" xfId="2466" xr:uid="{BF459568-3398-4F59-B917-0EFCA32B5525}"/>
    <cellStyle name="Normal 13" xfId="286" xr:uid="{00000000-0005-0000-0000-000005050000}"/>
    <cellStyle name="Normal 132" xfId="961" xr:uid="{00000000-0005-0000-0000-000006050000}"/>
    <cellStyle name="Normal 14" xfId="287" xr:uid="{00000000-0005-0000-0000-000007050000}"/>
    <cellStyle name="Normal 15" xfId="288" xr:uid="{00000000-0005-0000-0000-000008050000}"/>
    <cellStyle name="Normal 15 2" xfId="478" xr:uid="{00000000-0005-0000-0000-000009050000}"/>
    <cellStyle name="Normal 15 2 2" xfId="552" xr:uid="{00000000-0005-0000-0000-00000A050000}"/>
    <cellStyle name="Normal 15 2 2 2" xfId="676" xr:uid="{00000000-0005-0000-0000-00000B050000}"/>
    <cellStyle name="Normal 15 2 2 2 2" xfId="924" xr:uid="{00000000-0005-0000-0000-00000C050000}"/>
    <cellStyle name="Normal 15 2 2 2 2 2" xfId="1428" xr:uid="{00000000-0005-0000-0000-00000D050000}"/>
    <cellStyle name="Normal 15 2 2 2 2 2 2" xfId="2430" xr:uid="{00000000-0005-0000-0000-00000E050000}"/>
    <cellStyle name="Normal 15 2 2 2 2 3" xfId="1929" xr:uid="{00000000-0005-0000-0000-00000F050000}"/>
    <cellStyle name="Normal 15 2 2 2 3" xfId="1180" xr:uid="{00000000-0005-0000-0000-000010050000}"/>
    <cellStyle name="Normal 15 2 2 2 3 2" xfId="2182" xr:uid="{00000000-0005-0000-0000-000011050000}"/>
    <cellStyle name="Normal 15 2 2 2 4" xfId="1681" xr:uid="{00000000-0005-0000-0000-000012050000}"/>
    <cellStyle name="Normal 15 2 2 3" xfId="800" xr:uid="{00000000-0005-0000-0000-000013050000}"/>
    <cellStyle name="Normal 15 2 2 3 2" xfId="1304" xr:uid="{00000000-0005-0000-0000-000014050000}"/>
    <cellStyle name="Normal 15 2 2 3 2 2" xfId="2306" xr:uid="{00000000-0005-0000-0000-000015050000}"/>
    <cellStyle name="Normal 15 2 2 3 3" xfId="1805" xr:uid="{00000000-0005-0000-0000-000016050000}"/>
    <cellStyle name="Normal 15 2 2 4" xfId="1056" xr:uid="{00000000-0005-0000-0000-000017050000}"/>
    <cellStyle name="Normal 15 2 2 4 2" xfId="2058" xr:uid="{00000000-0005-0000-0000-000018050000}"/>
    <cellStyle name="Normal 15 2 2 5" xfId="1557" xr:uid="{00000000-0005-0000-0000-000019050000}"/>
    <cellStyle name="Normal 15 2 3" xfId="607" xr:uid="{00000000-0005-0000-0000-00001A050000}"/>
    <cellStyle name="Normal 15 2 3 2" xfId="855" xr:uid="{00000000-0005-0000-0000-00001B050000}"/>
    <cellStyle name="Normal 15 2 3 2 2" xfId="1359" xr:uid="{00000000-0005-0000-0000-00001C050000}"/>
    <cellStyle name="Normal 15 2 3 2 2 2" xfId="2361" xr:uid="{00000000-0005-0000-0000-00001D050000}"/>
    <cellStyle name="Normal 15 2 3 2 3" xfId="1860" xr:uid="{00000000-0005-0000-0000-00001E050000}"/>
    <cellStyle name="Normal 15 2 3 3" xfId="1111" xr:uid="{00000000-0005-0000-0000-00001F050000}"/>
    <cellStyle name="Normal 15 2 3 3 2" xfId="2113" xr:uid="{00000000-0005-0000-0000-000020050000}"/>
    <cellStyle name="Normal 15 2 3 4" xfId="1612" xr:uid="{00000000-0005-0000-0000-000021050000}"/>
    <cellStyle name="Normal 15 2 4" xfId="731" xr:uid="{00000000-0005-0000-0000-000022050000}"/>
    <cellStyle name="Normal 15 2 4 2" xfId="1235" xr:uid="{00000000-0005-0000-0000-000023050000}"/>
    <cellStyle name="Normal 15 2 4 2 2" xfId="2237" xr:uid="{00000000-0005-0000-0000-000024050000}"/>
    <cellStyle name="Normal 15 2 4 3" xfId="1736" xr:uid="{00000000-0005-0000-0000-000025050000}"/>
    <cellStyle name="Normal 15 2 5" xfId="987" xr:uid="{00000000-0005-0000-0000-000026050000}"/>
    <cellStyle name="Normal 15 2 5 2" xfId="1989" xr:uid="{00000000-0005-0000-0000-000027050000}"/>
    <cellStyle name="Normal 15 2 6" xfId="1488" xr:uid="{00000000-0005-0000-0000-000028050000}"/>
    <cellStyle name="Normal 15 3" xfId="503" xr:uid="{00000000-0005-0000-0000-000029050000}"/>
    <cellStyle name="Normal 15 3 2" xfId="553" xr:uid="{00000000-0005-0000-0000-00002A050000}"/>
    <cellStyle name="Normal 15 3 2 2" xfId="677" xr:uid="{00000000-0005-0000-0000-00002B050000}"/>
    <cellStyle name="Normal 15 3 2 2 2" xfId="925" xr:uid="{00000000-0005-0000-0000-00002C050000}"/>
    <cellStyle name="Normal 15 3 2 2 2 2" xfId="1429" xr:uid="{00000000-0005-0000-0000-00002D050000}"/>
    <cellStyle name="Normal 15 3 2 2 2 2 2" xfId="2431" xr:uid="{00000000-0005-0000-0000-00002E050000}"/>
    <cellStyle name="Normal 15 3 2 2 2 3" xfId="1930" xr:uid="{00000000-0005-0000-0000-00002F050000}"/>
    <cellStyle name="Normal 15 3 2 2 3" xfId="1181" xr:uid="{00000000-0005-0000-0000-000030050000}"/>
    <cellStyle name="Normal 15 3 2 2 3 2" xfId="2183" xr:uid="{00000000-0005-0000-0000-000031050000}"/>
    <cellStyle name="Normal 15 3 2 2 4" xfId="1682" xr:uid="{00000000-0005-0000-0000-000032050000}"/>
    <cellStyle name="Normal 15 3 2 3" xfId="801" xr:uid="{00000000-0005-0000-0000-000033050000}"/>
    <cellStyle name="Normal 15 3 2 3 2" xfId="1305" xr:uid="{00000000-0005-0000-0000-000034050000}"/>
    <cellStyle name="Normal 15 3 2 3 2 2" xfId="2307" xr:uid="{00000000-0005-0000-0000-000035050000}"/>
    <cellStyle name="Normal 15 3 2 3 3" xfId="1806" xr:uid="{00000000-0005-0000-0000-000036050000}"/>
    <cellStyle name="Normal 15 3 2 4" xfId="1057" xr:uid="{00000000-0005-0000-0000-000037050000}"/>
    <cellStyle name="Normal 15 3 2 4 2" xfId="2059" xr:uid="{00000000-0005-0000-0000-000038050000}"/>
    <cellStyle name="Normal 15 3 2 5" xfId="1558" xr:uid="{00000000-0005-0000-0000-000039050000}"/>
    <cellStyle name="Normal 15 3 3" xfId="627" xr:uid="{00000000-0005-0000-0000-00003A050000}"/>
    <cellStyle name="Normal 15 3 3 2" xfId="875" xr:uid="{00000000-0005-0000-0000-00003B050000}"/>
    <cellStyle name="Normal 15 3 3 2 2" xfId="1379" xr:uid="{00000000-0005-0000-0000-00003C050000}"/>
    <cellStyle name="Normal 15 3 3 2 2 2" xfId="2381" xr:uid="{00000000-0005-0000-0000-00003D050000}"/>
    <cellStyle name="Normal 15 3 3 2 3" xfId="1880" xr:uid="{00000000-0005-0000-0000-00003E050000}"/>
    <cellStyle name="Normal 15 3 3 3" xfId="1131" xr:uid="{00000000-0005-0000-0000-00003F050000}"/>
    <cellStyle name="Normal 15 3 3 3 2" xfId="2133" xr:uid="{00000000-0005-0000-0000-000040050000}"/>
    <cellStyle name="Normal 15 3 3 4" xfId="1632" xr:uid="{00000000-0005-0000-0000-000041050000}"/>
    <cellStyle name="Normal 15 3 4" xfId="751" xr:uid="{00000000-0005-0000-0000-000042050000}"/>
    <cellStyle name="Normal 15 3 4 2" xfId="1255" xr:uid="{00000000-0005-0000-0000-000043050000}"/>
    <cellStyle name="Normal 15 3 4 2 2" xfId="2257" xr:uid="{00000000-0005-0000-0000-000044050000}"/>
    <cellStyle name="Normal 15 3 4 3" xfId="1756" xr:uid="{00000000-0005-0000-0000-000045050000}"/>
    <cellStyle name="Normal 15 3 5" xfId="1007" xr:uid="{00000000-0005-0000-0000-000046050000}"/>
    <cellStyle name="Normal 15 3 5 2" xfId="2009" xr:uid="{00000000-0005-0000-0000-000047050000}"/>
    <cellStyle name="Normal 15 3 6" xfId="1508" xr:uid="{00000000-0005-0000-0000-000048050000}"/>
    <cellStyle name="Normal 15 4" xfId="551" xr:uid="{00000000-0005-0000-0000-000049050000}"/>
    <cellStyle name="Normal 15 4 2" xfId="675" xr:uid="{00000000-0005-0000-0000-00004A050000}"/>
    <cellStyle name="Normal 15 4 2 2" xfId="923" xr:uid="{00000000-0005-0000-0000-00004B050000}"/>
    <cellStyle name="Normal 15 4 2 2 2" xfId="1427" xr:uid="{00000000-0005-0000-0000-00004C050000}"/>
    <cellStyle name="Normal 15 4 2 2 2 2" xfId="2429" xr:uid="{00000000-0005-0000-0000-00004D050000}"/>
    <cellStyle name="Normal 15 4 2 2 3" xfId="1928" xr:uid="{00000000-0005-0000-0000-00004E050000}"/>
    <cellStyle name="Normal 15 4 2 3" xfId="1179" xr:uid="{00000000-0005-0000-0000-00004F050000}"/>
    <cellStyle name="Normal 15 4 2 3 2" xfId="2181" xr:uid="{00000000-0005-0000-0000-000050050000}"/>
    <cellStyle name="Normal 15 4 2 4" xfId="1680" xr:uid="{00000000-0005-0000-0000-000051050000}"/>
    <cellStyle name="Normal 15 4 3" xfId="799" xr:uid="{00000000-0005-0000-0000-000052050000}"/>
    <cellStyle name="Normal 15 4 3 2" xfId="1303" xr:uid="{00000000-0005-0000-0000-000053050000}"/>
    <cellStyle name="Normal 15 4 3 2 2" xfId="2305" xr:uid="{00000000-0005-0000-0000-000054050000}"/>
    <cellStyle name="Normal 15 4 3 3" xfId="1804" xr:uid="{00000000-0005-0000-0000-000055050000}"/>
    <cellStyle name="Normal 15 4 4" xfId="1055" xr:uid="{00000000-0005-0000-0000-000056050000}"/>
    <cellStyle name="Normal 15 4 4 2" xfId="2057" xr:uid="{00000000-0005-0000-0000-000057050000}"/>
    <cellStyle name="Normal 15 4 5" xfId="1556" xr:uid="{00000000-0005-0000-0000-000058050000}"/>
    <cellStyle name="Normal 15 5" xfId="585" xr:uid="{00000000-0005-0000-0000-000059050000}"/>
    <cellStyle name="Normal 15 5 2" xfId="833" xr:uid="{00000000-0005-0000-0000-00005A050000}"/>
    <cellStyle name="Normal 15 5 2 2" xfId="1337" xr:uid="{00000000-0005-0000-0000-00005B050000}"/>
    <cellStyle name="Normal 15 5 2 2 2" xfId="2339" xr:uid="{00000000-0005-0000-0000-00005C050000}"/>
    <cellStyle name="Normal 15 5 2 3" xfId="1838" xr:uid="{00000000-0005-0000-0000-00005D050000}"/>
    <cellStyle name="Normal 15 5 3" xfId="1089" xr:uid="{00000000-0005-0000-0000-00005E050000}"/>
    <cellStyle name="Normal 15 5 3 2" xfId="2091" xr:uid="{00000000-0005-0000-0000-00005F050000}"/>
    <cellStyle name="Normal 15 5 4" xfId="1590" xr:uid="{00000000-0005-0000-0000-000060050000}"/>
    <cellStyle name="Normal 15 6" xfId="709" xr:uid="{00000000-0005-0000-0000-000061050000}"/>
    <cellStyle name="Normal 15 6 2" xfId="1213" xr:uid="{00000000-0005-0000-0000-000062050000}"/>
    <cellStyle name="Normal 15 6 2 2" xfId="2215" xr:uid="{00000000-0005-0000-0000-000063050000}"/>
    <cellStyle name="Normal 15 6 3" xfId="1714" xr:uid="{00000000-0005-0000-0000-000064050000}"/>
    <cellStyle name="Normal 15 7" xfId="965" xr:uid="{00000000-0005-0000-0000-000065050000}"/>
    <cellStyle name="Normal 15 7 2" xfId="1967" xr:uid="{00000000-0005-0000-0000-000066050000}"/>
    <cellStyle name="Normal 15 8" xfId="1466" xr:uid="{00000000-0005-0000-0000-000067050000}"/>
    <cellStyle name="Normal 16" xfId="289" xr:uid="{00000000-0005-0000-0000-000068050000}"/>
    <cellStyle name="Normal 17" xfId="290" xr:uid="{00000000-0005-0000-0000-000069050000}"/>
    <cellStyle name="Normal 18" xfId="291" xr:uid="{00000000-0005-0000-0000-00006A050000}"/>
    <cellStyle name="Normal 19" xfId="292" xr:uid="{00000000-0005-0000-0000-00006B050000}"/>
    <cellStyle name="Normal 2" xfId="293" xr:uid="{00000000-0005-0000-0000-00006C050000}"/>
    <cellStyle name="Normal 2 2" xfId="294" xr:uid="{00000000-0005-0000-0000-00006D050000}"/>
    <cellStyle name="Normal 2 3" xfId="3" xr:uid="{00000000-0005-0000-0000-00006E050000}"/>
    <cellStyle name="Normal 2 3 2" xfId="956" xr:uid="{00000000-0005-0000-0000-00006F050000}"/>
    <cellStyle name="Normal 2 3 2 2" xfId="1460" xr:uid="{00000000-0005-0000-0000-000070050000}"/>
    <cellStyle name="Normal 2 3 2 2 2" xfId="2462" xr:uid="{00000000-0005-0000-0000-000071050000}"/>
    <cellStyle name="Normal 2 3 2 3" xfId="1961" xr:uid="{00000000-0005-0000-0000-000072050000}"/>
    <cellStyle name="Normal 2 4" xfId="295" xr:uid="{00000000-0005-0000-0000-000073050000}"/>
    <cellStyle name="Normal 2_Adjustment WP" xfId="296" xr:uid="{00000000-0005-0000-0000-000074050000}"/>
    <cellStyle name="Normal 20" xfId="297" xr:uid="{00000000-0005-0000-0000-000075050000}"/>
    <cellStyle name="Normal 21" xfId="298" xr:uid="{00000000-0005-0000-0000-000076050000}"/>
    <cellStyle name="Normal 22" xfId="299" xr:uid="{00000000-0005-0000-0000-000077050000}"/>
    <cellStyle name="Normal 23" xfId="300" xr:uid="{00000000-0005-0000-0000-000078050000}"/>
    <cellStyle name="Normal 24" xfId="301" xr:uid="{00000000-0005-0000-0000-000079050000}"/>
    <cellStyle name="Normal 25" xfId="302" xr:uid="{00000000-0005-0000-0000-00007A050000}"/>
    <cellStyle name="Normal 26" xfId="303" xr:uid="{00000000-0005-0000-0000-00007B050000}"/>
    <cellStyle name="Normal 27" xfId="304" xr:uid="{00000000-0005-0000-0000-00007C050000}"/>
    <cellStyle name="Normal 28" xfId="305" xr:uid="{00000000-0005-0000-0000-00007D050000}"/>
    <cellStyle name="Normal 29" xfId="306" xr:uid="{00000000-0005-0000-0000-00007E050000}"/>
    <cellStyle name="Normal 3" xfId="307" xr:uid="{00000000-0005-0000-0000-00007F050000}"/>
    <cellStyle name="Normal 3 2" xfId="308" xr:uid="{00000000-0005-0000-0000-000080050000}"/>
    <cellStyle name="Normal 3 2 2" xfId="957" xr:uid="{00000000-0005-0000-0000-000081050000}"/>
    <cellStyle name="Normal 3 2 2 2" xfId="1461" xr:uid="{00000000-0005-0000-0000-000082050000}"/>
    <cellStyle name="Normal 3 2 2 2 2" xfId="2463" xr:uid="{00000000-0005-0000-0000-000083050000}"/>
    <cellStyle name="Normal 3 2 2 3" xfId="1962" xr:uid="{00000000-0005-0000-0000-000084050000}"/>
    <cellStyle name="Normal 3 3" xfId="309" xr:uid="{00000000-0005-0000-0000-000085050000}"/>
    <cellStyle name="Normal 3 4" xfId="310" xr:uid="{00000000-0005-0000-0000-000086050000}"/>
    <cellStyle name="Normal 3 5" xfId="449" xr:uid="{00000000-0005-0000-0000-000087050000}"/>
    <cellStyle name="Normal 3 6" xfId="479" xr:uid="{00000000-0005-0000-0000-000088050000}"/>
    <cellStyle name="Normal 3 7" xfId="958" xr:uid="{00000000-0005-0000-0000-000089050000}"/>
    <cellStyle name="Normal 3 7 2" xfId="1462" xr:uid="{00000000-0005-0000-0000-00008A050000}"/>
    <cellStyle name="Normal 3 7 2 2" xfId="2464" xr:uid="{00000000-0005-0000-0000-00008B050000}"/>
    <cellStyle name="Normal 3 7 3" xfId="1963" xr:uid="{00000000-0005-0000-0000-00008C050000}"/>
    <cellStyle name="Normal 3_108 Summary" xfId="311" xr:uid="{00000000-0005-0000-0000-00008D050000}"/>
    <cellStyle name="Normal 30" xfId="312" xr:uid="{00000000-0005-0000-0000-00008E050000}"/>
    <cellStyle name="Normal 31" xfId="313" xr:uid="{00000000-0005-0000-0000-00008F050000}"/>
    <cellStyle name="Normal 32" xfId="314" xr:uid="{00000000-0005-0000-0000-000090050000}"/>
    <cellStyle name="Normal 33" xfId="315" xr:uid="{00000000-0005-0000-0000-000091050000}"/>
    <cellStyle name="Normal 34" xfId="316" xr:uid="{00000000-0005-0000-0000-000092050000}"/>
    <cellStyle name="Normal 35" xfId="317" xr:uid="{00000000-0005-0000-0000-000093050000}"/>
    <cellStyle name="Normal 35 2" xfId="480" xr:uid="{00000000-0005-0000-0000-000094050000}"/>
    <cellStyle name="Normal 35 2 2" xfId="555" xr:uid="{00000000-0005-0000-0000-000095050000}"/>
    <cellStyle name="Normal 35 2 2 2" xfId="679" xr:uid="{00000000-0005-0000-0000-000096050000}"/>
    <cellStyle name="Normal 35 2 2 2 2" xfId="927" xr:uid="{00000000-0005-0000-0000-000097050000}"/>
    <cellStyle name="Normal 35 2 2 2 2 2" xfId="1431" xr:uid="{00000000-0005-0000-0000-000098050000}"/>
    <cellStyle name="Normal 35 2 2 2 2 2 2" xfId="2433" xr:uid="{00000000-0005-0000-0000-000099050000}"/>
    <cellStyle name="Normal 35 2 2 2 2 3" xfId="1932" xr:uid="{00000000-0005-0000-0000-00009A050000}"/>
    <cellStyle name="Normal 35 2 2 2 3" xfId="1183" xr:uid="{00000000-0005-0000-0000-00009B050000}"/>
    <cellStyle name="Normal 35 2 2 2 3 2" xfId="2185" xr:uid="{00000000-0005-0000-0000-00009C050000}"/>
    <cellStyle name="Normal 35 2 2 2 4" xfId="1684" xr:uid="{00000000-0005-0000-0000-00009D050000}"/>
    <cellStyle name="Normal 35 2 2 3" xfId="803" xr:uid="{00000000-0005-0000-0000-00009E050000}"/>
    <cellStyle name="Normal 35 2 2 3 2" xfId="1307" xr:uid="{00000000-0005-0000-0000-00009F050000}"/>
    <cellStyle name="Normal 35 2 2 3 2 2" xfId="2309" xr:uid="{00000000-0005-0000-0000-0000A0050000}"/>
    <cellStyle name="Normal 35 2 2 3 3" xfId="1808" xr:uid="{00000000-0005-0000-0000-0000A1050000}"/>
    <cellStyle name="Normal 35 2 2 4" xfId="1059" xr:uid="{00000000-0005-0000-0000-0000A2050000}"/>
    <cellStyle name="Normal 35 2 2 4 2" xfId="2061" xr:uid="{00000000-0005-0000-0000-0000A3050000}"/>
    <cellStyle name="Normal 35 2 2 5" xfId="1560" xr:uid="{00000000-0005-0000-0000-0000A4050000}"/>
    <cellStyle name="Normal 35 2 3" xfId="608" xr:uid="{00000000-0005-0000-0000-0000A5050000}"/>
    <cellStyle name="Normal 35 2 3 2" xfId="856" xr:uid="{00000000-0005-0000-0000-0000A6050000}"/>
    <cellStyle name="Normal 35 2 3 2 2" xfId="1360" xr:uid="{00000000-0005-0000-0000-0000A7050000}"/>
    <cellStyle name="Normal 35 2 3 2 2 2" xfId="2362" xr:uid="{00000000-0005-0000-0000-0000A8050000}"/>
    <cellStyle name="Normal 35 2 3 2 3" xfId="1861" xr:uid="{00000000-0005-0000-0000-0000A9050000}"/>
    <cellStyle name="Normal 35 2 3 3" xfId="1112" xr:uid="{00000000-0005-0000-0000-0000AA050000}"/>
    <cellStyle name="Normal 35 2 3 3 2" xfId="2114" xr:uid="{00000000-0005-0000-0000-0000AB050000}"/>
    <cellStyle name="Normal 35 2 3 4" xfId="1613" xr:uid="{00000000-0005-0000-0000-0000AC050000}"/>
    <cellStyle name="Normal 35 2 4" xfId="732" xr:uid="{00000000-0005-0000-0000-0000AD050000}"/>
    <cellStyle name="Normal 35 2 4 2" xfId="1236" xr:uid="{00000000-0005-0000-0000-0000AE050000}"/>
    <cellStyle name="Normal 35 2 4 2 2" xfId="2238" xr:uid="{00000000-0005-0000-0000-0000AF050000}"/>
    <cellStyle name="Normal 35 2 4 3" xfId="1737" xr:uid="{00000000-0005-0000-0000-0000B0050000}"/>
    <cellStyle name="Normal 35 2 5" xfId="988" xr:uid="{00000000-0005-0000-0000-0000B1050000}"/>
    <cellStyle name="Normal 35 2 5 2" xfId="1990" xr:uid="{00000000-0005-0000-0000-0000B2050000}"/>
    <cellStyle name="Normal 35 2 6" xfId="1489" xr:uid="{00000000-0005-0000-0000-0000B3050000}"/>
    <cellStyle name="Normal 35 3" xfId="504" xr:uid="{00000000-0005-0000-0000-0000B4050000}"/>
    <cellStyle name="Normal 35 3 2" xfId="556" xr:uid="{00000000-0005-0000-0000-0000B5050000}"/>
    <cellStyle name="Normal 35 3 2 2" xfId="680" xr:uid="{00000000-0005-0000-0000-0000B6050000}"/>
    <cellStyle name="Normal 35 3 2 2 2" xfId="928" xr:uid="{00000000-0005-0000-0000-0000B7050000}"/>
    <cellStyle name="Normal 35 3 2 2 2 2" xfId="1432" xr:uid="{00000000-0005-0000-0000-0000B8050000}"/>
    <cellStyle name="Normal 35 3 2 2 2 2 2" xfId="2434" xr:uid="{00000000-0005-0000-0000-0000B9050000}"/>
    <cellStyle name="Normal 35 3 2 2 2 3" xfId="1933" xr:uid="{00000000-0005-0000-0000-0000BA050000}"/>
    <cellStyle name="Normal 35 3 2 2 3" xfId="1184" xr:uid="{00000000-0005-0000-0000-0000BB050000}"/>
    <cellStyle name="Normal 35 3 2 2 3 2" xfId="2186" xr:uid="{00000000-0005-0000-0000-0000BC050000}"/>
    <cellStyle name="Normal 35 3 2 2 4" xfId="1685" xr:uid="{00000000-0005-0000-0000-0000BD050000}"/>
    <cellStyle name="Normal 35 3 2 3" xfId="804" xr:uid="{00000000-0005-0000-0000-0000BE050000}"/>
    <cellStyle name="Normal 35 3 2 3 2" xfId="1308" xr:uid="{00000000-0005-0000-0000-0000BF050000}"/>
    <cellStyle name="Normal 35 3 2 3 2 2" xfId="2310" xr:uid="{00000000-0005-0000-0000-0000C0050000}"/>
    <cellStyle name="Normal 35 3 2 3 3" xfId="1809" xr:uid="{00000000-0005-0000-0000-0000C1050000}"/>
    <cellStyle name="Normal 35 3 2 4" xfId="1060" xr:uid="{00000000-0005-0000-0000-0000C2050000}"/>
    <cellStyle name="Normal 35 3 2 4 2" xfId="2062" xr:uid="{00000000-0005-0000-0000-0000C3050000}"/>
    <cellStyle name="Normal 35 3 2 5" xfId="1561" xr:uid="{00000000-0005-0000-0000-0000C4050000}"/>
    <cellStyle name="Normal 35 3 3" xfId="628" xr:uid="{00000000-0005-0000-0000-0000C5050000}"/>
    <cellStyle name="Normal 35 3 3 2" xfId="876" xr:uid="{00000000-0005-0000-0000-0000C6050000}"/>
    <cellStyle name="Normal 35 3 3 2 2" xfId="1380" xr:uid="{00000000-0005-0000-0000-0000C7050000}"/>
    <cellStyle name="Normal 35 3 3 2 2 2" xfId="2382" xr:uid="{00000000-0005-0000-0000-0000C8050000}"/>
    <cellStyle name="Normal 35 3 3 2 3" xfId="1881" xr:uid="{00000000-0005-0000-0000-0000C9050000}"/>
    <cellStyle name="Normal 35 3 3 3" xfId="1132" xr:uid="{00000000-0005-0000-0000-0000CA050000}"/>
    <cellStyle name="Normal 35 3 3 3 2" xfId="2134" xr:uid="{00000000-0005-0000-0000-0000CB050000}"/>
    <cellStyle name="Normal 35 3 3 4" xfId="1633" xr:uid="{00000000-0005-0000-0000-0000CC050000}"/>
    <cellStyle name="Normal 35 3 4" xfId="752" xr:uid="{00000000-0005-0000-0000-0000CD050000}"/>
    <cellStyle name="Normal 35 3 4 2" xfId="1256" xr:uid="{00000000-0005-0000-0000-0000CE050000}"/>
    <cellStyle name="Normal 35 3 4 2 2" xfId="2258" xr:uid="{00000000-0005-0000-0000-0000CF050000}"/>
    <cellStyle name="Normal 35 3 4 3" xfId="1757" xr:uid="{00000000-0005-0000-0000-0000D0050000}"/>
    <cellStyle name="Normal 35 3 5" xfId="1008" xr:uid="{00000000-0005-0000-0000-0000D1050000}"/>
    <cellStyle name="Normal 35 3 5 2" xfId="2010" xr:uid="{00000000-0005-0000-0000-0000D2050000}"/>
    <cellStyle name="Normal 35 3 6" xfId="1509" xr:uid="{00000000-0005-0000-0000-0000D3050000}"/>
    <cellStyle name="Normal 35 4" xfId="554" xr:uid="{00000000-0005-0000-0000-0000D4050000}"/>
    <cellStyle name="Normal 35 4 2" xfId="678" xr:uid="{00000000-0005-0000-0000-0000D5050000}"/>
    <cellStyle name="Normal 35 4 2 2" xfId="926" xr:uid="{00000000-0005-0000-0000-0000D6050000}"/>
    <cellStyle name="Normal 35 4 2 2 2" xfId="1430" xr:uid="{00000000-0005-0000-0000-0000D7050000}"/>
    <cellStyle name="Normal 35 4 2 2 2 2" xfId="2432" xr:uid="{00000000-0005-0000-0000-0000D8050000}"/>
    <cellStyle name="Normal 35 4 2 2 3" xfId="1931" xr:uid="{00000000-0005-0000-0000-0000D9050000}"/>
    <cellStyle name="Normal 35 4 2 3" xfId="1182" xr:uid="{00000000-0005-0000-0000-0000DA050000}"/>
    <cellStyle name="Normal 35 4 2 3 2" xfId="2184" xr:uid="{00000000-0005-0000-0000-0000DB050000}"/>
    <cellStyle name="Normal 35 4 2 4" xfId="1683" xr:uid="{00000000-0005-0000-0000-0000DC050000}"/>
    <cellStyle name="Normal 35 4 3" xfId="802" xr:uid="{00000000-0005-0000-0000-0000DD050000}"/>
    <cellStyle name="Normal 35 4 3 2" xfId="1306" xr:uid="{00000000-0005-0000-0000-0000DE050000}"/>
    <cellStyle name="Normal 35 4 3 2 2" xfId="2308" xr:uid="{00000000-0005-0000-0000-0000DF050000}"/>
    <cellStyle name="Normal 35 4 3 3" xfId="1807" xr:uid="{00000000-0005-0000-0000-0000E0050000}"/>
    <cellStyle name="Normal 35 4 4" xfId="1058" xr:uid="{00000000-0005-0000-0000-0000E1050000}"/>
    <cellStyle name="Normal 35 4 4 2" xfId="2060" xr:uid="{00000000-0005-0000-0000-0000E2050000}"/>
    <cellStyle name="Normal 35 4 5" xfId="1559" xr:uid="{00000000-0005-0000-0000-0000E3050000}"/>
    <cellStyle name="Normal 35 5" xfId="586" xr:uid="{00000000-0005-0000-0000-0000E4050000}"/>
    <cellStyle name="Normal 35 5 2" xfId="834" xr:uid="{00000000-0005-0000-0000-0000E5050000}"/>
    <cellStyle name="Normal 35 5 2 2" xfId="1338" xr:uid="{00000000-0005-0000-0000-0000E6050000}"/>
    <cellStyle name="Normal 35 5 2 2 2" xfId="2340" xr:uid="{00000000-0005-0000-0000-0000E7050000}"/>
    <cellStyle name="Normal 35 5 2 3" xfId="1839" xr:uid="{00000000-0005-0000-0000-0000E8050000}"/>
    <cellStyle name="Normal 35 5 3" xfId="1090" xr:uid="{00000000-0005-0000-0000-0000E9050000}"/>
    <cellStyle name="Normal 35 5 3 2" xfId="2092" xr:uid="{00000000-0005-0000-0000-0000EA050000}"/>
    <cellStyle name="Normal 35 5 4" xfId="1591" xr:uid="{00000000-0005-0000-0000-0000EB050000}"/>
    <cellStyle name="Normal 35 6" xfId="710" xr:uid="{00000000-0005-0000-0000-0000EC050000}"/>
    <cellStyle name="Normal 35 6 2" xfId="1214" xr:uid="{00000000-0005-0000-0000-0000ED050000}"/>
    <cellStyle name="Normal 35 6 2 2" xfId="2216" xr:uid="{00000000-0005-0000-0000-0000EE050000}"/>
    <cellStyle name="Normal 35 6 3" xfId="1715" xr:uid="{00000000-0005-0000-0000-0000EF050000}"/>
    <cellStyle name="Normal 35 7" xfId="966" xr:uid="{00000000-0005-0000-0000-0000F0050000}"/>
    <cellStyle name="Normal 35 7 2" xfId="1968" xr:uid="{00000000-0005-0000-0000-0000F1050000}"/>
    <cellStyle name="Normal 35 8" xfId="1467" xr:uid="{00000000-0005-0000-0000-0000F2050000}"/>
    <cellStyle name="Normal 4" xfId="318" xr:uid="{00000000-0005-0000-0000-0000F3050000}"/>
    <cellStyle name="Normal 4 2" xfId="453" xr:uid="{00000000-0005-0000-0000-0000F4050000}"/>
    <cellStyle name="Normal 4 3" xfId="481" xr:uid="{00000000-0005-0000-0000-0000F5050000}"/>
    <cellStyle name="Normal 4 4" xfId="960" xr:uid="{00000000-0005-0000-0000-0000F6050000}"/>
    <cellStyle name="Normal 5" xfId="319" xr:uid="{00000000-0005-0000-0000-0000F7050000}"/>
    <cellStyle name="Normal 5 2" xfId="454" xr:uid="{00000000-0005-0000-0000-0000F8050000}"/>
    <cellStyle name="Normal 5 3" xfId="482" xr:uid="{00000000-0005-0000-0000-0000F9050000}"/>
    <cellStyle name="Normal 6" xfId="320" xr:uid="{00000000-0005-0000-0000-0000FA050000}"/>
    <cellStyle name="Normal 6 10" xfId="471" xr:uid="{00000000-0005-0000-0000-0000FB050000}"/>
    <cellStyle name="Normal 6 10 2" xfId="557" xr:uid="{00000000-0005-0000-0000-0000FC050000}"/>
    <cellStyle name="Normal 6 10 2 2" xfId="681" xr:uid="{00000000-0005-0000-0000-0000FD050000}"/>
    <cellStyle name="Normal 6 10 2 2 2" xfId="929" xr:uid="{00000000-0005-0000-0000-0000FE050000}"/>
    <cellStyle name="Normal 6 10 2 2 2 2" xfId="1433" xr:uid="{00000000-0005-0000-0000-0000FF050000}"/>
    <cellStyle name="Normal 6 10 2 2 2 2 2" xfId="2435" xr:uid="{00000000-0005-0000-0000-000000060000}"/>
    <cellStyle name="Normal 6 10 2 2 2 3" xfId="1934" xr:uid="{00000000-0005-0000-0000-000001060000}"/>
    <cellStyle name="Normal 6 10 2 2 3" xfId="1185" xr:uid="{00000000-0005-0000-0000-000002060000}"/>
    <cellStyle name="Normal 6 10 2 2 3 2" xfId="2187" xr:uid="{00000000-0005-0000-0000-000003060000}"/>
    <cellStyle name="Normal 6 10 2 2 4" xfId="1686" xr:uid="{00000000-0005-0000-0000-000004060000}"/>
    <cellStyle name="Normal 6 10 2 3" xfId="805" xr:uid="{00000000-0005-0000-0000-000005060000}"/>
    <cellStyle name="Normal 6 10 2 3 2" xfId="1309" xr:uid="{00000000-0005-0000-0000-000006060000}"/>
    <cellStyle name="Normal 6 10 2 3 2 2" xfId="2311" xr:uid="{00000000-0005-0000-0000-000007060000}"/>
    <cellStyle name="Normal 6 10 2 3 3" xfId="1810" xr:uid="{00000000-0005-0000-0000-000008060000}"/>
    <cellStyle name="Normal 6 10 2 4" xfId="1061" xr:uid="{00000000-0005-0000-0000-000009060000}"/>
    <cellStyle name="Normal 6 10 2 4 2" xfId="2063" xr:uid="{00000000-0005-0000-0000-00000A060000}"/>
    <cellStyle name="Normal 6 10 2 5" xfId="1562" xr:uid="{00000000-0005-0000-0000-00000B060000}"/>
    <cellStyle name="Normal 6 10 3" xfId="603" xr:uid="{00000000-0005-0000-0000-00000C060000}"/>
    <cellStyle name="Normal 6 10 3 2" xfId="851" xr:uid="{00000000-0005-0000-0000-00000D060000}"/>
    <cellStyle name="Normal 6 10 3 2 2" xfId="1355" xr:uid="{00000000-0005-0000-0000-00000E060000}"/>
    <cellStyle name="Normal 6 10 3 2 2 2" xfId="2357" xr:uid="{00000000-0005-0000-0000-00000F060000}"/>
    <cellStyle name="Normal 6 10 3 2 3" xfId="1856" xr:uid="{00000000-0005-0000-0000-000010060000}"/>
    <cellStyle name="Normal 6 10 3 3" xfId="1107" xr:uid="{00000000-0005-0000-0000-000011060000}"/>
    <cellStyle name="Normal 6 10 3 3 2" xfId="2109" xr:uid="{00000000-0005-0000-0000-000012060000}"/>
    <cellStyle name="Normal 6 10 3 4" xfId="1608" xr:uid="{00000000-0005-0000-0000-000013060000}"/>
    <cellStyle name="Normal 6 10 4" xfId="727" xr:uid="{00000000-0005-0000-0000-000014060000}"/>
    <cellStyle name="Normal 6 10 4 2" xfId="1231" xr:uid="{00000000-0005-0000-0000-000015060000}"/>
    <cellStyle name="Normal 6 10 4 2 2" xfId="2233" xr:uid="{00000000-0005-0000-0000-000016060000}"/>
    <cellStyle name="Normal 6 10 4 3" xfId="1732" xr:uid="{00000000-0005-0000-0000-000017060000}"/>
    <cellStyle name="Normal 6 10 5" xfId="983" xr:uid="{00000000-0005-0000-0000-000018060000}"/>
    <cellStyle name="Normal 6 10 5 2" xfId="1985" xr:uid="{00000000-0005-0000-0000-000019060000}"/>
    <cellStyle name="Normal 6 10 6" xfId="1484" xr:uid="{00000000-0005-0000-0000-00001A060000}"/>
    <cellStyle name="Normal 6 11" xfId="955" xr:uid="{00000000-0005-0000-0000-00001B060000}"/>
    <cellStyle name="Normal 6 11 2" xfId="1459" xr:uid="{00000000-0005-0000-0000-00001C060000}"/>
    <cellStyle name="Normal 6 11 2 2" xfId="2461" xr:uid="{00000000-0005-0000-0000-00001D060000}"/>
    <cellStyle name="Normal 6 11 3" xfId="1960" xr:uid="{00000000-0005-0000-0000-00001E060000}"/>
    <cellStyle name="Normal 6 2" xfId="456" xr:uid="{00000000-0005-0000-0000-00001F060000}"/>
    <cellStyle name="Normal 6 2 2" xfId="487" xr:uid="{00000000-0005-0000-0000-000020060000}"/>
    <cellStyle name="Normal 6 2 2 2" xfId="559" xr:uid="{00000000-0005-0000-0000-000021060000}"/>
    <cellStyle name="Normal 6 2 2 2 2" xfId="683" xr:uid="{00000000-0005-0000-0000-000022060000}"/>
    <cellStyle name="Normal 6 2 2 2 2 2" xfId="931" xr:uid="{00000000-0005-0000-0000-000023060000}"/>
    <cellStyle name="Normal 6 2 2 2 2 2 2" xfId="1435" xr:uid="{00000000-0005-0000-0000-000024060000}"/>
    <cellStyle name="Normal 6 2 2 2 2 2 2 2" xfId="2437" xr:uid="{00000000-0005-0000-0000-000025060000}"/>
    <cellStyle name="Normal 6 2 2 2 2 2 3" xfId="1936" xr:uid="{00000000-0005-0000-0000-000026060000}"/>
    <cellStyle name="Normal 6 2 2 2 2 3" xfId="1187" xr:uid="{00000000-0005-0000-0000-000027060000}"/>
    <cellStyle name="Normal 6 2 2 2 2 3 2" xfId="2189" xr:uid="{00000000-0005-0000-0000-000028060000}"/>
    <cellStyle name="Normal 6 2 2 2 2 4" xfId="1688" xr:uid="{00000000-0005-0000-0000-000029060000}"/>
    <cellStyle name="Normal 6 2 2 2 3" xfId="807" xr:uid="{00000000-0005-0000-0000-00002A060000}"/>
    <cellStyle name="Normal 6 2 2 2 3 2" xfId="1311" xr:uid="{00000000-0005-0000-0000-00002B060000}"/>
    <cellStyle name="Normal 6 2 2 2 3 2 2" xfId="2313" xr:uid="{00000000-0005-0000-0000-00002C060000}"/>
    <cellStyle name="Normal 6 2 2 2 3 3" xfId="1812" xr:uid="{00000000-0005-0000-0000-00002D060000}"/>
    <cellStyle name="Normal 6 2 2 2 4" xfId="1063" xr:uid="{00000000-0005-0000-0000-00002E060000}"/>
    <cellStyle name="Normal 6 2 2 2 4 2" xfId="2065" xr:uid="{00000000-0005-0000-0000-00002F060000}"/>
    <cellStyle name="Normal 6 2 2 2 5" xfId="1564" xr:uid="{00000000-0005-0000-0000-000030060000}"/>
    <cellStyle name="Normal 6 2 2 3" xfId="611" xr:uid="{00000000-0005-0000-0000-000031060000}"/>
    <cellStyle name="Normal 6 2 2 3 2" xfId="859" xr:uid="{00000000-0005-0000-0000-000032060000}"/>
    <cellStyle name="Normal 6 2 2 3 2 2" xfId="1363" xr:uid="{00000000-0005-0000-0000-000033060000}"/>
    <cellStyle name="Normal 6 2 2 3 2 2 2" xfId="2365" xr:uid="{00000000-0005-0000-0000-000034060000}"/>
    <cellStyle name="Normal 6 2 2 3 2 3" xfId="1864" xr:uid="{00000000-0005-0000-0000-000035060000}"/>
    <cellStyle name="Normal 6 2 2 3 3" xfId="1115" xr:uid="{00000000-0005-0000-0000-000036060000}"/>
    <cellStyle name="Normal 6 2 2 3 3 2" xfId="2117" xr:uid="{00000000-0005-0000-0000-000037060000}"/>
    <cellStyle name="Normal 6 2 2 3 4" xfId="1616" xr:uid="{00000000-0005-0000-0000-000038060000}"/>
    <cellStyle name="Normal 6 2 2 4" xfId="735" xr:uid="{00000000-0005-0000-0000-000039060000}"/>
    <cellStyle name="Normal 6 2 2 4 2" xfId="1239" xr:uid="{00000000-0005-0000-0000-00003A060000}"/>
    <cellStyle name="Normal 6 2 2 4 2 2" xfId="2241" xr:uid="{00000000-0005-0000-0000-00003B060000}"/>
    <cellStyle name="Normal 6 2 2 4 3" xfId="1740" xr:uid="{00000000-0005-0000-0000-00003C060000}"/>
    <cellStyle name="Normal 6 2 2 5" xfId="991" xr:uid="{00000000-0005-0000-0000-00003D060000}"/>
    <cellStyle name="Normal 6 2 2 5 2" xfId="1993" xr:uid="{00000000-0005-0000-0000-00003E060000}"/>
    <cellStyle name="Normal 6 2 2 6" xfId="1492" xr:uid="{00000000-0005-0000-0000-00003F060000}"/>
    <cellStyle name="Normal 6 2 3" xfId="507" xr:uid="{00000000-0005-0000-0000-000040060000}"/>
    <cellStyle name="Normal 6 2 3 2" xfId="560" xr:uid="{00000000-0005-0000-0000-000041060000}"/>
    <cellStyle name="Normal 6 2 3 2 2" xfId="684" xr:uid="{00000000-0005-0000-0000-000042060000}"/>
    <cellStyle name="Normal 6 2 3 2 2 2" xfId="932" xr:uid="{00000000-0005-0000-0000-000043060000}"/>
    <cellStyle name="Normal 6 2 3 2 2 2 2" xfId="1436" xr:uid="{00000000-0005-0000-0000-000044060000}"/>
    <cellStyle name="Normal 6 2 3 2 2 2 2 2" xfId="2438" xr:uid="{00000000-0005-0000-0000-000045060000}"/>
    <cellStyle name="Normal 6 2 3 2 2 2 3" xfId="1937" xr:uid="{00000000-0005-0000-0000-000046060000}"/>
    <cellStyle name="Normal 6 2 3 2 2 3" xfId="1188" xr:uid="{00000000-0005-0000-0000-000047060000}"/>
    <cellStyle name="Normal 6 2 3 2 2 3 2" xfId="2190" xr:uid="{00000000-0005-0000-0000-000048060000}"/>
    <cellStyle name="Normal 6 2 3 2 2 4" xfId="1689" xr:uid="{00000000-0005-0000-0000-000049060000}"/>
    <cellStyle name="Normal 6 2 3 2 3" xfId="808" xr:uid="{00000000-0005-0000-0000-00004A060000}"/>
    <cellStyle name="Normal 6 2 3 2 3 2" xfId="1312" xr:uid="{00000000-0005-0000-0000-00004B060000}"/>
    <cellStyle name="Normal 6 2 3 2 3 2 2" xfId="2314" xr:uid="{00000000-0005-0000-0000-00004C060000}"/>
    <cellStyle name="Normal 6 2 3 2 3 3" xfId="1813" xr:uid="{00000000-0005-0000-0000-00004D060000}"/>
    <cellStyle name="Normal 6 2 3 2 4" xfId="1064" xr:uid="{00000000-0005-0000-0000-00004E060000}"/>
    <cellStyle name="Normal 6 2 3 2 4 2" xfId="2066" xr:uid="{00000000-0005-0000-0000-00004F060000}"/>
    <cellStyle name="Normal 6 2 3 2 5" xfId="1565" xr:uid="{00000000-0005-0000-0000-000050060000}"/>
    <cellStyle name="Normal 6 2 3 3" xfId="631" xr:uid="{00000000-0005-0000-0000-000051060000}"/>
    <cellStyle name="Normal 6 2 3 3 2" xfId="879" xr:uid="{00000000-0005-0000-0000-000052060000}"/>
    <cellStyle name="Normal 6 2 3 3 2 2" xfId="1383" xr:uid="{00000000-0005-0000-0000-000053060000}"/>
    <cellStyle name="Normal 6 2 3 3 2 2 2" xfId="2385" xr:uid="{00000000-0005-0000-0000-000054060000}"/>
    <cellStyle name="Normal 6 2 3 3 2 3" xfId="1884" xr:uid="{00000000-0005-0000-0000-000055060000}"/>
    <cellStyle name="Normal 6 2 3 3 3" xfId="1135" xr:uid="{00000000-0005-0000-0000-000056060000}"/>
    <cellStyle name="Normal 6 2 3 3 3 2" xfId="2137" xr:uid="{00000000-0005-0000-0000-000057060000}"/>
    <cellStyle name="Normal 6 2 3 3 4" xfId="1636" xr:uid="{00000000-0005-0000-0000-000058060000}"/>
    <cellStyle name="Normal 6 2 3 4" xfId="755" xr:uid="{00000000-0005-0000-0000-000059060000}"/>
    <cellStyle name="Normal 6 2 3 4 2" xfId="1259" xr:uid="{00000000-0005-0000-0000-00005A060000}"/>
    <cellStyle name="Normal 6 2 3 4 2 2" xfId="2261" xr:uid="{00000000-0005-0000-0000-00005B060000}"/>
    <cellStyle name="Normal 6 2 3 4 3" xfId="1760" xr:uid="{00000000-0005-0000-0000-00005C060000}"/>
    <cellStyle name="Normal 6 2 3 5" xfId="1011" xr:uid="{00000000-0005-0000-0000-00005D060000}"/>
    <cellStyle name="Normal 6 2 3 5 2" xfId="2013" xr:uid="{00000000-0005-0000-0000-00005E060000}"/>
    <cellStyle name="Normal 6 2 3 6" xfId="1512" xr:uid="{00000000-0005-0000-0000-00005F060000}"/>
    <cellStyle name="Normal 6 2 4" xfId="558" xr:uid="{00000000-0005-0000-0000-000060060000}"/>
    <cellStyle name="Normal 6 2 4 2" xfId="682" xr:uid="{00000000-0005-0000-0000-000061060000}"/>
    <cellStyle name="Normal 6 2 4 2 2" xfId="930" xr:uid="{00000000-0005-0000-0000-000062060000}"/>
    <cellStyle name="Normal 6 2 4 2 2 2" xfId="1434" xr:uid="{00000000-0005-0000-0000-000063060000}"/>
    <cellStyle name="Normal 6 2 4 2 2 2 2" xfId="2436" xr:uid="{00000000-0005-0000-0000-000064060000}"/>
    <cellStyle name="Normal 6 2 4 2 2 3" xfId="1935" xr:uid="{00000000-0005-0000-0000-000065060000}"/>
    <cellStyle name="Normal 6 2 4 2 3" xfId="1186" xr:uid="{00000000-0005-0000-0000-000066060000}"/>
    <cellStyle name="Normal 6 2 4 2 3 2" xfId="2188" xr:uid="{00000000-0005-0000-0000-000067060000}"/>
    <cellStyle name="Normal 6 2 4 2 4" xfId="1687" xr:uid="{00000000-0005-0000-0000-000068060000}"/>
    <cellStyle name="Normal 6 2 4 3" xfId="806" xr:uid="{00000000-0005-0000-0000-000069060000}"/>
    <cellStyle name="Normal 6 2 4 3 2" xfId="1310" xr:uid="{00000000-0005-0000-0000-00006A060000}"/>
    <cellStyle name="Normal 6 2 4 3 2 2" xfId="2312" xr:uid="{00000000-0005-0000-0000-00006B060000}"/>
    <cellStyle name="Normal 6 2 4 3 3" xfId="1811" xr:uid="{00000000-0005-0000-0000-00006C060000}"/>
    <cellStyle name="Normal 6 2 4 4" xfId="1062" xr:uid="{00000000-0005-0000-0000-00006D060000}"/>
    <cellStyle name="Normal 6 2 4 4 2" xfId="2064" xr:uid="{00000000-0005-0000-0000-00006E060000}"/>
    <cellStyle name="Normal 6 2 4 5" xfId="1563" xr:uid="{00000000-0005-0000-0000-00006F060000}"/>
    <cellStyle name="Normal 6 2 5" xfId="589" xr:uid="{00000000-0005-0000-0000-000070060000}"/>
    <cellStyle name="Normal 6 2 5 2" xfId="837" xr:uid="{00000000-0005-0000-0000-000071060000}"/>
    <cellStyle name="Normal 6 2 5 2 2" xfId="1341" xr:uid="{00000000-0005-0000-0000-000072060000}"/>
    <cellStyle name="Normal 6 2 5 2 2 2" xfId="2343" xr:uid="{00000000-0005-0000-0000-000073060000}"/>
    <cellStyle name="Normal 6 2 5 2 3" xfId="1842" xr:uid="{00000000-0005-0000-0000-000074060000}"/>
    <cellStyle name="Normal 6 2 5 3" xfId="1093" xr:uid="{00000000-0005-0000-0000-000075060000}"/>
    <cellStyle name="Normal 6 2 5 3 2" xfId="2095" xr:uid="{00000000-0005-0000-0000-000076060000}"/>
    <cellStyle name="Normal 6 2 5 4" xfId="1594" xr:uid="{00000000-0005-0000-0000-000077060000}"/>
    <cellStyle name="Normal 6 2 6" xfId="713" xr:uid="{00000000-0005-0000-0000-000078060000}"/>
    <cellStyle name="Normal 6 2 6 2" xfId="1217" xr:uid="{00000000-0005-0000-0000-000079060000}"/>
    <cellStyle name="Normal 6 2 6 2 2" xfId="2219" xr:uid="{00000000-0005-0000-0000-00007A060000}"/>
    <cellStyle name="Normal 6 2 6 3" xfId="1718" xr:uid="{00000000-0005-0000-0000-00007B060000}"/>
    <cellStyle name="Normal 6 2 7" xfId="969" xr:uid="{00000000-0005-0000-0000-00007C060000}"/>
    <cellStyle name="Normal 6 2 7 2" xfId="1971" xr:uid="{00000000-0005-0000-0000-00007D060000}"/>
    <cellStyle name="Normal 6 2 8" xfId="1470" xr:uid="{00000000-0005-0000-0000-00007E060000}"/>
    <cellStyle name="Normal 6 3" xfId="459" xr:uid="{00000000-0005-0000-0000-00007F060000}"/>
    <cellStyle name="Normal 6 3 2" xfId="489" xr:uid="{00000000-0005-0000-0000-000080060000}"/>
    <cellStyle name="Normal 6 3 2 2" xfId="562" xr:uid="{00000000-0005-0000-0000-000081060000}"/>
    <cellStyle name="Normal 6 3 2 2 2" xfId="686" xr:uid="{00000000-0005-0000-0000-000082060000}"/>
    <cellStyle name="Normal 6 3 2 2 2 2" xfId="934" xr:uid="{00000000-0005-0000-0000-000083060000}"/>
    <cellStyle name="Normal 6 3 2 2 2 2 2" xfId="1438" xr:uid="{00000000-0005-0000-0000-000084060000}"/>
    <cellStyle name="Normal 6 3 2 2 2 2 2 2" xfId="2440" xr:uid="{00000000-0005-0000-0000-000085060000}"/>
    <cellStyle name="Normal 6 3 2 2 2 2 3" xfId="1939" xr:uid="{00000000-0005-0000-0000-000086060000}"/>
    <cellStyle name="Normal 6 3 2 2 2 3" xfId="1190" xr:uid="{00000000-0005-0000-0000-000087060000}"/>
    <cellStyle name="Normal 6 3 2 2 2 3 2" xfId="2192" xr:uid="{00000000-0005-0000-0000-000088060000}"/>
    <cellStyle name="Normal 6 3 2 2 2 4" xfId="1691" xr:uid="{00000000-0005-0000-0000-000089060000}"/>
    <cellStyle name="Normal 6 3 2 2 3" xfId="810" xr:uid="{00000000-0005-0000-0000-00008A060000}"/>
    <cellStyle name="Normal 6 3 2 2 3 2" xfId="1314" xr:uid="{00000000-0005-0000-0000-00008B060000}"/>
    <cellStyle name="Normal 6 3 2 2 3 2 2" xfId="2316" xr:uid="{00000000-0005-0000-0000-00008C060000}"/>
    <cellStyle name="Normal 6 3 2 2 3 3" xfId="1815" xr:uid="{00000000-0005-0000-0000-00008D060000}"/>
    <cellStyle name="Normal 6 3 2 2 4" xfId="1066" xr:uid="{00000000-0005-0000-0000-00008E060000}"/>
    <cellStyle name="Normal 6 3 2 2 4 2" xfId="2068" xr:uid="{00000000-0005-0000-0000-00008F060000}"/>
    <cellStyle name="Normal 6 3 2 2 5" xfId="1567" xr:uid="{00000000-0005-0000-0000-000090060000}"/>
    <cellStyle name="Normal 6 3 2 3" xfId="613" xr:uid="{00000000-0005-0000-0000-000091060000}"/>
    <cellStyle name="Normal 6 3 2 3 2" xfId="861" xr:uid="{00000000-0005-0000-0000-000092060000}"/>
    <cellStyle name="Normal 6 3 2 3 2 2" xfId="1365" xr:uid="{00000000-0005-0000-0000-000093060000}"/>
    <cellStyle name="Normal 6 3 2 3 2 2 2" xfId="2367" xr:uid="{00000000-0005-0000-0000-000094060000}"/>
    <cellStyle name="Normal 6 3 2 3 2 3" xfId="1866" xr:uid="{00000000-0005-0000-0000-000095060000}"/>
    <cellStyle name="Normal 6 3 2 3 3" xfId="1117" xr:uid="{00000000-0005-0000-0000-000096060000}"/>
    <cellStyle name="Normal 6 3 2 3 3 2" xfId="2119" xr:uid="{00000000-0005-0000-0000-000097060000}"/>
    <cellStyle name="Normal 6 3 2 3 4" xfId="1618" xr:uid="{00000000-0005-0000-0000-000098060000}"/>
    <cellStyle name="Normal 6 3 2 4" xfId="737" xr:uid="{00000000-0005-0000-0000-000099060000}"/>
    <cellStyle name="Normal 6 3 2 4 2" xfId="1241" xr:uid="{00000000-0005-0000-0000-00009A060000}"/>
    <cellStyle name="Normal 6 3 2 4 2 2" xfId="2243" xr:uid="{00000000-0005-0000-0000-00009B060000}"/>
    <cellStyle name="Normal 6 3 2 4 3" xfId="1742" xr:uid="{00000000-0005-0000-0000-00009C060000}"/>
    <cellStyle name="Normal 6 3 2 5" xfId="993" xr:uid="{00000000-0005-0000-0000-00009D060000}"/>
    <cellStyle name="Normal 6 3 2 5 2" xfId="1995" xr:uid="{00000000-0005-0000-0000-00009E060000}"/>
    <cellStyle name="Normal 6 3 2 6" xfId="1494" xr:uid="{00000000-0005-0000-0000-00009F060000}"/>
    <cellStyle name="Normal 6 3 3" xfId="509" xr:uid="{00000000-0005-0000-0000-0000A0060000}"/>
    <cellStyle name="Normal 6 3 3 2" xfId="563" xr:uid="{00000000-0005-0000-0000-0000A1060000}"/>
    <cellStyle name="Normal 6 3 3 2 2" xfId="687" xr:uid="{00000000-0005-0000-0000-0000A2060000}"/>
    <cellStyle name="Normal 6 3 3 2 2 2" xfId="935" xr:uid="{00000000-0005-0000-0000-0000A3060000}"/>
    <cellStyle name="Normal 6 3 3 2 2 2 2" xfId="1439" xr:uid="{00000000-0005-0000-0000-0000A4060000}"/>
    <cellStyle name="Normal 6 3 3 2 2 2 2 2" xfId="2441" xr:uid="{00000000-0005-0000-0000-0000A5060000}"/>
    <cellStyle name="Normal 6 3 3 2 2 2 3" xfId="1940" xr:uid="{00000000-0005-0000-0000-0000A6060000}"/>
    <cellStyle name="Normal 6 3 3 2 2 3" xfId="1191" xr:uid="{00000000-0005-0000-0000-0000A7060000}"/>
    <cellStyle name="Normal 6 3 3 2 2 3 2" xfId="2193" xr:uid="{00000000-0005-0000-0000-0000A8060000}"/>
    <cellStyle name="Normal 6 3 3 2 2 4" xfId="1692" xr:uid="{00000000-0005-0000-0000-0000A9060000}"/>
    <cellStyle name="Normal 6 3 3 2 3" xfId="811" xr:uid="{00000000-0005-0000-0000-0000AA060000}"/>
    <cellStyle name="Normal 6 3 3 2 3 2" xfId="1315" xr:uid="{00000000-0005-0000-0000-0000AB060000}"/>
    <cellStyle name="Normal 6 3 3 2 3 2 2" xfId="2317" xr:uid="{00000000-0005-0000-0000-0000AC060000}"/>
    <cellStyle name="Normal 6 3 3 2 3 3" xfId="1816" xr:uid="{00000000-0005-0000-0000-0000AD060000}"/>
    <cellStyle name="Normal 6 3 3 2 4" xfId="1067" xr:uid="{00000000-0005-0000-0000-0000AE060000}"/>
    <cellStyle name="Normal 6 3 3 2 4 2" xfId="2069" xr:uid="{00000000-0005-0000-0000-0000AF060000}"/>
    <cellStyle name="Normal 6 3 3 2 5" xfId="1568" xr:uid="{00000000-0005-0000-0000-0000B0060000}"/>
    <cellStyle name="Normal 6 3 3 3" xfId="633" xr:uid="{00000000-0005-0000-0000-0000B1060000}"/>
    <cellStyle name="Normal 6 3 3 3 2" xfId="881" xr:uid="{00000000-0005-0000-0000-0000B2060000}"/>
    <cellStyle name="Normal 6 3 3 3 2 2" xfId="1385" xr:uid="{00000000-0005-0000-0000-0000B3060000}"/>
    <cellStyle name="Normal 6 3 3 3 2 2 2" xfId="2387" xr:uid="{00000000-0005-0000-0000-0000B4060000}"/>
    <cellStyle name="Normal 6 3 3 3 2 3" xfId="1886" xr:uid="{00000000-0005-0000-0000-0000B5060000}"/>
    <cellStyle name="Normal 6 3 3 3 3" xfId="1137" xr:uid="{00000000-0005-0000-0000-0000B6060000}"/>
    <cellStyle name="Normal 6 3 3 3 3 2" xfId="2139" xr:uid="{00000000-0005-0000-0000-0000B7060000}"/>
    <cellStyle name="Normal 6 3 3 3 4" xfId="1638" xr:uid="{00000000-0005-0000-0000-0000B8060000}"/>
    <cellStyle name="Normal 6 3 3 4" xfId="757" xr:uid="{00000000-0005-0000-0000-0000B9060000}"/>
    <cellStyle name="Normal 6 3 3 4 2" xfId="1261" xr:uid="{00000000-0005-0000-0000-0000BA060000}"/>
    <cellStyle name="Normal 6 3 3 4 2 2" xfId="2263" xr:uid="{00000000-0005-0000-0000-0000BB060000}"/>
    <cellStyle name="Normal 6 3 3 4 3" xfId="1762" xr:uid="{00000000-0005-0000-0000-0000BC060000}"/>
    <cellStyle name="Normal 6 3 3 5" xfId="1013" xr:uid="{00000000-0005-0000-0000-0000BD060000}"/>
    <cellStyle name="Normal 6 3 3 5 2" xfId="2015" xr:uid="{00000000-0005-0000-0000-0000BE060000}"/>
    <cellStyle name="Normal 6 3 3 6" xfId="1514" xr:uid="{00000000-0005-0000-0000-0000BF060000}"/>
    <cellStyle name="Normal 6 3 4" xfId="561" xr:uid="{00000000-0005-0000-0000-0000C0060000}"/>
    <cellStyle name="Normal 6 3 4 2" xfId="685" xr:uid="{00000000-0005-0000-0000-0000C1060000}"/>
    <cellStyle name="Normal 6 3 4 2 2" xfId="933" xr:uid="{00000000-0005-0000-0000-0000C2060000}"/>
    <cellStyle name="Normal 6 3 4 2 2 2" xfId="1437" xr:uid="{00000000-0005-0000-0000-0000C3060000}"/>
    <cellStyle name="Normal 6 3 4 2 2 2 2" xfId="2439" xr:uid="{00000000-0005-0000-0000-0000C4060000}"/>
    <cellStyle name="Normal 6 3 4 2 2 3" xfId="1938" xr:uid="{00000000-0005-0000-0000-0000C5060000}"/>
    <cellStyle name="Normal 6 3 4 2 3" xfId="1189" xr:uid="{00000000-0005-0000-0000-0000C6060000}"/>
    <cellStyle name="Normal 6 3 4 2 3 2" xfId="2191" xr:uid="{00000000-0005-0000-0000-0000C7060000}"/>
    <cellStyle name="Normal 6 3 4 2 4" xfId="1690" xr:uid="{00000000-0005-0000-0000-0000C8060000}"/>
    <cellStyle name="Normal 6 3 4 3" xfId="809" xr:uid="{00000000-0005-0000-0000-0000C9060000}"/>
    <cellStyle name="Normal 6 3 4 3 2" xfId="1313" xr:uid="{00000000-0005-0000-0000-0000CA060000}"/>
    <cellStyle name="Normal 6 3 4 3 2 2" xfId="2315" xr:uid="{00000000-0005-0000-0000-0000CB060000}"/>
    <cellStyle name="Normal 6 3 4 3 3" xfId="1814" xr:uid="{00000000-0005-0000-0000-0000CC060000}"/>
    <cellStyle name="Normal 6 3 4 4" xfId="1065" xr:uid="{00000000-0005-0000-0000-0000CD060000}"/>
    <cellStyle name="Normal 6 3 4 4 2" xfId="2067" xr:uid="{00000000-0005-0000-0000-0000CE060000}"/>
    <cellStyle name="Normal 6 3 4 5" xfId="1566" xr:uid="{00000000-0005-0000-0000-0000CF060000}"/>
    <cellStyle name="Normal 6 3 5" xfId="591" xr:uid="{00000000-0005-0000-0000-0000D0060000}"/>
    <cellStyle name="Normal 6 3 5 2" xfId="839" xr:uid="{00000000-0005-0000-0000-0000D1060000}"/>
    <cellStyle name="Normal 6 3 5 2 2" xfId="1343" xr:uid="{00000000-0005-0000-0000-0000D2060000}"/>
    <cellStyle name="Normal 6 3 5 2 2 2" xfId="2345" xr:uid="{00000000-0005-0000-0000-0000D3060000}"/>
    <cellStyle name="Normal 6 3 5 2 3" xfId="1844" xr:uid="{00000000-0005-0000-0000-0000D4060000}"/>
    <cellStyle name="Normal 6 3 5 3" xfId="1095" xr:uid="{00000000-0005-0000-0000-0000D5060000}"/>
    <cellStyle name="Normal 6 3 5 3 2" xfId="2097" xr:uid="{00000000-0005-0000-0000-0000D6060000}"/>
    <cellStyle name="Normal 6 3 5 4" xfId="1596" xr:uid="{00000000-0005-0000-0000-0000D7060000}"/>
    <cellStyle name="Normal 6 3 6" xfId="715" xr:uid="{00000000-0005-0000-0000-0000D8060000}"/>
    <cellStyle name="Normal 6 3 6 2" xfId="1219" xr:uid="{00000000-0005-0000-0000-0000D9060000}"/>
    <cellStyle name="Normal 6 3 6 2 2" xfId="2221" xr:uid="{00000000-0005-0000-0000-0000DA060000}"/>
    <cellStyle name="Normal 6 3 6 3" xfId="1720" xr:uid="{00000000-0005-0000-0000-0000DB060000}"/>
    <cellStyle name="Normal 6 3 7" xfId="971" xr:uid="{00000000-0005-0000-0000-0000DC060000}"/>
    <cellStyle name="Normal 6 3 7 2" xfId="1973" xr:uid="{00000000-0005-0000-0000-0000DD060000}"/>
    <cellStyle name="Normal 6 3 8" xfId="1472" xr:uid="{00000000-0005-0000-0000-0000DE060000}"/>
    <cellStyle name="Normal 6 4" xfId="461" xr:uid="{00000000-0005-0000-0000-0000DF060000}"/>
    <cellStyle name="Normal 6 4 2" xfId="491" xr:uid="{00000000-0005-0000-0000-0000E0060000}"/>
    <cellStyle name="Normal 6 4 2 2" xfId="565" xr:uid="{00000000-0005-0000-0000-0000E1060000}"/>
    <cellStyle name="Normal 6 4 2 2 2" xfId="689" xr:uid="{00000000-0005-0000-0000-0000E2060000}"/>
    <cellStyle name="Normal 6 4 2 2 2 2" xfId="937" xr:uid="{00000000-0005-0000-0000-0000E3060000}"/>
    <cellStyle name="Normal 6 4 2 2 2 2 2" xfId="1441" xr:uid="{00000000-0005-0000-0000-0000E4060000}"/>
    <cellStyle name="Normal 6 4 2 2 2 2 2 2" xfId="2443" xr:uid="{00000000-0005-0000-0000-0000E5060000}"/>
    <cellStyle name="Normal 6 4 2 2 2 2 3" xfId="1942" xr:uid="{00000000-0005-0000-0000-0000E6060000}"/>
    <cellStyle name="Normal 6 4 2 2 2 3" xfId="1193" xr:uid="{00000000-0005-0000-0000-0000E7060000}"/>
    <cellStyle name="Normal 6 4 2 2 2 3 2" xfId="2195" xr:uid="{00000000-0005-0000-0000-0000E8060000}"/>
    <cellStyle name="Normal 6 4 2 2 2 4" xfId="1694" xr:uid="{00000000-0005-0000-0000-0000E9060000}"/>
    <cellStyle name="Normal 6 4 2 2 3" xfId="813" xr:uid="{00000000-0005-0000-0000-0000EA060000}"/>
    <cellStyle name="Normal 6 4 2 2 3 2" xfId="1317" xr:uid="{00000000-0005-0000-0000-0000EB060000}"/>
    <cellStyle name="Normal 6 4 2 2 3 2 2" xfId="2319" xr:uid="{00000000-0005-0000-0000-0000EC060000}"/>
    <cellStyle name="Normal 6 4 2 2 3 3" xfId="1818" xr:uid="{00000000-0005-0000-0000-0000ED060000}"/>
    <cellStyle name="Normal 6 4 2 2 4" xfId="1069" xr:uid="{00000000-0005-0000-0000-0000EE060000}"/>
    <cellStyle name="Normal 6 4 2 2 4 2" xfId="2071" xr:uid="{00000000-0005-0000-0000-0000EF060000}"/>
    <cellStyle name="Normal 6 4 2 2 5" xfId="1570" xr:uid="{00000000-0005-0000-0000-0000F0060000}"/>
    <cellStyle name="Normal 6 4 2 3" xfId="615" xr:uid="{00000000-0005-0000-0000-0000F1060000}"/>
    <cellStyle name="Normal 6 4 2 3 2" xfId="863" xr:uid="{00000000-0005-0000-0000-0000F2060000}"/>
    <cellStyle name="Normal 6 4 2 3 2 2" xfId="1367" xr:uid="{00000000-0005-0000-0000-0000F3060000}"/>
    <cellStyle name="Normal 6 4 2 3 2 2 2" xfId="2369" xr:uid="{00000000-0005-0000-0000-0000F4060000}"/>
    <cellStyle name="Normal 6 4 2 3 2 3" xfId="1868" xr:uid="{00000000-0005-0000-0000-0000F5060000}"/>
    <cellStyle name="Normal 6 4 2 3 3" xfId="1119" xr:uid="{00000000-0005-0000-0000-0000F6060000}"/>
    <cellStyle name="Normal 6 4 2 3 3 2" xfId="2121" xr:uid="{00000000-0005-0000-0000-0000F7060000}"/>
    <cellStyle name="Normal 6 4 2 3 4" xfId="1620" xr:uid="{00000000-0005-0000-0000-0000F8060000}"/>
    <cellStyle name="Normal 6 4 2 4" xfId="739" xr:uid="{00000000-0005-0000-0000-0000F9060000}"/>
    <cellStyle name="Normal 6 4 2 4 2" xfId="1243" xr:uid="{00000000-0005-0000-0000-0000FA060000}"/>
    <cellStyle name="Normal 6 4 2 4 2 2" xfId="2245" xr:uid="{00000000-0005-0000-0000-0000FB060000}"/>
    <cellStyle name="Normal 6 4 2 4 3" xfId="1744" xr:uid="{00000000-0005-0000-0000-0000FC060000}"/>
    <cellStyle name="Normal 6 4 2 5" xfId="995" xr:uid="{00000000-0005-0000-0000-0000FD060000}"/>
    <cellStyle name="Normal 6 4 2 5 2" xfId="1997" xr:uid="{00000000-0005-0000-0000-0000FE060000}"/>
    <cellStyle name="Normal 6 4 2 6" xfId="1496" xr:uid="{00000000-0005-0000-0000-0000FF060000}"/>
    <cellStyle name="Normal 6 4 3" xfId="511" xr:uid="{00000000-0005-0000-0000-000000070000}"/>
    <cellStyle name="Normal 6 4 3 2" xfId="566" xr:uid="{00000000-0005-0000-0000-000001070000}"/>
    <cellStyle name="Normal 6 4 3 2 2" xfId="690" xr:uid="{00000000-0005-0000-0000-000002070000}"/>
    <cellStyle name="Normal 6 4 3 2 2 2" xfId="938" xr:uid="{00000000-0005-0000-0000-000003070000}"/>
    <cellStyle name="Normal 6 4 3 2 2 2 2" xfId="1442" xr:uid="{00000000-0005-0000-0000-000004070000}"/>
    <cellStyle name="Normal 6 4 3 2 2 2 2 2" xfId="2444" xr:uid="{00000000-0005-0000-0000-000005070000}"/>
    <cellStyle name="Normal 6 4 3 2 2 2 3" xfId="1943" xr:uid="{00000000-0005-0000-0000-000006070000}"/>
    <cellStyle name="Normal 6 4 3 2 2 3" xfId="1194" xr:uid="{00000000-0005-0000-0000-000007070000}"/>
    <cellStyle name="Normal 6 4 3 2 2 3 2" xfId="2196" xr:uid="{00000000-0005-0000-0000-000008070000}"/>
    <cellStyle name="Normal 6 4 3 2 2 4" xfId="1695" xr:uid="{00000000-0005-0000-0000-000009070000}"/>
    <cellStyle name="Normal 6 4 3 2 3" xfId="814" xr:uid="{00000000-0005-0000-0000-00000A070000}"/>
    <cellStyle name="Normal 6 4 3 2 3 2" xfId="1318" xr:uid="{00000000-0005-0000-0000-00000B070000}"/>
    <cellStyle name="Normal 6 4 3 2 3 2 2" xfId="2320" xr:uid="{00000000-0005-0000-0000-00000C070000}"/>
    <cellStyle name="Normal 6 4 3 2 3 3" xfId="1819" xr:uid="{00000000-0005-0000-0000-00000D070000}"/>
    <cellStyle name="Normal 6 4 3 2 4" xfId="1070" xr:uid="{00000000-0005-0000-0000-00000E070000}"/>
    <cellStyle name="Normal 6 4 3 2 4 2" xfId="2072" xr:uid="{00000000-0005-0000-0000-00000F070000}"/>
    <cellStyle name="Normal 6 4 3 2 5" xfId="1571" xr:uid="{00000000-0005-0000-0000-000010070000}"/>
    <cellStyle name="Normal 6 4 3 3" xfId="635" xr:uid="{00000000-0005-0000-0000-000011070000}"/>
    <cellStyle name="Normal 6 4 3 3 2" xfId="883" xr:uid="{00000000-0005-0000-0000-000012070000}"/>
    <cellStyle name="Normal 6 4 3 3 2 2" xfId="1387" xr:uid="{00000000-0005-0000-0000-000013070000}"/>
    <cellStyle name="Normal 6 4 3 3 2 2 2" xfId="2389" xr:uid="{00000000-0005-0000-0000-000014070000}"/>
    <cellStyle name="Normal 6 4 3 3 2 3" xfId="1888" xr:uid="{00000000-0005-0000-0000-000015070000}"/>
    <cellStyle name="Normal 6 4 3 3 3" xfId="1139" xr:uid="{00000000-0005-0000-0000-000016070000}"/>
    <cellStyle name="Normal 6 4 3 3 3 2" xfId="2141" xr:uid="{00000000-0005-0000-0000-000017070000}"/>
    <cellStyle name="Normal 6 4 3 3 4" xfId="1640" xr:uid="{00000000-0005-0000-0000-000018070000}"/>
    <cellStyle name="Normal 6 4 3 4" xfId="759" xr:uid="{00000000-0005-0000-0000-000019070000}"/>
    <cellStyle name="Normal 6 4 3 4 2" xfId="1263" xr:uid="{00000000-0005-0000-0000-00001A070000}"/>
    <cellStyle name="Normal 6 4 3 4 2 2" xfId="2265" xr:uid="{00000000-0005-0000-0000-00001B070000}"/>
    <cellStyle name="Normal 6 4 3 4 3" xfId="1764" xr:uid="{00000000-0005-0000-0000-00001C070000}"/>
    <cellStyle name="Normal 6 4 3 5" xfId="1015" xr:uid="{00000000-0005-0000-0000-00001D070000}"/>
    <cellStyle name="Normal 6 4 3 5 2" xfId="2017" xr:uid="{00000000-0005-0000-0000-00001E070000}"/>
    <cellStyle name="Normal 6 4 3 6" xfId="1516" xr:uid="{00000000-0005-0000-0000-00001F070000}"/>
    <cellStyle name="Normal 6 4 4" xfId="564" xr:uid="{00000000-0005-0000-0000-000020070000}"/>
    <cellStyle name="Normal 6 4 4 2" xfId="688" xr:uid="{00000000-0005-0000-0000-000021070000}"/>
    <cellStyle name="Normal 6 4 4 2 2" xfId="936" xr:uid="{00000000-0005-0000-0000-000022070000}"/>
    <cellStyle name="Normal 6 4 4 2 2 2" xfId="1440" xr:uid="{00000000-0005-0000-0000-000023070000}"/>
    <cellStyle name="Normal 6 4 4 2 2 2 2" xfId="2442" xr:uid="{00000000-0005-0000-0000-000024070000}"/>
    <cellStyle name="Normal 6 4 4 2 2 3" xfId="1941" xr:uid="{00000000-0005-0000-0000-000025070000}"/>
    <cellStyle name="Normal 6 4 4 2 3" xfId="1192" xr:uid="{00000000-0005-0000-0000-000026070000}"/>
    <cellStyle name="Normal 6 4 4 2 3 2" xfId="2194" xr:uid="{00000000-0005-0000-0000-000027070000}"/>
    <cellStyle name="Normal 6 4 4 2 4" xfId="1693" xr:uid="{00000000-0005-0000-0000-000028070000}"/>
    <cellStyle name="Normal 6 4 4 3" xfId="812" xr:uid="{00000000-0005-0000-0000-000029070000}"/>
    <cellStyle name="Normal 6 4 4 3 2" xfId="1316" xr:uid="{00000000-0005-0000-0000-00002A070000}"/>
    <cellStyle name="Normal 6 4 4 3 2 2" xfId="2318" xr:uid="{00000000-0005-0000-0000-00002B070000}"/>
    <cellStyle name="Normal 6 4 4 3 3" xfId="1817" xr:uid="{00000000-0005-0000-0000-00002C070000}"/>
    <cellStyle name="Normal 6 4 4 4" xfId="1068" xr:uid="{00000000-0005-0000-0000-00002D070000}"/>
    <cellStyle name="Normal 6 4 4 4 2" xfId="2070" xr:uid="{00000000-0005-0000-0000-00002E070000}"/>
    <cellStyle name="Normal 6 4 4 5" xfId="1569" xr:uid="{00000000-0005-0000-0000-00002F070000}"/>
    <cellStyle name="Normal 6 4 5" xfId="593" xr:uid="{00000000-0005-0000-0000-000030070000}"/>
    <cellStyle name="Normal 6 4 5 2" xfId="841" xr:uid="{00000000-0005-0000-0000-000031070000}"/>
    <cellStyle name="Normal 6 4 5 2 2" xfId="1345" xr:uid="{00000000-0005-0000-0000-000032070000}"/>
    <cellStyle name="Normal 6 4 5 2 2 2" xfId="2347" xr:uid="{00000000-0005-0000-0000-000033070000}"/>
    <cellStyle name="Normal 6 4 5 2 3" xfId="1846" xr:uid="{00000000-0005-0000-0000-000034070000}"/>
    <cellStyle name="Normal 6 4 5 3" xfId="1097" xr:uid="{00000000-0005-0000-0000-000035070000}"/>
    <cellStyle name="Normal 6 4 5 3 2" xfId="2099" xr:uid="{00000000-0005-0000-0000-000036070000}"/>
    <cellStyle name="Normal 6 4 5 4" xfId="1598" xr:uid="{00000000-0005-0000-0000-000037070000}"/>
    <cellStyle name="Normal 6 4 6" xfId="717" xr:uid="{00000000-0005-0000-0000-000038070000}"/>
    <cellStyle name="Normal 6 4 6 2" xfId="1221" xr:uid="{00000000-0005-0000-0000-000039070000}"/>
    <cellStyle name="Normal 6 4 6 2 2" xfId="2223" xr:uid="{00000000-0005-0000-0000-00003A070000}"/>
    <cellStyle name="Normal 6 4 6 3" xfId="1722" xr:uid="{00000000-0005-0000-0000-00003B070000}"/>
    <cellStyle name="Normal 6 4 7" xfId="973" xr:uid="{00000000-0005-0000-0000-00003C070000}"/>
    <cellStyle name="Normal 6 4 7 2" xfId="1975" xr:uid="{00000000-0005-0000-0000-00003D070000}"/>
    <cellStyle name="Normal 6 4 8" xfId="1474" xr:uid="{00000000-0005-0000-0000-00003E070000}"/>
    <cellStyle name="Normal 6 5" xfId="463" xr:uid="{00000000-0005-0000-0000-00003F070000}"/>
    <cellStyle name="Normal 6 5 2" xfId="493" xr:uid="{00000000-0005-0000-0000-000040070000}"/>
    <cellStyle name="Normal 6 5 2 2" xfId="568" xr:uid="{00000000-0005-0000-0000-000041070000}"/>
    <cellStyle name="Normal 6 5 2 2 2" xfId="692" xr:uid="{00000000-0005-0000-0000-000042070000}"/>
    <cellStyle name="Normal 6 5 2 2 2 2" xfId="940" xr:uid="{00000000-0005-0000-0000-000043070000}"/>
    <cellStyle name="Normal 6 5 2 2 2 2 2" xfId="1444" xr:uid="{00000000-0005-0000-0000-000044070000}"/>
    <cellStyle name="Normal 6 5 2 2 2 2 2 2" xfId="2446" xr:uid="{00000000-0005-0000-0000-000045070000}"/>
    <cellStyle name="Normal 6 5 2 2 2 2 3" xfId="1945" xr:uid="{00000000-0005-0000-0000-000046070000}"/>
    <cellStyle name="Normal 6 5 2 2 2 3" xfId="1196" xr:uid="{00000000-0005-0000-0000-000047070000}"/>
    <cellStyle name="Normal 6 5 2 2 2 3 2" xfId="2198" xr:uid="{00000000-0005-0000-0000-000048070000}"/>
    <cellStyle name="Normal 6 5 2 2 2 4" xfId="1697" xr:uid="{00000000-0005-0000-0000-000049070000}"/>
    <cellStyle name="Normal 6 5 2 2 3" xfId="816" xr:uid="{00000000-0005-0000-0000-00004A070000}"/>
    <cellStyle name="Normal 6 5 2 2 3 2" xfId="1320" xr:uid="{00000000-0005-0000-0000-00004B070000}"/>
    <cellStyle name="Normal 6 5 2 2 3 2 2" xfId="2322" xr:uid="{00000000-0005-0000-0000-00004C070000}"/>
    <cellStyle name="Normal 6 5 2 2 3 3" xfId="1821" xr:uid="{00000000-0005-0000-0000-00004D070000}"/>
    <cellStyle name="Normal 6 5 2 2 4" xfId="1072" xr:uid="{00000000-0005-0000-0000-00004E070000}"/>
    <cellStyle name="Normal 6 5 2 2 4 2" xfId="2074" xr:uid="{00000000-0005-0000-0000-00004F070000}"/>
    <cellStyle name="Normal 6 5 2 2 5" xfId="1573" xr:uid="{00000000-0005-0000-0000-000050070000}"/>
    <cellStyle name="Normal 6 5 2 3" xfId="617" xr:uid="{00000000-0005-0000-0000-000051070000}"/>
    <cellStyle name="Normal 6 5 2 3 2" xfId="865" xr:uid="{00000000-0005-0000-0000-000052070000}"/>
    <cellStyle name="Normal 6 5 2 3 2 2" xfId="1369" xr:uid="{00000000-0005-0000-0000-000053070000}"/>
    <cellStyle name="Normal 6 5 2 3 2 2 2" xfId="2371" xr:uid="{00000000-0005-0000-0000-000054070000}"/>
    <cellStyle name="Normal 6 5 2 3 2 3" xfId="1870" xr:uid="{00000000-0005-0000-0000-000055070000}"/>
    <cellStyle name="Normal 6 5 2 3 3" xfId="1121" xr:uid="{00000000-0005-0000-0000-000056070000}"/>
    <cellStyle name="Normal 6 5 2 3 3 2" xfId="2123" xr:uid="{00000000-0005-0000-0000-000057070000}"/>
    <cellStyle name="Normal 6 5 2 3 4" xfId="1622" xr:uid="{00000000-0005-0000-0000-000058070000}"/>
    <cellStyle name="Normal 6 5 2 4" xfId="741" xr:uid="{00000000-0005-0000-0000-000059070000}"/>
    <cellStyle name="Normal 6 5 2 4 2" xfId="1245" xr:uid="{00000000-0005-0000-0000-00005A070000}"/>
    <cellStyle name="Normal 6 5 2 4 2 2" xfId="2247" xr:uid="{00000000-0005-0000-0000-00005B070000}"/>
    <cellStyle name="Normal 6 5 2 4 3" xfId="1746" xr:uid="{00000000-0005-0000-0000-00005C070000}"/>
    <cellStyle name="Normal 6 5 2 5" xfId="997" xr:uid="{00000000-0005-0000-0000-00005D070000}"/>
    <cellStyle name="Normal 6 5 2 5 2" xfId="1999" xr:uid="{00000000-0005-0000-0000-00005E070000}"/>
    <cellStyle name="Normal 6 5 2 6" xfId="1498" xr:uid="{00000000-0005-0000-0000-00005F070000}"/>
    <cellStyle name="Normal 6 5 3" xfId="513" xr:uid="{00000000-0005-0000-0000-000060070000}"/>
    <cellStyle name="Normal 6 5 3 2" xfId="569" xr:uid="{00000000-0005-0000-0000-000061070000}"/>
    <cellStyle name="Normal 6 5 3 2 2" xfId="693" xr:uid="{00000000-0005-0000-0000-000062070000}"/>
    <cellStyle name="Normal 6 5 3 2 2 2" xfId="941" xr:uid="{00000000-0005-0000-0000-000063070000}"/>
    <cellStyle name="Normal 6 5 3 2 2 2 2" xfId="1445" xr:uid="{00000000-0005-0000-0000-000064070000}"/>
    <cellStyle name="Normal 6 5 3 2 2 2 2 2" xfId="2447" xr:uid="{00000000-0005-0000-0000-000065070000}"/>
    <cellStyle name="Normal 6 5 3 2 2 2 3" xfId="1946" xr:uid="{00000000-0005-0000-0000-000066070000}"/>
    <cellStyle name="Normal 6 5 3 2 2 3" xfId="1197" xr:uid="{00000000-0005-0000-0000-000067070000}"/>
    <cellStyle name="Normal 6 5 3 2 2 3 2" xfId="2199" xr:uid="{00000000-0005-0000-0000-000068070000}"/>
    <cellStyle name="Normal 6 5 3 2 2 4" xfId="1698" xr:uid="{00000000-0005-0000-0000-000069070000}"/>
    <cellStyle name="Normal 6 5 3 2 3" xfId="817" xr:uid="{00000000-0005-0000-0000-00006A070000}"/>
    <cellStyle name="Normal 6 5 3 2 3 2" xfId="1321" xr:uid="{00000000-0005-0000-0000-00006B070000}"/>
    <cellStyle name="Normal 6 5 3 2 3 2 2" xfId="2323" xr:uid="{00000000-0005-0000-0000-00006C070000}"/>
    <cellStyle name="Normal 6 5 3 2 3 3" xfId="1822" xr:uid="{00000000-0005-0000-0000-00006D070000}"/>
    <cellStyle name="Normal 6 5 3 2 4" xfId="1073" xr:uid="{00000000-0005-0000-0000-00006E070000}"/>
    <cellStyle name="Normal 6 5 3 2 4 2" xfId="2075" xr:uid="{00000000-0005-0000-0000-00006F070000}"/>
    <cellStyle name="Normal 6 5 3 2 5" xfId="1574" xr:uid="{00000000-0005-0000-0000-000070070000}"/>
    <cellStyle name="Normal 6 5 3 3" xfId="637" xr:uid="{00000000-0005-0000-0000-000071070000}"/>
    <cellStyle name="Normal 6 5 3 3 2" xfId="885" xr:uid="{00000000-0005-0000-0000-000072070000}"/>
    <cellStyle name="Normal 6 5 3 3 2 2" xfId="1389" xr:uid="{00000000-0005-0000-0000-000073070000}"/>
    <cellStyle name="Normal 6 5 3 3 2 2 2" xfId="2391" xr:uid="{00000000-0005-0000-0000-000074070000}"/>
    <cellStyle name="Normal 6 5 3 3 2 3" xfId="1890" xr:uid="{00000000-0005-0000-0000-000075070000}"/>
    <cellStyle name="Normal 6 5 3 3 3" xfId="1141" xr:uid="{00000000-0005-0000-0000-000076070000}"/>
    <cellStyle name="Normal 6 5 3 3 3 2" xfId="2143" xr:uid="{00000000-0005-0000-0000-000077070000}"/>
    <cellStyle name="Normal 6 5 3 3 4" xfId="1642" xr:uid="{00000000-0005-0000-0000-000078070000}"/>
    <cellStyle name="Normal 6 5 3 4" xfId="761" xr:uid="{00000000-0005-0000-0000-000079070000}"/>
    <cellStyle name="Normal 6 5 3 4 2" xfId="1265" xr:uid="{00000000-0005-0000-0000-00007A070000}"/>
    <cellStyle name="Normal 6 5 3 4 2 2" xfId="2267" xr:uid="{00000000-0005-0000-0000-00007B070000}"/>
    <cellStyle name="Normal 6 5 3 4 3" xfId="1766" xr:uid="{00000000-0005-0000-0000-00007C070000}"/>
    <cellStyle name="Normal 6 5 3 5" xfId="1017" xr:uid="{00000000-0005-0000-0000-00007D070000}"/>
    <cellStyle name="Normal 6 5 3 5 2" xfId="2019" xr:uid="{00000000-0005-0000-0000-00007E070000}"/>
    <cellStyle name="Normal 6 5 3 6" xfId="1518" xr:uid="{00000000-0005-0000-0000-00007F070000}"/>
    <cellStyle name="Normal 6 5 4" xfId="567" xr:uid="{00000000-0005-0000-0000-000080070000}"/>
    <cellStyle name="Normal 6 5 4 2" xfId="691" xr:uid="{00000000-0005-0000-0000-000081070000}"/>
    <cellStyle name="Normal 6 5 4 2 2" xfId="939" xr:uid="{00000000-0005-0000-0000-000082070000}"/>
    <cellStyle name="Normal 6 5 4 2 2 2" xfId="1443" xr:uid="{00000000-0005-0000-0000-000083070000}"/>
    <cellStyle name="Normal 6 5 4 2 2 2 2" xfId="2445" xr:uid="{00000000-0005-0000-0000-000084070000}"/>
    <cellStyle name="Normal 6 5 4 2 2 3" xfId="1944" xr:uid="{00000000-0005-0000-0000-000085070000}"/>
    <cellStyle name="Normal 6 5 4 2 3" xfId="1195" xr:uid="{00000000-0005-0000-0000-000086070000}"/>
    <cellStyle name="Normal 6 5 4 2 3 2" xfId="2197" xr:uid="{00000000-0005-0000-0000-000087070000}"/>
    <cellStyle name="Normal 6 5 4 2 4" xfId="1696" xr:uid="{00000000-0005-0000-0000-000088070000}"/>
    <cellStyle name="Normal 6 5 4 3" xfId="815" xr:uid="{00000000-0005-0000-0000-000089070000}"/>
    <cellStyle name="Normal 6 5 4 3 2" xfId="1319" xr:uid="{00000000-0005-0000-0000-00008A070000}"/>
    <cellStyle name="Normal 6 5 4 3 2 2" xfId="2321" xr:uid="{00000000-0005-0000-0000-00008B070000}"/>
    <cellStyle name="Normal 6 5 4 3 3" xfId="1820" xr:uid="{00000000-0005-0000-0000-00008C070000}"/>
    <cellStyle name="Normal 6 5 4 4" xfId="1071" xr:uid="{00000000-0005-0000-0000-00008D070000}"/>
    <cellStyle name="Normal 6 5 4 4 2" xfId="2073" xr:uid="{00000000-0005-0000-0000-00008E070000}"/>
    <cellStyle name="Normal 6 5 4 5" xfId="1572" xr:uid="{00000000-0005-0000-0000-00008F070000}"/>
    <cellStyle name="Normal 6 5 5" xfId="595" xr:uid="{00000000-0005-0000-0000-000090070000}"/>
    <cellStyle name="Normal 6 5 5 2" xfId="843" xr:uid="{00000000-0005-0000-0000-000091070000}"/>
    <cellStyle name="Normal 6 5 5 2 2" xfId="1347" xr:uid="{00000000-0005-0000-0000-000092070000}"/>
    <cellStyle name="Normal 6 5 5 2 2 2" xfId="2349" xr:uid="{00000000-0005-0000-0000-000093070000}"/>
    <cellStyle name="Normal 6 5 5 2 3" xfId="1848" xr:uid="{00000000-0005-0000-0000-000094070000}"/>
    <cellStyle name="Normal 6 5 5 3" xfId="1099" xr:uid="{00000000-0005-0000-0000-000095070000}"/>
    <cellStyle name="Normal 6 5 5 3 2" xfId="2101" xr:uid="{00000000-0005-0000-0000-000096070000}"/>
    <cellStyle name="Normal 6 5 5 4" xfId="1600" xr:uid="{00000000-0005-0000-0000-000097070000}"/>
    <cellStyle name="Normal 6 5 6" xfId="719" xr:uid="{00000000-0005-0000-0000-000098070000}"/>
    <cellStyle name="Normal 6 5 6 2" xfId="1223" xr:uid="{00000000-0005-0000-0000-000099070000}"/>
    <cellStyle name="Normal 6 5 6 2 2" xfId="2225" xr:uid="{00000000-0005-0000-0000-00009A070000}"/>
    <cellStyle name="Normal 6 5 6 3" xfId="1724" xr:uid="{00000000-0005-0000-0000-00009B070000}"/>
    <cellStyle name="Normal 6 5 7" xfId="975" xr:uid="{00000000-0005-0000-0000-00009C070000}"/>
    <cellStyle name="Normal 6 5 7 2" xfId="1977" xr:uid="{00000000-0005-0000-0000-00009D070000}"/>
    <cellStyle name="Normal 6 5 8" xfId="1476" xr:uid="{00000000-0005-0000-0000-00009E070000}"/>
    <cellStyle name="Normal 6 6" xfId="465" xr:uid="{00000000-0005-0000-0000-00009F070000}"/>
    <cellStyle name="Normal 6 6 2" xfId="495" xr:uid="{00000000-0005-0000-0000-0000A0070000}"/>
    <cellStyle name="Normal 6 6 2 2" xfId="571" xr:uid="{00000000-0005-0000-0000-0000A1070000}"/>
    <cellStyle name="Normal 6 6 2 2 2" xfId="695" xr:uid="{00000000-0005-0000-0000-0000A2070000}"/>
    <cellStyle name="Normal 6 6 2 2 2 2" xfId="943" xr:uid="{00000000-0005-0000-0000-0000A3070000}"/>
    <cellStyle name="Normal 6 6 2 2 2 2 2" xfId="1447" xr:uid="{00000000-0005-0000-0000-0000A4070000}"/>
    <cellStyle name="Normal 6 6 2 2 2 2 2 2" xfId="2449" xr:uid="{00000000-0005-0000-0000-0000A5070000}"/>
    <cellStyle name="Normal 6 6 2 2 2 2 3" xfId="1948" xr:uid="{00000000-0005-0000-0000-0000A6070000}"/>
    <cellStyle name="Normal 6 6 2 2 2 3" xfId="1199" xr:uid="{00000000-0005-0000-0000-0000A7070000}"/>
    <cellStyle name="Normal 6 6 2 2 2 3 2" xfId="2201" xr:uid="{00000000-0005-0000-0000-0000A8070000}"/>
    <cellStyle name="Normal 6 6 2 2 2 4" xfId="1700" xr:uid="{00000000-0005-0000-0000-0000A9070000}"/>
    <cellStyle name="Normal 6 6 2 2 3" xfId="819" xr:uid="{00000000-0005-0000-0000-0000AA070000}"/>
    <cellStyle name="Normal 6 6 2 2 3 2" xfId="1323" xr:uid="{00000000-0005-0000-0000-0000AB070000}"/>
    <cellStyle name="Normal 6 6 2 2 3 2 2" xfId="2325" xr:uid="{00000000-0005-0000-0000-0000AC070000}"/>
    <cellStyle name="Normal 6 6 2 2 3 3" xfId="1824" xr:uid="{00000000-0005-0000-0000-0000AD070000}"/>
    <cellStyle name="Normal 6 6 2 2 4" xfId="1075" xr:uid="{00000000-0005-0000-0000-0000AE070000}"/>
    <cellStyle name="Normal 6 6 2 2 4 2" xfId="2077" xr:uid="{00000000-0005-0000-0000-0000AF070000}"/>
    <cellStyle name="Normal 6 6 2 2 5" xfId="1576" xr:uid="{00000000-0005-0000-0000-0000B0070000}"/>
    <cellStyle name="Normal 6 6 2 3" xfId="619" xr:uid="{00000000-0005-0000-0000-0000B1070000}"/>
    <cellStyle name="Normal 6 6 2 3 2" xfId="867" xr:uid="{00000000-0005-0000-0000-0000B2070000}"/>
    <cellStyle name="Normal 6 6 2 3 2 2" xfId="1371" xr:uid="{00000000-0005-0000-0000-0000B3070000}"/>
    <cellStyle name="Normal 6 6 2 3 2 2 2" xfId="2373" xr:uid="{00000000-0005-0000-0000-0000B4070000}"/>
    <cellStyle name="Normal 6 6 2 3 2 3" xfId="1872" xr:uid="{00000000-0005-0000-0000-0000B5070000}"/>
    <cellStyle name="Normal 6 6 2 3 3" xfId="1123" xr:uid="{00000000-0005-0000-0000-0000B6070000}"/>
    <cellStyle name="Normal 6 6 2 3 3 2" xfId="2125" xr:uid="{00000000-0005-0000-0000-0000B7070000}"/>
    <cellStyle name="Normal 6 6 2 3 4" xfId="1624" xr:uid="{00000000-0005-0000-0000-0000B8070000}"/>
    <cellStyle name="Normal 6 6 2 4" xfId="743" xr:uid="{00000000-0005-0000-0000-0000B9070000}"/>
    <cellStyle name="Normal 6 6 2 4 2" xfId="1247" xr:uid="{00000000-0005-0000-0000-0000BA070000}"/>
    <cellStyle name="Normal 6 6 2 4 2 2" xfId="2249" xr:uid="{00000000-0005-0000-0000-0000BB070000}"/>
    <cellStyle name="Normal 6 6 2 4 3" xfId="1748" xr:uid="{00000000-0005-0000-0000-0000BC070000}"/>
    <cellStyle name="Normal 6 6 2 5" xfId="999" xr:uid="{00000000-0005-0000-0000-0000BD070000}"/>
    <cellStyle name="Normal 6 6 2 5 2" xfId="2001" xr:uid="{00000000-0005-0000-0000-0000BE070000}"/>
    <cellStyle name="Normal 6 6 2 6" xfId="1500" xr:uid="{00000000-0005-0000-0000-0000BF070000}"/>
    <cellStyle name="Normal 6 6 3" xfId="515" xr:uid="{00000000-0005-0000-0000-0000C0070000}"/>
    <cellStyle name="Normal 6 6 3 2" xfId="572" xr:uid="{00000000-0005-0000-0000-0000C1070000}"/>
    <cellStyle name="Normal 6 6 3 2 2" xfId="696" xr:uid="{00000000-0005-0000-0000-0000C2070000}"/>
    <cellStyle name="Normal 6 6 3 2 2 2" xfId="944" xr:uid="{00000000-0005-0000-0000-0000C3070000}"/>
    <cellStyle name="Normal 6 6 3 2 2 2 2" xfId="1448" xr:uid="{00000000-0005-0000-0000-0000C4070000}"/>
    <cellStyle name="Normal 6 6 3 2 2 2 2 2" xfId="2450" xr:uid="{00000000-0005-0000-0000-0000C5070000}"/>
    <cellStyle name="Normal 6 6 3 2 2 2 3" xfId="1949" xr:uid="{00000000-0005-0000-0000-0000C6070000}"/>
    <cellStyle name="Normal 6 6 3 2 2 3" xfId="1200" xr:uid="{00000000-0005-0000-0000-0000C7070000}"/>
    <cellStyle name="Normal 6 6 3 2 2 3 2" xfId="2202" xr:uid="{00000000-0005-0000-0000-0000C8070000}"/>
    <cellStyle name="Normal 6 6 3 2 2 4" xfId="1701" xr:uid="{00000000-0005-0000-0000-0000C9070000}"/>
    <cellStyle name="Normal 6 6 3 2 3" xfId="820" xr:uid="{00000000-0005-0000-0000-0000CA070000}"/>
    <cellStyle name="Normal 6 6 3 2 3 2" xfId="1324" xr:uid="{00000000-0005-0000-0000-0000CB070000}"/>
    <cellStyle name="Normal 6 6 3 2 3 2 2" xfId="2326" xr:uid="{00000000-0005-0000-0000-0000CC070000}"/>
    <cellStyle name="Normal 6 6 3 2 3 3" xfId="1825" xr:uid="{00000000-0005-0000-0000-0000CD070000}"/>
    <cellStyle name="Normal 6 6 3 2 4" xfId="1076" xr:uid="{00000000-0005-0000-0000-0000CE070000}"/>
    <cellStyle name="Normal 6 6 3 2 4 2" xfId="2078" xr:uid="{00000000-0005-0000-0000-0000CF070000}"/>
    <cellStyle name="Normal 6 6 3 2 5" xfId="1577" xr:uid="{00000000-0005-0000-0000-0000D0070000}"/>
    <cellStyle name="Normal 6 6 3 3" xfId="639" xr:uid="{00000000-0005-0000-0000-0000D1070000}"/>
    <cellStyle name="Normal 6 6 3 3 2" xfId="887" xr:uid="{00000000-0005-0000-0000-0000D2070000}"/>
    <cellStyle name="Normal 6 6 3 3 2 2" xfId="1391" xr:uid="{00000000-0005-0000-0000-0000D3070000}"/>
    <cellStyle name="Normal 6 6 3 3 2 2 2" xfId="2393" xr:uid="{00000000-0005-0000-0000-0000D4070000}"/>
    <cellStyle name="Normal 6 6 3 3 2 3" xfId="1892" xr:uid="{00000000-0005-0000-0000-0000D5070000}"/>
    <cellStyle name="Normal 6 6 3 3 3" xfId="1143" xr:uid="{00000000-0005-0000-0000-0000D6070000}"/>
    <cellStyle name="Normal 6 6 3 3 3 2" xfId="2145" xr:uid="{00000000-0005-0000-0000-0000D7070000}"/>
    <cellStyle name="Normal 6 6 3 3 4" xfId="1644" xr:uid="{00000000-0005-0000-0000-0000D8070000}"/>
    <cellStyle name="Normal 6 6 3 4" xfId="763" xr:uid="{00000000-0005-0000-0000-0000D9070000}"/>
    <cellStyle name="Normal 6 6 3 4 2" xfId="1267" xr:uid="{00000000-0005-0000-0000-0000DA070000}"/>
    <cellStyle name="Normal 6 6 3 4 2 2" xfId="2269" xr:uid="{00000000-0005-0000-0000-0000DB070000}"/>
    <cellStyle name="Normal 6 6 3 4 3" xfId="1768" xr:uid="{00000000-0005-0000-0000-0000DC070000}"/>
    <cellStyle name="Normal 6 6 3 5" xfId="1019" xr:uid="{00000000-0005-0000-0000-0000DD070000}"/>
    <cellStyle name="Normal 6 6 3 5 2" xfId="2021" xr:uid="{00000000-0005-0000-0000-0000DE070000}"/>
    <cellStyle name="Normal 6 6 3 6" xfId="1520" xr:uid="{00000000-0005-0000-0000-0000DF070000}"/>
    <cellStyle name="Normal 6 6 4" xfId="570" xr:uid="{00000000-0005-0000-0000-0000E0070000}"/>
    <cellStyle name="Normal 6 6 4 2" xfId="694" xr:uid="{00000000-0005-0000-0000-0000E1070000}"/>
    <cellStyle name="Normal 6 6 4 2 2" xfId="942" xr:uid="{00000000-0005-0000-0000-0000E2070000}"/>
    <cellStyle name="Normal 6 6 4 2 2 2" xfId="1446" xr:uid="{00000000-0005-0000-0000-0000E3070000}"/>
    <cellStyle name="Normal 6 6 4 2 2 2 2" xfId="2448" xr:uid="{00000000-0005-0000-0000-0000E4070000}"/>
    <cellStyle name="Normal 6 6 4 2 2 3" xfId="1947" xr:uid="{00000000-0005-0000-0000-0000E5070000}"/>
    <cellStyle name="Normal 6 6 4 2 3" xfId="1198" xr:uid="{00000000-0005-0000-0000-0000E6070000}"/>
    <cellStyle name="Normal 6 6 4 2 3 2" xfId="2200" xr:uid="{00000000-0005-0000-0000-0000E7070000}"/>
    <cellStyle name="Normal 6 6 4 2 4" xfId="1699" xr:uid="{00000000-0005-0000-0000-0000E8070000}"/>
    <cellStyle name="Normal 6 6 4 3" xfId="818" xr:uid="{00000000-0005-0000-0000-0000E9070000}"/>
    <cellStyle name="Normal 6 6 4 3 2" xfId="1322" xr:uid="{00000000-0005-0000-0000-0000EA070000}"/>
    <cellStyle name="Normal 6 6 4 3 2 2" xfId="2324" xr:uid="{00000000-0005-0000-0000-0000EB070000}"/>
    <cellStyle name="Normal 6 6 4 3 3" xfId="1823" xr:uid="{00000000-0005-0000-0000-0000EC070000}"/>
    <cellStyle name="Normal 6 6 4 4" xfId="1074" xr:uid="{00000000-0005-0000-0000-0000ED070000}"/>
    <cellStyle name="Normal 6 6 4 4 2" xfId="2076" xr:uid="{00000000-0005-0000-0000-0000EE070000}"/>
    <cellStyle name="Normal 6 6 4 5" xfId="1575" xr:uid="{00000000-0005-0000-0000-0000EF070000}"/>
    <cellStyle name="Normal 6 6 5" xfId="597" xr:uid="{00000000-0005-0000-0000-0000F0070000}"/>
    <cellStyle name="Normal 6 6 5 2" xfId="845" xr:uid="{00000000-0005-0000-0000-0000F1070000}"/>
    <cellStyle name="Normal 6 6 5 2 2" xfId="1349" xr:uid="{00000000-0005-0000-0000-0000F2070000}"/>
    <cellStyle name="Normal 6 6 5 2 2 2" xfId="2351" xr:uid="{00000000-0005-0000-0000-0000F3070000}"/>
    <cellStyle name="Normal 6 6 5 2 3" xfId="1850" xr:uid="{00000000-0005-0000-0000-0000F4070000}"/>
    <cellStyle name="Normal 6 6 5 3" xfId="1101" xr:uid="{00000000-0005-0000-0000-0000F5070000}"/>
    <cellStyle name="Normal 6 6 5 3 2" xfId="2103" xr:uid="{00000000-0005-0000-0000-0000F6070000}"/>
    <cellStyle name="Normal 6 6 5 4" xfId="1602" xr:uid="{00000000-0005-0000-0000-0000F7070000}"/>
    <cellStyle name="Normal 6 6 6" xfId="721" xr:uid="{00000000-0005-0000-0000-0000F8070000}"/>
    <cellStyle name="Normal 6 6 6 2" xfId="1225" xr:uid="{00000000-0005-0000-0000-0000F9070000}"/>
    <cellStyle name="Normal 6 6 6 2 2" xfId="2227" xr:uid="{00000000-0005-0000-0000-0000FA070000}"/>
    <cellStyle name="Normal 6 6 6 3" xfId="1726" xr:uid="{00000000-0005-0000-0000-0000FB070000}"/>
    <cellStyle name="Normal 6 6 7" xfId="977" xr:uid="{00000000-0005-0000-0000-0000FC070000}"/>
    <cellStyle name="Normal 6 6 7 2" xfId="1979" xr:uid="{00000000-0005-0000-0000-0000FD070000}"/>
    <cellStyle name="Normal 6 6 8" xfId="1478" xr:uid="{00000000-0005-0000-0000-0000FE070000}"/>
    <cellStyle name="Normal 6 7" xfId="467" xr:uid="{00000000-0005-0000-0000-0000FF070000}"/>
    <cellStyle name="Normal 6 7 2" xfId="497" xr:uid="{00000000-0005-0000-0000-000000080000}"/>
    <cellStyle name="Normal 6 7 2 2" xfId="574" xr:uid="{00000000-0005-0000-0000-000001080000}"/>
    <cellStyle name="Normal 6 7 2 2 2" xfId="698" xr:uid="{00000000-0005-0000-0000-000002080000}"/>
    <cellStyle name="Normal 6 7 2 2 2 2" xfId="946" xr:uid="{00000000-0005-0000-0000-000003080000}"/>
    <cellStyle name="Normal 6 7 2 2 2 2 2" xfId="1450" xr:uid="{00000000-0005-0000-0000-000004080000}"/>
    <cellStyle name="Normal 6 7 2 2 2 2 2 2" xfId="2452" xr:uid="{00000000-0005-0000-0000-000005080000}"/>
    <cellStyle name="Normal 6 7 2 2 2 2 3" xfId="1951" xr:uid="{00000000-0005-0000-0000-000006080000}"/>
    <cellStyle name="Normal 6 7 2 2 2 3" xfId="1202" xr:uid="{00000000-0005-0000-0000-000007080000}"/>
    <cellStyle name="Normal 6 7 2 2 2 3 2" xfId="2204" xr:uid="{00000000-0005-0000-0000-000008080000}"/>
    <cellStyle name="Normal 6 7 2 2 2 4" xfId="1703" xr:uid="{00000000-0005-0000-0000-000009080000}"/>
    <cellStyle name="Normal 6 7 2 2 3" xfId="822" xr:uid="{00000000-0005-0000-0000-00000A080000}"/>
    <cellStyle name="Normal 6 7 2 2 3 2" xfId="1326" xr:uid="{00000000-0005-0000-0000-00000B080000}"/>
    <cellStyle name="Normal 6 7 2 2 3 2 2" xfId="2328" xr:uid="{00000000-0005-0000-0000-00000C080000}"/>
    <cellStyle name="Normal 6 7 2 2 3 3" xfId="1827" xr:uid="{00000000-0005-0000-0000-00000D080000}"/>
    <cellStyle name="Normal 6 7 2 2 4" xfId="1078" xr:uid="{00000000-0005-0000-0000-00000E080000}"/>
    <cellStyle name="Normal 6 7 2 2 4 2" xfId="2080" xr:uid="{00000000-0005-0000-0000-00000F080000}"/>
    <cellStyle name="Normal 6 7 2 2 5" xfId="1579" xr:uid="{00000000-0005-0000-0000-000010080000}"/>
    <cellStyle name="Normal 6 7 2 3" xfId="621" xr:uid="{00000000-0005-0000-0000-000011080000}"/>
    <cellStyle name="Normal 6 7 2 3 2" xfId="869" xr:uid="{00000000-0005-0000-0000-000012080000}"/>
    <cellStyle name="Normal 6 7 2 3 2 2" xfId="1373" xr:uid="{00000000-0005-0000-0000-000013080000}"/>
    <cellStyle name="Normal 6 7 2 3 2 2 2" xfId="2375" xr:uid="{00000000-0005-0000-0000-000014080000}"/>
    <cellStyle name="Normal 6 7 2 3 2 3" xfId="1874" xr:uid="{00000000-0005-0000-0000-000015080000}"/>
    <cellStyle name="Normal 6 7 2 3 3" xfId="1125" xr:uid="{00000000-0005-0000-0000-000016080000}"/>
    <cellStyle name="Normal 6 7 2 3 3 2" xfId="2127" xr:uid="{00000000-0005-0000-0000-000017080000}"/>
    <cellStyle name="Normal 6 7 2 3 4" xfId="1626" xr:uid="{00000000-0005-0000-0000-000018080000}"/>
    <cellStyle name="Normal 6 7 2 4" xfId="745" xr:uid="{00000000-0005-0000-0000-000019080000}"/>
    <cellStyle name="Normal 6 7 2 4 2" xfId="1249" xr:uid="{00000000-0005-0000-0000-00001A080000}"/>
    <cellStyle name="Normal 6 7 2 4 2 2" xfId="2251" xr:uid="{00000000-0005-0000-0000-00001B080000}"/>
    <cellStyle name="Normal 6 7 2 4 3" xfId="1750" xr:uid="{00000000-0005-0000-0000-00001C080000}"/>
    <cellStyle name="Normal 6 7 2 5" xfId="1001" xr:uid="{00000000-0005-0000-0000-00001D080000}"/>
    <cellStyle name="Normal 6 7 2 5 2" xfId="2003" xr:uid="{00000000-0005-0000-0000-00001E080000}"/>
    <cellStyle name="Normal 6 7 2 6" xfId="1502" xr:uid="{00000000-0005-0000-0000-00001F080000}"/>
    <cellStyle name="Normal 6 7 3" xfId="517" xr:uid="{00000000-0005-0000-0000-000020080000}"/>
    <cellStyle name="Normal 6 7 3 2" xfId="575" xr:uid="{00000000-0005-0000-0000-000021080000}"/>
    <cellStyle name="Normal 6 7 3 2 2" xfId="699" xr:uid="{00000000-0005-0000-0000-000022080000}"/>
    <cellStyle name="Normal 6 7 3 2 2 2" xfId="947" xr:uid="{00000000-0005-0000-0000-000023080000}"/>
    <cellStyle name="Normal 6 7 3 2 2 2 2" xfId="1451" xr:uid="{00000000-0005-0000-0000-000024080000}"/>
    <cellStyle name="Normal 6 7 3 2 2 2 2 2" xfId="2453" xr:uid="{00000000-0005-0000-0000-000025080000}"/>
    <cellStyle name="Normal 6 7 3 2 2 2 3" xfId="1952" xr:uid="{00000000-0005-0000-0000-000026080000}"/>
    <cellStyle name="Normal 6 7 3 2 2 3" xfId="1203" xr:uid="{00000000-0005-0000-0000-000027080000}"/>
    <cellStyle name="Normal 6 7 3 2 2 3 2" xfId="2205" xr:uid="{00000000-0005-0000-0000-000028080000}"/>
    <cellStyle name="Normal 6 7 3 2 2 4" xfId="1704" xr:uid="{00000000-0005-0000-0000-000029080000}"/>
    <cellStyle name="Normal 6 7 3 2 3" xfId="823" xr:uid="{00000000-0005-0000-0000-00002A080000}"/>
    <cellStyle name="Normal 6 7 3 2 3 2" xfId="1327" xr:uid="{00000000-0005-0000-0000-00002B080000}"/>
    <cellStyle name="Normal 6 7 3 2 3 2 2" xfId="2329" xr:uid="{00000000-0005-0000-0000-00002C080000}"/>
    <cellStyle name="Normal 6 7 3 2 3 3" xfId="1828" xr:uid="{00000000-0005-0000-0000-00002D080000}"/>
    <cellStyle name="Normal 6 7 3 2 4" xfId="1079" xr:uid="{00000000-0005-0000-0000-00002E080000}"/>
    <cellStyle name="Normal 6 7 3 2 4 2" xfId="2081" xr:uid="{00000000-0005-0000-0000-00002F080000}"/>
    <cellStyle name="Normal 6 7 3 2 5" xfId="1580" xr:uid="{00000000-0005-0000-0000-000030080000}"/>
    <cellStyle name="Normal 6 7 3 3" xfId="641" xr:uid="{00000000-0005-0000-0000-000031080000}"/>
    <cellStyle name="Normal 6 7 3 3 2" xfId="889" xr:uid="{00000000-0005-0000-0000-000032080000}"/>
    <cellStyle name="Normal 6 7 3 3 2 2" xfId="1393" xr:uid="{00000000-0005-0000-0000-000033080000}"/>
    <cellStyle name="Normal 6 7 3 3 2 2 2" xfId="2395" xr:uid="{00000000-0005-0000-0000-000034080000}"/>
    <cellStyle name="Normal 6 7 3 3 2 3" xfId="1894" xr:uid="{00000000-0005-0000-0000-000035080000}"/>
    <cellStyle name="Normal 6 7 3 3 3" xfId="1145" xr:uid="{00000000-0005-0000-0000-000036080000}"/>
    <cellStyle name="Normal 6 7 3 3 3 2" xfId="2147" xr:uid="{00000000-0005-0000-0000-000037080000}"/>
    <cellStyle name="Normal 6 7 3 3 4" xfId="1646" xr:uid="{00000000-0005-0000-0000-000038080000}"/>
    <cellStyle name="Normal 6 7 3 4" xfId="765" xr:uid="{00000000-0005-0000-0000-000039080000}"/>
    <cellStyle name="Normal 6 7 3 4 2" xfId="1269" xr:uid="{00000000-0005-0000-0000-00003A080000}"/>
    <cellStyle name="Normal 6 7 3 4 2 2" xfId="2271" xr:uid="{00000000-0005-0000-0000-00003B080000}"/>
    <cellStyle name="Normal 6 7 3 4 3" xfId="1770" xr:uid="{00000000-0005-0000-0000-00003C080000}"/>
    <cellStyle name="Normal 6 7 3 5" xfId="1021" xr:uid="{00000000-0005-0000-0000-00003D080000}"/>
    <cellStyle name="Normal 6 7 3 5 2" xfId="2023" xr:uid="{00000000-0005-0000-0000-00003E080000}"/>
    <cellStyle name="Normal 6 7 3 6" xfId="1522" xr:uid="{00000000-0005-0000-0000-00003F080000}"/>
    <cellStyle name="Normal 6 7 4" xfId="573" xr:uid="{00000000-0005-0000-0000-000040080000}"/>
    <cellStyle name="Normal 6 7 4 2" xfId="697" xr:uid="{00000000-0005-0000-0000-000041080000}"/>
    <cellStyle name="Normal 6 7 4 2 2" xfId="945" xr:uid="{00000000-0005-0000-0000-000042080000}"/>
    <cellStyle name="Normal 6 7 4 2 2 2" xfId="1449" xr:uid="{00000000-0005-0000-0000-000043080000}"/>
    <cellStyle name="Normal 6 7 4 2 2 2 2" xfId="2451" xr:uid="{00000000-0005-0000-0000-000044080000}"/>
    <cellStyle name="Normal 6 7 4 2 2 3" xfId="1950" xr:uid="{00000000-0005-0000-0000-000045080000}"/>
    <cellStyle name="Normal 6 7 4 2 3" xfId="1201" xr:uid="{00000000-0005-0000-0000-000046080000}"/>
    <cellStyle name="Normal 6 7 4 2 3 2" xfId="2203" xr:uid="{00000000-0005-0000-0000-000047080000}"/>
    <cellStyle name="Normal 6 7 4 2 4" xfId="1702" xr:uid="{00000000-0005-0000-0000-000048080000}"/>
    <cellStyle name="Normal 6 7 4 3" xfId="821" xr:uid="{00000000-0005-0000-0000-000049080000}"/>
    <cellStyle name="Normal 6 7 4 3 2" xfId="1325" xr:uid="{00000000-0005-0000-0000-00004A080000}"/>
    <cellStyle name="Normal 6 7 4 3 2 2" xfId="2327" xr:uid="{00000000-0005-0000-0000-00004B080000}"/>
    <cellStyle name="Normal 6 7 4 3 3" xfId="1826" xr:uid="{00000000-0005-0000-0000-00004C080000}"/>
    <cellStyle name="Normal 6 7 4 4" xfId="1077" xr:uid="{00000000-0005-0000-0000-00004D080000}"/>
    <cellStyle name="Normal 6 7 4 4 2" xfId="2079" xr:uid="{00000000-0005-0000-0000-00004E080000}"/>
    <cellStyle name="Normal 6 7 4 5" xfId="1578" xr:uid="{00000000-0005-0000-0000-00004F080000}"/>
    <cellStyle name="Normal 6 7 5" xfId="599" xr:uid="{00000000-0005-0000-0000-000050080000}"/>
    <cellStyle name="Normal 6 7 5 2" xfId="847" xr:uid="{00000000-0005-0000-0000-000051080000}"/>
    <cellStyle name="Normal 6 7 5 2 2" xfId="1351" xr:uid="{00000000-0005-0000-0000-000052080000}"/>
    <cellStyle name="Normal 6 7 5 2 2 2" xfId="2353" xr:uid="{00000000-0005-0000-0000-000053080000}"/>
    <cellStyle name="Normal 6 7 5 2 3" xfId="1852" xr:uid="{00000000-0005-0000-0000-000054080000}"/>
    <cellStyle name="Normal 6 7 5 3" xfId="1103" xr:uid="{00000000-0005-0000-0000-000055080000}"/>
    <cellStyle name="Normal 6 7 5 3 2" xfId="2105" xr:uid="{00000000-0005-0000-0000-000056080000}"/>
    <cellStyle name="Normal 6 7 5 4" xfId="1604" xr:uid="{00000000-0005-0000-0000-000057080000}"/>
    <cellStyle name="Normal 6 7 6" xfId="723" xr:uid="{00000000-0005-0000-0000-000058080000}"/>
    <cellStyle name="Normal 6 7 6 2" xfId="1227" xr:uid="{00000000-0005-0000-0000-000059080000}"/>
    <cellStyle name="Normal 6 7 6 2 2" xfId="2229" xr:uid="{00000000-0005-0000-0000-00005A080000}"/>
    <cellStyle name="Normal 6 7 6 3" xfId="1728" xr:uid="{00000000-0005-0000-0000-00005B080000}"/>
    <cellStyle name="Normal 6 7 7" xfId="979" xr:uid="{00000000-0005-0000-0000-00005C080000}"/>
    <cellStyle name="Normal 6 7 7 2" xfId="1981" xr:uid="{00000000-0005-0000-0000-00005D080000}"/>
    <cellStyle name="Normal 6 7 8" xfId="1480" xr:uid="{00000000-0005-0000-0000-00005E080000}"/>
    <cellStyle name="Normal 6 8" xfId="469" xr:uid="{00000000-0005-0000-0000-00005F080000}"/>
    <cellStyle name="Normal 6 8 2" xfId="499" xr:uid="{00000000-0005-0000-0000-000060080000}"/>
    <cellStyle name="Normal 6 8 2 2" xfId="577" xr:uid="{00000000-0005-0000-0000-000061080000}"/>
    <cellStyle name="Normal 6 8 2 2 2" xfId="701" xr:uid="{00000000-0005-0000-0000-000062080000}"/>
    <cellStyle name="Normal 6 8 2 2 2 2" xfId="949" xr:uid="{00000000-0005-0000-0000-000063080000}"/>
    <cellStyle name="Normal 6 8 2 2 2 2 2" xfId="1453" xr:uid="{00000000-0005-0000-0000-000064080000}"/>
    <cellStyle name="Normal 6 8 2 2 2 2 2 2" xfId="2455" xr:uid="{00000000-0005-0000-0000-000065080000}"/>
    <cellStyle name="Normal 6 8 2 2 2 2 3" xfId="1954" xr:uid="{00000000-0005-0000-0000-000066080000}"/>
    <cellStyle name="Normal 6 8 2 2 2 3" xfId="1205" xr:uid="{00000000-0005-0000-0000-000067080000}"/>
    <cellStyle name="Normal 6 8 2 2 2 3 2" xfId="2207" xr:uid="{00000000-0005-0000-0000-000068080000}"/>
    <cellStyle name="Normal 6 8 2 2 2 4" xfId="1706" xr:uid="{00000000-0005-0000-0000-000069080000}"/>
    <cellStyle name="Normal 6 8 2 2 3" xfId="825" xr:uid="{00000000-0005-0000-0000-00006A080000}"/>
    <cellStyle name="Normal 6 8 2 2 3 2" xfId="1329" xr:uid="{00000000-0005-0000-0000-00006B080000}"/>
    <cellStyle name="Normal 6 8 2 2 3 2 2" xfId="2331" xr:uid="{00000000-0005-0000-0000-00006C080000}"/>
    <cellStyle name="Normal 6 8 2 2 3 3" xfId="1830" xr:uid="{00000000-0005-0000-0000-00006D080000}"/>
    <cellStyle name="Normal 6 8 2 2 4" xfId="1081" xr:uid="{00000000-0005-0000-0000-00006E080000}"/>
    <cellStyle name="Normal 6 8 2 2 4 2" xfId="2083" xr:uid="{00000000-0005-0000-0000-00006F080000}"/>
    <cellStyle name="Normal 6 8 2 2 5" xfId="1582" xr:uid="{00000000-0005-0000-0000-000070080000}"/>
    <cellStyle name="Normal 6 8 2 3" xfId="623" xr:uid="{00000000-0005-0000-0000-000071080000}"/>
    <cellStyle name="Normal 6 8 2 3 2" xfId="871" xr:uid="{00000000-0005-0000-0000-000072080000}"/>
    <cellStyle name="Normal 6 8 2 3 2 2" xfId="1375" xr:uid="{00000000-0005-0000-0000-000073080000}"/>
    <cellStyle name="Normal 6 8 2 3 2 2 2" xfId="2377" xr:uid="{00000000-0005-0000-0000-000074080000}"/>
    <cellStyle name="Normal 6 8 2 3 2 3" xfId="1876" xr:uid="{00000000-0005-0000-0000-000075080000}"/>
    <cellStyle name="Normal 6 8 2 3 3" xfId="1127" xr:uid="{00000000-0005-0000-0000-000076080000}"/>
    <cellStyle name="Normal 6 8 2 3 3 2" xfId="2129" xr:uid="{00000000-0005-0000-0000-000077080000}"/>
    <cellStyle name="Normal 6 8 2 3 4" xfId="1628" xr:uid="{00000000-0005-0000-0000-000078080000}"/>
    <cellStyle name="Normal 6 8 2 4" xfId="747" xr:uid="{00000000-0005-0000-0000-000079080000}"/>
    <cellStyle name="Normal 6 8 2 4 2" xfId="1251" xr:uid="{00000000-0005-0000-0000-00007A080000}"/>
    <cellStyle name="Normal 6 8 2 4 2 2" xfId="2253" xr:uid="{00000000-0005-0000-0000-00007B080000}"/>
    <cellStyle name="Normal 6 8 2 4 3" xfId="1752" xr:uid="{00000000-0005-0000-0000-00007C080000}"/>
    <cellStyle name="Normal 6 8 2 5" xfId="1003" xr:uid="{00000000-0005-0000-0000-00007D080000}"/>
    <cellStyle name="Normal 6 8 2 5 2" xfId="2005" xr:uid="{00000000-0005-0000-0000-00007E080000}"/>
    <cellStyle name="Normal 6 8 2 6" xfId="1504" xr:uid="{00000000-0005-0000-0000-00007F080000}"/>
    <cellStyle name="Normal 6 8 3" xfId="519" xr:uid="{00000000-0005-0000-0000-000080080000}"/>
    <cellStyle name="Normal 6 8 3 2" xfId="578" xr:uid="{00000000-0005-0000-0000-000081080000}"/>
    <cellStyle name="Normal 6 8 3 2 2" xfId="702" xr:uid="{00000000-0005-0000-0000-000082080000}"/>
    <cellStyle name="Normal 6 8 3 2 2 2" xfId="950" xr:uid="{00000000-0005-0000-0000-000083080000}"/>
    <cellStyle name="Normal 6 8 3 2 2 2 2" xfId="1454" xr:uid="{00000000-0005-0000-0000-000084080000}"/>
    <cellStyle name="Normal 6 8 3 2 2 2 2 2" xfId="2456" xr:uid="{00000000-0005-0000-0000-000085080000}"/>
    <cellStyle name="Normal 6 8 3 2 2 2 3" xfId="1955" xr:uid="{00000000-0005-0000-0000-000086080000}"/>
    <cellStyle name="Normal 6 8 3 2 2 3" xfId="1206" xr:uid="{00000000-0005-0000-0000-000087080000}"/>
    <cellStyle name="Normal 6 8 3 2 2 3 2" xfId="2208" xr:uid="{00000000-0005-0000-0000-000088080000}"/>
    <cellStyle name="Normal 6 8 3 2 2 4" xfId="1707" xr:uid="{00000000-0005-0000-0000-000089080000}"/>
    <cellStyle name="Normal 6 8 3 2 3" xfId="826" xr:uid="{00000000-0005-0000-0000-00008A080000}"/>
    <cellStyle name="Normal 6 8 3 2 3 2" xfId="1330" xr:uid="{00000000-0005-0000-0000-00008B080000}"/>
    <cellStyle name="Normal 6 8 3 2 3 2 2" xfId="2332" xr:uid="{00000000-0005-0000-0000-00008C080000}"/>
    <cellStyle name="Normal 6 8 3 2 3 3" xfId="1831" xr:uid="{00000000-0005-0000-0000-00008D080000}"/>
    <cellStyle name="Normal 6 8 3 2 4" xfId="1082" xr:uid="{00000000-0005-0000-0000-00008E080000}"/>
    <cellStyle name="Normal 6 8 3 2 4 2" xfId="2084" xr:uid="{00000000-0005-0000-0000-00008F080000}"/>
    <cellStyle name="Normal 6 8 3 2 5" xfId="1583" xr:uid="{00000000-0005-0000-0000-000090080000}"/>
    <cellStyle name="Normal 6 8 3 3" xfId="643" xr:uid="{00000000-0005-0000-0000-000091080000}"/>
    <cellStyle name="Normal 6 8 3 3 2" xfId="891" xr:uid="{00000000-0005-0000-0000-000092080000}"/>
    <cellStyle name="Normal 6 8 3 3 2 2" xfId="1395" xr:uid="{00000000-0005-0000-0000-000093080000}"/>
    <cellStyle name="Normal 6 8 3 3 2 2 2" xfId="2397" xr:uid="{00000000-0005-0000-0000-000094080000}"/>
    <cellStyle name="Normal 6 8 3 3 2 3" xfId="1896" xr:uid="{00000000-0005-0000-0000-000095080000}"/>
    <cellStyle name="Normal 6 8 3 3 3" xfId="1147" xr:uid="{00000000-0005-0000-0000-000096080000}"/>
    <cellStyle name="Normal 6 8 3 3 3 2" xfId="2149" xr:uid="{00000000-0005-0000-0000-000097080000}"/>
    <cellStyle name="Normal 6 8 3 3 4" xfId="1648" xr:uid="{00000000-0005-0000-0000-000098080000}"/>
    <cellStyle name="Normal 6 8 3 4" xfId="767" xr:uid="{00000000-0005-0000-0000-000099080000}"/>
    <cellStyle name="Normal 6 8 3 4 2" xfId="1271" xr:uid="{00000000-0005-0000-0000-00009A080000}"/>
    <cellStyle name="Normal 6 8 3 4 2 2" xfId="2273" xr:uid="{00000000-0005-0000-0000-00009B080000}"/>
    <cellStyle name="Normal 6 8 3 4 3" xfId="1772" xr:uid="{00000000-0005-0000-0000-00009C080000}"/>
    <cellStyle name="Normal 6 8 3 5" xfId="1023" xr:uid="{00000000-0005-0000-0000-00009D080000}"/>
    <cellStyle name="Normal 6 8 3 5 2" xfId="2025" xr:uid="{00000000-0005-0000-0000-00009E080000}"/>
    <cellStyle name="Normal 6 8 3 6" xfId="1524" xr:uid="{00000000-0005-0000-0000-00009F080000}"/>
    <cellStyle name="Normal 6 8 4" xfId="576" xr:uid="{00000000-0005-0000-0000-0000A0080000}"/>
    <cellStyle name="Normal 6 8 4 2" xfId="700" xr:uid="{00000000-0005-0000-0000-0000A1080000}"/>
    <cellStyle name="Normal 6 8 4 2 2" xfId="948" xr:uid="{00000000-0005-0000-0000-0000A2080000}"/>
    <cellStyle name="Normal 6 8 4 2 2 2" xfId="1452" xr:uid="{00000000-0005-0000-0000-0000A3080000}"/>
    <cellStyle name="Normal 6 8 4 2 2 2 2" xfId="2454" xr:uid="{00000000-0005-0000-0000-0000A4080000}"/>
    <cellStyle name="Normal 6 8 4 2 2 3" xfId="1953" xr:uid="{00000000-0005-0000-0000-0000A5080000}"/>
    <cellStyle name="Normal 6 8 4 2 3" xfId="1204" xr:uid="{00000000-0005-0000-0000-0000A6080000}"/>
    <cellStyle name="Normal 6 8 4 2 3 2" xfId="2206" xr:uid="{00000000-0005-0000-0000-0000A7080000}"/>
    <cellStyle name="Normal 6 8 4 2 4" xfId="1705" xr:uid="{00000000-0005-0000-0000-0000A8080000}"/>
    <cellStyle name="Normal 6 8 4 3" xfId="824" xr:uid="{00000000-0005-0000-0000-0000A9080000}"/>
    <cellStyle name="Normal 6 8 4 3 2" xfId="1328" xr:uid="{00000000-0005-0000-0000-0000AA080000}"/>
    <cellStyle name="Normal 6 8 4 3 2 2" xfId="2330" xr:uid="{00000000-0005-0000-0000-0000AB080000}"/>
    <cellStyle name="Normal 6 8 4 3 3" xfId="1829" xr:uid="{00000000-0005-0000-0000-0000AC080000}"/>
    <cellStyle name="Normal 6 8 4 4" xfId="1080" xr:uid="{00000000-0005-0000-0000-0000AD080000}"/>
    <cellStyle name="Normal 6 8 4 4 2" xfId="2082" xr:uid="{00000000-0005-0000-0000-0000AE080000}"/>
    <cellStyle name="Normal 6 8 4 5" xfId="1581" xr:uid="{00000000-0005-0000-0000-0000AF080000}"/>
    <cellStyle name="Normal 6 8 5" xfId="601" xr:uid="{00000000-0005-0000-0000-0000B0080000}"/>
    <cellStyle name="Normal 6 8 5 2" xfId="849" xr:uid="{00000000-0005-0000-0000-0000B1080000}"/>
    <cellStyle name="Normal 6 8 5 2 2" xfId="1353" xr:uid="{00000000-0005-0000-0000-0000B2080000}"/>
    <cellStyle name="Normal 6 8 5 2 2 2" xfId="2355" xr:uid="{00000000-0005-0000-0000-0000B3080000}"/>
    <cellStyle name="Normal 6 8 5 2 3" xfId="1854" xr:uid="{00000000-0005-0000-0000-0000B4080000}"/>
    <cellStyle name="Normal 6 8 5 3" xfId="1105" xr:uid="{00000000-0005-0000-0000-0000B5080000}"/>
    <cellStyle name="Normal 6 8 5 3 2" xfId="2107" xr:uid="{00000000-0005-0000-0000-0000B6080000}"/>
    <cellStyle name="Normal 6 8 5 4" xfId="1606" xr:uid="{00000000-0005-0000-0000-0000B7080000}"/>
    <cellStyle name="Normal 6 8 6" xfId="725" xr:uid="{00000000-0005-0000-0000-0000B8080000}"/>
    <cellStyle name="Normal 6 8 6 2" xfId="1229" xr:uid="{00000000-0005-0000-0000-0000B9080000}"/>
    <cellStyle name="Normal 6 8 6 2 2" xfId="2231" xr:uid="{00000000-0005-0000-0000-0000BA080000}"/>
    <cellStyle name="Normal 6 8 6 3" xfId="1730" xr:uid="{00000000-0005-0000-0000-0000BB080000}"/>
    <cellStyle name="Normal 6 8 7" xfId="981" xr:uid="{00000000-0005-0000-0000-0000BC080000}"/>
    <cellStyle name="Normal 6 8 7 2" xfId="1983" xr:uid="{00000000-0005-0000-0000-0000BD080000}"/>
    <cellStyle name="Normal 6 8 8" xfId="1482" xr:uid="{00000000-0005-0000-0000-0000BE080000}"/>
    <cellStyle name="Normal 6 9" xfId="483" xr:uid="{00000000-0005-0000-0000-0000BF080000}"/>
    <cellStyle name="Normal 7" xfId="321" xr:uid="{00000000-0005-0000-0000-0000C0080000}"/>
    <cellStyle name="Normal 8" xfId="322" xr:uid="{00000000-0005-0000-0000-0000C1080000}"/>
    <cellStyle name="Normal 9" xfId="323" xr:uid="{00000000-0005-0000-0000-0000C2080000}"/>
    <cellStyle name="Note 10" xfId="324" xr:uid="{00000000-0005-0000-0000-0000C3080000}"/>
    <cellStyle name="Note 11" xfId="325" xr:uid="{00000000-0005-0000-0000-0000C4080000}"/>
    <cellStyle name="Note 2" xfId="326" xr:uid="{00000000-0005-0000-0000-0000C5080000}"/>
    <cellStyle name="Note 2 2" xfId="327" xr:uid="{00000000-0005-0000-0000-0000C6080000}"/>
    <cellStyle name="Note 2_Allocators" xfId="328" xr:uid="{00000000-0005-0000-0000-0000C7080000}"/>
    <cellStyle name="Note 3" xfId="329" xr:uid="{00000000-0005-0000-0000-0000C8080000}"/>
    <cellStyle name="Note 3 2" xfId="330" xr:uid="{00000000-0005-0000-0000-0000C9080000}"/>
    <cellStyle name="Note 3 3" xfId="331" xr:uid="{00000000-0005-0000-0000-0000CA080000}"/>
    <cellStyle name="Note 3_Allocators" xfId="332" xr:uid="{00000000-0005-0000-0000-0000CB080000}"/>
    <cellStyle name="Note 4" xfId="333" xr:uid="{00000000-0005-0000-0000-0000CC080000}"/>
    <cellStyle name="Note 4 2" xfId="334" xr:uid="{00000000-0005-0000-0000-0000CD080000}"/>
    <cellStyle name="Note 4_Allocators" xfId="335" xr:uid="{00000000-0005-0000-0000-0000CE080000}"/>
    <cellStyle name="Note 5" xfId="336" xr:uid="{00000000-0005-0000-0000-0000CF080000}"/>
    <cellStyle name="Note 6" xfId="337" xr:uid="{00000000-0005-0000-0000-0000D0080000}"/>
    <cellStyle name="Note 6 2" xfId="338" xr:uid="{00000000-0005-0000-0000-0000D1080000}"/>
    <cellStyle name="Note 6_Allocators" xfId="339" xr:uid="{00000000-0005-0000-0000-0000D2080000}"/>
    <cellStyle name="Note 7" xfId="340" xr:uid="{00000000-0005-0000-0000-0000D3080000}"/>
    <cellStyle name="Note 7 2" xfId="341" xr:uid="{00000000-0005-0000-0000-0000D4080000}"/>
    <cellStyle name="Note 8" xfId="342" xr:uid="{00000000-0005-0000-0000-0000D5080000}"/>
    <cellStyle name="Note 9" xfId="343" xr:uid="{00000000-0005-0000-0000-0000D6080000}"/>
    <cellStyle name="nPlosion" xfId="344" xr:uid="{00000000-0005-0000-0000-0000D7080000}"/>
    <cellStyle name="nvision" xfId="345" xr:uid="{00000000-0005-0000-0000-0000D8080000}"/>
    <cellStyle name="Output 2" xfId="346" xr:uid="{00000000-0005-0000-0000-0000D9080000}"/>
    <cellStyle name="Output 3" xfId="347" xr:uid="{00000000-0005-0000-0000-0000DA080000}"/>
    <cellStyle name="Output 4" xfId="348" xr:uid="{00000000-0005-0000-0000-0000DB080000}"/>
    <cellStyle name="Output 5" xfId="349" xr:uid="{00000000-0005-0000-0000-0000DC080000}"/>
    <cellStyle name="Output 6" xfId="350" xr:uid="{00000000-0005-0000-0000-0000DD080000}"/>
    <cellStyle name="Percent" xfId="2" builtinId="5"/>
    <cellStyle name="Percent 10" xfId="351" xr:uid="{00000000-0005-0000-0000-0000DF080000}"/>
    <cellStyle name="Percent 11" xfId="352" xr:uid="{00000000-0005-0000-0000-0000E0080000}"/>
    <cellStyle name="Percent 12" xfId="353" xr:uid="{00000000-0005-0000-0000-0000E1080000}"/>
    <cellStyle name="Percent 13" xfId="354" xr:uid="{00000000-0005-0000-0000-0000E2080000}"/>
    <cellStyle name="Percent 13 2" xfId="484" xr:uid="{00000000-0005-0000-0000-0000E3080000}"/>
    <cellStyle name="Percent 13 2 2" xfId="580" xr:uid="{00000000-0005-0000-0000-0000E4080000}"/>
    <cellStyle name="Percent 13 2 2 2" xfId="704" xr:uid="{00000000-0005-0000-0000-0000E5080000}"/>
    <cellStyle name="Percent 13 2 2 2 2" xfId="952" xr:uid="{00000000-0005-0000-0000-0000E6080000}"/>
    <cellStyle name="Percent 13 2 2 2 2 2" xfId="1456" xr:uid="{00000000-0005-0000-0000-0000E7080000}"/>
    <cellStyle name="Percent 13 2 2 2 2 2 2" xfId="2458" xr:uid="{00000000-0005-0000-0000-0000E8080000}"/>
    <cellStyle name="Percent 13 2 2 2 2 3" xfId="1957" xr:uid="{00000000-0005-0000-0000-0000E9080000}"/>
    <cellStyle name="Percent 13 2 2 2 3" xfId="1208" xr:uid="{00000000-0005-0000-0000-0000EA080000}"/>
    <cellStyle name="Percent 13 2 2 2 3 2" xfId="2210" xr:uid="{00000000-0005-0000-0000-0000EB080000}"/>
    <cellStyle name="Percent 13 2 2 2 4" xfId="1709" xr:uid="{00000000-0005-0000-0000-0000EC080000}"/>
    <cellStyle name="Percent 13 2 2 3" xfId="828" xr:uid="{00000000-0005-0000-0000-0000ED080000}"/>
    <cellStyle name="Percent 13 2 2 3 2" xfId="1332" xr:uid="{00000000-0005-0000-0000-0000EE080000}"/>
    <cellStyle name="Percent 13 2 2 3 2 2" xfId="2334" xr:uid="{00000000-0005-0000-0000-0000EF080000}"/>
    <cellStyle name="Percent 13 2 2 3 3" xfId="1833" xr:uid="{00000000-0005-0000-0000-0000F0080000}"/>
    <cellStyle name="Percent 13 2 2 4" xfId="1084" xr:uid="{00000000-0005-0000-0000-0000F1080000}"/>
    <cellStyle name="Percent 13 2 2 4 2" xfId="2086" xr:uid="{00000000-0005-0000-0000-0000F2080000}"/>
    <cellStyle name="Percent 13 2 2 5" xfId="1585" xr:uid="{00000000-0005-0000-0000-0000F3080000}"/>
    <cellStyle name="Percent 13 2 3" xfId="609" xr:uid="{00000000-0005-0000-0000-0000F4080000}"/>
    <cellStyle name="Percent 13 2 3 2" xfId="857" xr:uid="{00000000-0005-0000-0000-0000F5080000}"/>
    <cellStyle name="Percent 13 2 3 2 2" xfId="1361" xr:uid="{00000000-0005-0000-0000-0000F6080000}"/>
    <cellStyle name="Percent 13 2 3 2 2 2" xfId="2363" xr:uid="{00000000-0005-0000-0000-0000F7080000}"/>
    <cellStyle name="Percent 13 2 3 2 3" xfId="1862" xr:uid="{00000000-0005-0000-0000-0000F8080000}"/>
    <cellStyle name="Percent 13 2 3 3" xfId="1113" xr:uid="{00000000-0005-0000-0000-0000F9080000}"/>
    <cellStyle name="Percent 13 2 3 3 2" xfId="2115" xr:uid="{00000000-0005-0000-0000-0000FA080000}"/>
    <cellStyle name="Percent 13 2 3 4" xfId="1614" xr:uid="{00000000-0005-0000-0000-0000FB080000}"/>
    <cellStyle name="Percent 13 2 4" xfId="733" xr:uid="{00000000-0005-0000-0000-0000FC080000}"/>
    <cellStyle name="Percent 13 2 4 2" xfId="1237" xr:uid="{00000000-0005-0000-0000-0000FD080000}"/>
    <cellStyle name="Percent 13 2 4 2 2" xfId="2239" xr:uid="{00000000-0005-0000-0000-0000FE080000}"/>
    <cellStyle name="Percent 13 2 4 3" xfId="1738" xr:uid="{00000000-0005-0000-0000-0000FF080000}"/>
    <cellStyle name="Percent 13 2 5" xfId="989" xr:uid="{00000000-0005-0000-0000-000000090000}"/>
    <cellStyle name="Percent 13 2 5 2" xfId="1991" xr:uid="{00000000-0005-0000-0000-000001090000}"/>
    <cellStyle name="Percent 13 2 6" xfId="1490" xr:uid="{00000000-0005-0000-0000-000002090000}"/>
    <cellStyle name="Percent 13 3" xfId="505" xr:uid="{00000000-0005-0000-0000-000003090000}"/>
    <cellStyle name="Percent 13 3 2" xfId="581" xr:uid="{00000000-0005-0000-0000-000004090000}"/>
    <cellStyle name="Percent 13 3 2 2" xfId="705" xr:uid="{00000000-0005-0000-0000-000005090000}"/>
    <cellStyle name="Percent 13 3 2 2 2" xfId="953" xr:uid="{00000000-0005-0000-0000-000006090000}"/>
    <cellStyle name="Percent 13 3 2 2 2 2" xfId="1457" xr:uid="{00000000-0005-0000-0000-000007090000}"/>
    <cellStyle name="Percent 13 3 2 2 2 2 2" xfId="2459" xr:uid="{00000000-0005-0000-0000-000008090000}"/>
    <cellStyle name="Percent 13 3 2 2 2 3" xfId="1958" xr:uid="{00000000-0005-0000-0000-000009090000}"/>
    <cellStyle name="Percent 13 3 2 2 3" xfId="1209" xr:uid="{00000000-0005-0000-0000-00000A090000}"/>
    <cellStyle name="Percent 13 3 2 2 3 2" xfId="2211" xr:uid="{00000000-0005-0000-0000-00000B090000}"/>
    <cellStyle name="Percent 13 3 2 2 4" xfId="1710" xr:uid="{00000000-0005-0000-0000-00000C090000}"/>
    <cellStyle name="Percent 13 3 2 3" xfId="829" xr:uid="{00000000-0005-0000-0000-00000D090000}"/>
    <cellStyle name="Percent 13 3 2 3 2" xfId="1333" xr:uid="{00000000-0005-0000-0000-00000E090000}"/>
    <cellStyle name="Percent 13 3 2 3 2 2" xfId="2335" xr:uid="{00000000-0005-0000-0000-00000F090000}"/>
    <cellStyle name="Percent 13 3 2 3 3" xfId="1834" xr:uid="{00000000-0005-0000-0000-000010090000}"/>
    <cellStyle name="Percent 13 3 2 4" xfId="1085" xr:uid="{00000000-0005-0000-0000-000011090000}"/>
    <cellStyle name="Percent 13 3 2 4 2" xfId="2087" xr:uid="{00000000-0005-0000-0000-000012090000}"/>
    <cellStyle name="Percent 13 3 2 5" xfId="1586" xr:uid="{00000000-0005-0000-0000-000013090000}"/>
    <cellStyle name="Percent 13 3 3" xfId="629" xr:uid="{00000000-0005-0000-0000-000014090000}"/>
    <cellStyle name="Percent 13 3 3 2" xfId="877" xr:uid="{00000000-0005-0000-0000-000015090000}"/>
    <cellStyle name="Percent 13 3 3 2 2" xfId="1381" xr:uid="{00000000-0005-0000-0000-000016090000}"/>
    <cellStyle name="Percent 13 3 3 2 2 2" xfId="2383" xr:uid="{00000000-0005-0000-0000-000017090000}"/>
    <cellStyle name="Percent 13 3 3 2 3" xfId="1882" xr:uid="{00000000-0005-0000-0000-000018090000}"/>
    <cellStyle name="Percent 13 3 3 3" xfId="1133" xr:uid="{00000000-0005-0000-0000-000019090000}"/>
    <cellStyle name="Percent 13 3 3 3 2" xfId="2135" xr:uid="{00000000-0005-0000-0000-00001A090000}"/>
    <cellStyle name="Percent 13 3 3 4" xfId="1634" xr:uid="{00000000-0005-0000-0000-00001B090000}"/>
    <cellStyle name="Percent 13 3 4" xfId="753" xr:uid="{00000000-0005-0000-0000-00001C090000}"/>
    <cellStyle name="Percent 13 3 4 2" xfId="1257" xr:uid="{00000000-0005-0000-0000-00001D090000}"/>
    <cellStyle name="Percent 13 3 4 2 2" xfId="2259" xr:uid="{00000000-0005-0000-0000-00001E090000}"/>
    <cellStyle name="Percent 13 3 4 3" xfId="1758" xr:uid="{00000000-0005-0000-0000-00001F090000}"/>
    <cellStyle name="Percent 13 3 5" xfId="1009" xr:uid="{00000000-0005-0000-0000-000020090000}"/>
    <cellStyle name="Percent 13 3 5 2" xfId="2011" xr:uid="{00000000-0005-0000-0000-000021090000}"/>
    <cellStyle name="Percent 13 3 6" xfId="1510" xr:uid="{00000000-0005-0000-0000-000022090000}"/>
    <cellStyle name="Percent 13 4" xfId="579" xr:uid="{00000000-0005-0000-0000-000023090000}"/>
    <cellStyle name="Percent 13 4 2" xfId="703" xr:uid="{00000000-0005-0000-0000-000024090000}"/>
    <cellStyle name="Percent 13 4 2 2" xfId="951" xr:uid="{00000000-0005-0000-0000-000025090000}"/>
    <cellStyle name="Percent 13 4 2 2 2" xfId="1455" xr:uid="{00000000-0005-0000-0000-000026090000}"/>
    <cellStyle name="Percent 13 4 2 2 2 2" xfId="2457" xr:uid="{00000000-0005-0000-0000-000027090000}"/>
    <cellStyle name="Percent 13 4 2 2 3" xfId="1956" xr:uid="{00000000-0005-0000-0000-000028090000}"/>
    <cellStyle name="Percent 13 4 2 3" xfId="1207" xr:uid="{00000000-0005-0000-0000-000029090000}"/>
    <cellStyle name="Percent 13 4 2 3 2" xfId="2209" xr:uid="{00000000-0005-0000-0000-00002A090000}"/>
    <cellStyle name="Percent 13 4 2 4" xfId="1708" xr:uid="{00000000-0005-0000-0000-00002B090000}"/>
    <cellStyle name="Percent 13 4 3" xfId="827" xr:uid="{00000000-0005-0000-0000-00002C090000}"/>
    <cellStyle name="Percent 13 4 3 2" xfId="1331" xr:uid="{00000000-0005-0000-0000-00002D090000}"/>
    <cellStyle name="Percent 13 4 3 2 2" xfId="2333" xr:uid="{00000000-0005-0000-0000-00002E090000}"/>
    <cellStyle name="Percent 13 4 3 3" xfId="1832" xr:uid="{00000000-0005-0000-0000-00002F090000}"/>
    <cellStyle name="Percent 13 4 4" xfId="1083" xr:uid="{00000000-0005-0000-0000-000030090000}"/>
    <cellStyle name="Percent 13 4 4 2" xfId="2085" xr:uid="{00000000-0005-0000-0000-000031090000}"/>
    <cellStyle name="Percent 13 4 5" xfId="1584" xr:uid="{00000000-0005-0000-0000-000032090000}"/>
    <cellStyle name="Percent 13 5" xfId="587" xr:uid="{00000000-0005-0000-0000-000033090000}"/>
    <cellStyle name="Percent 13 5 2" xfId="835" xr:uid="{00000000-0005-0000-0000-000034090000}"/>
    <cellStyle name="Percent 13 5 2 2" xfId="1339" xr:uid="{00000000-0005-0000-0000-000035090000}"/>
    <cellStyle name="Percent 13 5 2 2 2" xfId="2341" xr:uid="{00000000-0005-0000-0000-000036090000}"/>
    <cellStyle name="Percent 13 5 2 3" xfId="1840" xr:uid="{00000000-0005-0000-0000-000037090000}"/>
    <cellStyle name="Percent 13 5 3" xfId="1091" xr:uid="{00000000-0005-0000-0000-000038090000}"/>
    <cellStyle name="Percent 13 5 3 2" xfId="2093" xr:uid="{00000000-0005-0000-0000-000039090000}"/>
    <cellStyle name="Percent 13 5 4" xfId="1592" xr:uid="{00000000-0005-0000-0000-00003A090000}"/>
    <cellStyle name="Percent 13 6" xfId="711" xr:uid="{00000000-0005-0000-0000-00003B090000}"/>
    <cellStyle name="Percent 13 6 2" xfId="1215" xr:uid="{00000000-0005-0000-0000-00003C090000}"/>
    <cellStyle name="Percent 13 6 2 2" xfId="2217" xr:uid="{00000000-0005-0000-0000-00003D090000}"/>
    <cellStyle name="Percent 13 6 3" xfId="1716" xr:uid="{00000000-0005-0000-0000-00003E090000}"/>
    <cellStyle name="Percent 13 7" xfId="967" xr:uid="{00000000-0005-0000-0000-00003F090000}"/>
    <cellStyle name="Percent 13 7 2" xfId="1969" xr:uid="{00000000-0005-0000-0000-000040090000}"/>
    <cellStyle name="Percent 13 8" xfId="1468" xr:uid="{00000000-0005-0000-0000-000041090000}"/>
    <cellStyle name="Percent 2" xfId="355" xr:uid="{00000000-0005-0000-0000-000042090000}"/>
    <cellStyle name="Percent 2 2" xfId="356" xr:uid="{00000000-0005-0000-0000-000043090000}"/>
    <cellStyle name="Percent 3" xfId="357" xr:uid="{00000000-0005-0000-0000-000044090000}"/>
    <cellStyle name="Percent 3 2" xfId="358" xr:uid="{00000000-0005-0000-0000-000045090000}"/>
    <cellStyle name="Percent 3 3" xfId="359" xr:uid="{00000000-0005-0000-0000-000046090000}"/>
    <cellStyle name="Percent 3 4" xfId="455" xr:uid="{00000000-0005-0000-0000-000047090000}"/>
    <cellStyle name="Percent 3 5" xfId="485" xr:uid="{00000000-0005-0000-0000-000048090000}"/>
    <cellStyle name="Percent 4" xfId="360" xr:uid="{00000000-0005-0000-0000-000049090000}"/>
    <cellStyle name="Percent 4 2" xfId="361" xr:uid="{00000000-0005-0000-0000-00004A090000}"/>
    <cellStyle name="Percent 4 3" xfId="362" xr:uid="{00000000-0005-0000-0000-00004B090000}"/>
    <cellStyle name="Percent 4 4" xfId="363" xr:uid="{00000000-0005-0000-0000-00004C090000}"/>
    <cellStyle name="Percent 5" xfId="364" xr:uid="{00000000-0005-0000-0000-00004D090000}"/>
    <cellStyle name="Percent 5 2" xfId="365" xr:uid="{00000000-0005-0000-0000-00004E090000}"/>
    <cellStyle name="Percent 6" xfId="366" xr:uid="{00000000-0005-0000-0000-00004F090000}"/>
    <cellStyle name="Percent 6 2" xfId="367" xr:uid="{00000000-0005-0000-0000-000050090000}"/>
    <cellStyle name="Percent 7" xfId="368" xr:uid="{00000000-0005-0000-0000-000051090000}"/>
    <cellStyle name="Percent 8" xfId="369" xr:uid="{00000000-0005-0000-0000-000052090000}"/>
    <cellStyle name="Percent 9" xfId="370" xr:uid="{00000000-0005-0000-0000-000053090000}"/>
    <cellStyle name="PSChar" xfId="371" xr:uid="{00000000-0005-0000-0000-000054090000}"/>
    <cellStyle name="PSChar 2" xfId="372" xr:uid="{00000000-0005-0000-0000-000055090000}"/>
    <cellStyle name="PSChar 2 2" xfId="373" xr:uid="{00000000-0005-0000-0000-000056090000}"/>
    <cellStyle name="PSChar 2 3" xfId="374" xr:uid="{00000000-0005-0000-0000-000057090000}"/>
    <cellStyle name="PSChar 3" xfId="375" xr:uid="{00000000-0005-0000-0000-000058090000}"/>
    <cellStyle name="PSChar 3 2" xfId="376" xr:uid="{00000000-0005-0000-0000-000059090000}"/>
    <cellStyle name="PSChar 4" xfId="377" xr:uid="{00000000-0005-0000-0000-00005A090000}"/>
    <cellStyle name="PSChar 5" xfId="378" xr:uid="{00000000-0005-0000-0000-00005B090000}"/>
    <cellStyle name="PSChar 6" xfId="379" xr:uid="{00000000-0005-0000-0000-00005C090000}"/>
    <cellStyle name="PSDate" xfId="380" xr:uid="{00000000-0005-0000-0000-00005D090000}"/>
    <cellStyle name="PSDate 2" xfId="381" xr:uid="{00000000-0005-0000-0000-00005E090000}"/>
    <cellStyle name="PSDate 2 2" xfId="382" xr:uid="{00000000-0005-0000-0000-00005F090000}"/>
    <cellStyle name="PSDate 2 3" xfId="383" xr:uid="{00000000-0005-0000-0000-000060090000}"/>
    <cellStyle name="PSDate 3" xfId="384" xr:uid="{00000000-0005-0000-0000-000061090000}"/>
    <cellStyle name="PSDate 3 2" xfId="385" xr:uid="{00000000-0005-0000-0000-000062090000}"/>
    <cellStyle name="PSDate 4" xfId="386" xr:uid="{00000000-0005-0000-0000-000063090000}"/>
    <cellStyle name="PSDate 5" xfId="387" xr:uid="{00000000-0005-0000-0000-000064090000}"/>
    <cellStyle name="PSDate 6" xfId="388" xr:uid="{00000000-0005-0000-0000-000065090000}"/>
    <cellStyle name="PSDec" xfId="389" xr:uid="{00000000-0005-0000-0000-000066090000}"/>
    <cellStyle name="PSDec 2" xfId="390" xr:uid="{00000000-0005-0000-0000-000067090000}"/>
    <cellStyle name="PSDec 2 2" xfId="391" xr:uid="{00000000-0005-0000-0000-000068090000}"/>
    <cellStyle name="PSDec 2 3" xfId="392" xr:uid="{00000000-0005-0000-0000-000069090000}"/>
    <cellStyle name="PSDec 3" xfId="393" xr:uid="{00000000-0005-0000-0000-00006A090000}"/>
    <cellStyle name="PSDec 3 2" xfId="394" xr:uid="{00000000-0005-0000-0000-00006B090000}"/>
    <cellStyle name="PSDec 4" xfId="395" xr:uid="{00000000-0005-0000-0000-00006C090000}"/>
    <cellStyle name="PSDec 5" xfId="396" xr:uid="{00000000-0005-0000-0000-00006D090000}"/>
    <cellStyle name="PSDec 6" xfId="397" xr:uid="{00000000-0005-0000-0000-00006E090000}"/>
    <cellStyle name="PSHeading" xfId="398" xr:uid="{00000000-0005-0000-0000-00006F090000}"/>
    <cellStyle name="PSHeading 10" xfId="399" xr:uid="{00000000-0005-0000-0000-000070090000}"/>
    <cellStyle name="PSHeading 11" xfId="400" xr:uid="{00000000-0005-0000-0000-000071090000}"/>
    <cellStyle name="PSHeading 2" xfId="401" xr:uid="{00000000-0005-0000-0000-000072090000}"/>
    <cellStyle name="PSHeading 2 2" xfId="402" xr:uid="{00000000-0005-0000-0000-000073090000}"/>
    <cellStyle name="PSHeading 2 3" xfId="403" xr:uid="{00000000-0005-0000-0000-000074090000}"/>
    <cellStyle name="PSHeading 2_108 Summary" xfId="404" xr:uid="{00000000-0005-0000-0000-000075090000}"/>
    <cellStyle name="PSHeading 3" xfId="405" xr:uid="{00000000-0005-0000-0000-000076090000}"/>
    <cellStyle name="PSHeading 3 2" xfId="406" xr:uid="{00000000-0005-0000-0000-000077090000}"/>
    <cellStyle name="PSHeading 3_108 Summary" xfId="407" xr:uid="{00000000-0005-0000-0000-000078090000}"/>
    <cellStyle name="PSHeading 4" xfId="408" xr:uid="{00000000-0005-0000-0000-000079090000}"/>
    <cellStyle name="PSHeading 5" xfId="409" xr:uid="{00000000-0005-0000-0000-00007A090000}"/>
    <cellStyle name="PSHeading 6" xfId="410" xr:uid="{00000000-0005-0000-0000-00007B090000}"/>
    <cellStyle name="PSHeading 7" xfId="411" xr:uid="{00000000-0005-0000-0000-00007C090000}"/>
    <cellStyle name="PSHeading 8" xfId="412" xr:uid="{00000000-0005-0000-0000-00007D090000}"/>
    <cellStyle name="PSHeading 9" xfId="413" xr:uid="{00000000-0005-0000-0000-00007E090000}"/>
    <cellStyle name="PSHeading_101 check" xfId="414" xr:uid="{00000000-0005-0000-0000-00007F090000}"/>
    <cellStyle name="PSInt" xfId="415" xr:uid="{00000000-0005-0000-0000-000080090000}"/>
    <cellStyle name="PSInt 2" xfId="416" xr:uid="{00000000-0005-0000-0000-000081090000}"/>
    <cellStyle name="PSInt 2 2" xfId="417" xr:uid="{00000000-0005-0000-0000-000082090000}"/>
    <cellStyle name="PSInt 2 3" xfId="418" xr:uid="{00000000-0005-0000-0000-000083090000}"/>
    <cellStyle name="PSInt 3" xfId="419" xr:uid="{00000000-0005-0000-0000-000084090000}"/>
    <cellStyle name="PSInt 3 2" xfId="420" xr:uid="{00000000-0005-0000-0000-000085090000}"/>
    <cellStyle name="PSInt 4" xfId="421" xr:uid="{00000000-0005-0000-0000-000086090000}"/>
    <cellStyle name="PSInt 5" xfId="422" xr:uid="{00000000-0005-0000-0000-000087090000}"/>
    <cellStyle name="PSInt 6" xfId="423" xr:uid="{00000000-0005-0000-0000-000088090000}"/>
    <cellStyle name="PSSpacer" xfId="424" xr:uid="{00000000-0005-0000-0000-000089090000}"/>
    <cellStyle name="PSSpacer 2" xfId="425" xr:uid="{00000000-0005-0000-0000-00008A090000}"/>
    <cellStyle name="PSSpacer 2 2" xfId="426" xr:uid="{00000000-0005-0000-0000-00008B090000}"/>
    <cellStyle name="PSSpacer 2 3" xfId="427" xr:uid="{00000000-0005-0000-0000-00008C090000}"/>
    <cellStyle name="PSSpacer 3" xfId="428" xr:uid="{00000000-0005-0000-0000-00008D090000}"/>
    <cellStyle name="PSSpacer 3 2" xfId="429" xr:uid="{00000000-0005-0000-0000-00008E090000}"/>
    <cellStyle name="PSSpacer 4" xfId="430" xr:uid="{00000000-0005-0000-0000-00008F090000}"/>
    <cellStyle name="PSSpacer 5" xfId="431" xr:uid="{00000000-0005-0000-0000-000090090000}"/>
    <cellStyle name="PSSpacer 6" xfId="432" xr:uid="{00000000-0005-0000-0000-000091090000}"/>
    <cellStyle name="Table (Normal)" xfId="2467" xr:uid="{EC8247E5-B76E-461A-A425-66F105AE5073}"/>
    <cellStyle name="Title 2" xfId="433" xr:uid="{00000000-0005-0000-0000-000092090000}"/>
    <cellStyle name="Title 3" xfId="434" xr:uid="{00000000-0005-0000-0000-000093090000}"/>
    <cellStyle name="Title 4" xfId="435" xr:uid="{00000000-0005-0000-0000-000094090000}"/>
    <cellStyle name="Title 5" xfId="436" xr:uid="{00000000-0005-0000-0000-000095090000}"/>
    <cellStyle name="Total 2" xfId="437" xr:uid="{00000000-0005-0000-0000-000096090000}"/>
    <cellStyle name="Total 3" xfId="438" xr:uid="{00000000-0005-0000-0000-000097090000}"/>
    <cellStyle name="Total 4" xfId="439" xr:uid="{00000000-0005-0000-0000-000098090000}"/>
    <cellStyle name="Total 5" xfId="440" xr:uid="{00000000-0005-0000-0000-000099090000}"/>
    <cellStyle name="Total 6" xfId="441" xr:uid="{00000000-0005-0000-0000-00009A090000}"/>
    <cellStyle name="Total 7" xfId="442" xr:uid="{00000000-0005-0000-0000-00009B090000}"/>
    <cellStyle name="Total 8" xfId="443" xr:uid="{00000000-0005-0000-0000-00009C090000}"/>
    <cellStyle name="Warning Text 2" xfId="444" xr:uid="{00000000-0005-0000-0000-00009D090000}"/>
    <cellStyle name="Warning Text 3" xfId="445" xr:uid="{00000000-0005-0000-0000-00009E090000}"/>
    <cellStyle name="Warning Text 4" xfId="446" xr:uid="{00000000-0005-0000-0000-00009F090000}"/>
    <cellStyle name="Warning Text 5" xfId="447" xr:uid="{00000000-0005-0000-0000-0000A0090000}"/>
    <cellStyle name="Warning Text 6" xfId="448" xr:uid="{00000000-0005-0000-0000-0000A1090000}"/>
  </cellStyles>
  <dxfs count="0"/>
  <tableStyles count="0" defaultTableStyle="TableStyleMedium2" defaultPivotStyle="PivotStyleLight16"/>
  <colors>
    <mruColors>
      <color rgb="FFFFFF99"/>
      <color rgb="FFFF3300"/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120" zoomScaleNormal="120" workbookViewId="0">
      <selection activeCell="G19" sqref="G19"/>
    </sheetView>
  </sheetViews>
  <sheetFormatPr defaultColWidth="9.1796875" defaultRowHeight="12.5"/>
  <cols>
    <col min="1" max="1" width="5.7265625" style="89" customWidth="1"/>
    <col min="2" max="2" width="57.453125" style="89" customWidth="1"/>
    <col min="3" max="3" width="28.7265625" style="89" customWidth="1"/>
    <col min="4" max="4" width="19.7265625" style="89" customWidth="1"/>
    <col min="5" max="5" width="0.7265625" style="89" customWidth="1"/>
    <col min="6" max="6" width="27.81640625" style="89" customWidth="1"/>
    <col min="7" max="7" width="9.1796875" style="89"/>
    <col min="8" max="8" width="12.7265625" style="89" hidden="1" customWidth="1"/>
    <col min="9" max="9" width="6.54296875" style="89" hidden="1" customWidth="1"/>
    <col min="10" max="11" width="0" style="89" hidden="1" customWidth="1"/>
    <col min="12" max="12" width="15.54296875" style="89" bestFit="1" customWidth="1"/>
    <col min="13" max="13" width="9.1796875" style="89"/>
    <col min="14" max="14" width="14.453125" style="89" customWidth="1"/>
    <col min="15" max="16384" width="9.1796875" style="89"/>
  </cols>
  <sheetData>
    <row r="1" spans="1:13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">
      <c r="B2" s="440" t="s">
        <v>398</v>
      </c>
      <c r="C2" s="440"/>
      <c r="D2" s="440"/>
      <c r="E2" s="440"/>
      <c r="F2" s="441"/>
      <c r="G2" s="40"/>
      <c r="H2" s="40"/>
      <c r="I2" s="40"/>
      <c r="J2" s="40"/>
      <c r="K2" s="40"/>
      <c r="L2" s="40"/>
      <c r="M2" s="40"/>
    </row>
    <row r="3" spans="1:13" ht="13">
      <c r="B3" s="440" t="s">
        <v>1207</v>
      </c>
      <c r="C3" s="440"/>
      <c r="D3" s="440"/>
      <c r="E3" s="440"/>
      <c r="F3" s="440"/>
      <c r="G3" s="40"/>
      <c r="H3" s="40"/>
      <c r="I3" s="40"/>
      <c r="J3" s="40"/>
      <c r="K3" s="40"/>
      <c r="L3" s="40"/>
      <c r="M3" s="40"/>
    </row>
    <row r="4" spans="1:13" ht="13.15" customHeight="1">
      <c r="B4" s="440" t="s">
        <v>1087</v>
      </c>
      <c r="C4" s="442"/>
      <c r="D4" s="442"/>
      <c r="E4" s="442"/>
      <c r="F4" s="442"/>
      <c r="G4" s="40"/>
      <c r="H4" s="40"/>
      <c r="I4" s="40"/>
      <c r="J4" s="40"/>
      <c r="K4" s="40"/>
      <c r="L4" s="40"/>
      <c r="M4" s="40"/>
    </row>
    <row r="5" spans="1:13" ht="13">
      <c r="B5" s="323"/>
      <c r="C5" s="323"/>
      <c r="D5" s="323"/>
      <c r="E5" s="323"/>
      <c r="F5" s="323"/>
    </row>
    <row r="7" spans="1:13" ht="26">
      <c r="A7" s="324" t="s">
        <v>921</v>
      </c>
      <c r="C7" s="217" t="s">
        <v>922</v>
      </c>
      <c r="D7" s="217" t="s">
        <v>647</v>
      </c>
      <c r="E7" s="217"/>
      <c r="F7" s="325" t="s">
        <v>923</v>
      </c>
    </row>
    <row r="8" spans="1:13" ht="13">
      <c r="A8" s="326" t="s">
        <v>939</v>
      </c>
      <c r="B8" s="3" t="s">
        <v>940</v>
      </c>
      <c r="C8" s="83" t="s">
        <v>943</v>
      </c>
      <c r="D8" s="327">
        <f>'Sch 4'!C7</f>
        <v>691550215.72000003</v>
      </c>
      <c r="E8" s="328"/>
      <c r="F8" s="83"/>
      <c r="M8" s="411"/>
    </row>
    <row r="9" spans="1:13" ht="13">
      <c r="A9" s="326" t="s">
        <v>941</v>
      </c>
      <c r="B9" s="3" t="s">
        <v>1190</v>
      </c>
      <c r="C9" s="83"/>
      <c r="D9" s="407">
        <f>1984215.75+468094.75</f>
        <v>2452310.5</v>
      </c>
      <c r="E9" s="328"/>
      <c r="F9" s="83"/>
      <c r="M9" s="411"/>
    </row>
    <row r="10" spans="1:13" ht="13">
      <c r="A10" s="326" t="s">
        <v>12</v>
      </c>
      <c r="B10" s="3" t="s">
        <v>942</v>
      </c>
      <c r="C10" s="83"/>
      <c r="D10" s="327">
        <f>D8+D9</f>
        <v>694002526.22000003</v>
      </c>
      <c r="E10" s="328"/>
      <c r="F10" s="83"/>
      <c r="G10" s="83" t="s">
        <v>451</v>
      </c>
      <c r="M10" s="411"/>
    </row>
    <row r="11" spans="1:13" ht="13">
      <c r="A11" s="329"/>
      <c r="D11" s="328"/>
      <c r="E11" s="328"/>
      <c r="M11" s="411"/>
    </row>
    <row r="12" spans="1:13" ht="13">
      <c r="A12" s="326" t="s">
        <v>13</v>
      </c>
      <c r="B12" s="3" t="s">
        <v>924</v>
      </c>
      <c r="C12" s="83" t="s">
        <v>925</v>
      </c>
      <c r="D12" s="328">
        <f>'Sch 1'!I47</f>
        <v>74666028</v>
      </c>
      <c r="E12" s="328"/>
      <c r="F12" s="330">
        <f>ROUND(D12/D10,4)</f>
        <v>0.1076</v>
      </c>
      <c r="L12" s="331"/>
      <c r="M12" s="411"/>
    </row>
    <row r="13" spans="1:13" ht="13">
      <c r="A13" s="329"/>
      <c r="D13" s="328"/>
      <c r="E13" s="328"/>
      <c r="F13" s="331"/>
      <c r="H13" s="332"/>
      <c r="I13" s="333"/>
      <c r="M13" s="411"/>
    </row>
    <row r="14" spans="1:13" ht="13">
      <c r="A14" s="329">
        <f>A12-1</f>
        <v>-3</v>
      </c>
      <c r="B14" s="3" t="s">
        <v>1194</v>
      </c>
      <c r="C14" s="83"/>
      <c r="D14" s="409">
        <v>0</v>
      </c>
      <c r="E14" s="328"/>
      <c r="F14" s="330">
        <f>ROUND((D12+D14)/D10,4)</f>
        <v>0.1076</v>
      </c>
      <c r="H14" s="332"/>
      <c r="I14" s="333"/>
      <c r="M14" s="411"/>
    </row>
    <row r="15" spans="1:13" ht="13">
      <c r="A15" s="329"/>
      <c r="B15" s="3"/>
      <c r="C15" s="3"/>
      <c r="D15" s="197"/>
      <c r="E15" s="197"/>
      <c r="F15" s="330"/>
      <c r="H15" s="332"/>
      <c r="I15" s="333"/>
      <c r="M15" s="411"/>
    </row>
    <row r="16" spans="1:13" ht="13.5" thickBot="1">
      <c r="A16" s="329">
        <f>A14-1</f>
        <v>-4</v>
      </c>
      <c r="B16" s="3" t="s">
        <v>1198</v>
      </c>
      <c r="D16" s="505">
        <f>D12+D14</f>
        <v>74666028</v>
      </c>
      <c r="E16" s="327"/>
      <c r="F16" s="330">
        <f>ROUND((D12+D14)/D10,4)</f>
        <v>0.1076</v>
      </c>
      <c r="H16" s="82"/>
      <c r="I16" s="333"/>
      <c r="L16" s="423"/>
      <c r="M16" s="411"/>
    </row>
    <row r="17" spans="1:9" ht="13.5" thickTop="1">
      <c r="A17" s="329"/>
      <c r="D17" s="334"/>
      <c r="E17" s="334"/>
      <c r="F17" s="331"/>
      <c r="H17" s="335"/>
      <c r="I17" s="333"/>
    </row>
    <row r="18" spans="1:9">
      <c r="D18" s="346"/>
      <c r="E18" s="337"/>
      <c r="F18" s="331"/>
      <c r="H18" s="335"/>
      <c r="I18" s="333"/>
    </row>
    <row r="19" spans="1:9">
      <c r="D19" s="346"/>
      <c r="E19" s="337"/>
      <c r="F19" s="331"/>
      <c r="H19" s="82"/>
      <c r="I19" s="333"/>
    </row>
    <row r="20" spans="1:9">
      <c r="D20" s="337">
        <v>93935727</v>
      </c>
      <c r="E20" s="337"/>
      <c r="F20" s="331" t="s">
        <v>1203</v>
      </c>
    </row>
    <row r="21" spans="1:9">
      <c r="D21" s="332"/>
      <c r="E21" s="332"/>
      <c r="F21" s="331"/>
    </row>
    <row r="22" spans="1:9">
      <c r="D22" s="332"/>
      <c r="E22" s="332"/>
      <c r="F22" s="331"/>
    </row>
    <row r="23" spans="1:9">
      <c r="D23" s="332"/>
      <c r="E23" s="332"/>
    </row>
    <row r="24" spans="1:9">
      <c r="D24" s="332"/>
      <c r="E24" s="332"/>
    </row>
    <row r="25" spans="1:9">
      <c r="D25" s="408"/>
      <c r="E25" s="338"/>
    </row>
    <row r="26" spans="1:9">
      <c r="D26" s="1"/>
      <c r="E26" s="1"/>
      <c r="F26" s="411"/>
    </row>
    <row r="27" spans="1:9">
      <c r="D27" s="1"/>
      <c r="E27" s="1"/>
    </row>
    <row r="28" spans="1:9" ht="13.15" customHeight="1">
      <c r="B28" s="83" t="s">
        <v>48</v>
      </c>
      <c r="D28" s="339"/>
      <c r="E28" s="339"/>
    </row>
    <row r="29" spans="1:9" ht="13.15" customHeight="1">
      <c r="D29" s="268"/>
      <c r="E29" s="268"/>
    </row>
    <row r="30" spans="1:9" ht="13.15" customHeight="1">
      <c r="D30" s="111"/>
      <c r="E30" s="111"/>
    </row>
    <row r="31" spans="1:9" ht="13.15" customHeight="1">
      <c r="D31" s="268"/>
      <c r="E31" s="268"/>
    </row>
    <row r="32" spans="1:9" ht="13.15" customHeight="1">
      <c r="D32" s="268"/>
      <c r="E32" s="268"/>
    </row>
    <row r="33" spans="4:6" ht="13.15" customHeight="1">
      <c r="D33" s="268"/>
      <c r="E33" s="268"/>
    </row>
    <row r="34" spans="4:6">
      <c r="D34" s="111"/>
      <c r="E34" s="111"/>
    </row>
    <row r="40" spans="4:6">
      <c r="F40" s="89" t="s">
        <v>451</v>
      </c>
    </row>
  </sheetData>
  <mergeCells count="3">
    <mergeCell ref="B2:F2"/>
    <mergeCell ref="B3:F3"/>
    <mergeCell ref="B4:F4"/>
  </mergeCells>
  <pageMargins left="0.7" right="0.7" top="0.75" bottom="0.75" header="0.3" footer="0.3"/>
  <pageSetup scale="65" orientation="portrait" r:id="rId1"/>
  <headerFooter>
    <oddHeader>&amp;RSECTION 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1"/>
  <sheetViews>
    <sheetView zoomScale="90" zoomScaleNormal="90" workbookViewId="0">
      <pane ySplit="8" topLeftCell="A9" activePane="bottomLeft" state="frozen"/>
      <selection activeCell="E18" sqref="E18"/>
      <selection pane="bottomLeft" activeCell="I44" sqref="I44"/>
    </sheetView>
  </sheetViews>
  <sheetFormatPr defaultColWidth="9.1796875" defaultRowHeight="12.5"/>
  <cols>
    <col min="1" max="1" width="5" style="89" bestFit="1" customWidth="1"/>
    <col min="2" max="2" width="3.7265625" style="89" customWidth="1"/>
    <col min="3" max="3" width="43.54296875" style="41" bestFit="1" customWidth="1"/>
    <col min="4" max="4" width="3.7265625" style="41" customWidth="1"/>
    <col min="5" max="5" width="13.7265625" style="41" bestFit="1" customWidth="1"/>
    <col min="6" max="6" width="3.7265625" style="41" customWidth="1"/>
    <col min="7" max="7" width="13.1796875" style="41" bestFit="1" customWidth="1"/>
    <col min="8" max="8" width="3.7265625" style="89" customWidth="1"/>
    <col min="9" max="9" width="13.7265625" style="288" bestFit="1" customWidth="1"/>
    <col min="10" max="10" width="3.7265625" style="89" customWidth="1"/>
    <col min="11" max="16384" width="9.1796875" style="89"/>
  </cols>
  <sheetData>
    <row r="1" spans="1:9">
      <c r="C1" s="449" t="s">
        <v>334</v>
      </c>
      <c r="D1" s="449"/>
      <c r="E1" s="449"/>
      <c r="F1" s="449"/>
      <c r="G1" s="449"/>
      <c r="I1" s="95" t="s">
        <v>554</v>
      </c>
    </row>
    <row r="2" spans="1:9">
      <c r="C2" s="449" t="s">
        <v>935</v>
      </c>
      <c r="D2" s="449"/>
      <c r="E2" s="449"/>
      <c r="F2" s="449"/>
      <c r="G2" s="449"/>
      <c r="I2" s="95" t="s">
        <v>674</v>
      </c>
    </row>
    <row r="3" spans="1:9">
      <c r="C3" s="449" t="s">
        <v>936</v>
      </c>
      <c r="D3" s="449"/>
      <c r="E3" s="449"/>
      <c r="F3" s="449"/>
      <c r="G3" s="449"/>
      <c r="I3" s="95" t="s">
        <v>687</v>
      </c>
    </row>
    <row r="4" spans="1:9">
      <c r="C4" s="449" t="s">
        <v>1088</v>
      </c>
      <c r="D4" s="449"/>
      <c r="E4" s="449"/>
      <c r="F4" s="449"/>
      <c r="G4" s="449"/>
      <c r="I4" s="41"/>
    </row>
    <row r="7" spans="1:9" ht="25">
      <c r="A7" s="287" t="s">
        <v>684</v>
      </c>
      <c r="B7" s="287"/>
      <c r="C7" s="287" t="s">
        <v>7</v>
      </c>
      <c r="D7" s="287"/>
      <c r="E7" s="287" t="s">
        <v>685</v>
      </c>
      <c r="F7" s="287"/>
      <c r="G7" s="287" t="s">
        <v>686</v>
      </c>
      <c r="I7" s="287" t="s">
        <v>647</v>
      </c>
    </row>
    <row r="8" spans="1:9">
      <c r="A8" s="289">
        <v>-1</v>
      </c>
      <c r="B8" s="289"/>
      <c r="C8" s="289">
        <f>+A8-1</f>
        <v>-2</v>
      </c>
      <c r="D8" s="289"/>
      <c r="E8" s="289">
        <f>+C8-1</f>
        <v>-3</v>
      </c>
      <c r="F8" s="289"/>
      <c r="G8" s="289">
        <f>+E8-1</f>
        <v>-4</v>
      </c>
      <c r="I8" s="289">
        <f>+G8-1</f>
        <v>-5</v>
      </c>
    </row>
    <row r="9" spans="1:9">
      <c r="A9" s="344"/>
      <c r="B9" s="344"/>
    </row>
    <row r="10" spans="1:9">
      <c r="A10" s="344">
        <v>1</v>
      </c>
      <c r="B10" s="344"/>
      <c r="C10" s="292" t="s">
        <v>780</v>
      </c>
      <c r="D10" s="292"/>
      <c r="E10" s="293">
        <v>183776.81</v>
      </c>
      <c r="F10" s="292"/>
      <c r="G10" s="294">
        <f>I10/E10</f>
        <v>132.51543129952032</v>
      </c>
      <c r="I10" s="295">
        <v>24353263.239999998</v>
      </c>
    </row>
    <row r="11" spans="1:9">
      <c r="A11" s="344"/>
      <c r="B11" s="344"/>
      <c r="C11" s="292"/>
      <c r="D11" s="292"/>
      <c r="E11" s="293"/>
      <c r="F11" s="292"/>
      <c r="G11" s="294"/>
      <c r="I11" s="295"/>
    </row>
    <row r="12" spans="1:9">
      <c r="A12" s="344">
        <v>2</v>
      </c>
      <c r="B12" s="344"/>
      <c r="C12" s="292" t="s">
        <v>781</v>
      </c>
      <c r="D12" s="292"/>
      <c r="E12" s="293">
        <v>257556.08</v>
      </c>
      <c r="F12" s="292"/>
      <c r="G12" s="294">
        <f>I12/E12</f>
        <v>55.747598115330845</v>
      </c>
      <c r="I12" s="295">
        <v>14358132.84</v>
      </c>
    </row>
    <row r="13" spans="1:9">
      <c r="A13" s="344"/>
      <c r="B13" s="344"/>
      <c r="C13" s="290"/>
      <c r="D13" s="290"/>
      <c r="E13" s="291" t="s">
        <v>558</v>
      </c>
      <c r="F13" s="290"/>
      <c r="G13" s="291" t="s">
        <v>558</v>
      </c>
      <c r="I13" s="291" t="s">
        <v>558</v>
      </c>
    </row>
    <row r="14" spans="1:9">
      <c r="A14" s="344">
        <v>3</v>
      </c>
      <c r="B14" s="344"/>
      <c r="C14" s="292" t="s">
        <v>782</v>
      </c>
      <c r="D14" s="292"/>
      <c r="E14" s="293">
        <v>2683</v>
      </c>
      <c r="F14" s="292"/>
      <c r="G14" s="292"/>
      <c r="I14" s="295"/>
    </row>
    <row r="15" spans="1:9">
      <c r="A15" s="344"/>
      <c r="B15" s="344"/>
      <c r="C15" s="292"/>
      <c r="D15" s="292"/>
      <c r="E15" s="293"/>
      <c r="F15" s="292"/>
      <c r="G15" s="292"/>
      <c r="I15" s="295"/>
    </row>
    <row r="16" spans="1:9">
      <c r="A16" s="344">
        <v>4</v>
      </c>
      <c r="B16" s="344"/>
      <c r="C16" s="292" t="s">
        <v>783</v>
      </c>
      <c r="D16" s="292"/>
      <c r="E16" s="293">
        <v>4995</v>
      </c>
      <c r="F16" s="292"/>
      <c r="G16" s="292"/>
      <c r="I16" s="295"/>
    </row>
    <row r="17" spans="1:9">
      <c r="A17" s="344"/>
      <c r="B17" s="344"/>
      <c r="C17" s="290"/>
      <c r="D17" s="290"/>
      <c r="E17" s="290"/>
      <c r="F17" s="290"/>
      <c r="G17" s="290"/>
      <c r="I17" s="291"/>
    </row>
    <row r="18" spans="1:9">
      <c r="A18" s="344">
        <v>5</v>
      </c>
      <c r="B18" s="344"/>
      <c r="C18" s="292" t="s">
        <v>786</v>
      </c>
      <c r="D18" s="292"/>
      <c r="E18" s="293">
        <f>E10/E14</f>
        <v>68.496761088333955</v>
      </c>
      <c r="F18" s="292"/>
      <c r="G18" s="292"/>
      <c r="I18" s="295"/>
    </row>
    <row r="19" spans="1:9">
      <c r="A19" s="344"/>
      <c r="B19" s="344"/>
      <c r="C19" s="292"/>
      <c r="D19" s="292"/>
      <c r="E19" s="293"/>
      <c r="F19" s="292"/>
      <c r="G19" s="292"/>
      <c r="I19" s="295"/>
    </row>
    <row r="20" spans="1:9" ht="12.75" customHeight="1">
      <c r="A20" s="344">
        <v>6</v>
      </c>
      <c r="B20" s="344"/>
      <c r="C20" s="292" t="s">
        <v>787</v>
      </c>
      <c r="D20" s="292"/>
      <c r="E20" s="293">
        <f>E12/E16</f>
        <v>51.562778778778778</v>
      </c>
      <c r="F20" s="292"/>
      <c r="G20" s="292"/>
      <c r="I20" s="295"/>
    </row>
    <row r="21" spans="1:9">
      <c r="A21" s="344"/>
      <c r="B21" s="344"/>
      <c r="C21" s="290"/>
      <c r="D21" s="290"/>
      <c r="E21" s="290"/>
      <c r="F21" s="290"/>
      <c r="G21" s="290"/>
      <c r="I21" s="291"/>
    </row>
    <row r="22" spans="1:9">
      <c r="A22" s="344">
        <v>7</v>
      </c>
      <c r="B22" s="344"/>
      <c r="C22" s="89" t="s">
        <v>784</v>
      </c>
      <c r="D22" s="89"/>
      <c r="E22" s="293">
        <v>35</v>
      </c>
      <c r="F22" s="89"/>
      <c r="G22" s="89"/>
      <c r="I22" s="296"/>
    </row>
    <row r="23" spans="1:9">
      <c r="A23" s="344"/>
      <c r="B23" s="344"/>
      <c r="C23" s="89"/>
      <c r="D23" s="89"/>
      <c r="E23" s="293"/>
      <c r="F23" s="89"/>
      <c r="G23" s="89"/>
      <c r="I23" s="296"/>
    </row>
    <row r="24" spans="1:9">
      <c r="A24" s="344">
        <v>8</v>
      </c>
      <c r="B24" s="344"/>
      <c r="C24" s="89" t="s">
        <v>785</v>
      </c>
      <c r="D24" s="89"/>
      <c r="E24" s="293">
        <v>35</v>
      </c>
      <c r="F24" s="89"/>
      <c r="G24" s="89"/>
      <c r="I24" s="296"/>
    </row>
    <row r="25" spans="1:9">
      <c r="A25" s="344"/>
      <c r="B25" s="344"/>
      <c r="C25" s="290"/>
      <c r="D25" s="290"/>
      <c r="E25" s="291" t="s">
        <v>558</v>
      </c>
      <c r="F25" s="290"/>
      <c r="G25" s="290"/>
      <c r="I25" s="291"/>
    </row>
    <row r="26" spans="1:9">
      <c r="A26" s="344">
        <v>9</v>
      </c>
      <c r="B26" s="344"/>
      <c r="C26" s="290" t="s">
        <v>851</v>
      </c>
      <c r="D26" s="290"/>
      <c r="E26" s="293">
        <f>ROUND(E14*E22,0)</f>
        <v>93905</v>
      </c>
      <c r="F26" s="290"/>
      <c r="G26" s="297">
        <f>G10</f>
        <v>132.51543129952032</v>
      </c>
      <c r="I26" s="298">
        <f>E26*G26</f>
        <v>12443861.576181455</v>
      </c>
    </row>
    <row r="27" spans="1:9">
      <c r="A27" s="344"/>
      <c r="B27" s="344"/>
      <c r="C27" s="290"/>
      <c r="D27" s="290"/>
      <c r="E27" s="293"/>
      <c r="F27" s="290"/>
      <c r="G27" s="297"/>
      <c r="I27" s="298"/>
    </row>
    <row r="28" spans="1:9">
      <c r="A28" s="344">
        <v>10</v>
      </c>
      <c r="B28" s="344"/>
      <c r="C28" s="290" t="s">
        <v>852</v>
      </c>
      <c r="D28" s="290"/>
      <c r="E28" s="293">
        <f>ROUND(E16*E24,0)</f>
        <v>174825</v>
      </c>
      <c r="F28" s="290"/>
      <c r="G28" s="297">
        <f>G12</f>
        <v>55.747598115330845</v>
      </c>
      <c r="I28" s="298">
        <f>ROUND(E28*G28,0)</f>
        <v>9746074</v>
      </c>
    </row>
    <row r="29" spans="1:9">
      <c r="E29" s="291" t="s">
        <v>558</v>
      </c>
      <c r="G29" s="291" t="s">
        <v>558</v>
      </c>
      <c r="I29" s="291" t="s">
        <v>558</v>
      </c>
    </row>
    <row r="30" spans="1:9">
      <c r="A30" s="344">
        <v>11</v>
      </c>
      <c r="C30" s="290" t="s">
        <v>853</v>
      </c>
      <c r="E30" s="299">
        <f>E26-E10</f>
        <v>-89871.81</v>
      </c>
      <c r="G30" s="291"/>
      <c r="I30" s="298">
        <f>I26-I10</f>
        <v>-11909401.663818544</v>
      </c>
    </row>
    <row r="31" spans="1:9">
      <c r="A31" s="344"/>
      <c r="C31" s="290"/>
      <c r="E31" s="299"/>
      <c r="G31" s="291"/>
      <c r="I31" s="298"/>
    </row>
    <row r="32" spans="1:9">
      <c r="A32" s="344">
        <v>12</v>
      </c>
      <c r="C32" s="290" t="s">
        <v>854</v>
      </c>
      <c r="E32" s="299">
        <f>E28-E12</f>
        <v>-82731.079999999987</v>
      </c>
      <c r="G32" s="291"/>
      <c r="I32" s="298">
        <f>I28-I12</f>
        <v>-4612058.84</v>
      </c>
    </row>
    <row r="33" spans="1:9">
      <c r="A33" s="344"/>
      <c r="B33" s="344"/>
      <c r="C33" s="292"/>
      <c r="D33" s="292"/>
      <c r="E33" s="291" t="s">
        <v>558</v>
      </c>
      <c r="F33" s="292"/>
      <c r="I33" s="291" t="s">
        <v>558</v>
      </c>
    </row>
    <row r="34" spans="1:9">
      <c r="A34" s="344">
        <v>13</v>
      </c>
      <c r="B34" s="344"/>
      <c r="C34" s="300" t="s">
        <v>855</v>
      </c>
      <c r="D34" s="290"/>
      <c r="E34" s="296">
        <f>E30+E32</f>
        <v>-172602.88999999998</v>
      </c>
      <c r="F34" s="290"/>
      <c r="G34" s="290"/>
      <c r="I34" s="295">
        <f>I30+I32</f>
        <v>-16521460.503818544</v>
      </c>
    </row>
    <row r="35" spans="1:9">
      <c r="A35" s="344"/>
      <c r="B35" s="344"/>
      <c r="C35" s="89"/>
      <c r="D35" s="89"/>
      <c r="E35" s="291" t="s">
        <v>564</v>
      </c>
      <c r="F35" s="89"/>
      <c r="G35" s="89"/>
      <c r="I35" s="301"/>
    </row>
    <row r="36" spans="1:9">
      <c r="A36" s="344">
        <f>+A34+1</f>
        <v>14</v>
      </c>
      <c r="B36" s="344"/>
      <c r="C36" s="290" t="s">
        <v>895</v>
      </c>
      <c r="D36" s="290"/>
      <c r="E36" s="290"/>
      <c r="F36" s="290"/>
      <c r="G36" s="290"/>
      <c r="I36" s="302">
        <f>'Allocation Factors'!G14</f>
        <v>0.98599999999999999</v>
      </c>
    </row>
    <row r="37" spans="1:9">
      <c r="B37" s="344"/>
      <c r="C37" s="290"/>
      <c r="D37" s="290"/>
      <c r="E37" s="290"/>
      <c r="F37" s="290"/>
      <c r="G37" s="290"/>
      <c r="I37" s="291" t="s">
        <v>558</v>
      </c>
    </row>
    <row r="38" spans="1:9">
      <c r="A38" s="344">
        <f>A36+1</f>
        <v>15</v>
      </c>
      <c r="B38" s="344"/>
      <c r="C38" s="290" t="s">
        <v>856</v>
      </c>
      <c r="D38" s="290"/>
      <c r="E38" s="290"/>
      <c r="F38" s="290"/>
      <c r="G38" s="290"/>
      <c r="I38" s="298">
        <f>ROUND(I34*I36,0)</f>
        <v>-16290160</v>
      </c>
    </row>
    <row r="39" spans="1:9">
      <c r="A39" s="344"/>
      <c r="B39" s="344"/>
      <c r="C39" s="290"/>
      <c r="D39" s="290"/>
      <c r="E39" s="290"/>
      <c r="F39" s="290"/>
      <c r="G39" s="290"/>
      <c r="I39" s="291" t="s">
        <v>564</v>
      </c>
    </row>
    <row r="40" spans="1:9">
      <c r="A40" s="344"/>
      <c r="B40" s="344"/>
      <c r="C40" s="290"/>
      <c r="D40" s="290"/>
      <c r="E40" s="290"/>
      <c r="F40" s="290"/>
      <c r="G40" s="290"/>
      <c r="I40" s="291"/>
    </row>
    <row r="41" spans="1:9">
      <c r="A41" s="344"/>
      <c r="B41" s="344"/>
      <c r="C41" s="290"/>
      <c r="D41" s="290"/>
      <c r="E41" s="290"/>
      <c r="F41" s="290"/>
      <c r="G41" s="290"/>
      <c r="I41" s="303"/>
    </row>
    <row r="42" spans="1:9">
      <c r="A42" s="344"/>
      <c r="B42" s="344"/>
      <c r="C42" s="290"/>
      <c r="D42" s="290"/>
      <c r="E42" s="290"/>
      <c r="F42" s="290"/>
      <c r="G42" s="290"/>
      <c r="I42" s="303"/>
    </row>
    <row r="43" spans="1:9">
      <c r="A43" s="344"/>
      <c r="B43" s="344"/>
      <c r="I43" s="291"/>
    </row>
    <row r="44" spans="1:9">
      <c r="A44" s="344"/>
      <c r="B44" s="344"/>
      <c r="C44" s="344"/>
      <c r="D44" s="344"/>
      <c r="E44" s="344"/>
      <c r="F44" s="344"/>
      <c r="G44" s="344"/>
    </row>
    <row r="45" spans="1:9">
      <c r="A45" s="344"/>
      <c r="B45" s="344"/>
      <c r="I45" s="291"/>
    </row>
    <row r="46" spans="1:9">
      <c r="C46" s="290"/>
      <c r="D46" s="290"/>
      <c r="E46" s="290"/>
      <c r="F46" s="290"/>
      <c r="G46" s="290"/>
    </row>
    <row r="47" spans="1:9">
      <c r="A47" s="344"/>
      <c r="B47" s="344"/>
      <c r="C47" s="290"/>
      <c r="D47" s="290"/>
      <c r="E47" s="290"/>
      <c r="F47" s="290"/>
      <c r="G47" s="290"/>
      <c r="I47" s="295"/>
    </row>
    <row r="48" spans="1:9">
      <c r="A48" s="344"/>
      <c r="B48" s="344"/>
      <c r="C48" s="290"/>
      <c r="D48" s="290"/>
      <c r="E48" s="290"/>
      <c r="F48" s="290"/>
      <c r="G48" s="290"/>
      <c r="I48" s="295"/>
    </row>
    <row r="49" spans="1:9">
      <c r="A49" s="344"/>
      <c r="B49" s="344"/>
      <c r="C49" s="89"/>
      <c r="D49" s="290"/>
      <c r="E49" s="290"/>
      <c r="F49" s="290"/>
      <c r="G49" s="290"/>
      <c r="I49" s="304"/>
    </row>
    <row r="50" spans="1:9">
      <c r="C50" s="290"/>
      <c r="D50" s="290"/>
      <c r="E50" s="290"/>
      <c r="F50" s="290"/>
      <c r="G50" s="290"/>
      <c r="I50" s="291"/>
    </row>
    <row r="51" spans="1:9">
      <c r="A51" s="344"/>
      <c r="B51" s="344"/>
      <c r="C51" s="290"/>
      <c r="D51" s="290"/>
      <c r="E51" s="290"/>
      <c r="F51" s="290"/>
      <c r="G51" s="290"/>
      <c r="I51" s="295"/>
    </row>
    <row r="52" spans="1:9">
      <c r="C52" s="290"/>
      <c r="D52" s="290"/>
      <c r="E52" s="290"/>
      <c r="F52" s="290"/>
      <c r="G52" s="290"/>
      <c r="I52" s="295"/>
    </row>
    <row r="53" spans="1:9">
      <c r="A53" s="344"/>
      <c r="B53" s="344"/>
      <c r="C53" s="290"/>
      <c r="D53" s="290"/>
      <c r="E53" s="290"/>
      <c r="F53" s="290"/>
      <c r="G53" s="290"/>
      <c r="I53" s="301"/>
    </row>
    <row r="54" spans="1:9">
      <c r="C54" s="290"/>
      <c r="D54" s="290"/>
      <c r="E54" s="290"/>
      <c r="F54" s="290"/>
      <c r="G54" s="290"/>
      <c r="I54" s="291"/>
    </row>
    <row r="55" spans="1:9">
      <c r="A55" s="344"/>
      <c r="B55" s="344"/>
      <c r="C55" s="290"/>
      <c r="D55" s="290"/>
      <c r="E55" s="290"/>
      <c r="F55" s="290"/>
      <c r="G55" s="290"/>
      <c r="I55" s="295"/>
    </row>
    <row r="56" spans="1:9">
      <c r="C56" s="290"/>
      <c r="D56" s="290"/>
      <c r="E56" s="290"/>
      <c r="F56" s="290"/>
      <c r="G56" s="290"/>
      <c r="I56" s="291"/>
    </row>
    <row r="57" spans="1:9">
      <c r="A57" s="344"/>
      <c r="B57" s="344"/>
      <c r="C57" s="290"/>
      <c r="D57" s="290"/>
      <c r="E57" s="290"/>
      <c r="F57" s="290"/>
      <c r="G57" s="290"/>
      <c r="I57" s="295"/>
    </row>
    <row r="58" spans="1:9">
      <c r="C58" s="290"/>
      <c r="D58" s="290"/>
      <c r="E58" s="290"/>
      <c r="F58" s="290"/>
      <c r="G58" s="290"/>
      <c r="I58" s="291"/>
    </row>
    <row r="59" spans="1:9">
      <c r="A59" s="344"/>
      <c r="B59" s="344"/>
      <c r="C59" s="290"/>
      <c r="D59" s="290"/>
      <c r="E59" s="290"/>
      <c r="F59" s="290"/>
      <c r="G59" s="290"/>
      <c r="I59" s="295"/>
    </row>
    <row r="60" spans="1:9">
      <c r="C60" s="290"/>
      <c r="D60" s="290"/>
      <c r="E60" s="290"/>
      <c r="F60" s="290"/>
      <c r="G60" s="290"/>
      <c r="I60" s="295"/>
    </row>
    <row r="61" spans="1:9">
      <c r="A61" s="344"/>
      <c r="B61" s="344"/>
      <c r="C61" s="290"/>
      <c r="D61" s="290"/>
      <c r="E61" s="290"/>
      <c r="F61" s="290"/>
      <c r="G61" s="290"/>
      <c r="I61" s="301"/>
    </row>
    <row r="62" spans="1:9">
      <c r="C62" s="290"/>
      <c r="D62" s="290"/>
      <c r="E62" s="290"/>
      <c r="F62" s="290"/>
      <c r="G62" s="290"/>
      <c r="I62" s="291"/>
    </row>
    <row r="63" spans="1:9">
      <c r="A63" s="344"/>
      <c r="B63" s="344"/>
      <c r="C63" s="290"/>
      <c r="D63" s="290"/>
      <c r="E63" s="290"/>
      <c r="F63" s="290"/>
      <c r="G63" s="290"/>
      <c r="I63" s="295"/>
    </row>
    <row r="64" spans="1:9">
      <c r="C64" s="290"/>
      <c r="D64" s="290"/>
      <c r="E64" s="290"/>
      <c r="F64" s="290"/>
      <c r="G64" s="290"/>
      <c r="I64" s="291"/>
    </row>
    <row r="65" spans="3:9">
      <c r="C65" s="290"/>
      <c r="D65" s="290"/>
      <c r="E65" s="290"/>
      <c r="F65" s="290"/>
      <c r="G65" s="290"/>
      <c r="I65" s="295"/>
    </row>
    <row r="66" spans="3:9">
      <c r="C66" s="290"/>
      <c r="D66" s="290"/>
      <c r="E66" s="290"/>
      <c r="F66" s="290"/>
      <c r="G66" s="290"/>
      <c r="I66" s="295"/>
    </row>
    <row r="67" spans="3:9">
      <c r="C67" s="290"/>
      <c r="D67" s="290"/>
      <c r="E67" s="290"/>
      <c r="F67" s="290"/>
      <c r="G67" s="290"/>
      <c r="I67" s="295"/>
    </row>
    <row r="68" spans="3:9">
      <c r="C68" s="290"/>
      <c r="D68" s="290"/>
      <c r="E68" s="290"/>
      <c r="F68" s="290"/>
      <c r="G68" s="290"/>
      <c r="I68" s="295"/>
    </row>
    <row r="69" spans="3:9">
      <c r="C69" s="290"/>
      <c r="D69" s="290"/>
      <c r="E69" s="290"/>
      <c r="F69" s="290"/>
      <c r="G69" s="290"/>
      <c r="I69" s="295"/>
    </row>
    <row r="70" spans="3:9">
      <c r="C70" s="290"/>
      <c r="D70" s="290"/>
      <c r="E70" s="290"/>
      <c r="F70" s="290"/>
      <c r="G70" s="290"/>
      <c r="I70" s="295"/>
    </row>
    <row r="71" spans="3:9">
      <c r="C71" s="290"/>
      <c r="D71" s="290"/>
      <c r="E71" s="290"/>
      <c r="F71" s="290"/>
      <c r="G71" s="290"/>
      <c r="I71" s="295"/>
    </row>
    <row r="72" spans="3:9">
      <c r="C72" s="290"/>
      <c r="D72" s="290"/>
      <c r="E72" s="290"/>
      <c r="F72" s="290"/>
      <c r="G72" s="290"/>
      <c r="I72" s="295"/>
    </row>
    <row r="73" spans="3:9">
      <c r="C73" s="290"/>
      <c r="D73" s="290"/>
      <c r="E73" s="290"/>
      <c r="F73" s="290"/>
      <c r="G73" s="290"/>
      <c r="I73" s="295"/>
    </row>
    <row r="74" spans="3:9">
      <c r="C74" s="290"/>
      <c r="D74" s="290"/>
      <c r="E74" s="290"/>
      <c r="F74" s="290"/>
      <c r="G74" s="290"/>
      <c r="I74" s="295"/>
    </row>
    <row r="75" spans="3:9">
      <c r="C75" s="290"/>
      <c r="D75" s="290"/>
      <c r="E75" s="290"/>
      <c r="F75" s="290"/>
      <c r="G75" s="290"/>
      <c r="I75" s="295"/>
    </row>
    <row r="76" spans="3:9">
      <c r="C76" s="290"/>
      <c r="D76" s="290"/>
      <c r="E76" s="290"/>
      <c r="F76" s="290"/>
      <c r="G76" s="290"/>
      <c r="I76" s="295"/>
    </row>
    <row r="77" spans="3:9">
      <c r="C77" s="290"/>
      <c r="D77" s="290"/>
      <c r="E77" s="290"/>
      <c r="F77" s="290"/>
      <c r="G77" s="290"/>
      <c r="I77" s="295"/>
    </row>
    <row r="78" spans="3:9">
      <c r="C78" s="290"/>
      <c r="D78" s="290"/>
      <c r="E78" s="290"/>
      <c r="F78" s="290"/>
      <c r="G78" s="290"/>
      <c r="I78" s="295"/>
    </row>
    <row r="79" spans="3:9">
      <c r="C79" s="290"/>
      <c r="D79" s="290"/>
      <c r="E79" s="290"/>
      <c r="F79" s="290"/>
      <c r="G79" s="290"/>
      <c r="I79" s="295"/>
    </row>
    <row r="80" spans="3:9">
      <c r="C80" s="290"/>
      <c r="D80" s="290"/>
      <c r="E80" s="290"/>
      <c r="F80" s="290"/>
      <c r="G80" s="290"/>
      <c r="I80" s="295"/>
    </row>
    <row r="81" spans="3:9">
      <c r="C81" s="290"/>
      <c r="D81" s="290"/>
      <c r="E81" s="290"/>
      <c r="F81" s="290"/>
      <c r="G81" s="290"/>
      <c r="I81" s="295"/>
    </row>
    <row r="82" spans="3:9">
      <c r="C82" s="290"/>
      <c r="D82" s="290"/>
      <c r="E82" s="290"/>
      <c r="F82" s="290"/>
      <c r="G82" s="290"/>
      <c r="I82" s="295"/>
    </row>
    <row r="83" spans="3:9">
      <c r="C83" s="290"/>
      <c r="D83" s="290"/>
      <c r="E83" s="290"/>
      <c r="F83" s="290"/>
      <c r="G83" s="290"/>
      <c r="I83" s="295"/>
    </row>
    <row r="84" spans="3:9">
      <c r="C84" s="290"/>
      <c r="D84" s="290"/>
      <c r="E84" s="290"/>
      <c r="F84" s="290"/>
      <c r="G84" s="290"/>
      <c r="I84" s="295"/>
    </row>
    <row r="85" spans="3:9">
      <c r="C85" s="290"/>
      <c r="D85" s="290"/>
      <c r="E85" s="290"/>
      <c r="F85" s="290"/>
      <c r="G85" s="290"/>
      <c r="I85" s="295"/>
    </row>
    <row r="86" spans="3:9">
      <c r="C86" s="290"/>
      <c r="D86" s="290"/>
      <c r="E86" s="290"/>
      <c r="F86" s="290"/>
      <c r="G86" s="290"/>
      <c r="I86" s="295"/>
    </row>
    <row r="87" spans="3:9">
      <c r="C87" s="290"/>
      <c r="D87" s="290"/>
      <c r="E87" s="290"/>
      <c r="F87" s="290"/>
      <c r="G87" s="290"/>
      <c r="I87" s="295"/>
    </row>
    <row r="88" spans="3:9">
      <c r="C88" s="290"/>
      <c r="D88" s="290"/>
      <c r="E88" s="290"/>
      <c r="F88" s="290"/>
      <c r="G88" s="290"/>
      <c r="I88" s="295"/>
    </row>
    <row r="89" spans="3:9">
      <c r="C89" s="290"/>
      <c r="D89" s="290"/>
      <c r="E89" s="290"/>
      <c r="F89" s="290"/>
      <c r="G89" s="290"/>
      <c r="I89" s="295"/>
    </row>
    <row r="90" spans="3:9">
      <c r="C90" s="290"/>
      <c r="D90" s="290"/>
      <c r="E90" s="290"/>
      <c r="F90" s="290"/>
      <c r="G90" s="290"/>
      <c r="I90" s="295"/>
    </row>
    <row r="91" spans="3:9">
      <c r="C91" s="290"/>
      <c r="D91" s="290"/>
      <c r="E91" s="290"/>
      <c r="F91" s="290"/>
      <c r="G91" s="290"/>
      <c r="I91" s="295"/>
    </row>
    <row r="92" spans="3:9">
      <c r="C92" s="290"/>
      <c r="D92" s="290"/>
      <c r="E92" s="290"/>
      <c r="F92" s="290"/>
      <c r="G92" s="290"/>
      <c r="I92" s="295"/>
    </row>
    <row r="93" spans="3:9">
      <c r="C93" s="290"/>
      <c r="D93" s="290"/>
      <c r="E93" s="290"/>
      <c r="F93" s="290"/>
      <c r="G93" s="290"/>
      <c r="I93" s="295"/>
    </row>
    <row r="94" spans="3:9">
      <c r="C94" s="290"/>
      <c r="D94" s="290"/>
      <c r="E94" s="290"/>
      <c r="F94" s="290"/>
      <c r="G94" s="290"/>
      <c r="I94" s="295"/>
    </row>
    <row r="95" spans="3:9">
      <c r="C95" s="290"/>
      <c r="D95" s="290"/>
      <c r="E95" s="290"/>
      <c r="F95" s="290"/>
      <c r="G95" s="290"/>
      <c r="I95" s="295"/>
    </row>
    <row r="96" spans="3:9">
      <c r="C96" s="290"/>
      <c r="D96" s="290"/>
      <c r="E96" s="290"/>
      <c r="F96" s="290"/>
      <c r="G96" s="290"/>
      <c r="I96" s="295"/>
    </row>
    <row r="97" spans="3:9">
      <c r="C97" s="290"/>
      <c r="D97" s="290"/>
      <c r="E97" s="290"/>
      <c r="F97" s="290"/>
      <c r="G97" s="290"/>
      <c r="I97" s="295"/>
    </row>
    <row r="98" spans="3:9">
      <c r="C98" s="290"/>
      <c r="D98" s="290"/>
      <c r="E98" s="290"/>
      <c r="F98" s="290"/>
      <c r="G98" s="290"/>
      <c r="I98" s="295"/>
    </row>
    <row r="99" spans="3:9">
      <c r="C99" s="290"/>
      <c r="D99" s="290"/>
      <c r="E99" s="290"/>
      <c r="F99" s="290"/>
      <c r="G99" s="290"/>
      <c r="I99" s="295"/>
    </row>
    <row r="100" spans="3:9">
      <c r="C100" s="290"/>
      <c r="D100" s="290"/>
      <c r="E100" s="290"/>
      <c r="F100" s="290"/>
      <c r="G100" s="290"/>
      <c r="I100" s="295"/>
    </row>
    <row r="101" spans="3:9">
      <c r="C101" s="290"/>
      <c r="D101" s="290"/>
      <c r="E101" s="290"/>
      <c r="F101" s="290"/>
      <c r="G101" s="290"/>
      <c r="I101" s="295"/>
    </row>
    <row r="102" spans="3:9">
      <c r="C102" s="290"/>
      <c r="D102" s="290"/>
      <c r="E102" s="290"/>
      <c r="F102" s="290"/>
      <c r="G102" s="290"/>
      <c r="I102" s="295"/>
    </row>
    <row r="103" spans="3:9">
      <c r="C103" s="290"/>
      <c r="D103" s="290"/>
      <c r="E103" s="290"/>
      <c r="F103" s="290"/>
      <c r="G103" s="290"/>
      <c r="I103" s="295"/>
    </row>
    <row r="104" spans="3:9">
      <c r="C104" s="290"/>
      <c r="D104" s="290"/>
      <c r="E104" s="290"/>
      <c r="F104" s="290"/>
      <c r="G104" s="290"/>
      <c r="I104" s="295"/>
    </row>
    <row r="105" spans="3:9">
      <c r="C105" s="290"/>
      <c r="D105" s="290"/>
      <c r="E105" s="290"/>
      <c r="F105" s="290"/>
      <c r="G105" s="290"/>
      <c r="I105" s="295"/>
    </row>
    <row r="106" spans="3:9">
      <c r="C106" s="290"/>
      <c r="D106" s="290"/>
      <c r="E106" s="290"/>
      <c r="F106" s="290"/>
      <c r="G106" s="290"/>
      <c r="I106" s="295"/>
    </row>
    <row r="107" spans="3:9">
      <c r="C107" s="290"/>
      <c r="D107" s="290"/>
      <c r="E107" s="290"/>
      <c r="F107" s="290"/>
      <c r="G107" s="290"/>
      <c r="I107" s="295"/>
    </row>
    <row r="108" spans="3:9">
      <c r="C108" s="290"/>
      <c r="D108" s="290"/>
      <c r="E108" s="290"/>
      <c r="F108" s="290"/>
      <c r="G108" s="290"/>
      <c r="I108" s="295"/>
    </row>
    <row r="109" spans="3:9">
      <c r="C109" s="290"/>
      <c r="D109" s="290"/>
      <c r="E109" s="290"/>
      <c r="F109" s="290"/>
      <c r="G109" s="290"/>
      <c r="I109" s="295"/>
    </row>
    <row r="110" spans="3:9">
      <c r="C110" s="290"/>
      <c r="D110" s="290"/>
      <c r="E110" s="290"/>
      <c r="F110" s="290"/>
      <c r="G110" s="290"/>
      <c r="I110" s="295"/>
    </row>
    <row r="111" spans="3:9">
      <c r="I111" s="295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39"/>
  <sheetViews>
    <sheetView showGridLines="0" zoomScale="110" zoomScaleNormal="110" zoomScaleSheetLayoutView="70" workbookViewId="0">
      <pane xSplit="2" ySplit="4" topLeftCell="C5" activePane="bottomRight" state="frozen"/>
      <selection activeCell="C323" sqref="C323"/>
      <selection pane="topRight" activeCell="C323" sqref="C323"/>
      <selection pane="bottomLeft" activeCell="C323" sqref="C323"/>
      <selection pane="bottomRight" activeCell="K1" sqref="K1:K2"/>
    </sheetView>
  </sheetViews>
  <sheetFormatPr defaultColWidth="9.1796875" defaultRowHeight="14.15" customHeight="1"/>
  <cols>
    <col min="1" max="1" width="4.7265625" style="436" bestFit="1" customWidth="1"/>
    <col min="2" max="2" width="74.7265625" style="83" customWidth="1"/>
    <col min="3" max="3" width="28.7265625" style="83" customWidth="1"/>
    <col min="4" max="4" width="19" style="83" customWidth="1"/>
    <col min="5" max="5" width="17.1796875" style="83" customWidth="1"/>
    <col min="6" max="6" width="15" style="83" customWidth="1"/>
    <col min="7" max="7" width="15.1796875" style="83" customWidth="1"/>
    <col min="8" max="8" width="10.7265625" style="83" customWidth="1"/>
    <col min="9" max="9" width="22.1796875" style="14" customWidth="1"/>
    <col min="10" max="10" width="26" style="83" customWidth="1"/>
    <col min="11" max="11" width="38.7265625" style="83" customWidth="1"/>
    <col min="12" max="12" width="68.7265625" style="436" bestFit="1" customWidth="1"/>
    <col min="13" max="13" width="22.26953125" style="83" customWidth="1"/>
    <col min="14" max="16384" width="9.1796875" style="83"/>
  </cols>
  <sheetData>
    <row r="1" spans="1:12" ht="14.15" customHeight="1">
      <c r="D1" s="22"/>
    </row>
    <row r="2" spans="1:12" ht="14.15" customHeight="1">
      <c r="C2" s="436" t="s">
        <v>317</v>
      </c>
      <c r="E2" s="437"/>
      <c r="F2" s="437"/>
      <c r="H2" s="22"/>
      <c r="K2" s="38"/>
    </row>
    <row r="3" spans="1:12" ht="14.15" customHeight="1">
      <c r="A3" s="436" t="s">
        <v>2</v>
      </c>
      <c r="B3" s="436"/>
      <c r="C3" s="436" t="s">
        <v>3</v>
      </c>
      <c r="D3" s="436" t="s">
        <v>366</v>
      </c>
      <c r="E3" s="437" t="s">
        <v>365</v>
      </c>
      <c r="F3" s="437" t="s">
        <v>4</v>
      </c>
      <c r="G3" s="113" t="s">
        <v>1</v>
      </c>
      <c r="H3" s="113"/>
      <c r="I3" s="113"/>
      <c r="J3" s="114" t="s">
        <v>5</v>
      </c>
      <c r="K3" s="114"/>
      <c r="L3" s="113"/>
    </row>
    <row r="4" spans="1:12" ht="26.25" customHeight="1">
      <c r="A4" s="115" t="s">
        <v>6</v>
      </c>
      <c r="B4" s="115" t="s">
        <v>7</v>
      </c>
      <c r="C4" s="116" t="s">
        <v>0</v>
      </c>
      <c r="D4" s="112" t="s">
        <v>8</v>
      </c>
      <c r="E4" s="116" t="s">
        <v>364</v>
      </c>
      <c r="F4" s="116" t="s">
        <v>9</v>
      </c>
      <c r="G4" s="116" t="s">
        <v>391</v>
      </c>
      <c r="H4" s="117"/>
      <c r="I4" s="112" t="s">
        <v>10</v>
      </c>
      <c r="J4" s="118" t="s">
        <v>11</v>
      </c>
      <c r="K4" s="118"/>
      <c r="L4" s="112" t="s">
        <v>1000</v>
      </c>
    </row>
    <row r="5" spans="1:12" ht="14.15" customHeight="1">
      <c r="B5" s="119" t="s">
        <v>12</v>
      </c>
      <c r="C5" s="119" t="s">
        <v>13</v>
      </c>
      <c r="D5" s="119" t="s">
        <v>919</v>
      </c>
      <c r="E5" s="120" t="s">
        <v>920</v>
      </c>
      <c r="F5" s="120" t="s">
        <v>689</v>
      </c>
      <c r="G5" s="120" t="s">
        <v>690</v>
      </c>
      <c r="H5" s="121"/>
      <c r="I5" s="120"/>
    </row>
    <row r="6" spans="1:12" ht="13.5" customHeight="1">
      <c r="C6" s="38"/>
      <c r="E6" s="122"/>
      <c r="F6" s="22"/>
      <c r="G6" s="22"/>
      <c r="H6" s="65"/>
      <c r="I6" s="22"/>
    </row>
    <row r="7" spans="1:12" ht="14.15" customHeight="1">
      <c r="A7" s="436">
        <v>1</v>
      </c>
      <c r="B7" s="83" t="s">
        <v>319</v>
      </c>
      <c r="C7" s="10">
        <f t="shared" ref="C7:D9" si="0">C266</f>
        <v>691550215.72000003</v>
      </c>
      <c r="D7" s="10">
        <f t="shared" si="0"/>
        <v>0</v>
      </c>
      <c r="E7" s="10">
        <f t="shared" ref="E7:F9" si="1">E266</f>
        <v>691550215.72000003</v>
      </c>
      <c r="F7" s="10">
        <f t="shared" si="1"/>
        <v>-188883578.01999998</v>
      </c>
      <c r="G7" s="10">
        <f>E7+F7</f>
        <v>502666637.70000005</v>
      </c>
      <c r="H7" s="43"/>
      <c r="I7" s="123"/>
    </row>
    <row r="8" spans="1:12" ht="14.15" customHeight="1">
      <c r="A8" s="436">
        <f>A7+1</f>
        <v>2</v>
      </c>
      <c r="B8" s="124" t="s">
        <v>14</v>
      </c>
      <c r="C8" s="10">
        <f t="shared" si="0"/>
        <v>7395610.6000000006</v>
      </c>
      <c r="D8" s="10">
        <f t="shared" si="0"/>
        <v>7395610.6000000006</v>
      </c>
      <c r="E8" s="10">
        <f t="shared" si="1"/>
        <v>0</v>
      </c>
      <c r="F8" s="10">
        <f t="shared" si="1"/>
        <v>0</v>
      </c>
      <c r="G8" s="10">
        <f>E8+F8</f>
        <v>0</v>
      </c>
      <c r="H8" s="43"/>
      <c r="I8" s="123"/>
    </row>
    <row r="9" spans="1:12" ht="14.15" customHeight="1">
      <c r="A9" s="436">
        <f>A8+1</f>
        <v>3</v>
      </c>
      <c r="B9" s="83" t="s">
        <v>15</v>
      </c>
      <c r="C9" s="10">
        <f t="shared" si="0"/>
        <v>-5103445</v>
      </c>
      <c r="D9" s="10">
        <f t="shared" si="0"/>
        <v>-5103445</v>
      </c>
      <c r="E9" s="10">
        <f t="shared" si="1"/>
        <v>0</v>
      </c>
      <c r="F9" s="10">
        <f t="shared" si="1"/>
        <v>0</v>
      </c>
      <c r="G9" s="10">
        <f>E9+F9</f>
        <v>0</v>
      </c>
      <c r="H9" s="43"/>
      <c r="I9" s="123"/>
    </row>
    <row r="10" spans="1:12" ht="14.15" customHeight="1">
      <c r="A10" s="436">
        <f>+A9+1</f>
        <v>4</v>
      </c>
      <c r="B10" s="83" t="s">
        <v>16</v>
      </c>
      <c r="C10" s="10">
        <f>C303</f>
        <v>46897878.869000018</v>
      </c>
      <c r="D10" s="10">
        <f>D303</f>
        <v>4245472.0590000106</v>
      </c>
      <c r="E10" s="10">
        <f>E303</f>
        <v>42652406.930000007</v>
      </c>
      <c r="F10" s="10">
        <f>F303</f>
        <v>-6624594</v>
      </c>
      <c r="G10" s="10">
        <f>E10+F10</f>
        <v>36027812.930000007</v>
      </c>
      <c r="H10" s="43"/>
      <c r="I10" s="123"/>
    </row>
    <row r="11" spans="1:12" ht="14.15" customHeight="1">
      <c r="A11" s="436">
        <f t="shared" ref="A11:A74" si="2">+A10+1</f>
        <v>5</v>
      </c>
      <c r="B11" s="56" t="s">
        <v>17</v>
      </c>
      <c r="C11" s="64">
        <f>C274</f>
        <v>46273194.390000001</v>
      </c>
      <c r="D11" s="64">
        <f>D274</f>
        <v>647824.72145999968</v>
      </c>
      <c r="E11" s="64">
        <f>E274</f>
        <v>45625369.668540001</v>
      </c>
      <c r="F11" s="64">
        <f>F274</f>
        <v>-9021444</v>
      </c>
      <c r="G11" s="64">
        <f>E11+F11</f>
        <v>36603925.668540001</v>
      </c>
      <c r="H11" s="43"/>
      <c r="I11" s="123"/>
    </row>
    <row r="12" spans="1:12" s="18" customFormat="1" ht="14.15" customHeight="1">
      <c r="A12" s="436">
        <f t="shared" si="2"/>
        <v>6</v>
      </c>
      <c r="B12" s="2" t="s">
        <v>467</v>
      </c>
      <c r="C12" s="16">
        <f>SUM(C7:C11)</f>
        <v>787013454.57900012</v>
      </c>
      <c r="D12" s="16">
        <f>SUM(D7:D11)</f>
        <v>7185462.3804600108</v>
      </c>
      <c r="E12" s="16">
        <f>SUM(E7:E11)</f>
        <v>779827992.3185401</v>
      </c>
      <c r="F12" s="16">
        <f>SUM(F7:F11)</f>
        <v>-204529616.01999998</v>
      </c>
      <c r="G12" s="16">
        <f>SUM(G7:G11)</f>
        <v>575298376.29854012</v>
      </c>
      <c r="H12" s="16"/>
      <c r="I12" s="16"/>
    </row>
    <row r="13" spans="1:12" s="18" customFormat="1" ht="14.15" customHeight="1">
      <c r="A13" s="436">
        <f t="shared" si="2"/>
        <v>7</v>
      </c>
      <c r="B13" s="6"/>
      <c r="C13" s="16"/>
      <c r="D13" s="16"/>
      <c r="E13" s="125"/>
      <c r="F13" s="43"/>
      <c r="G13" s="126"/>
      <c r="H13" s="16"/>
      <c r="I13" s="126"/>
    </row>
    <row r="14" spans="1:12" ht="14.15" customHeight="1">
      <c r="A14" s="436">
        <f t="shared" si="2"/>
        <v>8</v>
      </c>
      <c r="B14" s="3" t="s">
        <v>19</v>
      </c>
      <c r="C14" s="10"/>
      <c r="D14" s="10"/>
      <c r="E14" s="48"/>
      <c r="F14" s="43"/>
      <c r="G14" s="123"/>
      <c r="H14" s="43"/>
      <c r="I14" s="123"/>
    </row>
    <row r="15" spans="1:12" ht="14.15" customHeight="1">
      <c r="A15" s="436">
        <f t="shared" si="2"/>
        <v>9</v>
      </c>
      <c r="B15" s="83" t="s">
        <v>20</v>
      </c>
      <c r="C15" s="10">
        <f>C341</f>
        <v>432366496.95999998</v>
      </c>
      <c r="D15" s="10">
        <f>D341</f>
        <v>5904249.9599999785</v>
      </c>
      <c r="E15" s="10">
        <f>E341</f>
        <v>426462247</v>
      </c>
      <c r="F15" s="10">
        <f>F341</f>
        <v>-194558860.3123318</v>
      </c>
      <c r="G15" s="10">
        <f t="shared" ref="G15:G22" si="3">E15+F15</f>
        <v>231903386.6876682</v>
      </c>
      <c r="H15" s="43"/>
      <c r="I15" s="123"/>
    </row>
    <row r="16" spans="1:12" ht="14.15" customHeight="1">
      <c r="A16" s="436">
        <f t="shared" si="2"/>
        <v>10</v>
      </c>
      <c r="B16" s="83" t="s">
        <v>21</v>
      </c>
      <c r="C16" s="10">
        <f>C368</f>
        <v>77680587.192000017</v>
      </c>
      <c r="D16" s="10">
        <f>D368</f>
        <v>139791.19200000216</v>
      </c>
      <c r="E16" s="10">
        <f>E368</f>
        <v>77540796</v>
      </c>
      <c r="F16" s="10">
        <f>F368</f>
        <v>14394212.9</v>
      </c>
      <c r="G16" s="10">
        <f t="shared" si="3"/>
        <v>91935008.900000006</v>
      </c>
      <c r="H16" s="43"/>
      <c r="I16" s="123"/>
    </row>
    <row r="17" spans="1:11" ht="14.15" customHeight="1">
      <c r="A17" s="436">
        <f t="shared" si="2"/>
        <v>11</v>
      </c>
      <c r="B17" s="83" t="s">
        <v>22</v>
      </c>
      <c r="C17" s="10">
        <f>C396</f>
        <v>43686680.18999999</v>
      </c>
      <c r="D17" s="10">
        <f>D396</f>
        <v>42035.469999998022</v>
      </c>
      <c r="E17" s="10">
        <f>E396</f>
        <v>43644644.719999999</v>
      </c>
      <c r="F17" s="10">
        <f>F396</f>
        <v>-8012097.8136804588</v>
      </c>
      <c r="G17" s="10">
        <f t="shared" si="3"/>
        <v>35632546.906319544</v>
      </c>
      <c r="H17" s="43"/>
      <c r="I17" s="123"/>
    </row>
    <row r="18" spans="1:11" ht="14.15" customHeight="1">
      <c r="A18" s="436">
        <f t="shared" si="2"/>
        <v>12</v>
      </c>
      <c r="B18" s="83" t="s">
        <v>23</v>
      </c>
      <c r="C18" s="10">
        <f>C405</f>
        <v>8412290.5</v>
      </c>
      <c r="D18" s="10">
        <f>D405</f>
        <v>103.50000000046202</v>
      </c>
      <c r="E18" s="10">
        <f>E405</f>
        <v>8412187</v>
      </c>
      <c r="F18" s="10">
        <f>F405</f>
        <v>-81900.235335513484</v>
      </c>
      <c r="G18" s="10">
        <f t="shared" si="3"/>
        <v>8330286.7646644861</v>
      </c>
      <c r="H18" s="43"/>
      <c r="I18" s="123"/>
      <c r="J18" s="38"/>
      <c r="K18" s="38"/>
    </row>
    <row r="19" spans="1:11" ht="14.15" customHeight="1">
      <c r="A19" s="436">
        <f t="shared" si="2"/>
        <v>13</v>
      </c>
      <c r="B19" s="83" t="s">
        <v>24</v>
      </c>
      <c r="C19" s="10">
        <f>C419</f>
        <v>47429.93</v>
      </c>
      <c r="D19" s="10">
        <f>D419</f>
        <v>0.5806620757211931</v>
      </c>
      <c r="E19" s="10">
        <f>E419</f>
        <v>47429.349337924279</v>
      </c>
      <c r="F19" s="10">
        <f>F419</f>
        <v>0</v>
      </c>
      <c r="G19" s="10">
        <f t="shared" si="3"/>
        <v>47429.349337924279</v>
      </c>
      <c r="H19" s="43"/>
      <c r="I19" s="123"/>
      <c r="J19" s="38"/>
      <c r="K19" s="38"/>
    </row>
    <row r="20" spans="1:11" ht="14.15" customHeight="1">
      <c r="A20" s="436">
        <f t="shared" si="2"/>
        <v>14</v>
      </c>
      <c r="B20" s="83" t="s">
        <v>25</v>
      </c>
      <c r="C20" s="10">
        <f>C412</f>
        <v>1446712.98</v>
      </c>
      <c r="D20" s="10">
        <f>D412</f>
        <v>2.9799999999231659</v>
      </c>
      <c r="E20" s="10">
        <f>E412</f>
        <v>1446710</v>
      </c>
      <c r="F20" s="10">
        <f>F412</f>
        <v>-1250301.29</v>
      </c>
      <c r="G20" s="10">
        <f t="shared" si="3"/>
        <v>196408.70999999996</v>
      </c>
      <c r="H20" s="43"/>
      <c r="I20" s="123"/>
      <c r="J20" s="38"/>
      <c r="K20" s="38"/>
    </row>
    <row r="21" spans="1:11" ht="14.15" customHeight="1">
      <c r="A21" s="436">
        <f t="shared" si="2"/>
        <v>15</v>
      </c>
      <c r="B21" s="83" t="s">
        <v>26</v>
      </c>
      <c r="C21" s="10">
        <f>C440</f>
        <v>17907955.240000002</v>
      </c>
      <c r="D21" s="10">
        <f>D440</f>
        <v>238394.16339999996</v>
      </c>
      <c r="E21" s="10">
        <f>E440</f>
        <v>17669561.0766</v>
      </c>
      <c r="F21" s="10">
        <f>F440</f>
        <v>-3004253.1805291157</v>
      </c>
      <c r="G21" s="10">
        <f>E21+F21+160709-1608</f>
        <v>14824408.896070885</v>
      </c>
      <c r="H21" s="43"/>
      <c r="I21" s="123"/>
      <c r="J21" s="38"/>
      <c r="K21" s="38"/>
    </row>
    <row r="22" spans="1:11" ht="14.15" customHeight="1">
      <c r="A22" s="436">
        <f t="shared" si="2"/>
        <v>16</v>
      </c>
      <c r="B22" s="56" t="s">
        <v>27</v>
      </c>
      <c r="C22" s="64">
        <v>0</v>
      </c>
      <c r="D22" s="64">
        <v>0</v>
      </c>
      <c r="E22" s="64">
        <v>0</v>
      </c>
      <c r="F22" s="64">
        <v>0</v>
      </c>
      <c r="G22" s="64">
        <f t="shared" si="3"/>
        <v>0</v>
      </c>
      <c r="H22" s="43"/>
      <c r="I22" s="123"/>
      <c r="J22" s="38"/>
      <c r="K22" s="38"/>
    </row>
    <row r="23" spans="1:11" s="18" customFormat="1" ht="14.15" customHeight="1">
      <c r="A23" s="436">
        <f t="shared" si="2"/>
        <v>17</v>
      </c>
      <c r="B23" s="2" t="s">
        <v>468</v>
      </c>
      <c r="C23" s="16">
        <f>SUM(C15:C22)</f>
        <v>581548152.99199998</v>
      </c>
      <c r="D23" s="16">
        <f>SUM(D15:D22)</f>
        <v>6324577.8460620539</v>
      </c>
      <c r="E23" s="16">
        <f>SUM(E15:E22)</f>
        <v>575223575.14593792</v>
      </c>
      <c r="F23" s="16">
        <f>SUM(F15:F22)</f>
        <v>-192513199.93187687</v>
      </c>
      <c r="G23" s="16">
        <f>SUM(G15:G22)</f>
        <v>382869476.21406102</v>
      </c>
      <c r="H23" s="16"/>
      <c r="I23" s="16"/>
      <c r="J23" s="38"/>
      <c r="K23" s="38"/>
    </row>
    <row r="24" spans="1:11" s="18" customFormat="1" ht="14.15" customHeight="1">
      <c r="A24" s="436">
        <f t="shared" si="2"/>
        <v>18</v>
      </c>
      <c r="B24" s="6"/>
      <c r="C24" s="16"/>
      <c r="D24" s="16"/>
      <c r="E24" s="16"/>
      <c r="F24" s="43"/>
      <c r="G24" s="126"/>
      <c r="H24" s="16"/>
      <c r="I24" s="126"/>
      <c r="J24" s="38"/>
      <c r="K24" s="38"/>
    </row>
    <row r="25" spans="1:11" ht="14.15" customHeight="1">
      <c r="A25" s="436">
        <f t="shared" si="2"/>
        <v>19</v>
      </c>
      <c r="B25" s="83" t="s">
        <v>29</v>
      </c>
      <c r="C25" s="10">
        <f>C475</f>
        <v>126464026.81</v>
      </c>
      <c r="D25" s="10">
        <f>D475</f>
        <v>1171613.8100000042</v>
      </c>
      <c r="E25" s="10">
        <f>E475</f>
        <v>125292413</v>
      </c>
      <c r="F25" s="10">
        <f>F475</f>
        <v>-22437939.592050001</v>
      </c>
      <c r="G25" s="10">
        <f>E25+F25</f>
        <v>102854473.40795</v>
      </c>
      <c r="H25" s="43"/>
      <c r="I25" s="123"/>
      <c r="J25" s="38"/>
      <c r="K25" s="38"/>
    </row>
    <row r="26" spans="1:11" ht="14.15" customHeight="1">
      <c r="A26" s="436">
        <f t="shared" si="2"/>
        <v>20</v>
      </c>
      <c r="B26" s="83" t="s">
        <v>30</v>
      </c>
      <c r="C26" s="10">
        <f>C494</f>
        <v>27663204.469999999</v>
      </c>
      <c r="D26" s="10">
        <f>D494</f>
        <v>384238.46999999933</v>
      </c>
      <c r="E26" s="10">
        <f>E494</f>
        <v>27278966</v>
      </c>
      <c r="F26" s="10">
        <f>F494</f>
        <v>1340849</v>
      </c>
      <c r="G26" s="10">
        <f>E26+F26</f>
        <v>28619815</v>
      </c>
      <c r="H26" s="43"/>
      <c r="I26" s="123"/>
      <c r="J26" s="38"/>
      <c r="K26" s="38"/>
    </row>
    <row r="27" spans="1:11" ht="14.15" customHeight="1">
      <c r="A27" s="436">
        <f t="shared" si="2"/>
        <v>21</v>
      </c>
      <c r="B27" s="83" t="s">
        <v>31</v>
      </c>
      <c r="C27" s="10">
        <f>C517</f>
        <v>-270314.43000000017</v>
      </c>
      <c r="D27" s="10">
        <f>D517</f>
        <v>-2596480.4300000002</v>
      </c>
      <c r="E27" s="10">
        <f>E517</f>
        <v>2326166</v>
      </c>
      <c r="F27" s="10">
        <f>F517</f>
        <v>903847.61244044744</v>
      </c>
      <c r="G27" s="10">
        <f>E27+F27</f>
        <v>3230013.6124404473</v>
      </c>
      <c r="H27" s="43"/>
      <c r="I27" s="123"/>
      <c r="J27" s="38"/>
      <c r="K27" s="38"/>
    </row>
    <row r="28" spans="1:11" ht="14.15" customHeight="1">
      <c r="A28" s="436">
        <f t="shared" si="2"/>
        <v>22</v>
      </c>
      <c r="B28" s="83" t="s">
        <v>32</v>
      </c>
      <c r="C28" s="10">
        <f>C502</f>
        <v>452405.24</v>
      </c>
      <c r="D28" s="10">
        <f>D502</f>
        <v>0.23999999999068677</v>
      </c>
      <c r="E28" s="10">
        <f>E502</f>
        <v>452405</v>
      </c>
      <c r="F28" s="10">
        <f>F502</f>
        <v>1258220</v>
      </c>
      <c r="G28" s="10">
        <f>E28+F28</f>
        <v>1710625</v>
      </c>
      <c r="H28" s="43"/>
      <c r="I28" s="123"/>
      <c r="J28" s="38"/>
      <c r="K28" s="38"/>
    </row>
    <row r="29" spans="1:11" ht="14.15" customHeight="1">
      <c r="A29" s="436">
        <f t="shared" si="2"/>
        <v>23</v>
      </c>
      <c r="B29" s="56" t="s">
        <v>33</v>
      </c>
      <c r="C29" s="64">
        <f>C513</f>
        <v>3867597.21</v>
      </c>
      <c r="D29" s="64">
        <f>D513</f>
        <v>3347470.3499999996</v>
      </c>
      <c r="E29" s="64">
        <f>E513</f>
        <v>520126.86</v>
      </c>
      <c r="F29" s="64">
        <f>F513</f>
        <v>3544136.4304999998</v>
      </c>
      <c r="G29" s="64">
        <f>E29+F29</f>
        <v>4064263.2904999997</v>
      </c>
      <c r="H29" s="43"/>
      <c r="I29" s="123"/>
      <c r="J29" s="38"/>
      <c r="K29" s="38"/>
    </row>
    <row r="30" spans="1:11" s="18" customFormat="1" ht="14.15" customHeight="1">
      <c r="A30" s="436">
        <f t="shared" si="2"/>
        <v>24</v>
      </c>
      <c r="B30" s="2" t="s">
        <v>34</v>
      </c>
      <c r="C30" s="16">
        <f>SUM(C12)-SUM(C23:C29)</f>
        <v>47288382.286999941</v>
      </c>
      <c r="D30" s="16">
        <f>SUM(D12)-SUM(D23:D29)</f>
        <v>-1445957.9056020472</v>
      </c>
      <c r="E30" s="16">
        <f>SUM(E12)-SUM(E23:E29)</f>
        <v>48734340.312602162</v>
      </c>
      <c r="F30" s="16">
        <f>SUM(F12)-SUM(F23:F29)</f>
        <v>3374470.4609864354</v>
      </c>
      <c r="G30" s="16">
        <f>SUM(G12)-SUM(G23:G29)</f>
        <v>51949709.773588657</v>
      </c>
      <c r="H30" s="16"/>
      <c r="I30" s="127"/>
      <c r="J30" s="38"/>
      <c r="K30" s="38"/>
    </row>
    <row r="31" spans="1:11" s="18" customFormat="1" ht="14.15" customHeight="1">
      <c r="A31" s="436">
        <f t="shared" si="2"/>
        <v>25</v>
      </c>
      <c r="B31" s="6"/>
      <c r="C31" s="16"/>
      <c r="D31" s="16"/>
      <c r="E31" s="16">
        <f>E30+E27</f>
        <v>51060506.312602162</v>
      </c>
      <c r="F31" s="16">
        <f>F30+F27</f>
        <v>4278318.0734268827</v>
      </c>
      <c r="G31" s="16">
        <f>G30+G27</f>
        <v>55179723.386029102</v>
      </c>
      <c r="H31" s="16"/>
      <c r="I31" s="126"/>
      <c r="J31" s="38"/>
      <c r="K31" s="38"/>
    </row>
    <row r="32" spans="1:11" ht="14.15" customHeight="1">
      <c r="A32" s="436">
        <f t="shared" si="2"/>
        <v>26</v>
      </c>
      <c r="B32" s="3" t="s">
        <v>35</v>
      </c>
      <c r="C32" s="10"/>
      <c r="D32" s="10"/>
      <c r="E32" s="43"/>
      <c r="F32" s="128"/>
      <c r="G32" s="123"/>
      <c r="H32" s="43"/>
      <c r="I32" s="123"/>
      <c r="J32" s="38"/>
      <c r="K32" s="38"/>
    </row>
    <row r="33" spans="1:12" ht="14.15" customHeight="1">
      <c r="A33" s="436">
        <f t="shared" si="2"/>
        <v>27</v>
      </c>
      <c r="B33" s="83" t="s">
        <v>36</v>
      </c>
      <c r="C33" s="10">
        <f t="shared" ref="C33:F36" si="4">C518</f>
        <v>2139341</v>
      </c>
      <c r="D33" s="10">
        <f t="shared" si="4"/>
        <v>-8522081</v>
      </c>
      <c r="E33" s="10">
        <f t="shared" si="4"/>
        <v>10661422</v>
      </c>
      <c r="F33" s="10">
        <f t="shared" si="4"/>
        <v>3601421.886194136</v>
      </c>
      <c r="G33" s="10">
        <f>E33+F33</f>
        <v>14262843.886194136</v>
      </c>
      <c r="H33" s="43"/>
      <c r="I33" s="123"/>
      <c r="J33" s="38"/>
      <c r="K33" s="38"/>
    </row>
    <row r="34" spans="1:12" ht="14.15" customHeight="1">
      <c r="A34" s="436">
        <f t="shared" si="2"/>
        <v>28</v>
      </c>
      <c r="B34" s="83" t="s">
        <v>37</v>
      </c>
      <c r="C34" s="10">
        <f t="shared" si="4"/>
        <v>-30848612.202645641</v>
      </c>
      <c r="D34" s="10">
        <f t="shared" si="4"/>
        <v>8936870.7973543592</v>
      </c>
      <c r="E34" s="10">
        <f t="shared" si="4"/>
        <v>-39785483</v>
      </c>
      <c r="F34" s="10">
        <f t="shared" si="4"/>
        <v>31070231.085962024</v>
      </c>
      <c r="G34" s="10">
        <f>E34+F34</f>
        <v>-8715251.9140379764</v>
      </c>
      <c r="H34" s="43"/>
      <c r="I34" s="123"/>
      <c r="J34" s="38"/>
      <c r="K34" s="38"/>
    </row>
    <row r="35" spans="1:12" s="22" customFormat="1" ht="14.15" customHeight="1">
      <c r="A35" s="436">
        <f t="shared" si="2"/>
        <v>29</v>
      </c>
      <c r="B35" s="22" t="s">
        <v>38</v>
      </c>
      <c r="C35" s="43">
        <f t="shared" si="4"/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10">
        <f>E35+F35</f>
        <v>0</v>
      </c>
      <c r="H35" s="43"/>
      <c r="I35" s="123"/>
      <c r="J35" s="38"/>
      <c r="K35" s="38"/>
      <c r="L35" s="437"/>
    </row>
    <row r="36" spans="1:12" s="22" customFormat="1" ht="14.15" customHeight="1">
      <c r="A36" s="436">
        <f t="shared" si="2"/>
        <v>30</v>
      </c>
      <c r="B36" s="57" t="s">
        <v>389</v>
      </c>
      <c r="C36" s="43">
        <f t="shared" si="4"/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10">
        <f>E36+F36</f>
        <v>0</v>
      </c>
      <c r="H36" s="43"/>
      <c r="I36" s="123"/>
      <c r="J36" s="38"/>
      <c r="K36" s="38"/>
      <c r="L36" s="437"/>
    </row>
    <row r="37" spans="1:12" s="129" customFormat="1" ht="14.15" customHeight="1">
      <c r="A37" s="436">
        <f t="shared" si="2"/>
        <v>31</v>
      </c>
      <c r="B37" s="2" t="s">
        <v>39</v>
      </c>
      <c r="C37" s="80">
        <f>SUM(C32:C36)</f>
        <v>-28709271.202645641</v>
      </c>
      <c r="D37" s="80">
        <f>SUM(D32:D36)</f>
        <v>414789.79735435918</v>
      </c>
      <c r="E37" s="80">
        <f>SUM(E32:E36)</f>
        <v>-29124061</v>
      </c>
      <c r="F37" s="80">
        <f>SUM(F33:F36)</f>
        <v>34671652.97215616</v>
      </c>
      <c r="G37" s="80">
        <f>SUM(G32:G36)</f>
        <v>5547591.9721561596</v>
      </c>
      <c r="H37" s="16"/>
      <c r="I37" s="16"/>
      <c r="J37" s="38"/>
      <c r="K37" s="38"/>
    </row>
    <row r="38" spans="1:12" s="18" customFormat="1" ht="14.15" customHeight="1">
      <c r="A38" s="436">
        <f t="shared" si="2"/>
        <v>32</v>
      </c>
      <c r="B38" s="6"/>
      <c r="C38" s="16"/>
      <c r="D38" s="16"/>
      <c r="E38" s="16"/>
      <c r="F38" s="43"/>
      <c r="G38" s="126"/>
      <c r="H38" s="16"/>
      <c r="I38" s="126"/>
      <c r="J38" s="38"/>
      <c r="K38" s="38"/>
    </row>
    <row r="39" spans="1:12" s="436" customFormat="1" ht="14.15" customHeight="1">
      <c r="A39" s="436">
        <f t="shared" si="2"/>
        <v>33</v>
      </c>
      <c r="B39" s="110" t="s">
        <v>40</v>
      </c>
      <c r="C39" s="43">
        <f>C30-C37</f>
        <v>75997653.489645585</v>
      </c>
      <c r="D39" s="43">
        <f>D30-D37</f>
        <v>-1860747.7029564064</v>
      </c>
      <c r="E39" s="43">
        <f>E30-E37</f>
        <v>77858401.312602162</v>
      </c>
      <c r="F39" s="43">
        <f>F30-F37</f>
        <v>-31297182.511169724</v>
      </c>
      <c r="G39" s="43">
        <f>G30-G37</f>
        <v>46402117.801432498</v>
      </c>
      <c r="H39" s="43"/>
      <c r="I39" s="9"/>
      <c r="J39" s="38"/>
      <c r="K39" s="38"/>
    </row>
    <row r="40" spans="1:12" s="436" customFormat="1" ht="14.15" customHeight="1">
      <c r="A40" s="436">
        <f t="shared" si="2"/>
        <v>34</v>
      </c>
      <c r="B40" s="130" t="s">
        <v>330</v>
      </c>
      <c r="C40" s="64">
        <f>-C496-C497-C498-C499-C500</f>
        <v>3727298.73</v>
      </c>
      <c r="D40" s="64">
        <f>-D496-D497-D498-D499-D500</f>
        <v>42352.730000000112</v>
      </c>
      <c r="E40" s="64">
        <f>-E496-E497-E498-E499-E500</f>
        <v>3684946</v>
      </c>
      <c r="F40" s="64">
        <f>-SUM(F496:F499)</f>
        <v>4797635</v>
      </c>
      <c r="G40" s="64">
        <f>E40+F40</f>
        <v>8482581</v>
      </c>
      <c r="H40" s="43"/>
      <c r="I40" s="9"/>
      <c r="J40" s="38"/>
      <c r="K40" s="38"/>
    </row>
    <row r="41" spans="1:12" s="436" customFormat="1" ht="14.15" customHeight="1" thickBot="1">
      <c r="A41" s="436">
        <f t="shared" si="2"/>
        <v>35</v>
      </c>
      <c r="B41" s="4" t="s">
        <v>41</v>
      </c>
      <c r="C41" s="131">
        <f>C40+C39</f>
        <v>79724952.21964559</v>
      </c>
      <c r="D41" s="131">
        <f>D40+D39</f>
        <v>-1818394.9729564062</v>
      </c>
      <c r="E41" s="131">
        <f>E39+E40</f>
        <v>81543347.312602162</v>
      </c>
      <c r="F41" s="131">
        <f>F39+F40</f>
        <v>-26499547.511169724</v>
      </c>
      <c r="G41" s="131">
        <f>SUM(G39:G40)</f>
        <v>54884698.801432498</v>
      </c>
      <c r="H41" s="43"/>
      <c r="I41" s="229"/>
      <c r="J41" s="38"/>
      <c r="K41" s="38"/>
    </row>
    <row r="42" spans="1:12" s="436" customFormat="1" ht="14.15" customHeight="1" thickTop="1">
      <c r="A42" s="436">
        <f t="shared" si="2"/>
        <v>36</v>
      </c>
      <c r="B42" s="110"/>
      <c r="C42" s="43"/>
      <c r="D42" s="43"/>
      <c r="E42" s="43"/>
      <c r="F42" s="43"/>
      <c r="G42" s="123"/>
      <c r="H42" s="43"/>
      <c r="I42" s="437"/>
      <c r="J42" s="38"/>
      <c r="K42" s="38"/>
    </row>
    <row r="43" spans="1:12" ht="14.15" customHeight="1">
      <c r="A43" s="436">
        <f t="shared" si="2"/>
        <v>37</v>
      </c>
      <c r="B43" s="83" t="s">
        <v>42</v>
      </c>
      <c r="C43" s="43">
        <f>C171</f>
        <v>3293887205.2399998</v>
      </c>
      <c r="D43" s="43">
        <f>D171</f>
        <v>46853209.550000049</v>
      </c>
      <c r="E43" s="43">
        <f>E171</f>
        <v>3247033995.6899996</v>
      </c>
      <c r="F43" s="43">
        <f>F171</f>
        <v>-328628780</v>
      </c>
      <c r="G43" s="43">
        <f>G171</f>
        <v>2918405215.6899996</v>
      </c>
      <c r="H43" s="43"/>
      <c r="I43" s="22"/>
      <c r="J43" s="38"/>
      <c r="K43" s="38"/>
    </row>
    <row r="44" spans="1:12" ht="14.15" customHeight="1">
      <c r="A44" s="436">
        <f t="shared" si="2"/>
        <v>38</v>
      </c>
      <c r="B44" s="56" t="s">
        <v>43</v>
      </c>
      <c r="C44" s="64">
        <f>-C188-C196-C199</f>
        <v>-1248582771.5800002</v>
      </c>
      <c r="D44" s="64">
        <f>-D188-D196-D199</f>
        <v>-19618540.580000091</v>
      </c>
      <c r="E44" s="64">
        <f>-E188-E196-E199</f>
        <v>-1228964231</v>
      </c>
      <c r="F44" s="64">
        <f>-F188-F196</f>
        <v>152170000</v>
      </c>
      <c r="G44" s="64">
        <f>-G188-G196</f>
        <v>-1076794231</v>
      </c>
      <c r="H44" s="43"/>
      <c r="I44" s="22"/>
      <c r="J44" s="38"/>
      <c r="K44" s="38"/>
    </row>
    <row r="45" spans="1:12" ht="14.15" customHeight="1">
      <c r="A45" s="436">
        <f t="shared" si="2"/>
        <v>39</v>
      </c>
      <c r="B45" s="13" t="s">
        <v>469</v>
      </c>
      <c r="C45" s="43">
        <f>SUM(C43:C44)</f>
        <v>2045304433.6599996</v>
      </c>
      <c r="D45" s="43">
        <f>SUM(D43:D44)</f>
        <v>27234668.969999958</v>
      </c>
      <c r="E45" s="43">
        <f>SUM(E43:E44)</f>
        <v>2018069764.6899996</v>
      </c>
      <c r="F45" s="43">
        <f>SUM(F43:F44)</f>
        <v>-176458780</v>
      </c>
      <c r="G45" s="43">
        <f>SUM(G43:G44)</f>
        <v>1841610984.6899996</v>
      </c>
      <c r="H45" s="92"/>
      <c r="I45" s="22"/>
      <c r="J45" s="38"/>
      <c r="K45" s="38"/>
    </row>
    <row r="46" spans="1:12" ht="14.15" customHeight="1">
      <c r="A46" s="436">
        <f t="shared" si="2"/>
        <v>40</v>
      </c>
      <c r="B46" s="83" t="s">
        <v>45</v>
      </c>
      <c r="C46" s="43">
        <f>C236</f>
        <v>801671.21</v>
      </c>
      <c r="D46" s="43">
        <f>D236</f>
        <v>801.20999999996275</v>
      </c>
      <c r="E46" s="43">
        <f>E236</f>
        <v>800870</v>
      </c>
      <c r="F46" s="43">
        <f>F236</f>
        <v>0</v>
      </c>
      <c r="G46" s="43">
        <f>E46+F46</f>
        <v>800870</v>
      </c>
      <c r="H46" s="43"/>
      <c r="I46" s="65"/>
      <c r="J46" s="38"/>
      <c r="K46" s="38"/>
    </row>
    <row r="47" spans="1:12" ht="14.15" customHeight="1">
      <c r="A47" s="436">
        <f t="shared" si="2"/>
        <v>41</v>
      </c>
      <c r="B47" s="83" t="s">
        <v>373</v>
      </c>
      <c r="C47" s="43">
        <f>C247+C248</f>
        <v>42812550.299999997</v>
      </c>
      <c r="D47" s="43">
        <f>D247+D248</f>
        <v>599375.29999999795</v>
      </c>
      <c r="E47" s="43">
        <f>E247+E248</f>
        <v>42213175</v>
      </c>
      <c r="F47" s="43">
        <f>F247+F248</f>
        <v>-50996881.07</v>
      </c>
      <c r="G47" s="43">
        <f>E47+F47</f>
        <v>-8783706.0700000003</v>
      </c>
      <c r="H47" s="43"/>
      <c r="I47" s="22"/>
      <c r="J47" s="38"/>
      <c r="K47" s="38"/>
    </row>
    <row r="48" spans="1:12" ht="14.15" customHeight="1">
      <c r="A48" s="436">
        <f t="shared" si="2"/>
        <v>42</v>
      </c>
      <c r="B48" s="83" t="s">
        <v>374</v>
      </c>
      <c r="C48" s="43">
        <f>C244</f>
        <v>71334092.608999997</v>
      </c>
      <c r="D48" s="43">
        <f>D244</f>
        <v>916666.60899999645</v>
      </c>
      <c r="E48" s="43">
        <f>E244</f>
        <v>70417426</v>
      </c>
      <c r="F48" s="43">
        <f>F244</f>
        <v>-18134678</v>
      </c>
      <c r="G48" s="43">
        <f>E48+F48</f>
        <v>52282748</v>
      </c>
      <c r="H48" s="43"/>
      <c r="I48" s="22"/>
      <c r="J48" s="38"/>
      <c r="K48" s="38"/>
    </row>
    <row r="49" spans="1:12" ht="14.15" customHeight="1">
      <c r="A49" s="436">
        <f t="shared" si="2"/>
        <v>43</v>
      </c>
      <c r="B49" s="83" t="s">
        <v>375</v>
      </c>
      <c r="C49" s="43">
        <f>C453</f>
        <v>0</v>
      </c>
      <c r="D49" s="43">
        <f>D453</f>
        <v>0</v>
      </c>
      <c r="E49" s="43">
        <f>E453</f>
        <v>0</v>
      </c>
      <c r="F49" s="43">
        <f>F453</f>
        <v>-72923158.403071955</v>
      </c>
      <c r="G49" s="43">
        <f>E49+F49</f>
        <v>-72923158.403071955</v>
      </c>
      <c r="H49" s="43"/>
      <c r="I49" s="22"/>
      <c r="J49" s="38"/>
      <c r="K49" s="38"/>
    </row>
    <row r="50" spans="1:12" ht="14.15" customHeight="1">
      <c r="A50" s="436">
        <f t="shared" si="2"/>
        <v>44</v>
      </c>
      <c r="B50" s="83" t="s">
        <v>1120</v>
      </c>
      <c r="C50" s="43">
        <f>C229</f>
        <v>139069716.55999988</v>
      </c>
      <c r="D50" s="43">
        <f>D229</f>
        <v>3315665.559999899</v>
      </c>
      <c r="E50" s="43">
        <f>E229</f>
        <v>135754051</v>
      </c>
      <c r="F50" s="43">
        <f>F229</f>
        <v>-11100396</v>
      </c>
      <c r="G50" s="43">
        <f>G229</f>
        <v>124653655</v>
      </c>
      <c r="H50" s="43"/>
      <c r="I50" s="22"/>
      <c r="J50" s="38"/>
      <c r="K50" s="38"/>
    </row>
    <row r="51" spans="1:12" ht="14.15" customHeight="1">
      <c r="A51" s="436">
        <f t="shared" si="2"/>
        <v>45</v>
      </c>
      <c r="B51" s="83" t="s">
        <v>1121</v>
      </c>
      <c r="C51" s="43">
        <f>(+C256+C257+C258+C259)</f>
        <v>-37649068.740000002</v>
      </c>
      <c r="D51" s="43">
        <f t="shared" ref="D51:G51" si="5">(+D256+D257+D258+D259)</f>
        <v>-209261.93000000005</v>
      </c>
      <c r="E51" s="43">
        <f t="shared" si="5"/>
        <v>-37439806.809999995</v>
      </c>
      <c r="F51" s="43">
        <f t="shared" si="5"/>
        <v>0</v>
      </c>
      <c r="G51" s="43">
        <f t="shared" si="5"/>
        <v>-37439806.809999995</v>
      </c>
      <c r="H51" s="43"/>
      <c r="I51" s="22"/>
      <c r="J51" s="38"/>
      <c r="K51" s="38"/>
    </row>
    <row r="52" spans="1:12" ht="14.15" customHeight="1">
      <c r="A52" s="436">
        <f t="shared" si="2"/>
        <v>46</v>
      </c>
      <c r="B52" s="56" t="s">
        <v>46</v>
      </c>
      <c r="C52" s="64">
        <f>C253</f>
        <v>-466468648.20915747</v>
      </c>
      <c r="D52" s="64">
        <f>D253</f>
        <v>-117260392.20915747</v>
      </c>
      <c r="E52" s="64">
        <f>E253</f>
        <v>-349208256</v>
      </c>
      <c r="F52" s="64">
        <f>F253</f>
        <v>68478082.195299998</v>
      </c>
      <c r="G52" s="64">
        <f>E52+F52</f>
        <v>-280730173.80470002</v>
      </c>
      <c r="H52" s="43"/>
      <c r="I52" s="132"/>
      <c r="J52" s="38"/>
      <c r="K52" s="38"/>
    </row>
    <row r="53" spans="1:12" s="18" customFormat="1" ht="14.15" customHeight="1" thickBot="1">
      <c r="A53" s="436">
        <f t="shared" si="2"/>
        <v>47</v>
      </c>
      <c r="B53" s="5" t="s">
        <v>47</v>
      </c>
      <c r="C53" s="133">
        <f>SUM(C45:C52)</f>
        <v>1795204747.3898425</v>
      </c>
      <c r="D53" s="133">
        <f>SUM(D45:D52)</f>
        <v>-85402476.490157619</v>
      </c>
      <c r="E53" s="133">
        <f>SUM(E45:E52)</f>
        <v>1880607223.8799996</v>
      </c>
      <c r="F53" s="133">
        <f>SUM(F45:F52)</f>
        <v>-261135811.27777195</v>
      </c>
      <c r="G53" s="133">
        <f>SUM(G45:G52)</f>
        <v>1619471412.6022277</v>
      </c>
      <c r="H53" s="16"/>
      <c r="I53" s="134" t="s">
        <v>48</v>
      </c>
      <c r="J53" s="38"/>
      <c r="K53" s="38"/>
    </row>
    <row r="54" spans="1:12" s="18" customFormat="1" ht="14.15" customHeight="1" thickTop="1">
      <c r="A54" s="436">
        <f t="shared" si="2"/>
        <v>48</v>
      </c>
      <c r="B54" s="6"/>
      <c r="C54" s="16"/>
      <c r="D54" s="16"/>
      <c r="E54" s="16"/>
      <c r="F54" s="16"/>
      <c r="G54" s="16"/>
      <c r="H54" s="16"/>
      <c r="I54" s="129"/>
      <c r="J54" s="38"/>
      <c r="K54" s="38"/>
    </row>
    <row r="55" spans="1:12" s="18" customFormat="1" ht="14.15" customHeight="1">
      <c r="A55" s="436">
        <f t="shared" si="2"/>
        <v>49</v>
      </c>
      <c r="B55" s="2" t="s">
        <v>49</v>
      </c>
      <c r="C55" s="135">
        <f>C41/C53</f>
        <v>4.4409949525569467E-2</v>
      </c>
      <c r="D55" s="136">
        <f>+D41/D53</f>
        <v>2.1292063739696949E-2</v>
      </c>
      <c r="E55" s="135">
        <f>+E41/E53</f>
        <v>4.3360115965291747E-2</v>
      </c>
      <c r="F55" s="136"/>
      <c r="G55" s="135">
        <f>+G41/G53</f>
        <v>3.3890501786161015E-2</v>
      </c>
      <c r="H55" s="137"/>
      <c r="I55" s="129"/>
      <c r="J55" s="38"/>
      <c r="K55" s="38"/>
    </row>
    <row r="56" spans="1:12" s="18" customFormat="1" ht="14.15" customHeight="1">
      <c r="A56" s="436">
        <f t="shared" si="2"/>
        <v>50</v>
      </c>
      <c r="B56" s="6"/>
      <c r="C56" s="138"/>
      <c r="D56" s="138"/>
      <c r="E56" s="137"/>
      <c r="F56" s="137"/>
      <c r="G56" s="137"/>
      <c r="H56" s="129"/>
      <c r="I56" s="139"/>
      <c r="J56" s="38"/>
      <c r="K56" s="38"/>
    </row>
    <row r="57" spans="1:12" ht="13.5" customHeight="1">
      <c r="A57" s="436">
        <f t="shared" si="2"/>
        <v>51</v>
      </c>
      <c r="C57" s="10"/>
      <c r="D57" s="95"/>
      <c r="E57" s="95"/>
      <c r="F57" s="95"/>
      <c r="G57" s="137"/>
      <c r="I57" s="22"/>
      <c r="J57" s="38"/>
      <c r="K57" s="38"/>
    </row>
    <row r="58" spans="1:12" s="21" customFormat="1" ht="14.15" customHeight="1">
      <c r="A58" s="436">
        <f t="shared" si="2"/>
        <v>52</v>
      </c>
      <c r="B58" s="53" t="s">
        <v>50</v>
      </c>
      <c r="C58" s="10"/>
      <c r="D58" s="19"/>
      <c r="E58" s="19"/>
      <c r="F58" s="19"/>
      <c r="G58" s="140"/>
      <c r="J58" s="38"/>
      <c r="K58" s="38"/>
      <c r="L58" s="18"/>
    </row>
    <row r="59" spans="1:12" ht="14.15" customHeight="1">
      <c r="A59" s="436">
        <f t="shared" si="2"/>
        <v>53</v>
      </c>
      <c r="B59" s="8" t="s">
        <v>51</v>
      </c>
      <c r="C59" s="10"/>
      <c r="D59" s="19"/>
      <c r="E59" s="10"/>
      <c r="F59" s="10"/>
      <c r="G59" s="38"/>
      <c r="I59" s="83"/>
      <c r="J59" s="38"/>
      <c r="K59" s="38"/>
    </row>
    <row r="60" spans="1:12" ht="14.15" customHeight="1">
      <c r="A60" s="436">
        <f t="shared" si="2"/>
        <v>54</v>
      </c>
      <c r="B60" s="83" t="s">
        <v>52</v>
      </c>
      <c r="C60" s="10">
        <v>60964681.060000002</v>
      </c>
      <c r="D60" s="10">
        <f>C60-E60</f>
        <v>853505.06000000238</v>
      </c>
      <c r="E60" s="10">
        <f>ROUND(C60*'Allocation Factors'!$G$22,0)</f>
        <v>60111176</v>
      </c>
      <c r="F60" s="10">
        <f>'Sch 5'!C60</f>
        <v>-3843227</v>
      </c>
      <c r="G60" s="10">
        <f>E60+F60</f>
        <v>56267949</v>
      </c>
      <c r="H60" s="10"/>
      <c r="I60" s="15" t="s">
        <v>352</v>
      </c>
      <c r="J60" s="38"/>
      <c r="K60" s="38"/>
    </row>
    <row r="61" spans="1:12" ht="14.15" customHeight="1">
      <c r="A61" s="436">
        <f t="shared" si="2"/>
        <v>55</v>
      </c>
      <c r="B61" s="56" t="s">
        <v>53</v>
      </c>
      <c r="C61" s="10">
        <v>0</v>
      </c>
      <c r="D61" s="10">
        <f>C61-E61</f>
        <v>0</v>
      </c>
      <c r="E61" s="10">
        <f>ROUND(C61*'Allocation Factors'!$G$22,0)</f>
        <v>0</v>
      </c>
      <c r="F61" s="10">
        <f>'Sch 5'!C61</f>
        <v>0</v>
      </c>
      <c r="G61" s="10">
        <f>E61+F61</f>
        <v>0</v>
      </c>
      <c r="H61" s="10"/>
      <c r="I61" s="15" t="s">
        <v>352</v>
      </c>
      <c r="J61" s="38"/>
      <c r="K61" s="38"/>
    </row>
    <row r="62" spans="1:12" ht="14.15" customHeight="1">
      <c r="A62" s="436">
        <f t="shared" si="2"/>
        <v>56</v>
      </c>
      <c r="B62" s="3" t="s">
        <v>470</v>
      </c>
      <c r="C62" s="47">
        <f>SUM(C60:C61)</f>
        <v>60964681.060000002</v>
      </c>
      <c r="D62" s="47">
        <f>SUM(D60:D61)</f>
        <v>853505.06000000238</v>
      </c>
      <c r="E62" s="47">
        <f>SUM(E60:E61)</f>
        <v>60111176</v>
      </c>
      <c r="F62" s="47">
        <f>SUM(F60:F61)</f>
        <v>-3843227</v>
      </c>
      <c r="G62" s="47">
        <f>SUM(G60:G61)</f>
        <v>56267949</v>
      </c>
      <c r="H62" s="47"/>
      <c r="I62" s="141"/>
      <c r="J62" s="38"/>
      <c r="K62" s="38"/>
      <c r="L62" s="436" t="s">
        <v>1071</v>
      </c>
    </row>
    <row r="63" spans="1:12" ht="14.15" customHeight="1">
      <c r="A63" s="436">
        <f t="shared" si="2"/>
        <v>57</v>
      </c>
      <c r="C63" s="9"/>
      <c r="D63" s="43"/>
      <c r="E63" s="48"/>
      <c r="F63" s="43"/>
      <c r="G63" s="43"/>
      <c r="H63" s="43"/>
      <c r="I63" s="15"/>
      <c r="J63" s="38"/>
      <c r="K63" s="38"/>
    </row>
    <row r="64" spans="1:12" ht="14.15" customHeight="1">
      <c r="A64" s="436">
        <f t="shared" si="2"/>
        <v>58</v>
      </c>
      <c r="B64" s="3" t="s">
        <v>56</v>
      </c>
      <c r="C64" s="10"/>
      <c r="D64" s="19"/>
      <c r="E64" s="10"/>
      <c r="F64" s="10"/>
      <c r="G64" s="10"/>
      <c r="H64" s="10"/>
      <c r="I64" s="15"/>
      <c r="J64" s="38"/>
      <c r="K64" s="38"/>
    </row>
    <row r="65" spans="1:12" ht="14.15" customHeight="1">
      <c r="A65" s="436">
        <f t="shared" si="2"/>
        <v>59</v>
      </c>
      <c r="B65" s="3" t="s">
        <v>57</v>
      </c>
      <c r="C65" s="10"/>
      <c r="D65" s="19"/>
      <c r="E65" s="10"/>
      <c r="F65" s="10"/>
      <c r="G65" s="10"/>
      <c r="H65" s="10"/>
      <c r="I65" s="15"/>
      <c r="J65" s="38"/>
      <c r="K65" s="38"/>
    </row>
    <row r="66" spans="1:12" ht="14.15" customHeight="1">
      <c r="A66" s="436">
        <f t="shared" si="2"/>
        <v>60</v>
      </c>
      <c r="B66" s="83" t="s">
        <v>58</v>
      </c>
      <c r="C66" s="10">
        <v>4863555.16</v>
      </c>
      <c r="D66" s="10">
        <f t="shared" ref="D66:D73" si="6">C66-E66</f>
        <v>72953.160000000149</v>
      </c>
      <c r="E66" s="10">
        <f>ROUND(C66*'Allocation Factors'!$G$10,0)</f>
        <v>4790602</v>
      </c>
      <c r="F66" s="10">
        <f>'Sch 5'!C66</f>
        <v>0</v>
      </c>
      <c r="G66" s="10">
        <f t="shared" ref="G66:G73" si="7">E66+F66</f>
        <v>4790602</v>
      </c>
      <c r="H66" s="10"/>
      <c r="I66" s="15" t="s">
        <v>341</v>
      </c>
      <c r="J66" s="38"/>
      <c r="K66" s="38"/>
    </row>
    <row r="67" spans="1:12" ht="14.15" customHeight="1">
      <c r="A67" s="436">
        <f t="shared" si="2"/>
        <v>61</v>
      </c>
      <c r="B67" s="83" t="s">
        <v>60</v>
      </c>
      <c r="C67" s="10">
        <v>81625043.549999997</v>
      </c>
      <c r="D67" s="10">
        <f t="shared" si="6"/>
        <v>1224375.549999997</v>
      </c>
      <c r="E67" s="10">
        <f>ROUND(C67*'Allocation Factors'!$G$10,0)</f>
        <v>80400668</v>
      </c>
      <c r="F67" s="10">
        <f>'Sch 5'!C67</f>
        <v>0</v>
      </c>
      <c r="G67" s="10">
        <f t="shared" si="7"/>
        <v>80400668</v>
      </c>
      <c r="H67" s="10"/>
      <c r="I67" s="15" t="s">
        <v>341</v>
      </c>
      <c r="J67" s="38"/>
      <c r="K67" s="38"/>
    </row>
    <row r="68" spans="1:12" ht="14.15" customHeight="1">
      <c r="A68" s="436">
        <f t="shared" si="2"/>
        <v>62</v>
      </c>
      <c r="B68" s="83" t="s">
        <v>61</v>
      </c>
      <c r="C68" s="10">
        <v>962471587.82000005</v>
      </c>
      <c r="D68" s="10">
        <f t="shared" si="6"/>
        <v>14437073.820000052</v>
      </c>
      <c r="E68" s="10">
        <f>ROUND(C68*'Allocation Factors'!$G$10,0)</f>
        <v>948034514</v>
      </c>
      <c r="F68" s="10">
        <f>'Sch 5'!C68</f>
        <v>-324785553</v>
      </c>
      <c r="G68" s="10">
        <f t="shared" si="7"/>
        <v>623248961</v>
      </c>
      <c r="H68" s="10"/>
      <c r="I68" s="15" t="s">
        <v>341</v>
      </c>
      <c r="J68" s="38"/>
      <c r="K68" s="38"/>
    </row>
    <row r="69" spans="1:12" ht="14.15" customHeight="1">
      <c r="A69" s="436">
        <f t="shared" si="2"/>
        <v>63</v>
      </c>
      <c r="B69" s="83" t="s">
        <v>62</v>
      </c>
      <c r="C69" s="10">
        <v>0</v>
      </c>
      <c r="D69" s="10">
        <f t="shared" si="6"/>
        <v>0</v>
      </c>
      <c r="E69" s="10">
        <f>ROUND(C69*'Allocation Factors'!$G$10,0)</f>
        <v>0</v>
      </c>
      <c r="F69" s="10">
        <f>'Sch 5'!C69</f>
        <v>0</v>
      </c>
      <c r="G69" s="10">
        <f t="shared" si="7"/>
        <v>0</v>
      </c>
      <c r="H69" s="10"/>
      <c r="I69" s="15" t="s">
        <v>341</v>
      </c>
      <c r="J69" s="38"/>
      <c r="K69" s="38"/>
    </row>
    <row r="70" spans="1:12" ht="14.15" customHeight="1">
      <c r="A70" s="436">
        <f t="shared" si="2"/>
        <v>64</v>
      </c>
      <c r="B70" s="83" t="s">
        <v>63</v>
      </c>
      <c r="C70" s="10">
        <v>116931942.56</v>
      </c>
      <c r="D70" s="10">
        <f t="shared" si="6"/>
        <v>1753979.5600000024</v>
      </c>
      <c r="E70" s="10">
        <f>ROUND(C70*'Allocation Factors'!$G$10,0)</f>
        <v>115177963</v>
      </c>
      <c r="F70" s="10">
        <f>'Sch 5'!C70</f>
        <v>0</v>
      </c>
      <c r="G70" s="10">
        <f t="shared" si="7"/>
        <v>115177963</v>
      </c>
      <c r="H70" s="10"/>
      <c r="I70" s="15" t="s">
        <v>341</v>
      </c>
      <c r="J70" s="38"/>
      <c r="K70" s="38"/>
    </row>
    <row r="71" spans="1:12" ht="14.15" customHeight="1">
      <c r="A71" s="436">
        <f t="shared" si="2"/>
        <v>65</v>
      </c>
      <c r="B71" s="83" t="s">
        <v>64</v>
      </c>
      <c r="C71" s="10">
        <v>32424190.43</v>
      </c>
      <c r="D71" s="10">
        <f t="shared" si="6"/>
        <v>486362.4299999997</v>
      </c>
      <c r="E71" s="10">
        <f>ROUND(C71*'Allocation Factors'!$G$10,0)</f>
        <v>31937828</v>
      </c>
      <c r="F71" s="10">
        <f>'Sch 5'!C71</f>
        <v>0</v>
      </c>
      <c r="G71" s="10">
        <f t="shared" si="7"/>
        <v>31937828</v>
      </c>
      <c r="H71" s="10"/>
      <c r="I71" s="15" t="s">
        <v>341</v>
      </c>
      <c r="J71" s="38"/>
      <c r="K71" s="38"/>
    </row>
    <row r="72" spans="1:12" ht="14.15" customHeight="1">
      <c r="A72" s="436">
        <f t="shared" si="2"/>
        <v>66</v>
      </c>
      <c r="B72" s="83" t="s">
        <v>65</v>
      </c>
      <c r="C72" s="10">
        <v>14084190.48</v>
      </c>
      <c r="D72" s="10">
        <f t="shared" si="6"/>
        <v>211262.48000000045</v>
      </c>
      <c r="E72" s="10">
        <f>ROUND(C72*'Allocation Factors'!$G$10,0)</f>
        <v>13872928</v>
      </c>
      <c r="F72" s="10">
        <f>'Sch 5'!C72</f>
        <v>0</v>
      </c>
      <c r="G72" s="10">
        <f t="shared" si="7"/>
        <v>13872928</v>
      </c>
      <c r="H72" s="10"/>
      <c r="I72" s="15" t="s">
        <v>341</v>
      </c>
      <c r="J72" s="38"/>
      <c r="K72" s="38"/>
    </row>
    <row r="73" spans="1:12" ht="14.15" customHeight="1">
      <c r="A73" s="436">
        <f t="shared" si="2"/>
        <v>67</v>
      </c>
      <c r="B73" s="56" t="s">
        <v>66</v>
      </c>
      <c r="C73" s="10">
        <v>11236419.33</v>
      </c>
      <c r="D73" s="10">
        <f t="shared" si="6"/>
        <v>11236419.33</v>
      </c>
      <c r="E73" s="10">
        <v>0</v>
      </c>
      <c r="F73" s="10">
        <f>'Sch 5'!C73</f>
        <v>0</v>
      </c>
      <c r="G73" s="10">
        <f t="shared" si="7"/>
        <v>0</v>
      </c>
      <c r="H73" s="10"/>
      <c r="I73" s="15"/>
      <c r="J73" s="38"/>
      <c r="K73" s="38"/>
    </row>
    <row r="74" spans="1:12" s="18" customFormat="1" ht="14.15" customHeight="1">
      <c r="A74" s="436">
        <f t="shared" si="2"/>
        <v>68</v>
      </c>
      <c r="B74" s="2" t="s">
        <v>471</v>
      </c>
      <c r="C74" s="80">
        <f>SUM(C66:C73)</f>
        <v>1223636929.3300002</v>
      </c>
      <c r="D74" s="80">
        <f>SUM(D66:D73)</f>
        <v>29422426.33000005</v>
      </c>
      <c r="E74" s="80">
        <f>SUM(E66:E73)</f>
        <v>1194214503</v>
      </c>
      <c r="F74" s="80">
        <f>SUM(F66:F73)</f>
        <v>-324785553</v>
      </c>
      <c r="G74" s="80">
        <f>SUM(G66:G73)</f>
        <v>869428950</v>
      </c>
      <c r="H74" s="80"/>
      <c r="I74" s="142"/>
      <c r="J74" s="38"/>
      <c r="K74" s="38"/>
      <c r="L74" s="18">
        <v>1010001</v>
      </c>
    </row>
    <row r="75" spans="1:12" s="18" customFormat="1" ht="14.15" customHeight="1">
      <c r="A75" s="436">
        <f t="shared" ref="A75:A140" si="8">+A74+1</f>
        <v>69</v>
      </c>
      <c r="B75" s="6"/>
      <c r="C75" s="12"/>
      <c r="D75" s="16"/>
      <c r="E75" s="125"/>
      <c r="F75" s="16"/>
      <c r="G75" s="16"/>
      <c r="H75" s="16"/>
      <c r="I75" s="25"/>
      <c r="J75" s="38"/>
      <c r="K75" s="38"/>
    </row>
    <row r="76" spans="1:12" ht="14.15" customHeight="1">
      <c r="A76" s="436">
        <f t="shared" si="8"/>
        <v>70</v>
      </c>
      <c r="B76" s="3" t="s">
        <v>67</v>
      </c>
      <c r="C76" s="10"/>
      <c r="D76" s="10"/>
      <c r="E76" s="10"/>
      <c r="F76" s="10"/>
      <c r="G76" s="10"/>
      <c r="H76" s="10"/>
      <c r="I76" s="15"/>
      <c r="J76" s="38"/>
      <c r="K76" s="38"/>
    </row>
    <row r="77" spans="1:12" ht="14.15" customHeight="1">
      <c r="A77" s="436">
        <f t="shared" si="8"/>
        <v>71</v>
      </c>
      <c r="B77" s="83" t="s">
        <v>68</v>
      </c>
      <c r="C77" s="10">
        <v>0</v>
      </c>
      <c r="D77" s="19">
        <v>0</v>
      </c>
      <c r="E77" s="10">
        <v>0</v>
      </c>
      <c r="F77" s="10">
        <f>'Sch 5'!C77</f>
        <v>0</v>
      </c>
      <c r="G77" s="10">
        <f t="shared" ref="G77:G82" si="9">E77+F77</f>
        <v>0</v>
      </c>
      <c r="H77" s="10"/>
      <c r="I77" s="15"/>
      <c r="J77" s="38"/>
      <c r="K77" s="38"/>
    </row>
    <row r="78" spans="1:12" ht="14.15" customHeight="1">
      <c r="A78" s="436">
        <f t="shared" si="8"/>
        <v>72</v>
      </c>
      <c r="B78" s="83" t="s">
        <v>69</v>
      </c>
      <c r="C78" s="10">
        <v>0</v>
      </c>
      <c r="D78" s="19">
        <v>0</v>
      </c>
      <c r="E78" s="10">
        <v>0</v>
      </c>
      <c r="F78" s="10">
        <f>'Sch 5'!C78</f>
        <v>0</v>
      </c>
      <c r="G78" s="10">
        <f t="shared" si="9"/>
        <v>0</v>
      </c>
      <c r="H78" s="10"/>
      <c r="I78" s="15"/>
      <c r="J78" s="38"/>
      <c r="K78" s="38"/>
    </row>
    <row r="79" spans="1:12" ht="14.15" customHeight="1">
      <c r="A79" s="436">
        <f t="shared" si="8"/>
        <v>73</v>
      </c>
      <c r="B79" s="83" t="s">
        <v>70</v>
      </c>
      <c r="C79" s="10">
        <v>0</v>
      </c>
      <c r="D79" s="19">
        <v>0</v>
      </c>
      <c r="E79" s="10">
        <v>0</v>
      </c>
      <c r="F79" s="10">
        <f>'Sch 5'!C79</f>
        <v>0</v>
      </c>
      <c r="G79" s="10">
        <f t="shared" si="9"/>
        <v>0</v>
      </c>
      <c r="H79" s="10"/>
      <c r="I79" s="15"/>
      <c r="J79" s="38"/>
      <c r="K79" s="38"/>
    </row>
    <row r="80" spans="1:12" ht="14.15" customHeight="1">
      <c r="A80" s="436">
        <f t="shared" si="8"/>
        <v>74</v>
      </c>
      <c r="B80" s="83" t="s">
        <v>71</v>
      </c>
      <c r="C80" s="10">
        <v>0</v>
      </c>
      <c r="D80" s="19">
        <v>0</v>
      </c>
      <c r="E80" s="10">
        <v>0</v>
      </c>
      <c r="F80" s="10">
        <f>'Sch 5'!C80</f>
        <v>0</v>
      </c>
      <c r="G80" s="10">
        <f t="shared" si="9"/>
        <v>0</v>
      </c>
      <c r="H80" s="10"/>
      <c r="I80" s="15"/>
      <c r="J80" s="38"/>
      <c r="K80" s="38"/>
    </row>
    <row r="81" spans="1:11" ht="14.15" customHeight="1">
      <c r="A81" s="436">
        <f t="shared" si="8"/>
        <v>75</v>
      </c>
      <c r="B81" s="83" t="s">
        <v>72</v>
      </c>
      <c r="C81" s="10">
        <v>0</v>
      </c>
      <c r="D81" s="19">
        <v>0</v>
      </c>
      <c r="E81" s="10">
        <v>0</v>
      </c>
      <c r="F81" s="10">
        <f>'Sch 5'!C81</f>
        <v>0</v>
      </c>
      <c r="G81" s="10">
        <f t="shared" si="9"/>
        <v>0</v>
      </c>
      <c r="H81" s="10"/>
      <c r="I81" s="15"/>
      <c r="J81" s="38"/>
      <c r="K81" s="38"/>
    </row>
    <row r="82" spans="1:11" ht="14.15" customHeight="1">
      <c r="A82" s="436">
        <f t="shared" si="8"/>
        <v>76</v>
      </c>
      <c r="B82" s="56" t="s">
        <v>73</v>
      </c>
      <c r="C82" s="10">
        <v>0</v>
      </c>
      <c r="D82" s="19">
        <v>0</v>
      </c>
      <c r="E82" s="10">
        <v>0</v>
      </c>
      <c r="F82" s="10">
        <f>'Sch 5'!C82</f>
        <v>0</v>
      </c>
      <c r="G82" s="10">
        <f t="shared" si="9"/>
        <v>0</v>
      </c>
      <c r="H82" s="10"/>
      <c r="I82" s="15"/>
      <c r="J82" s="38"/>
      <c r="K82" s="38"/>
    </row>
    <row r="83" spans="1:11" s="18" customFormat="1" ht="14.15" customHeight="1">
      <c r="A83" s="436">
        <f t="shared" si="8"/>
        <v>77</v>
      </c>
      <c r="B83" s="2" t="s">
        <v>472</v>
      </c>
      <c r="C83" s="80">
        <f>SUM(C77:C82)</f>
        <v>0</v>
      </c>
      <c r="D83" s="80">
        <f>SUM(D77:D82)</f>
        <v>0</v>
      </c>
      <c r="E83" s="80">
        <f>SUM(E77:E82)</f>
        <v>0</v>
      </c>
      <c r="F83" s="80">
        <f>SUM(F77:F82)</f>
        <v>0</v>
      </c>
      <c r="G83" s="80">
        <f>SUM(G77:G82)</f>
        <v>0</v>
      </c>
      <c r="H83" s="80"/>
      <c r="I83" s="143"/>
      <c r="J83" s="38"/>
      <c r="K83" s="38"/>
    </row>
    <row r="84" spans="1:11" s="18" customFormat="1" ht="14.15" customHeight="1">
      <c r="A84" s="436">
        <f t="shared" si="8"/>
        <v>78</v>
      </c>
      <c r="B84" s="6"/>
      <c r="C84" s="16"/>
      <c r="D84" s="16"/>
      <c r="E84" s="16"/>
      <c r="F84" s="16"/>
      <c r="G84" s="16"/>
      <c r="H84" s="16"/>
      <c r="I84" s="25"/>
      <c r="J84" s="38"/>
      <c r="K84" s="38"/>
    </row>
    <row r="85" spans="1:11" ht="14.15" customHeight="1">
      <c r="A85" s="436">
        <f t="shared" si="8"/>
        <v>79</v>
      </c>
      <c r="B85" s="3" t="s">
        <v>74</v>
      </c>
      <c r="C85" s="10"/>
      <c r="D85" s="10"/>
      <c r="E85" s="10"/>
      <c r="F85" s="10"/>
      <c r="G85" s="10"/>
      <c r="H85" s="10"/>
      <c r="I85" s="15"/>
      <c r="J85" s="38"/>
      <c r="K85" s="38"/>
    </row>
    <row r="86" spans="1:11" ht="14.15" customHeight="1">
      <c r="A86" s="436">
        <f t="shared" si="8"/>
        <v>80</v>
      </c>
      <c r="B86" s="83" t="s">
        <v>75</v>
      </c>
      <c r="C86" s="10">
        <v>0</v>
      </c>
      <c r="D86" s="10">
        <v>0</v>
      </c>
      <c r="E86" s="10">
        <v>0</v>
      </c>
      <c r="F86" s="10">
        <f>'Sch 5'!C86</f>
        <v>0</v>
      </c>
      <c r="G86" s="10">
        <f t="shared" ref="G86:G93" si="10">E86+F86</f>
        <v>0</v>
      </c>
      <c r="H86" s="10"/>
      <c r="I86" s="15"/>
      <c r="J86" s="38"/>
      <c r="K86" s="38"/>
    </row>
    <row r="87" spans="1:11" ht="14.15" customHeight="1">
      <c r="A87" s="436">
        <f t="shared" si="8"/>
        <v>81</v>
      </c>
      <c r="B87" s="83" t="s">
        <v>76</v>
      </c>
      <c r="C87" s="10">
        <v>0</v>
      </c>
      <c r="D87" s="10">
        <v>0</v>
      </c>
      <c r="E87" s="10">
        <v>0</v>
      </c>
      <c r="F87" s="10">
        <f>'Sch 5'!C87</f>
        <v>0</v>
      </c>
      <c r="G87" s="10">
        <f t="shared" si="10"/>
        <v>0</v>
      </c>
      <c r="H87" s="10"/>
      <c r="I87" s="15"/>
      <c r="J87" s="38"/>
      <c r="K87" s="38"/>
    </row>
    <row r="88" spans="1:11" ht="14.15" customHeight="1">
      <c r="A88" s="436">
        <f t="shared" si="8"/>
        <v>82</v>
      </c>
      <c r="B88" s="83" t="s">
        <v>77</v>
      </c>
      <c r="C88" s="10">
        <v>0</v>
      </c>
      <c r="D88" s="10">
        <v>0</v>
      </c>
      <c r="E88" s="10">
        <v>0</v>
      </c>
      <c r="F88" s="10">
        <f>'Sch 5'!C88</f>
        <v>0</v>
      </c>
      <c r="G88" s="10">
        <f t="shared" si="10"/>
        <v>0</v>
      </c>
      <c r="H88" s="10"/>
      <c r="I88" s="15"/>
      <c r="J88" s="38"/>
      <c r="K88" s="38"/>
    </row>
    <row r="89" spans="1:11" ht="14.15" customHeight="1">
      <c r="A89" s="436">
        <f t="shared" si="8"/>
        <v>83</v>
      </c>
      <c r="B89" s="83" t="s">
        <v>78</v>
      </c>
      <c r="C89" s="10">
        <v>0</v>
      </c>
      <c r="D89" s="10">
        <v>0</v>
      </c>
      <c r="E89" s="10">
        <v>0</v>
      </c>
      <c r="F89" s="10">
        <f>'Sch 5'!C89</f>
        <v>0</v>
      </c>
      <c r="G89" s="10">
        <f t="shared" si="10"/>
        <v>0</v>
      </c>
      <c r="H89" s="10"/>
      <c r="I89" s="15"/>
      <c r="J89" s="38"/>
      <c r="K89" s="38"/>
    </row>
    <row r="90" spans="1:11" ht="14.15" customHeight="1">
      <c r="A90" s="436">
        <f t="shared" si="8"/>
        <v>84</v>
      </c>
      <c r="B90" s="83" t="s">
        <v>79</v>
      </c>
      <c r="C90" s="10">
        <v>0</v>
      </c>
      <c r="D90" s="10">
        <v>0</v>
      </c>
      <c r="E90" s="10">
        <v>0</v>
      </c>
      <c r="F90" s="10">
        <f>'Sch 5'!C90</f>
        <v>0</v>
      </c>
      <c r="G90" s="10">
        <f t="shared" si="10"/>
        <v>0</v>
      </c>
      <c r="H90" s="10"/>
      <c r="I90" s="15"/>
      <c r="J90" s="38"/>
      <c r="K90" s="38"/>
    </row>
    <row r="91" spans="1:11" ht="14.15" customHeight="1">
      <c r="A91" s="436">
        <f t="shared" si="8"/>
        <v>85</v>
      </c>
      <c r="B91" s="83" t="s">
        <v>80</v>
      </c>
      <c r="C91" s="10">
        <v>0</v>
      </c>
      <c r="D91" s="10">
        <v>0</v>
      </c>
      <c r="E91" s="10">
        <v>0</v>
      </c>
      <c r="F91" s="10">
        <f>'Sch 5'!C91</f>
        <v>0</v>
      </c>
      <c r="G91" s="10">
        <f t="shared" si="10"/>
        <v>0</v>
      </c>
      <c r="H91" s="10"/>
      <c r="I91" s="15"/>
      <c r="J91" s="38"/>
      <c r="K91" s="38"/>
    </row>
    <row r="92" spans="1:11" ht="14.15" customHeight="1">
      <c r="A92" s="436">
        <f t="shared" si="8"/>
        <v>86</v>
      </c>
      <c r="B92" s="83" t="s">
        <v>81</v>
      </c>
      <c r="C92" s="10">
        <v>0</v>
      </c>
      <c r="D92" s="10">
        <v>0</v>
      </c>
      <c r="E92" s="10">
        <v>0</v>
      </c>
      <c r="F92" s="10">
        <f>'Sch 5'!C92</f>
        <v>0</v>
      </c>
      <c r="G92" s="10">
        <f t="shared" si="10"/>
        <v>0</v>
      </c>
      <c r="H92" s="10"/>
      <c r="I92" s="15"/>
      <c r="J92" s="38"/>
      <c r="K92" s="38"/>
    </row>
    <row r="93" spans="1:11" ht="13.5" customHeight="1">
      <c r="A93" s="436">
        <f t="shared" si="8"/>
        <v>87</v>
      </c>
      <c r="B93" s="56" t="s">
        <v>82</v>
      </c>
      <c r="C93" s="10">
        <v>0</v>
      </c>
      <c r="D93" s="10">
        <v>0</v>
      </c>
      <c r="E93" s="10">
        <v>0</v>
      </c>
      <c r="F93" s="10">
        <f>'Sch 5'!C93</f>
        <v>0</v>
      </c>
      <c r="G93" s="10">
        <f t="shared" si="10"/>
        <v>0</v>
      </c>
      <c r="H93" s="10"/>
      <c r="I93" s="15"/>
      <c r="J93" s="38"/>
      <c r="K93" s="38"/>
    </row>
    <row r="94" spans="1:11" s="18" customFormat="1" ht="14.15" customHeight="1">
      <c r="A94" s="436">
        <f t="shared" si="8"/>
        <v>88</v>
      </c>
      <c r="B94" s="2" t="s">
        <v>473</v>
      </c>
      <c r="C94" s="80">
        <f>SUM(C86:C93)</f>
        <v>0</v>
      </c>
      <c r="D94" s="80">
        <f>SUM(D86:D93)</f>
        <v>0</v>
      </c>
      <c r="E94" s="80">
        <f>SUM(E86:E93)</f>
        <v>0</v>
      </c>
      <c r="F94" s="80">
        <f>SUM(F86:F93)</f>
        <v>0</v>
      </c>
      <c r="G94" s="80">
        <f>SUM(G86:G93)</f>
        <v>0</v>
      </c>
      <c r="H94" s="80"/>
      <c r="I94" s="142"/>
      <c r="J94" s="38"/>
      <c r="K94" s="38"/>
    </row>
    <row r="95" spans="1:11" s="18" customFormat="1" ht="14.15" customHeight="1">
      <c r="A95" s="436">
        <f t="shared" si="8"/>
        <v>89</v>
      </c>
      <c r="B95" s="6"/>
      <c r="C95" s="12"/>
      <c r="D95" s="16"/>
      <c r="E95" s="125"/>
      <c r="F95" s="16"/>
      <c r="G95" s="16"/>
      <c r="H95" s="16"/>
      <c r="I95" s="25"/>
      <c r="J95" s="38"/>
      <c r="K95" s="38"/>
    </row>
    <row r="96" spans="1:11" ht="14.15" customHeight="1">
      <c r="A96" s="436">
        <f t="shared" si="8"/>
        <v>90</v>
      </c>
      <c r="B96" s="3" t="s">
        <v>83</v>
      </c>
      <c r="C96" s="43"/>
      <c r="D96" s="16"/>
      <c r="E96" s="43"/>
      <c r="F96" s="43"/>
      <c r="G96" s="43"/>
      <c r="H96" s="43"/>
      <c r="I96" s="15"/>
      <c r="J96" s="38"/>
      <c r="K96" s="38"/>
    </row>
    <row r="97" spans="1:12" ht="14.15" customHeight="1">
      <c r="A97" s="436">
        <f t="shared" si="8"/>
        <v>91</v>
      </c>
      <c r="B97" s="83" t="s">
        <v>84</v>
      </c>
      <c r="C97" s="10">
        <v>0</v>
      </c>
      <c r="D97" s="10">
        <v>0</v>
      </c>
      <c r="E97" s="10">
        <v>0</v>
      </c>
      <c r="F97" s="10">
        <f>'Sch 5'!C97</f>
        <v>0</v>
      </c>
      <c r="G97" s="10">
        <f t="shared" ref="G97:G103" si="11">E97+F97</f>
        <v>0</v>
      </c>
      <c r="H97" s="10"/>
      <c r="I97" s="15"/>
      <c r="J97" s="38"/>
      <c r="K97" s="38"/>
    </row>
    <row r="98" spans="1:12" ht="14.15" customHeight="1">
      <c r="A98" s="436">
        <f t="shared" si="8"/>
        <v>92</v>
      </c>
      <c r="B98" s="83" t="s">
        <v>85</v>
      </c>
      <c r="C98" s="10">
        <v>0</v>
      </c>
      <c r="D98" s="10">
        <v>0</v>
      </c>
      <c r="E98" s="10">
        <v>0</v>
      </c>
      <c r="F98" s="10">
        <f>'Sch 5'!C98</f>
        <v>0</v>
      </c>
      <c r="G98" s="10">
        <f t="shared" si="11"/>
        <v>0</v>
      </c>
      <c r="H98" s="10"/>
      <c r="I98" s="15"/>
      <c r="J98" s="38"/>
      <c r="K98" s="38"/>
    </row>
    <row r="99" spans="1:12" ht="14.15" customHeight="1">
      <c r="A99" s="436">
        <f t="shared" si="8"/>
        <v>93</v>
      </c>
      <c r="B99" s="83" t="s">
        <v>86</v>
      </c>
      <c r="C99" s="10">
        <v>0</v>
      </c>
      <c r="D99" s="10">
        <v>0</v>
      </c>
      <c r="E99" s="10">
        <v>0</v>
      </c>
      <c r="F99" s="10">
        <f>'Sch 5'!C99</f>
        <v>0</v>
      </c>
      <c r="G99" s="10">
        <f t="shared" si="11"/>
        <v>0</v>
      </c>
      <c r="H99" s="10"/>
      <c r="I99" s="15"/>
      <c r="J99" s="38"/>
      <c r="K99" s="38"/>
    </row>
    <row r="100" spans="1:12" ht="14.15" customHeight="1">
      <c r="A100" s="436">
        <f t="shared" si="8"/>
        <v>94</v>
      </c>
      <c r="B100" s="83" t="s">
        <v>87</v>
      </c>
      <c r="C100" s="10">
        <v>0</v>
      </c>
      <c r="D100" s="10">
        <v>0</v>
      </c>
      <c r="E100" s="10">
        <v>0</v>
      </c>
      <c r="F100" s="10">
        <f>'Sch 5'!C100</f>
        <v>0</v>
      </c>
      <c r="G100" s="10">
        <f t="shared" si="11"/>
        <v>0</v>
      </c>
      <c r="H100" s="10"/>
      <c r="I100" s="15"/>
      <c r="J100" s="38"/>
      <c r="K100" s="38"/>
    </row>
    <row r="101" spans="1:12" ht="14.15" customHeight="1">
      <c r="A101" s="436">
        <f t="shared" si="8"/>
        <v>95</v>
      </c>
      <c r="B101" s="83" t="s">
        <v>88</v>
      </c>
      <c r="C101" s="10">
        <v>0</v>
      </c>
      <c r="D101" s="10">
        <v>0</v>
      </c>
      <c r="E101" s="10">
        <v>0</v>
      </c>
      <c r="F101" s="10">
        <f>'Sch 5'!C101</f>
        <v>0</v>
      </c>
      <c r="G101" s="10">
        <f t="shared" si="11"/>
        <v>0</v>
      </c>
      <c r="H101" s="10"/>
      <c r="I101" s="15"/>
      <c r="J101" s="38"/>
      <c r="K101" s="38"/>
    </row>
    <row r="102" spans="1:12" ht="14.15" customHeight="1">
      <c r="A102" s="436">
        <f t="shared" si="8"/>
        <v>96</v>
      </c>
      <c r="B102" s="83" t="s">
        <v>89</v>
      </c>
      <c r="C102" s="10">
        <v>0</v>
      </c>
      <c r="D102" s="10">
        <v>0</v>
      </c>
      <c r="E102" s="10">
        <v>0</v>
      </c>
      <c r="F102" s="10">
        <f>'Sch 5'!C102</f>
        <v>0</v>
      </c>
      <c r="G102" s="10">
        <f t="shared" si="11"/>
        <v>0</v>
      </c>
      <c r="H102" s="10"/>
      <c r="I102" s="15"/>
      <c r="J102" s="38"/>
      <c r="K102" s="38"/>
    </row>
    <row r="103" spans="1:12" ht="14.15" customHeight="1">
      <c r="A103" s="436">
        <f t="shared" si="8"/>
        <v>97</v>
      </c>
      <c r="B103" s="56" t="s">
        <v>90</v>
      </c>
      <c r="C103" s="64">
        <v>0</v>
      </c>
      <c r="D103" s="64">
        <v>0</v>
      </c>
      <c r="E103" s="64">
        <v>0</v>
      </c>
      <c r="F103" s="64">
        <f>'Sch 5'!C103</f>
        <v>0</v>
      </c>
      <c r="G103" s="64">
        <f t="shared" si="11"/>
        <v>0</v>
      </c>
      <c r="H103" s="10"/>
      <c r="I103" s="15"/>
      <c r="J103" s="38"/>
      <c r="K103" s="38"/>
    </row>
    <row r="104" spans="1:12" s="18" customFormat="1" ht="14.15" customHeight="1">
      <c r="A104" s="436">
        <f t="shared" si="8"/>
        <v>98</v>
      </c>
      <c r="B104" s="2" t="s">
        <v>474</v>
      </c>
      <c r="C104" s="16">
        <f>SUM(C96:C103)</f>
        <v>0</v>
      </c>
      <c r="D104" s="16">
        <f>SUM(D96:D103)</f>
        <v>0</v>
      </c>
      <c r="E104" s="16">
        <f>SUM(E96:E103)</f>
        <v>0</v>
      </c>
      <c r="F104" s="16">
        <f>SUM(F96:F103)</f>
        <v>0</v>
      </c>
      <c r="G104" s="16">
        <f>SUM(G97:G103)</f>
        <v>0</v>
      </c>
      <c r="H104" s="16"/>
      <c r="I104" s="17"/>
      <c r="J104" s="38"/>
      <c r="K104" s="38"/>
    </row>
    <row r="105" spans="1:12" s="18" customFormat="1" ht="14.15" customHeight="1">
      <c r="A105" s="436">
        <f t="shared" si="8"/>
        <v>99</v>
      </c>
      <c r="B105" s="2"/>
      <c r="C105" s="16"/>
      <c r="D105" s="16"/>
      <c r="E105" s="16"/>
      <c r="F105" s="16"/>
      <c r="G105" s="16"/>
      <c r="H105" s="16"/>
      <c r="I105" s="17"/>
      <c r="J105" s="38"/>
      <c r="K105" s="38"/>
    </row>
    <row r="106" spans="1:12" s="18" customFormat="1" ht="14.15" customHeight="1">
      <c r="A106" s="436">
        <f t="shared" si="8"/>
        <v>100</v>
      </c>
      <c r="B106" s="2" t="s">
        <v>475</v>
      </c>
      <c r="C106" s="43">
        <f>C104+C94+C83+C74</f>
        <v>1223636929.3300002</v>
      </c>
      <c r="D106" s="43">
        <f>D104+D94+D83+D74</f>
        <v>29422426.33000005</v>
      </c>
      <c r="E106" s="43">
        <f>E104+E94+E83+E74</f>
        <v>1194214503</v>
      </c>
      <c r="F106" s="43">
        <f>F104+F94+F83+F74</f>
        <v>-324785553</v>
      </c>
      <c r="G106" s="43">
        <f>G104+G94+G83+G74</f>
        <v>869428950</v>
      </c>
      <c r="H106" s="43"/>
      <c r="I106" s="245"/>
      <c r="J106" s="38"/>
      <c r="K106" s="38"/>
      <c r="L106" s="18">
        <v>1010001</v>
      </c>
    </row>
    <row r="107" spans="1:12" s="18" customFormat="1" ht="14.15" customHeight="1">
      <c r="A107" s="436">
        <f t="shared" si="8"/>
        <v>101</v>
      </c>
      <c r="B107" s="2"/>
      <c r="C107" s="43"/>
      <c r="D107" s="43"/>
      <c r="E107" s="43"/>
      <c r="F107" s="43"/>
      <c r="G107" s="43"/>
      <c r="H107" s="43"/>
      <c r="I107" s="245"/>
      <c r="J107" s="38"/>
      <c r="K107" s="38"/>
    </row>
    <row r="108" spans="1:12" ht="14.15" customHeight="1">
      <c r="A108" s="436">
        <f t="shared" si="8"/>
        <v>102</v>
      </c>
      <c r="B108" s="83" t="s">
        <v>91</v>
      </c>
      <c r="C108" s="10">
        <f>J108+J109</f>
        <v>373555</v>
      </c>
      <c r="D108" s="10">
        <f>C108-E108</f>
        <v>5603</v>
      </c>
      <c r="E108" s="10">
        <f>ROUND(C108*'Allocation Factors'!$G$16,0)</f>
        <v>367952</v>
      </c>
      <c r="F108" s="10">
        <f>'Sch 5'!C108</f>
        <v>0</v>
      </c>
      <c r="G108" s="10">
        <f>E108+F108</f>
        <v>367952</v>
      </c>
      <c r="H108" s="10"/>
      <c r="I108" s="15" t="s">
        <v>346</v>
      </c>
      <c r="J108" s="14">
        <v>323208</v>
      </c>
      <c r="K108" s="14"/>
      <c r="L108" s="436">
        <v>1823022</v>
      </c>
    </row>
    <row r="109" spans="1:12" ht="14.15" customHeight="1">
      <c r="A109" s="436">
        <f t="shared" si="8"/>
        <v>103</v>
      </c>
      <c r="B109" s="56" t="s">
        <v>92</v>
      </c>
      <c r="C109" s="64">
        <v>0</v>
      </c>
      <c r="D109" s="64">
        <v>0</v>
      </c>
      <c r="E109" s="64">
        <v>0</v>
      </c>
      <c r="F109" s="10">
        <f>'Sch 5'!C109</f>
        <v>0</v>
      </c>
      <c r="G109" s="10">
        <f>E109+F109</f>
        <v>0</v>
      </c>
      <c r="H109" s="10"/>
      <c r="I109" s="15"/>
      <c r="J109" s="14">
        <v>50347</v>
      </c>
      <c r="K109" s="14"/>
      <c r="L109" s="436">
        <v>1823054</v>
      </c>
    </row>
    <row r="110" spans="1:12" s="18" customFormat="1" ht="14.15" customHeight="1">
      <c r="A110" s="436">
        <f t="shared" si="8"/>
        <v>104</v>
      </c>
      <c r="B110" s="2" t="s">
        <v>913</v>
      </c>
      <c r="C110" s="47">
        <f>C108+C109</f>
        <v>373555</v>
      </c>
      <c r="D110" s="47">
        <f>D108+D109</f>
        <v>5603</v>
      </c>
      <c r="E110" s="47">
        <f>E108+E109</f>
        <v>367952</v>
      </c>
      <c r="F110" s="47">
        <f>F108+F109</f>
        <v>0</v>
      </c>
      <c r="G110" s="47">
        <f>G108+G109</f>
        <v>367952</v>
      </c>
      <c r="H110" s="47"/>
      <c r="I110" s="49"/>
      <c r="J110" s="38"/>
      <c r="K110" s="38"/>
    </row>
    <row r="111" spans="1:12" s="18" customFormat="1" ht="14.15" customHeight="1">
      <c r="A111" s="436">
        <f t="shared" si="8"/>
        <v>105</v>
      </c>
      <c r="B111" s="6"/>
      <c r="C111" s="9"/>
      <c r="D111" s="16"/>
      <c r="E111" s="125"/>
      <c r="F111" s="16"/>
      <c r="G111" s="16"/>
      <c r="H111" s="16"/>
      <c r="I111" s="25"/>
      <c r="J111" s="38"/>
      <c r="K111" s="38"/>
    </row>
    <row r="112" spans="1:12" ht="14.15" customHeight="1">
      <c r="A112" s="436">
        <f t="shared" si="8"/>
        <v>106</v>
      </c>
      <c r="B112" s="3" t="s">
        <v>93</v>
      </c>
      <c r="C112" s="43"/>
      <c r="D112" s="10"/>
      <c r="E112" s="10"/>
      <c r="F112" s="10"/>
      <c r="G112" s="10"/>
      <c r="H112" s="10"/>
      <c r="I112" s="15"/>
      <c r="J112" s="38"/>
      <c r="K112" s="38"/>
    </row>
    <row r="113" spans="1:16" ht="14.15" customHeight="1">
      <c r="A113" s="436">
        <f t="shared" si="8"/>
        <v>107</v>
      </c>
      <c r="B113" s="83" t="s">
        <v>94</v>
      </c>
      <c r="C113" s="10">
        <v>38475294.760000005</v>
      </c>
      <c r="D113" s="38">
        <f t="shared" ref="D113:D123" si="12">C113-E113</f>
        <v>577129.76000000536</v>
      </c>
      <c r="E113" s="38">
        <f>ROUND(C113*'Allocation Factors'!$G$12,0)</f>
        <v>37898165</v>
      </c>
      <c r="F113" s="10">
        <f>'Sch 5'!C113</f>
        <v>0</v>
      </c>
      <c r="G113" s="10">
        <f t="shared" ref="G113:G123" si="13">E113+F113</f>
        <v>37898165</v>
      </c>
      <c r="H113" s="10"/>
      <c r="I113" s="15" t="s">
        <v>343</v>
      </c>
      <c r="J113" s="38"/>
      <c r="K113" s="38"/>
    </row>
    <row r="114" spans="1:16" ht="14.15" customHeight="1">
      <c r="A114" s="436">
        <f t="shared" si="8"/>
        <v>108</v>
      </c>
      <c r="B114" s="83" t="s">
        <v>95</v>
      </c>
      <c r="C114" s="10">
        <v>11953806.380000001</v>
      </c>
      <c r="D114" s="38">
        <f t="shared" si="12"/>
        <v>179307.38000000082</v>
      </c>
      <c r="E114" s="38">
        <f>ROUND(C114*'Allocation Factors'!$G$12,0)</f>
        <v>11774499</v>
      </c>
      <c r="F114" s="10">
        <f>'Sch 5'!C114</f>
        <v>0</v>
      </c>
      <c r="G114" s="10">
        <f t="shared" si="13"/>
        <v>11774499</v>
      </c>
      <c r="H114" s="10"/>
      <c r="I114" s="15" t="s">
        <v>343</v>
      </c>
      <c r="J114" s="38"/>
      <c r="K114" s="38"/>
    </row>
    <row r="115" spans="1:16" ht="14.15" customHeight="1">
      <c r="A115" s="436">
        <f t="shared" si="8"/>
        <v>109</v>
      </c>
      <c r="B115" s="83" t="s">
        <v>96</v>
      </c>
      <c r="C115" s="10">
        <v>218958212.20999998</v>
      </c>
      <c r="D115" s="38">
        <f t="shared" si="12"/>
        <v>3284373.2099999785</v>
      </c>
      <c r="E115" s="38">
        <f>ROUND(C115*'Allocation Factors'!$G$12,0)</f>
        <v>215673839</v>
      </c>
      <c r="F115" s="10">
        <f>'Sch 5'!C115</f>
        <v>0</v>
      </c>
      <c r="G115" s="10">
        <f t="shared" si="13"/>
        <v>215673839</v>
      </c>
      <c r="H115" s="10"/>
      <c r="I115" s="15" t="s">
        <v>343</v>
      </c>
      <c r="J115" s="38"/>
      <c r="K115" s="38"/>
    </row>
    <row r="116" spans="1:16" ht="14.15" customHeight="1">
      <c r="A116" s="436">
        <f t="shared" si="8"/>
        <v>110</v>
      </c>
      <c r="B116" s="83" t="s">
        <v>97</v>
      </c>
      <c r="C116" s="10">
        <v>81856.25</v>
      </c>
      <c r="D116" s="38">
        <f t="shared" si="12"/>
        <v>1228.25</v>
      </c>
      <c r="E116" s="38">
        <f>ROUND(C116*'Allocation Factors'!$G$10,0)</f>
        <v>80628</v>
      </c>
      <c r="F116" s="10">
        <f>'Sch 5'!C116</f>
        <v>0</v>
      </c>
      <c r="G116" s="10">
        <f t="shared" si="13"/>
        <v>80628</v>
      </c>
      <c r="H116" s="10"/>
      <c r="I116" s="15" t="s">
        <v>341</v>
      </c>
      <c r="J116" s="38"/>
      <c r="K116" s="38"/>
    </row>
    <row r="117" spans="1:16" ht="14.15" customHeight="1">
      <c r="A117" s="436">
        <f t="shared" si="8"/>
        <v>111</v>
      </c>
      <c r="B117" s="83" t="s">
        <v>98</v>
      </c>
      <c r="C117" s="10">
        <v>12906780.82</v>
      </c>
      <c r="D117" s="38">
        <f t="shared" si="12"/>
        <v>193601.8200000003</v>
      </c>
      <c r="E117" s="38">
        <f>ROUND(C117*'Allocation Factors'!$G$10,0)</f>
        <v>12713179</v>
      </c>
      <c r="F117" s="10">
        <f>'Sch 5'!C117</f>
        <v>0</v>
      </c>
      <c r="G117" s="10">
        <f t="shared" si="13"/>
        <v>12713179</v>
      </c>
      <c r="H117" s="10"/>
      <c r="I117" s="15" t="s">
        <v>341</v>
      </c>
      <c r="J117" s="38"/>
      <c r="K117" s="38"/>
    </row>
    <row r="118" spans="1:16" ht="14.15" customHeight="1">
      <c r="A118" s="436">
        <f t="shared" si="8"/>
        <v>112</v>
      </c>
      <c r="B118" s="83" t="s">
        <v>99</v>
      </c>
      <c r="C118" s="10">
        <v>100666043.72</v>
      </c>
      <c r="D118" s="38">
        <f t="shared" si="12"/>
        <v>1509990.7199999988</v>
      </c>
      <c r="E118" s="38">
        <f>ROUND(C118*'Allocation Factors'!$G$12,0)</f>
        <v>99156053</v>
      </c>
      <c r="F118" s="10">
        <f>'Sch 5'!C118</f>
        <v>0</v>
      </c>
      <c r="G118" s="10">
        <f t="shared" si="13"/>
        <v>99156053</v>
      </c>
      <c r="H118" s="10"/>
      <c r="I118" s="15" t="s">
        <v>343</v>
      </c>
      <c r="J118" s="38"/>
      <c r="K118" s="38"/>
    </row>
    <row r="119" spans="1:16" ht="14.15" customHeight="1">
      <c r="A119" s="436">
        <f t="shared" si="8"/>
        <v>113</v>
      </c>
      <c r="B119" s="83" t="s">
        <v>100</v>
      </c>
      <c r="C119" s="10">
        <v>184000325.65000001</v>
      </c>
      <c r="D119" s="38">
        <f t="shared" si="12"/>
        <v>2760004.650000006</v>
      </c>
      <c r="E119" s="38">
        <f>ROUND(C119*'Allocation Factors'!$G$12,0)</f>
        <v>181240321</v>
      </c>
      <c r="F119" s="10">
        <f>'Sch 5'!C119</f>
        <v>0</v>
      </c>
      <c r="G119" s="10">
        <f t="shared" si="13"/>
        <v>181240321</v>
      </c>
      <c r="H119" s="10"/>
      <c r="I119" s="15" t="s">
        <v>343</v>
      </c>
      <c r="J119" s="38"/>
      <c r="K119" s="38"/>
    </row>
    <row r="120" spans="1:16" ht="14.15" customHeight="1">
      <c r="A120" s="436">
        <f t="shared" si="8"/>
        <v>114</v>
      </c>
      <c r="B120" s="83" t="s">
        <v>101</v>
      </c>
      <c r="C120" s="10">
        <v>165082793.84</v>
      </c>
      <c r="D120" s="38">
        <f t="shared" si="12"/>
        <v>2476241.8400000036</v>
      </c>
      <c r="E120" s="38">
        <f>ROUND(C120*'Allocation Factors'!$G$12,0)</f>
        <v>162606552</v>
      </c>
      <c r="F120" s="10">
        <f>'Sch 5'!C120</f>
        <v>0</v>
      </c>
      <c r="G120" s="10">
        <f t="shared" si="13"/>
        <v>162606552</v>
      </c>
      <c r="H120" s="10"/>
      <c r="I120" s="15" t="s">
        <v>343</v>
      </c>
      <c r="J120" s="38"/>
      <c r="K120" s="38"/>
    </row>
    <row r="121" spans="1:16" ht="14.15" customHeight="1">
      <c r="A121" s="436">
        <f t="shared" si="8"/>
        <v>115</v>
      </c>
      <c r="B121" s="83" t="s">
        <v>102</v>
      </c>
      <c r="C121" s="10">
        <v>511345.15</v>
      </c>
      <c r="D121" s="38">
        <f t="shared" si="12"/>
        <v>7670.1500000000233</v>
      </c>
      <c r="E121" s="38">
        <f>ROUND(C121*'Allocation Factors'!$G$12,0)</f>
        <v>503675</v>
      </c>
      <c r="F121" s="10">
        <f>'Sch 5'!C121</f>
        <v>0</v>
      </c>
      <c r="G121" s="10">
        <f t="shared" si="13"/>
        <v>503675</v>
      </c>
      <c r="H121" s="10"/>
      <c r="I121" s="15" t="s">
        <v>343</v>
      </c>
      <c r="J121" s="38"/>
      <c r="K121" s="38"/>
    </row>
    <row r="122" spans="1:16" ht="14.15" customHeight="1">
      <c r="A122" s="436">
        <f t="shared" si="8"/>
        <v>116</v>
      </c>
      <c r="B122" s="83" t="s">
        <v>103</v>
      </c>
      <c r="C122" s="10">
        <v>381470.92</v>
      </c>
      <c r="D122" s="38">
        <f t="shared" si="12"/>
        <v>5721.9199999999837</v>
      </c>
      <c r="E122" s="38">
        <f>ROUND(C122*'Allocation Factors'!$G$12,0)</f>
        <v>375749</v>
      </c>
      <c r="F122" s="10">
        <f>'Sch 5'!C122</f>
        <v>0</v>
      </c>
      <c r="G122" s="10">
        <f t="shared" si="13"/>
        <v>375749</v>
      </c>
      <c r="H122" s="10"/>
      <c r="I122" s="15" t="s">
        <v>343</v>
      </c>
      <c r="J122" s="38"/>
      <c r="K122" s="38"/>
    </row>
    <row r="123" spans="1:16" ht="14.15" customHeight="1">
      <c r="A123" s="436">
        <f t="shared" si="8"/>
        <v>117</v>
      </c>
      <c r="B123" s="56" t="s">
        <v>104</v>
      </c>
      <c r="C123" s="10">
        <v>0</v>
      </c>
      <c r="D123" s="38">
        <f t="shared" si="12"/>
        <v>0</v>
      </c>
      <c r="E123" s="38">
        <f>ROUND(C123*'Allocation Factors'!$G$12,0)</f>
        <v>0</v>
      </c>
      <c r="F123" s="10">
        <f>'Sch 5'!C123</f>
        <v>0</v>
      </c>
      <c r="G123" s="10">
        <f t="shared" si="13"/>
        <v>0</v>
      </c>
      <c r="H123" s="10"/>
      <c r="I123" s="15" t="s">
        <v>343</v>
      </c>
      <c r="J123" s="38"/>
      <c r="K123" s="38"/>
    </row>
    <row r="124" spans="1:16" ht="14.15" customHeight="1">
      <c r="A124" s="436">
        <f t="shared" si="8"/>
        <v>118</v>
      </c>
      <c r="B124" s="2" t="s">
        <v>476</v>
      </c>
      <c r="C124" s="80">
        <f>SUM(C113:C123)</f>
        <v>733017929.69999993</v>
      </c>
      <c r="D124" s="80">
        <f>SUM(D113:D123)</f>
        <v>10995269.699999994</v>
      </c>
      <c r="E124" s="80">
        <f>SUM(E113:E123)</f>
        <v>722022660</v>
      </c>
      <c r="F124" s="80">
        <f>SUM(F113:F123)</f>
        <v>0</v>
      </c>
      <c r="G124" s="80">
        <f>SUM(G113:G123)</f>
        <v>722022660</v>
      </c>
      <c r="H124" s="80"/>
      <c r="I124" s="144"/>
      <c r="J124" s="38"/>
      <c r="K124" s="38"/>
      <c r="L124" s="436">
        <v>1010001</v>
      </c>
    </row>
    <row r="125" spans="1:16" ht="14.15" customHeight="1">
      <c r="A125" s="436">
        <f t="shared" si="8"/>
        <v>119</v>
      </c>
      <c r="B125" s="6"/>
      <c r="C125" s="16"/>
      <c r="D125" s="16"/>
      <c r="E125" s="125"/>
      <c r="F125" s="16"/>
      <c r="G125" s="43"/>
      <c r="H125" s="43"/>
      <c r="I125" s="15"/>
      <c r="J125" s="38"/>
      <c r="K125" s="38"/>
    </row>
    <row r="126" spans="1:16" ht="14.15" customHeight="1">
      <c r="A126" s="436">
        <f t="shared" si="8"/>
        <v>120</v>
      </c>
      <c r="B126" s="3" t="s">
        <v>105</v>
      </c>
      <c r="C126" s="10"/>
      <c r="D126" s="10"/>
      <c r="E126" s="145"/>
      <c r="F126" s="10"/>
      <c r="G126" s="10"/>
      <c r="H126" s="10"/>
      <c r="I126" s="15"/>
      <c r="J126" s="38"/>
      <c r="K126" s="38"/>
    </row>
    <row r="127" spans="1:16" ht="14.15" customHeight="1">
      <c r="A127" s="436">
        <f t="shared" si="8"/>
        <v>121</v>
      </c>
      <c r="B127" s="83" t="s">
        <v>106</v>
      </c>
      <c r="C127" s="10">
        <v>9258213.9900000002</v>
      </c>
      <c r="D127" s="19">
        <f>J127</f>
        <v>1408</v>
      </c>
      <c r="E127" s="84">
        <f t="shared" ref="E127:E141" si="14">C127-D127</f>
        <v>9256805.9900000002</v>
      </c>
      <c r="F127" s="10">
        <f>'Sch 5'!C127</f>
        <v>0</v>
      </c>
      <c r="G127" s="10">
        <f t="shared" ref="G127:G141" si="15">E127+F127</f>
        <v>9256805.9900000002</v>
      </c>
      <c r="H127" s="10"/>
      <c r="I127" s="15" t="s">
        <v>54</v>
      </c>
      <c r="J127" s="38">
        <v>1408</v>
      </c>
      <c r="K127" s="436" t="s">
        <v>903</v>
      </c>
      <c r="P127" s="436"/>
    </row>
    <row r="128" spans="1:16" ht="14.15" customHeight="1">
      <c r="A128" s="436">
        <f t="shared" si="8"/>
        <v>122</v>
      </c>
      <c r="B128" s="83" t="s">
        <v>107</v>
      </c>
      <c r="C128" s="10">
        <v>7438044.5499999998</v>
      </c>
      <c r="D128" s="19">
        <f>J128</f>
        <v>44907</v>
      </c>
      <c r="E128" s="84">
        <f t="shared" si="14"/>
        <v>7393137.5499999998</v>
      </c>
      <c r="F128" s="10">
        <f>'Sch 5'!C128</f>
        <v>0</v>
      </c>
      <c r="G128" s="10">
        <f t="shared" si="15"/>
        <v>7393137.5499999998</v>
      </c>
      <c r="H128" s="10"/>
      <c r="I128" s="15" t="s">
        <v>54</v>
      </c>
      <c r="J128" s="38">
        <v>44907</v>
      </c>
      <c r="K128" s="436" t="s">
        <v>903</v>
      </c>
      <c r="P128" s="436"/>
    </row>
    <row r="129" spans="1:16" ht="14.15" customHeight="1">
      <c r="A129" s="436">
        <f t="shared" si="8"/>
        <v>123</v>
      </c>
      <c r="B129" s="83" t="s">
        <v>108</v>
      </c>
      <c r="C129" s="10">
        <v>133845146.27</v>
      </c>
      <c r="D129" s="19">
        <f>J129</f>
        <v>755049</v>
      </c>
      <c r="E129" s="84">
        <f t="shared" si="14"/>
        <v>133090097.27</v>
      </c>
      <c r="F129" s="10">
        <f>'Sch 5'!C129</f>
        <v>0</v>
      </c>
      <c r="G129" s="10">
        <f t="shared" si="15"/>
        <v>133090097.27</v>
      </c>
      <c r="H129" s="10"/>
      <c r="I129" s="15" t="s">
        <v>54</v>
      </c>
      <c r="J129" s="38">
        <v>755049</v>
      </c>
      <c r="K129" s="436" t="s">
        <v>903</v>
      </c>
      <c r="P129" s="436"/>
    </row>
    <row r="130" spans="1:16" ht="14.15" customHeight="1">
      <c r="A130" s="436">
        <f t="shared" si="8"/>
        <v>124</v>
      </c>
      <c r="B130" s="83" t="s">
        <v>109</v>
      </c>
      <c r="C130" s="10">
        <v>0</v>
      </c>
      <c r="D130" s="19">
        <v>0</v>
      </c>
      <c r="E130" s="19">
        <f t="shared" si="14"/>
        <v>0</v>
      </c>
      <c r="F130" s="10">
        <f>'Sch 5'!C130</f>
        <v>0</v>
      </c>
      <c r="G130" s="10">
        <f t="shared" si="15"/>
        <v>0</v>
      </c>
      <c r="H130" s="10"/>
      <c r="I130" s="15" t="s">
        <v>362</v>
      </c>
      <c r="J130" s="38"/>
      <c r="K130" s="436"/>
      <c r="P130" s="436"/>
    </row>
    <row r="131" spans="1:16" ht="14.15" customHeight="1">
      <c r="A131" s="436">
        <f t="shared" si="8"/>
        <v>125</v>
      </c>
      <c r="B131" s="83" t="s">
        <v>110</v>
      </c>
      <c r="C131" s="10">
        <v>282373924.13999999</v>
      </c>
      <c r="D131" s="19">
        <v>0</v>
      </c>
      <c r="E131" s="19">
        <f t="shared" si="14"/>
        <v>282373924.13999999</v>
      </c>
      <c r="F131" s="10">
        <f>'Sch 5'!C131</f>
        <v>0</v>
      </c>
      <c r="G131" s="10">
        <f t="shared" si="15"/>
        <v>282373924.13999999</v>
      </c>
      <c r="H131" s="10"/>
      <c r="I131" s="15" t="s">
        <v>362</v>
      </c>
      <c r="J131" s="38"/>
      <c r="K131" s="436"/>
      <c r="P131" s="436"/>
    </row>
    <row r="132" spans="1:16" ht="14.15" customHeight="1">
      <c r="A132" s="436">
        <f t="shared" si="8"/>
        <v>126</v>
      </c>
      <c r="B132" s="83" t="s">
        <v>111</v>
      </c>
      <c r="C132" s="10">
        <v>298785482.16000003</v>
      </c>
      <c r="D132" s="19">
        <v>0</v>
      </c>
      <c r="E132" s="19">
        <f t="shared" si="14"/>
        <v>298785482.16000003</v>
      </c>
      <c r="F132" s="10">
        <f>'Sch 5'!C132</f>
        <v>0</v>
      </c>
      <c r="G132" s="10">
        <f t="shared" si="15"/>
        <v>298785482.16000003</v>
      </c>
      <c r="H132" s="10"/>
      <c r="I132" s="15" t="s">
        <v>362</v>
      </c>
      <c r="J132" s="38"/>
      <c r="K132" s="436"/>
      <c r="P132" s="436"/>
    </row>
    <row r="133" spans="1:16" ht="14.15" customHeight="1">
      <c r="A133" s="436">
        <f t="shared" si="8"/>
        <v>127</v>
      </c>
      <c r="B133" s="83" t="s">
        <v>112</v>
      </c>
      <c r="C133" s="10">
        <v>9674164.9299999997</v>
      </c>
      <c r="D133" s="19">
        <v>0</v>
      </c>
      <c r="E133" s="19">
        <f t="shared" si="14"/>
        <v>9674164.9299999997</v>
      </c>
      <c r="F133" s="10">
        <f>'Sch 5'!C133</f>
        <v>0</v>
      </c>
      <c r="G133" s="10">
        <f t="shared" si="15"/>
        <v>9674164.9299999997</v>
      </c>
      <c r="H133" s="10"/>
      <c r="I133" s="15" t="s">
        <v>362</v>
      </c>
      <c r="J133" s="38"/>
      <c r="K133" s="436"/>
      <c r="P133" s="436"/>
    </row>
    <row r="134" spans="1:16" ht="14.15" customHeight="1">
      <c r="A134" s="436">
        <f t="shared" si="8"/>
        <v>128</v>
      </c>
      <c r="B134" s="83" t="s">
        <v>113</v>
      </c>
      <c r="C134" s="10">
        <v>12744849.800000001</v>
      </c>
      <c r="D134" s="19">
        <v>0</v>
      </c>
      <c r="E134" s="19">
        <f t="shared" si="14"/>
        <v>12744849.800000001</v>
      </c>
      <c r="F134" s="10">
        <f>'Sch 5'!C134</f>
        <v>0</v>
      </c>
      <c r="G134" s="10">
        <f t="shared" si="15"/>
        <v>12744849.800000001</v>
      </c>
      <c r="H134" s="10"/>
      <c r="I134" s="15" t="s">
        <v>362</v>
      </c>
      <c r="J134" s="38"/>
      <c r="K134" s="436"/>
      <c r="P134" s="436"/>
    </row>
    <row r="135" spans="1:16" ht="14.15" customHeight="1">
      <c r="A135" s="436">
        <f t="shared" si="8"/>
        <v>129</v>
      </c>
      <c r="B135" s="83" t="s">
        <v>114</v>
      </c>
      <c r="C135" s="10">
        <v>157791300.66999999</v>
      </c>
      <c r="D135" s="19">
        <v>0</v>
      </c>
      <c r="E135" s="19">
        <f t="shared" si="14"/>
        <v>157791300.66999999</v>
      </c>
      <c r="F135" s="10">
        <f>'Sch 5'!C135</f>
        <v>0</v>
      </c>
      <c r="G135" s="10">
        <f t="shared" si="15"/>
        <v>157791300.66999999</v>
      </c>
      <c r="H135" s="10"/>
      <c r="I135" s="15" t="s">
        <v>362</v>
      </c>
      <c r="J135" s="38"/>
      <c r="K135" s="436"/>
      <c r="P135" s="436"/>
    </row>
    <row r="136" spans="1:16" ht="14.15" customHeight="1">
      <c r="A136" s="436">
        <f t="shared" si="8"/>
        <v>130</v>
      </c>
      <c r="B136" s="83" t="s">
        <v>115</v>
      </c>
      <c r="C136" s="10">
        <v>73939007.590000004</v>
      </c>
      <c r="D136" s="19">
        <v>0</v>
      </c>
      <c r="E136" s="19">
        <f t="shared" si="14"/>
        <v>73939007.590000004</v>
      </c>
      <c r="F136" s="10">
        <f>'Sch 5'!C136</f>
        <v>0</v>
      </c>
      <c r="G136" s="10">
        <f t="shared" si="15"/>
        <v>73939007.590000004</v>
      </c>
      <c r="H136" s="10"/>
      <c r="I136" s="15" t="s">
        <v>362</v>
      </c>
      <c r="J136" s="38"/>
      <c r="K136" s="436"/>
      <c r="P136" s="436"/>
    </row>
    <row r="137" spans="1:16" ht="14.15" customHeight="1">
      <c r="A137" s="436">
        <f t="shared" si="8"/>
        <v>131</v>
      </c>
      <c r="B137" s="83" t="s">
        <v>116</v>
      </c>
      <c r="C137" s="10">
        <v>25408011.059999999</v>
      </c>
      <c r="D137" s="19">
        <f>J137</f>
        <v>4102</v>
      </c>
      <c r="E137" s="19">
        <f t="shared" si="14"/>
        <v>25403909.059999999</v>
      </c>
      <c r="F137" s="10">
        <f>'Sch 5'!C137</f>
        <v>0</v>
      </c>
      <c r="G137" s="10">
        <f t="shared" si="15"/>
        <v>25403909.059999999</v>
      </c>
      <c r="H137" s="10"/>
      <c r="I137" s="15" t="s">
        <v>54</v>
      </c>
      <c r="J137" s="38">
        <v>4102</v>
      </c>
      <c r="K137" s="436" t="s">
        <v>904</v>
      </c>
      <c r="P137" s="436"/>
    </row>
    <row r="138" spans="1:16" ht="14.15" customHeight="1">
      <c r="A138" s="436">
        <f t="shared" si="8"/>
        <v>132</v>
      </c>
      <c r="B138" s="83" t="s">
        <v>117</v>
      </c>
      <c r="C138" s="10">
        <v>19813989.48</v>
      </c>
      <c r="D138" s="19">
        <v>0</v>
      </c>
      <c r="E138" s="19">
        <f t="shared" si="14"/>
        <v>19813989.48</v>
      </c>
      <c r="F138" s="10">
        <f>'Sch 5'!C138</f>
        <v>0</v>
      </c>
      <c r="G138" s="10">
        <f t="shared" si="15"/>
        <v>19813989.48</v>
      </c>
      <c r="H138" s="10"/>
      <c r="I138" s="15" t="s">
        <v>362</v>
      </c>
      <c r="J138" s="38"/>
      <c r="K138" s="38"/>
    </row>
    <row r="139" spans="1:16" ht="14.15" customHeight="1">
      <c r="A139" s="436">
        <f t="shared" si="8"/>
        <v>133</v>
      </c>
      <c r="B139" s="83" t="s">
        <v>118</v>
      </c>
      <c r="C139" s="10">
        <v>0</v>
      </c>
      <c r="D139" s="19">
        <v>0</v>
      </c>
      <c r="E139" s="19">
        <f t="shared" si="14"/>
        <v>0</v>
      </c>
      <c r="F139" s="10">
        <f>'Sch 5'!C139</f>
        <v>0</v>
      </c>
      <c r="G139" s="10">
        <f t="shared" si="15"/>
        <v>0</v>
      </c>
      <c r="H139" s="10"/>
      <c r="I139" s="15" t="s">
        <v>362</v>
      </c>
      <c r="J139" s="38"/>
      <c r="K139" s="38"/>
    </row>
    <row r="140" spans="1:16" ht="14.15" customHeight="1">
      <c r="A140" s="436">
        <f t="shared" si="8"/>
        <v>134</v>
      </c>
      <c r="B140" s="83" t="s">
        <v>119</v>
      </c>
      <c r="C140" s="10">
        <v>5013950.25</v>
      </c>
      <c r="D140" s="19">
        <v>0</v>
      </c>
      <c r="E140" s="19">
        <f t="shared" si="14"/>
        <v>5013950.25</v>
      </c>
      <c r="F140" s="10">
        <f>'Sch 5'!C140</f>
        <v>0</v>
      </c>
      <c r="G140" s="10">
        <f t="shared" si="15"/>
        <v>5013950.25</v>
      </c>
      <c r="H140" s="10"/>
      <c r="I140" s="15" t="s">
        <v>362</v>
      </c>
      <c r="J140" s="38"/>
      <c r="K140" s="38"/>
    </row>
    <row r="141" spans="1:16" ht="14.15" customHeight="1">
      <c r="A141" s="436">
        <f t="shared" ref="A141:A182" si="16">+A140+1</f>
        <v>135</v>
      </c>
      <c r="B141" s="56" t="s">
        <v>120</v>
      </c>
      <c r="C141" s="10">
        <v>0</v>
      </c>
      <c r="D141" s="19">
        <v>0</v>
      </c>
      <c r="E141" s="19">
        <f t="shared" si="14"/>
        <v>0</v>
      </c>
      <c r="F141" s="10">
        <f>'Sch 5'!C141</f>
        <v>0</v>
      </c>
      <c r="G141" s="10">
        <f t="shared" si="15"/>
        <v>0</v>
      </c>
      <c r="H141" s="10"/>
      <c r="I141" s="15" t="s">
        <v>362</v>
      </c>
      <c r="J141" s="38"/>
      <c r="K141" s="38"/>
    </row>
    <row r="142" spans="1:16" ht="14.15" customHeight="1">
      <c r="A142" s="436">
        <f t="shared" si="16"/>
        <v>136</v>
      </c>
      <c r="B142" s="2" t="s">
        <v>477</v>
      </c>
      <c r="C142" s="80">
        <f>SUM(C127:C141)</f>
        <v>1036086084.8899999</v>
      </c>
      <c r="D142" s="80">
        <f>SUM(D127:D141)</f>
        <v>805466</v>
      </c>
      <c r="E142" s="80">
        <f>SUM(E127:E141)</f>
        <v>1035280618.8899999</v>
      </c>
      <c r="F142" s="80">
        <f>SUM(F127:F141)</f>
        <v>0</v>
      </c>
      <c r="G142" s="80">
        <f>SUM(G127:G141)</f>
        <v>1035280618.8899999</v>
      </c>
      <c r="H142" s="80"/>
      <c r="I142" s="144"/>
      <c r="J142" s="38"/>
      <c r="K142" s="38"/>
      <c r="L142" s="436">
        <v>1010001</v>
      </c>
    </row>
    <row r="143" spans="1:16" ht="14.15" customHeight="1">
      <c r="A143" s="436">
        <f t="shared" si="16"/>
        <v>137</v>
      </c>
      <c r="B143" s="6"/>
      <c r="C143" s="16"/>
      <c r="D143" s="16"/>
      <c r="E143" s="125"/>
      <c r="F143" s="16"/>
      <c r="G143" s="43"/>
      <c r="H143" s="43"/>
      <c r="I143" s="15"/>
      <c r="J143" s="38"/>
      <c r="K143" s="38"/>
    </row>
    <row r="144" spans="1:16" ht="14.15" customHeight="1">
      <c r="A144" s="436">
        <f t="shared" si="16"/>
        <v>138</v>
      </c>
      <c r="B144" s="3" t="s">
        <v>121</v>
      </c>
      <c r="C144" s="10"/>
      <c r="D144" s="10"/>
      <c r="E144" s="10"/>
      <c r="F144" s="10"/>
      <c r="G144" s="10"/>
      <c r="H144" s="10"/>
      <c r="I144" s="15"/>
      <c r="J144" s="38"/>
      <c r="K144" s="38"/>
    </row>
    <row r="145" spans="1:12" ht="14.15" customHeight="1">
      <c r="A145" s="436">
        <f t="shared" si="16"/>
        <v>139</v>
      </c>
      <c r="B145" s="83" t="s">
        <v>122</v>
      </c>
      <c r="C145" s="10">
        <v>1729398.6400000001</v>
      </c>
      <c r="D145" s="10">
        <f t="shared" ref="D145:D156" si="17">C145-E145</f>
        <v>24211.64000000013</v>
      </c>
      <c r="E145" s="10">
        <f>ROUND(C145*'Allocation Factors'!$G$22,0)</f>
        <v>1705187</v>
      </c>
      <c r="F145" s="10">
        <f>'Sch 5'!C145</f>
        <v>0</v>
      </c>
      <c r="G145" s="10">
        <f t="shared" ref="G145:G156" si="18">E145+F145</f>
        <v>1705187</v>
      </c>
      <c r="H145" s="10"/>
      <c r="I145" s="15" t="s">
        <v>352</v>
      </c>
      <c r="J145" s="38"/>
      <c r="K145" s="38"/>
    </row>
    <row r="146" spans="1:12" ht="14.15" customHeight="1">
      <c r="A146" s="436">
        <f t="shared" si="16"/>
        <v>140</v>
      </c>
      <c r="B146" s="83" t="s">
        <v>123</v>
      </c>
      <c r="C146" s="10">
        <v>27865471.119999997</v>
      </c>
      <c r="D146" s="10">
        <f t="shared" si="17"/>
        <v>390116.11999999732</v>
      </c>
      <c r="E146" s="10">
        <f>ROUND(C146*'Allocation Factors'!$G$22,0)</f>
        <v>27475355</v>
      </c>
      <c r="F146" s="10">
        <f>'Sch 5'!C146</f>
        <v>0</v>
      </c>
      <c r="G146" s="10">
        <f t="shared" si="18"/>
        <v>27475355</v>
      </c>
      <c r="H146" s="10"/>
      <c r="I146" s="15" t="s">
        <v>352</v>
      </c>
      <c r="J146" s="38"/>
      <c r="K146" s="38"/>
    </row>
    <row r="147" spans="1:12" ht="14.15" customHeight="1">
      <c r="A147" s="436">
        <f t="shared" si="16"/>
        <v>141</v>
      </c>
      <c r="B147" s="83" t="s">
        <v>124</v>
      </c>
      <c r="C147" s="10">
        <v>3223639.81</v>
      </c>
      <c r="D147" s="10">
        <f t="shared" si="17"/>
        <v>45130.810000000056</v>
      </c>
      <c r="E147" s="10">
        <f>ROUND(C147*'Allocation Factors'!$G$22,0)</f>
        <v>3178509</v>
      </c>
      <c r="F147" s="10">
        <f>'Sch 5'!C147</f>
        <v>0</v>
      </c>
      <c r="G147" s="10">
        <f t="shared" si="18"/>
        <v>3178509</v>
      </c>
      <c r="H147" s="10"/>
      <c r="I147" s="15" t="s">
        <v>352</v>
      </c>
      <c r="J147" s="38"/>
      <c r="K147" s="38"/>
    </row>
    <row r="148" spans="1:12" ht="14.15" customHeight="1">
      <c r="A148" s="436">
        <f t="shared" si="16"/>
        <v>142</v>
      </c>
      <c r="B148" s="83" t="s">
        <v>125</v>
      </c>
      <c r="C148" s="10">
        <v>20652127.740000002</v>
      </c>
      <c r="D148" s="10">
        <f t="shared" si="17"/>
        <v>289129.74000000209</v>
      </c>
      <c r="E148" s="10">
        <f>ROUND(C148*'Allocation Factors'!$G$22,0)</f>
        <v>20362998</v>
      </c>
      <c r="F148" s="10">
        <f>'Sch 5'!C148</f>
        <v>0</v>
      </c>
      <c r="G148" s="10">
        <f t="shared" si="18"/>
        <v>20362998</v>
      </c>
      <c r="H148" s="10"/>
      <c r="I148" s="15" t="s">
        <v>352</v>
      </c>
      <c r="J148" s="38"/>
      <c r="K148" s="38"/>
    </row>
    <row r="149" spans="1:12" ht="14.15" customHeight="1">
      <c r="A149" s="436">
        <f t="shared" si="16"/>
        <v>143</v>
      </c>
      <c r="B149" s="83" t="s">
        <v>126</v>
      </c>
      <c r="C149" s="10">
        <v>304126.58999999997</v>
      </c>
      <c r="D149" s="10">
        <f t="shared" si="17"/>
        <v>4257.5899999999674</v>
      </c>
      <c r="E149" s="10">
        <f>ROUND(C149*'Allocation Factors'!$G$22,0)</f>
        <v>299869</v>
      </c>
      <c r="F149" s="10">
        <f>'Sch 5'!C149</f>
        <v>0</v>
      </c>
      <c r="G149" s="10">
        <f t="shared" si="18"/>
        <v>299869</v>
      </c>
      <c r="H149" s="10"/>
      <c r="I149" s="15" t="s">
        <v>352</v>
      </c>
      <c r="J149" s="38"/>
      <c r="K149" s="38"/>
    </row>
    <row r="150" spans="1:12" ht="14.15" customHeight="1">
      <c r="A150" s="436">
        <f t="shared" si="16"/>
        <v>144</v>
      </c>
      <c r="B150" s="83" t="s">
        <v>127</v>
      </c>
      <c r="C150" s="10">
        <v>6657175.9399999995</v>
      </c>
      <c r="D150" s="10">
        <f t="shared" si="17"/>
        <v>93200.939999999478</v>
      </c>
      <c r="E150" s="10">
        <f>ROUND(C150*'Allocation Factors'!$G$22,0)</f>
        <v>6563975</v>
      </c>
      <c r="F150" s="10">
        <f>'Sch 5'!C150</f>
        <v>0</v>
      </c>
      <c r="G150" s="10">
        <f t="shared" si="18"/>
        <v>6563975</v>
      </c>
      <c r="H150" s="10"/>
      <c r="I150" s="15" t="s">
        <v>352</v>
      </c>
      <c r="J150" s="38"/>
      <c r="K150" s="38"/>
    </row>
    <row r="151" spans="1:12" ht="14.15" customHeight="1">
      <c r="A151" s="436">
        <f t="shared" si="16"/>
        <v>145</v>
      </c>
      <c r="B151" s="83" t="s">
        <v>128</v>
      </c>
      <c r="C151" s="10">
        <v>210410.06</v>
      </c>
      <c r="D151" s="10">
        <f t="shared" si="17"/>
        <v>2946.0599999999977</v>
      </c>
      <c r="E151" s="10">
        <f>ROUND(C151*'Allocation Factors'!$G$22,0)</f>
        <v>207464</v>
      </c>
      <c r="F151" s="10">
        <f>'Sch 5'!C151</f>
        <v>0</v>
      </c>
      <c r="G151" s="10">
        <f t="shared" si="18"/>
        <v>207464</v>
      </c>
      <c r="H151" s="10"/>
      <c r="I151" s="15" t="s">
        <v>352</v>
      </c>
      <c r="J151" s="38"/>
      <c r="K151" s="38"/>
    </row>
    <row r="152" spans="1:12" ht="14.15" customHeight="1">
      <c r="A152" s="436">
        <f t="shared" si="16"/>
        <v>146</v>
      </c>
      <c r="B152" s="83" t="s">
        <v>129</v>
      </c>
      <c r="C152" s="10">
        <v>1642425.8399999999</v>
      </c>
      <c r="D152" s="10">
        <f t="shared" si="17"/>
        <v>22993.839999999851</v>
      </c>
      <c r="E152" s="10">
        <f>ROUND(C152*'Allocation Factors'!$G$22,0)</f>
        <v>1619432</v>
      </c>
      <c r="F152" s="10">
        <f>'Sch 5'!C152</f>
        <v>0</v>
      </c>
      <c r="G152" s="10">
        <f t="shared" si="18"/>
        <v>1619432</v>
      </c>
      <c r="H152" s="10"/>
      <c r="I152" s="15" t="s">
        <v>352</v>
      </c>
      <c r="J152" s="38"/>
      <c r="K152" s="38"/>
    </row>
    <row r="153" spans="1:12" ht="14.15" customHeight="1">
      <c r="A153" s="436">
        <f t="shared" si="16"/>
        <v>147</v>
      </c>
      <c r="B153" s="83" t="s">
        <v>130</v>
      </c>
      <c r="C153" s="428">
        <v>33419954.07</v>
      </c>
      <c r="D153" s="10">
        <f>C153-E153</f>
        <v>467879.0700000003</v>
      </c>
      <c r="E153" s="10">
        <f>ROUND(C153*'Allocation Factors'!$G$22,0)</f>
        <v>32952075</v>
      </c>
      <c r="F153" s="10">
        <f>'Sch 5'!C153</f>
        <v>0</v>
      </c>
      <c r="G153" s="10">
        <f>E153+F153</f>
        <v>32952075</v>
      </c>
      <c r="H153" s="10"/>
      <c r="I153" s="15" t="s">
        <v>352</v>
      </c>
      <c r="J153" s="38"/>
      <c r="K153" s="38"/>
    </row>
    <row r="154" spans="1:12" ht="14.15" customHeight="1">
      <c r="A154" s="436">
        <f t="shared" si="16"/>
        <v>148</v>
      </c>
      <c r="B154" s="83" t="s">
        <v>131</v>
      </c>
      <c r="C154" s="10">
        <v>2447856.2700000005</v>
      </c>
      <c r="D154" s="10">
        <f t="shared" si="17"/>
        <v>34270.270000000484</v>
      </c>
      <c r="E154" s="10">
        <f>ROUND(C154*'Allocation Factors'!$G$22,0)</f>
        <v>2413586</v>
      </c>
      <c r="F154" s="10">
        <f>'Sch 5'!C154</f>
        <v>0</v>
      </c>
      <c r="G154" s="10">
        <f t="shared" si="18"/>
        <v>2413586</v>
      </c>
      <c r="H154" s="10"/>
      <c r="I154" s="15" t="s">
        <v>352</v>
      </c>
      <c r="J154" s="38"/>
      <c r="K154" s="38"/>
    </row>
    <row r="155" spans="1:12" ht="14.15" customHeight="1">
      <c r="A155" s="436">
        <f t="shared" si="16"/>
        <v>149</v>
      </c>
      <c r="B155" s="83" t="s">
        <v>132</v>
      </c>
      <c r="C155" s="10">
        <v>0</v>
      </c>
      <c r="D155" s="10">
        <f t="shared" si="17"/>
        <v>0</v>
      </c>
      <c r="E155" s="10">
        <f>ROUND(C155*'Allocation Factors'!$G$22,0)</f>
        <v>0</v>
      </c>
      <c r="F155" s="10">
        <f>'Sch 5'!C155</f>
        <v>0</v>
      </c>
      <c r="G155" s="10">
        <f t="shared" si="18"/>
        <v>0</v>
      </c>
      <c r="H155" s="10"/>
      <c r="I155" s="15" t="s">
        <v>352</v>
      </c>
      <c r="J155" s="38"/>
      <c r="K155" s="38"/>
    </row>
    <row r="156" spans="1:12" ht="14.15" customHeight="1">
      <c r="A156" s="436">
        <f t="shared" si="16"/>
        <v>150</v>
      </c>
      <c r="B156" s="56" t="s">
        <v>133</v>
      </c>
      <c r="C156" s="10">
        <v>158819.18</v>
      </c>
      <c r="D156" s="10">
        <f t="shared" si="17"/>
        <v>158819.18</v>
      </c>
      <c r="E156" s="10">
        <v>0</v>
      </c>
      <c r="F156" s="10">
        <f>'Sch 5'!C156</f>
        <v>0</v>
      </c>
      <c r="G156" s="10">
        <f t="shared" si="18"/>
        <v>0</v>
      </c>
      <c r="H156" s="10"/>
      <c r="I156" s="15"/>
      <c r="J156" s="38"/>
      <c r="K156" s="38"/>
    </row>
    <row r="157" spans="1:12" ht="14.15" customHeight="1">
      <c r="A157" s="436">
        <f t="shared" si="16"/>
        <v>151</v>
      </c>
      <c r="B157" s="85" t="s">
        <v>478</v>
      </c>
      <c r="C157" s="80">
        <f>SUM(C145:C156)</f>
        <v>98311405.260000005</v>
      </c>
      <c r="D157" s="80">
        <f>SUM(D145:D156)</f>
        <v>1532955.2599999995</v>
      </c>
      <c r="E157" s="80">
        <f>SUM(E145:E156)</f>
        <v>96778450</v>
      </c>
      <c r="F157" s="80">
        <f>SUM(F145:F156)</f>
        <v>0</v>
      </c>
      <c r="G157" s="80">
        <f>SUM(G145:G156)</f>
        <v>96778450</v>
      </c>
      <c r="H157" s="80"/>
      <c r="I157" s="142"/>
      <c r="J157" s="38"/>
      <c r="K157" s="38"/>
      <c r="L157" s="436">
        <v>1010001</v>
      </c>
    </row>
    <row r="158" spans="1:12" ht="14.15" customHeight="1">
      <c r="A158" s="436">
        <f t="shared" si="16"/>
        <v>152</v>
      </c>
      <c r="B158" s="85"/>
      <c r="C158" s="16"/>
      <c r="D158" s="16"/>
      <c r="E158" s="16"/>
      <c r="F158" s="16"/>
      <c r="G158" s="16"/>
      <c r="H158" s="16"/>
      <c r="I158" s="17"/>
      <c r="J158" s="38"/>
      <c r="K158" s="38"/>
    </row>
    <row r="159" spans="1:12" ht="14.15" customHeight="1">
      <c r="A159" s="436">
        <f t="shared" si="16"/>
        <v>153</v>
      </c>
      <c r="B159" s="85" t="s">
        <v>147</v>
      </c>
      <c r="C159" s="10"/>
      <c r="D159" s="19"/>
      <c r="E159" s="16"/>
      <c r="F159" s="16"/>
      <c r="G159" s="19"/>
      <c r="H159" s="19"/>
      <c r="I159" s="25"/>
      <c r="J159" s="38"/>
      <c r="K159" s="38"/>
    </row>
    <row r="160" spans="1:12" ht="14.15" customHeight="1">
      <c r="A160" s="436">
        <f t="shared" si="16"/>
        <v>154</v>
      </c>
      <c r="B160" s="25" t="s">
        <v>148</v>
      </c>
      <c r="C160" s="10">
        <v>261300.71</v>
      </c>
      <c r="D160" s="16">
        <f>C160-E160</f>
        <v>3657.7099999999919</v>
      </c>
      <c r="E160" s="10">
        <f>ROUND(C160*'Allocation Factors'!$G$22,0)</f>
        <v>257643</v>
      </c>
      <c r="F160" s="10">
        <f>'Sch 5'!C160</f>
        <v>0</v>
      </c>
      <c r="G160" s="10">
        <f>E160+F160</f>
        <v>257643</v>
      </c>
      <c r="H160" s="10"/>
      <c r="I160" s="15" t="s">
        <v>352</v>
      </c>
      <c r="J160" s="38"/>
      <c r="K160" s="38"/>
    </row>
    <row r="161" spans="1:16" ht="14.15" customHeight="1">
      <c r="A161" s="436">
        <f t="shared" si="16"/>
        <v>155</v>
      </c>
      <c r="B161" s="25" t="s">
        <v>149</v>
      </c>
      <c r="C161" s="10">
        <v>16824077.330000002</v>
      </c>
      <c r="D161" s="16">
        <f>C161-E161</f>
        <v>252361.33000000194</v>
      </c>
      <c r="E161" s="10">
        <f>ROUND(C161*'Allocation Factors'!$G$10,0)</f>
        <v>16571716</v>
      </c>
      <c r="F161" s="10">
        <f>'Sch 5'!C161</f>
        <v>0</v>
      </c>
      <c r="G161" s="10">
        <f>E161+F161</f>
        <v>16571716</v>
      </c>
      <c r="H161" s="10"/>
      <c r="I161" s="15" t="s">
        <v>341</v>
      </c>
      <c r="J161" s="38"/>
      <c r="K161" s="38"/>
    </row>
    <row r="162" spans="1:16" ht="14.15" customHeight="1">
      <c r="A162" s="436">
        <f t="shared" si="16"/>
        <v>156</v>
      </c>
      <c r="B162" s="25" t="s">
        <v>137</v>
      </c>
      <c r="C162" s="10">
        <v>73309060.859999999</v>
      </c>
      <c r="D162" s="16">
        <f>C162-E162</f>
        <v>1099635.8599999994</v>
      </c>
      <c r="E162" s="16">
        <f>ROUND(C162*'Allocation Factors'!$G$12,0)</f>
        <v>72209425</v>
      </c>
      <c r="F162" s="10">
        <f>'Sch 5'!C162</f>
        <v>0</v>
      </c>
      <c r="G162" s="10">
        <f>E162+F162</f>
        <v>72209425</v>
      </c>
      <c r="H162" s="10"/>
      <c r="I162" s="15" t="s">
        <v>343</v>
      </c>
      <c r="J162" s="38"/>
      <c r="K162" s="38"/>
    </row>
    <row r="163" spans="1:16" ht="14.15" customHeight="1">
      <c r="A163" s="436">
        <f t="shared" si="16"/>
        <v>157</v>
      </c>
      <c r="B163" s="25" t="s">
        <v>150</v>
      </c>
      <c r="C163" s="10">
        <v>41105789.799999997</v>
      </c>
      <c r="D163" s="16">
        <f>J163</f>
        <v>646816</v>
      </c>
      <c r="E163" s="10">
        <f>C163-D163</f>
        <v>40458973.799999997</v>
      </c>
      <c r="F163" s="10">
        <f>'Sch 5'!C163</f>
        <v>0</v>
      </c>
      <c r="G163" s="10">
        <f>E163+F163</f>
        <v>40458973.799999997</v>
      </c>
      <c r="H163" s="10"/>
      <c r="I163" s="25" t="s">
        <v>54</v>
      </c>
      <c r="J163" s="38">
        <v>646816</v>
      </c>
      <c r="K163" s="436" t="s">
        <v>903</v>
      </c>
      <c r="P163" s="436"/>
    </row>
    <row r="164" spans="1:16" ht="14.15" customHeight="1">
      <c r="A164" s="436">
        <f t="shared" si="16"/>
        <v>158</v>
      </c>
      <c r="B164" s="52" t="s">
        <v>151</v>
      </c>
      <c r="C164" s="10">
        <v>8885271.9299999997</v>
      </c>
      <c r="D164" s="16">
        <f>C164-E164</f>
        <v>124393.9299999997</v>
      </c>
      <c r="E164" s="43">
        <f>ROUND(C164*'Allocation Factors'!$G$22,0)</f>
        <v>8760878</v>
      </c>
      <c r="F164" s="10">
        <f>'Sch 5'!C164</f>
        <v>0</v>
      </c>
      <c r="G164" s="10">
        <f>E164+F164</f>
        <v>8760878</v>
      </c>
      <c r="H164" s="10"/>
      <c r="I164" s="15" t="s">
        <v>352</v>
      </c>
      <c r="J164" s="38"/>
      <c r="K164" s="38"/>
    </row>
    <row r="165" spans="1:16" ht="14.15" customHeight="1">
      <c r="A165" s="436">
        <f t="shared" si="16"/>
        <v>159</v>
      </c>
      <c r="B165" s="85" t="s">
        <v>489</v>
      </c>
      <c r="C165" s="80">
        <f>SUM(C160:C164)</f>
        <v>140385500.63</v>
      </c>
      <c r="D165" s="80">
        <f>SUM(D160:D164)</f>
        <v>2126864.830000001</v>
      </c>
      <c r="E165" s="80">
        <f>SUM(E160:E164)</f>
        <v>138258635.80000001</v>
      </c>
      <c r="F165" s="80">
        <f>SUM(F160:F164)</f>
        <v>0</v>
      </c>
      <c r="G165" s="80">
        <f>SUM(G160:G164)</f>
        <v>138258635.80000001</v>
      </c>
      <c r="H165" s="80"/>
      <c r="I165" s="144"/>
      <c r="J165" s="38"/>
      <c r="K165" s="38"/>
      <c r="L165" s="436" t="s">
        <v>1001</v>
      </c>
    </row>
    <row r="166" spans="1:16" ht="14.15" customHeight="1">
      <c r="A166" s="436">
        <f t="shared" si="16"/>
        <v>160</v>
      </c>
      <c r="B166" s="85"/>
      <c r="C166" s="16"/>
      <c r="D166" s="16"/>
      <c r="E166" s="16"/>
      <c r="F166" s="16"/>
      <c r="G166" s="16"/>
      <c r="H166" s="16"/>
      <c r="I166" s="17"/>
      <c r="J166" s="38"/>
      <c r="K166" s="38"/>
    </row>
    <row r="167" spans="1:16" ht="14.15" customHeight="1">
      <c r="A167" s="436">
        <f t="shared" si="16"/>
        <v>161</v>
      </c>
      <c r="B167" s="25" t="s">
        <v>332</v>
      </c>
      <c r="C167" s="19">
        <v>594516.72</v>
      </c>
      <c r="D167" s="16">
        <f>C167-E167</f>
        <v>594516.72</v>
      </c>
      <c r="E167" s="16">
        <v>0</v>
      </c>
      <c r="F167" s="10">
        <v>0</v>
      </c>
      <c r="G167" s="10">
        <f>E167+F167</f>
        <v>0</v>
      </c>
      <c r="H167" s="16"/>
      <c r="I167" s="15"/>
      <c r="J167" s="38"/>
      <c r="K167" s="38"/>
      <c r="L167" s="436">
        <v>1011001</v>
      </c>
    </row>
    <row r="168" spans="1:16" ht="14.15" customHeight="1">
      <c r="A168" s="436">
        <f t="shared" si="16"/>
        <v>162</v>
      </c>
      <c r="B168" s="52" t="s">
        <v>955</v>
      </c>
      <c r="C168" s="146">
        <f>380146.18+295185.39-158728.92</f>
        <v>516602.65</v>
      </c>
      <c r="D168" s="16">
        <f>C168-E168</f>
        <v>516602.65</v>
      </c>
      <c r="E168" s="10">
        <v>0</v>
      </c>
      <c r="F168" s="10">
        <v>0</v>
      </c>
      <c r="G168" s="10">
        <f>E168+F168</f>
        <v>0</v>
      </c>
      <c r="H168" s="146"/>
      <c r="I168" s="15"/>
      <c r="J168" s="38"/>
      <c r="K168" s="38"/>
      <c r="L168" s="436" t="s">
        <v>1002</v>
      </c>
    </row>
    <row r="169" spans="1:16" ht="14.15" customHeight="1">
      <c r="A169" s="436">
        <f t="shared" si="16"/>
        <v>163</v>
      </c>
      <c r="B169" s="85" t="s">
        <v>479</v>
      </c>
      <c r="C169" s="80">
        <f>SUM(C167:C168)</f>
        <v>1111119.3700000001</v>
      </c>
      <c r="D169" s="80">
        <f>SUM(D167:D168)</f>
        <v>1111119.3700000001</v>
      </c>
      <c r="E169" s="80">
        <f>SUM(E167:E168)</f>
        <v>0</v>
      </c>
      <c r="F169" s="80">
        <f>SUM(F167:F168)</f>
        <v>0</v>
      </c>
      <c r="G169" s="80">
        <f>SUM(G167:G168)</f>
        <v>0</v>
      </c>
      <c r="H169" s="80"/>
      <c r="I169" s="142"/>
      <c r="J169" s="38"/>
      <c r="K169" s="38"/>
    </row>
    <row r="170" spans="1:16" ht="14.15" customHeight="1">
      <c r="A170" s="436">
        <f t="shared" si="16"/>
        <v>164</v>
      </c>
      <c r="B170" s="60"/>
      <c r="C170" s="146"/>
      <c r="D170" s="146"/>
      <c r="E170" s="146"/>
      <c r="F170" s="146"/>
      <c r="G170" s="146"/>
      <c r="H170" s="146"/>
      <c r="I170" s="147"/>
      <c r="J170" s="38"/>
      <c r="K170" s="38"/>
    </row>
    <row r="171" spans="1:16" ht="14.15" customHeight="1" thickBot="1">
      <c r="A171" s="436">
        <f t="shared" si="16"/>
        <v>165</v>
      </c>
      <c r="B171" s="54" t="s">
        <v>134</v>
      </c>
      <c r="C171" s="148">
        <f>+C169+C165+C157+C142+C124+C110+C62+C106</f>
        <v>3293887205.2399998</v>
      </c>
      <c r="D171" s="148">
        <f>+D169+D165+D157+D142+D124+D110+D62+D106</f>
        <v>46853209.550000049</v>
      </c>
      <c r="E171" s="148">
        <f>+E169+E165+E157+E142+E124+E110+E62+E106</f>
        <v>3247033995.6899996</v>
      </c>
      <c r="F171" s="148">
        <f>+F169+F165+F157+F142+F124+F110+F62+F106</f>
        <v>-328628780</v>
      </c>
      <c r="G171" s="148">
        <f>+G169+G165+G157+G142+G124+G110+G62+G106</f>
        <v>2918405215.6899996</v>
      </c>
      <c r="H171" s="87"/>
      <c r="I171" s="149"/>
      <c r="J171" s="38"/>
      <c r="K171" s="38"/>
    </row>
    <row r="172" spans="1:16" ht="14.15" customHeight="1" thickTop="1">
      <c r="A172" s="436">
        <f t="shared" si="16"/>
        <v>166</v>
      </c>
      <c r="C172" s="10"/>
      <c r="D172" s="10"/>
      <c r="E172" s="11"/>
      <c r="F172" s="10"/>
      <c r="G172" s="10"/>
      <c r="H172" s="10"/>
      <c r="I172" s="15"/>
      <c r="J172" s="38"/>
      <c r="K172" s="38"/>
    </row>
    <row r="173" spans="1:16" ht="14.15" customHeight="1">
      <c r="A173" s="436">
        <f t="shared" si="16"/>
        <v>167</v>
      </c>
      <c r="B173" s="85" t="s">
        <v>793</v>
      </c>
      <c r="C173" s="10">
        <f>C124+C162</f>
        <v>806326990.55999994</v>
      </c>
      <c r="D173" s="10">
        <f>D124+D162</f>
        <v>12094905.559999993</v>
      </c>
      <c r="E173" s="10">
        <f>E124+E162</f>
        <v>794232085</v>
      </c>
      <c r="F173" s="10">
        <f>F124+F162</f>
        <v>0</v>
      </c>
      <c r="G173" s="10">
        <f>G124+G162</f>
        <v>794232085</v>
      </c>
      <c r="H173" s="93">
        <f>ROUND(E173/C173,3)</f>
        <v>0.98499999999999999</v>
      </c>
      <c r="I173" s="15"/>
      <c r="J173" s="38"/>
      <c r="K173" s="38"/>
    </row>
    <row r="174" spans="1:16" ht="14.15" customHeight="1">
      <c r="A174" s="436">
        <f t="shared" si="16"/>
        <v>168</v>
      </c>
      <c r="C174" s="10"/>
      <c r="D174" s="10"/>
      <c r="E174" s="11"/>
      <c r="F174" s="10"/>
      <c r="G174" s="10"/>
      <c r="H174" s="93"/>
      <c r="I174" s="15"/>
      <c r="J174" s="38"/>
      <c r="K174" s="38"/>
    </row>
    <row r="175" spans="1:16" ht="14.15" customHeight="1">
      <c r="A175" s="436">
        <f t="shared" si="16"/>
        <v>169</v>
      </c>
      <c r="B175" s="85" t="s">
        <v>794</v>
      </c>
      <c r="C175" s="10">
        <f>C142+C163</f>
        <v>1077191874.6899998</v>
      </c>
      <c r="D175" s="10">
        <f>D142+D163</f>
        <v>1452282</v>
      </c>
      <c r="E175" s="10">
        <f>E142+E163</f>
        <v>1075739592.6899998</v>
      </c>
      <c r="F175" s="10">
        <f>F142+F163</f>
        <v>0</v>
      </c>
      <c r="G175" s="10">
        <f>G142+G163</f>
        <v>1075739592.6899998</v>
      </c>
      <c r="H175" s="93">
        <f>ROUND(E175/C175,3)</f>
        <v>0.999</v>
      </c>
      <c r="I175" s="15"/>
      <c r="J175" s="38"/>
      <c r="K175" s="38"/>
    </row>
    <row r="176" spans="1:16" ht="14.15" customHeight="1">
      <c r="A176" s="436">
        <f t="shared" si="16"/>
        <v>170</v>
      </c>
      <c r="C176" s="10"/>
      <c r="D176" s="10"/>
      <c r="E176" s="11"/>
      <c r="F176" s="10"/>
      <c r="G176" s="10"/>
      <c r="H176" s="93"/>
      <c r="I176" s="15"/>
      <c r="J176" s="38"/>
      <c r="K176" s="38"/>
    </row>
    <row r="177" spans="1:13" ht="14.15" customHeight="1">
      <c r="A177" s="436">
        <f t="shared" si="16"/>
        <v>171</v>
      </c>
      <c r="B177" s="85" t="s">
        <v>795</v>
      </c>
      <c r="C177" s="10">
        <f>C124+C142+C162+C163</f>
        <v>1883518865.2499995</v>
      </c>
      <c r="D177" s="10">
        <f>D124+D142+D162+D163</f>
        <v>13547187.559999993</v>
      </c>
      <c r="E177" s="10">
        <f>E124+E142+E162+E163</f>
        <v>1869971677.6899998</v>
      </c>
      <c r="F177" s="10">
        <f>F124+F142+F162+F163</f>
        <v>0</v>
      </c>
      <c r="G177" s="10">
        <f>G124+G142+G162+G163</f>
        <v>1869971677.6899998</v>
      </c>
      <c r="H177" s="93">
        <f>ROUND(E177/C177,3)</f>
        <v>0.99299999999999999</v>
      </c>
      <c r="I177" s="15"/>
      <c r="J177" s="38"/>
      <c r="K177" s="38"/>
    </row>
    <row r="178" spans="1:13" ht="14.15" customHeight="1">
      <c r="A178" s="436">
        <f t="shared" si="16"/>
        <v>172</v>
      </c>
      <c r="C178" s="10"/>
      <c r="D178" s="10"/>
      <c r="E178" s="11"/>
      <c r="F178" s="10"/>
      <c r="G178" s="10"/>
      <c r="H178" s="93"/>
      <c r="I178" s="15"/>
      <c r="J178" s="38"/>
      <c r="K178" s="38"/>
    </row>
    <row r="179" spans="1:13" ht="14.15" customHeight="1">
      <c r="A179" s="436">
        <f t="shared" si="16"/>
        <v>173</v>
      </c>
      <c r="B179" s="85" t="s">
        <v>773</v>
      </c>
      <c r="C179" s="16">
        <f>C62+C110+C124+C142+C157+C165+C106</f>
        <v>3292776085.8699999</v>
      </c>
      <c r="D179" s="16">
        <f>D62+D110+D124+D142+D157+D165+D106</f>
        <v>45742090.180000052</v>
      </c>
      <c r="E179" s="16">
        <f>E62+E110+E124+E142+E157+E165+E106</f>
        <v>3247033995.6899996</v>
      </c>
      <c r="F179" s="16">
        <f>F62+F110+F124+F142+F157+F165+F106</f>
        <v>-328628780</v>
      </c>
      <c r="G179" s="16">
        <f>G62+G110+G124+G142+G157+G165+G106</f>
        <v>2918405215.6899996</v>
      </c>
      <c r="H179" s="93">
        <f>ROUND(E179/C179,3)</f>
        <v>0.98599999999999999</v>
      </c>
      <c r="I179" s="150"/>
      <c r="J179" s="38"/>
      <c r="K179" s="38"/>
    </row>
    <row r="180" spans="1:13" ht="14.15" customHeight="1">
      <c r="A180" s="436">
        <f t="shared" si="16"/>
        <v>174</v>
      </c>
      <c r="B180" s="85"/>
      <c r="C180" s="16"/>
      <c r="D180" s="16"/>
      <c r="E180" s="16"/>
      <c r="F180" s="16"/>
      <c r="G180" s="16"/>
      <c r="H180" s="94"/>
      <c r="I180" s="150"/>
      <c r="J180" s="38"/>
      <c r="K180" s="38"/>
    </row>
    <row r="181" spans="1:13" ht="14.15" customHeight="1">
      <c r="A181" s="436">
        <f t="shared" si="16"/>
        <v>175</v>
      </c>
      <c r="B181" s="85" t="s">
        <v>792</v>
      </c>
      <c r="C181" s="16">
        <f>C106+C124+C142+C161+C162+C163+C110</f>
        <v>3124353426.9100003</v>
      </c>
      <c r="D181" s="16">
        <f>D106+D124+D142+D161+D162+D163+D110</f>
        <v>43227578.220000044</v>
      </c>
      <c r="E181" s="16">
        <f>E106+E124+E142+E161+E162+E163+E110</f>
        <v>3081125848.6900001</v>
      </c>
      <c r="F181" s="16">
        <f>F106+F124+F142+F161+F162+F163+F110</f>
        <v>-324785553</v>
      </c>
      <c r="G181" s="16">
        <f>G106+G124+G142+G161+G162+G163+G110</f>
        <v>2756340295.6900001</v>
      </c>
      <c r="H181" s="93">
        <f>ROUND(E181/C181,3)</f>
        <v>0.98599999999999999</v>
      </c>
      <c r="I181" s="150"/>
      <c r="J181" s="38"/>
      <c r="K181" s="38"/>
    </row>
    <row r="182" spans="1:13" ht="14.15" customHeight="1">
      <c r="A182" s="436">
        <f t="shared" si="16"/>
        <v>176</v>
      </c>
      <c r="C182" s="10"/>
      <c r="D182" s="10"/>
      <c r="E182" s="11"/>
      <c r="F182" s="10"/>
      <c r="G182" s="10"/>
      <c r="H182" s="10"/>
      <c r="I182" s="15"/>
      <c r="J182" s="38"/>
      <c r="K182" s="38"/>
    </row>
    <row r="183" spans="1:13" ht="14.15" customHeight="1">
      <c r="A183" s="436">
        <f>+A172+1</f>
        <v>167</v>
      </c>
      <c r="B183" s="3" t="s">
        <v>135</v>
      </c>
      <c r="C183" s="10"/>
      <c r="D183" s="19"/>
      <c r="E183" s="10"/>
      <c r="F183" s="10"/>
      <c r="G183" s="10"/>
      <c r="H183" s="10"/>
      <c r="I183" s="15"/>
      <c r="J183" s="38"/>
      <c r="K183" s="38"/>
    </row>
    <row r="184" spans="1:13" ht="14.15" customHeight="1">
      <c r="A184" s="436">
        <f t="shared" ref="A184:A246" si="19">+A183+1</f>
        <v>168</v>
      </c>
      <c r="B184" s="83" t="s">
        <v>136</v>
      </c>
      <c r="C184" s="10">
        <v>592354424.45000017</v>
      </c>
      <c r="D184" s="10">
        <f>C184-E184</f>
        <v>15439343.450000167</v>
      </c>
      <c r="E184" s="10">
        <f>ROUND((C184+J184)*'Allocation Factors'!$G$10,0)</f>
        <v>576915081</v>
      </c>
      <c r="F184" s="10">
        <f>'Sch 5'!C174</f>
        <v>-150195274</v>
      </c>
      <c r="G184" s="10">
        <f>E184+F184</f>
        <v>426719807</v>
      </c>
      <c r="H184" s="10"/>
      <c r="I184" s="15" t="s">
        <v>341</v>
      </c>
      <c r="J184" s="38">
        <f>-6564426.29+-89408.53</f>
        <v>-6653834.8200000003</v>
      </c>
      <c r="K184" s="110" t="s">
        <v>830</v>
      </c>
    </row>
    <row r="185" spans="1:13" ht="14.15" customHeight="1">
      <c r="A185" s="436">
        <f t="shared" si="19"/>
        <v>169</v>
      </c>
      <c r="B185" s="22" t="s">
        <v>145</v>
      </c>
      <c r="C185" s="10">
        <v>271126665.00999999</v>
      </c>
      <c r="D185" s="10">
        <f>C185-E185</f>
        <v>2805472.0099999905</v>
      </c>
      <c r="E185" s="10">
        <f>ROUND((C185+J185)*'Allocation Factors'!$G$16,0)</f>
        <v>268321193</v>
      </c>
      <c r="F185" s="10">
        <f>'Sch 5'!C175</f>
        <v>0</v>
      </c>
      <c r="G185" s="10">
        <f>E185+F185</f>
        <v>268321193</v>
      </c>
      <c r="H185" s="10"/>
      <c r="I185" s="15" t="s">
        <v>346</v>
      </c>
      <c r="J185" s="38">
        <v>1280638</v>
      </c>
      <c r="K185" s="110" t="s">
        <v>829</v>
      </c>
    </row>
    <row r="186" spans="1:13" ht="14.15" customHeight="1">
      <c r="A186" s="436">
        <f t="shared" si="19"/>
        <v>170</v>
      </c>
      <c r="B186" s="22" t="s">
        <v>138</v>
      </c>
      <c r="C186" s="10">
        <v>330097252.87999994</v>
      </c>
      <c r="D186" s="10">
        <f>C186-E186</f>
        <v>330096.87999993563</v>
      </c>
      <c r="E186" s="10">
        <f>ROUND(C186*'Allocation Factors'!$G$18,0)</f>
        <v>329767156</v>
      </c>
      <c r="F186" s="10">
        <f>'Sch 5'!C176</f>
        <v>0</v>
      </c>
      <c r="G186" s="10">
        <f>E186+F186</f>
        <v>329767156</v>
      </c>
      <c r="H186" s="10"/>
      <c r="I186" s="25" t="s">
        <v>348</v>
      </c>
      <c r="J186" s="38"/>
      <c r="K186" s="38"/>
      <c r="M186" s="436"/>
    </row>
    <row r="187" spans="1:13" ht="13.5" customHeight="1">
      <c r="A187" s="436">
        <f t="shared" si="19"/>
        <v>171</v>
      </c>
      <c r="B187" s="22" t="s">
        <v>139</v>
      </c>
      <c r="C187" s="10">
        <v>25662049.349999998</v>
      </c>
      <c r="D187" s="10">
        <f>C187-E187</f>
        <v>359268.34999999776</v>
      </c>
      <c r="E187" s="10">
        <f>ROUND(C187*'Allocation Factors'!$G$22,0)</f>
        <v>25302781</v>
      </c>
      <c r="F187" s="10">
        <f>'Sch 5'!C177</f>
        <v>0</v>
      </c>
      <c r="G187" s="10">
        <f>E187+F187</f>
        <v>25302781</v>
      </c>
      <c r="H187" s="10"/>
      <c r="I187" s="15" t="s">
        <v>352</v>
      </c>
      <c r="J187" s="38"/>
      <c r="K187" s="38"/>
    </row>
    <row r="188" spans="1:13" ht="14.15" customHeight="1">
      <c r="A188" s="436">
        <f t="shared" si="19"/>
        <v>172</v>
      </c>
      <c r="B188" s="85" t="s">
        <v>480</v>
      </c>
      <c r="C188" s="80">
        <f>SUM(C184:C187)</f>
        <v>1219240391.6900001</v>
      </c>
      <c r="D188" s="80">
        <f>SUM(D184:D187)</f>
        <v>18934180.690000091</v>
      </c>
      <c r="E188" s="80">
        <f>SUM(E184:E187)</f>
        <v>1200306211</v>
      </c>
      <c r="F188" s="80">
        <f>SUM(F184:F187)</f>
        <v>-150195274</v>
      </c>
      <c r="G188" s="80">
        <f>SUM(G184:G187)</f>
        <v>1050110937</v>
      </c>
      <c r="H188" s="47"/>
      <c r="I188" s="142"/>
      <c r="J188" s="38"/>
      <c r="K188" s="38"/>
      <c r="L188" s="436" t="s">
        <v>1003</v>
      </c>
    </row>
    <row r="189" spans="1:13" ht="14.15" customHeight="1">
      <c r="A189" s="436">
        <f t="shared" si="19"/>
        <v>173</v>
      </c>
      <c r="B189" s="25"/>
      <c r="C189" s="16"/>
      <c r="D189" s="16"/>
      <c r="E189" s="125"/>
      <c r="F189" s="16"/>
      <c r="G189" s="43"/>
      <c r="H189" s="43"/>
      <c r="I189" s="151"/>
      <c r="J189" s="38"/>
      <c r="K189" s="38"/>
    </row>
    <row r="190" spans="1:13" ht="14.15" customHeight="1">
      <c r="A190" s="436">
        <f t="shared" si="19"/>
        <v>174</v>
      </c>
      <c r="B190" s="85" t="s">
        <v>140</v>
      </c>
      <c r="C190" s="16"/>
      <c r="D190" s="16"/>
      <c r="E190" s="16"/>
      <c r="F190" s="16"/>
      <c r="G190" s="10"/>
      <c r="H190" s="10"/>
      <c r="I190" s="15"/>
      <c r="J190" s="38"/>
      <c r="K190" s="38"/>
    </row>
    <row r="191" spans="1:13" ht="14.15" customHeight="1">
      <c r="A191" s="436">
        <f t="shared" si="19"/>
        <v>175</v>
      </c>
      <c r="B191" s="22" t="s">
        <v>143</v>
      </c>
      <c r="C191" s="10">
        <f>28739412.42+348862.98</f>
        <v>29088275.400000002</v>
      </c>
      <c r="D191" s="43">
        <f>C191-E191</f>
        <v>436324.40000000224</v>
      </c>
      <c r="E191" s="10">
        <f>ROUND(C191*'Allocation Factors'!$G$10,0)</f>
        <v>28651951</v>
      </c>
      <c r="F191" s="10">
        <f>'Sch 5'!C181</f>
        <v>-1974726</v>
      </c>
      <c r="G191" s="10">
        <f>E191+F191</f>
        <v>26677225</v>
      </c>
      <c r="H191" s="10"/>
      <c r="I191" s="15" t="s">
        <v>352</v>
      </c>
      <c r="L191" s="436" t="s">
        <v>1072</v>
      </c>
    </row>
    <row r="192" spans="1:13" ht="14.15" customHeight="1">
      <c r="A192" s="436">
        <f t="shared" si="19"/>
        <v>176</v>
      </c>
      <c r="B192" s="22" t="s">
        <v>136</v>
      </c>
      <c r="C192" s="10">
        <v>0</v>
      </c>
      <c r="D192" s="43">
        <f>C192-E192</f>
        <v>0</v>
      </c>
      <c r="E192" s="10">
        <f>ROUND((C192+J192)*'Allocation Factors'!$G$10,0)</f>
        <v>0</v>
      </c>
      <c r="F192" s="10">
        <f>'Sch 5'!C182</f>
        <v>0</v>
      </c>
      <c r="G192" s="10">
        <f>E192+F192</f>
        <v>0</v>
      </c>
      <c r="H192" s="10"/>
      <c r="I192" s="15" t="s">
        <v>341</v>
      </c>
      <c r="J192" s="38"/>
      <c r="K192" s="38"/>
    </row>
    <row r="193" spans="1:12" ht="14.15" customHeight="1">
      <c r="A193" s="436">
        <f t="shared" si="19"/>
        <v>177</v>
      </c>
      <c r="B193" s="22" t="s">
        <v>137</v>
      </c>
      <c r="C193" s="43">
        <v>0</v>
      </c>
      <c r="D193" s="43">
        <f>C193-E193</f>
        <v>0</v>
      </c>
      <c r="E193" s="43">
        <v>0</v>
      </c>
      <c r="F193" s="10">
        <f>'Sch 5'!C183</f>
        <v>0</v>
      </c>
      <c r="G193" s="43">
        <v>0</v>
      </c>
      <c r="H193" s="43"/>
      <c r="I193" s="15"/>
      <c r="J193" s="38"/>
      <c r="K193" s="38"/>
    </row>
    <row r="194" spans="1:12" ht="14.15" customHeight="1">
      <c r="A194" s="436">
        <f t="shared" si="19"/>
        <v>178</v>
      </c>
      <c r="B194" s="22" t="s">
        <v>138</v>
      </c>
      <c r="C194" s="43">
        <v>0</v>
      </c>
      <c r="D194" s="43">
        <f>C194-E194</f>
        <v>0</v>
      </c>
      <c r="E194" s="43">
        <v>0</v>
      </c>
      <c r="F194" s="10">
        <f>'Sch 5'!C184</f>
        <v>0</v>
      </c>
      <c r="G194" s="43">
        <v>0</v>
      </c>
      <c r="H194" s="43"/>
      <c r="I194" s="15"/>
      <c r="J194" s="38"/>
      <c r="K194" s="38"/>
    </row>
    <row r="195" spans="1:12" s="18" customFormat="1" ht="14.15" customHeight="1">
      <c r="A195" s="436">
        <f t="shared" si="19"/>
        <v>179</v>
      </c>
      <c r="B195" s="56" t="s">
        <v>139</v>
      </c>
      <c r="C195" s="64">
        <v>6155</v>
      </c>
      <c r="D195" s="64">
        <f>C195-E195</f>
        <v>86</v>
      </c>
      <c r="E195" s="64">
        <f>ROUND(C195*'Allocation Factors'!$G$22,0)</f>
        <v>6069</v>
      </c>
      <c r="F195" s="64">
        <f>'Sch 5'!C185</f>
        <v>0</v>
      </c>
      <c r="G195" s="64">
        <f>E195+F195</f>
        <v>6069</v>
      </c>
      <c r="H195" s="64"/>
      <c r="I195" s="130" t="s">
        <v>352</v>
      </c>
      <c r="J195" s="38"/>
      <c r="K195" s="38"/>
      <c r="L195" s="18" t="s">
        <v>1072</v>
      </c>
    </row>
    <row r="196" spans="1:12" ht="14.15" customHeight="1">
      <c r="A196" s="436">
        <f t="shared" si="19"/>
        <v>180</v>
      </c>
      <c r="B196" s="85" t="s">
        <v>484</v>
      </c>
      <c r="C196" s="16">
        <f>SUM(C191:C195)</f>
        <v>29094430.400000002</v>
      </c>
      <c r="D196" s="16">
        <f>SUM(D191:D195)</f>
        <v>436410.40000000224</v>
      </c>
      <c r="E196" s="16">
        <f>SUM(E191:E195)</f>
        <v>28658020</v>
      </c>
      <c r="F196" s="16">
        <f>SUM(F191:F195)</f>
        <v>-1974726</v>
      </c>
      <c r="G196" s="16">
        <f>SUM(G191:G195)</f>
        <v>26683294</v>
      </c>
      <c r="H196" s="16"/>
      <c r="I196" s="17"/>
      <c r="J196" s="38"/>
      <c r="K196" s="38"/>
    </row>
    <row r="197" spans="1:12" ht="14.15" customHeight="1">
      <c r="A197" s="436">
        <f t="shared" si="19"/>
        <v>181</v>
      </c>
      <c r="B197" s="25"/>
      <c r="C197" s="16"/>
      <c r="D197" s="16"/>
      <c r="E197" s="125"/>
      <c r="F197" s="16"/>
      <c r="G197" s="43"/>
      <c r="H197" s="43"/>
      <c r="I197" s="15"/>
      <c r="J197" s="38"/>
      <c r="K197" s="38"/>
    </row>
    <row r="198" spans="1:12" ht="14.15" customHeight="1">
      <c r="A198" s="436">
        <f t="shared" si="19"/>
        <v>182</v>
      </c>
      <c r="B198" s="52" t="s">
        <v>331</v>
      </c>
      <c r="C198" s="146">
        <v>247949.49</v>
      </c>
      <c r="D198" s="64">
        <f>C198-E198</f>
        <v>247949.49</v>
      </c>
      <c r="E198" s="64">
        <v>0</v>
      </c>
      <c r="F198" s="64">
        <f>'Sch 5'!C188</f>
        <v>0</v>
      </c>
      <c r="G198" s="64">
        <v>0</v>
      </c>
      <c r="H198" s="64"/>
      <c r="I198" s="130"/>
      <c r="J198" s="38"/>
      <c r="K198" s="38"/>
      <c r="L198" s="436">
        <v>1011006</v>
      </c>
    </row>
    <row r="199" spans="1:12" ht="14.15" customHeight="1">
      <c r="A199" s="436">
        <f t="shared" si="19"/>
        <v>183</v>
      </c>
      <c r="B199" s="85" t="s">
        <v>487</v>
      </c>
      <c r="C199" s="16">
        <f>SUM(C198:C198)</f>
        <v>247949.49</v>
      </c>
      <c r="D199" s="16">
        <f>SUM(D198:D198)</f>
        <v>247949.49</v>
      </c>
      <c r="E199" s="16">
        <f>SUM(E198:E198)</f>
        <v>0</v>
      </c>
      <c r="F199" s="16">
        <f>SUM(F198:F198)</f>
        <v>0</v>
      </c>
      <c r="G199" s="16">
        <f>SUM(G198:G198)</f>
        <v>0</v>
      </c>
      <c r="H199" s="43"/>
      <c r="I199" s="15"/>
      <c r="J199" s="38"/>
      <c r="K199" s="38"/>
    </row>
    <row r="200" spans="1:12" ht="14.15" customHeight="1">
      <c r="A200" s="436">
        <f t="shared" si="19"/>
        <v>184</v>
      </c>
      <c r="B200" s="52"/>
      <c r="C200" s="146"/>
      <c r="D200" s="146"/>
      <c r="E200" s="58"/>
      <c r="F200" s="146"/>
      <c r="G200" s="64"/>
      <c r="H200" s="64"/>
      <c r="I200" s="130"/>
      <c r="J200" s="38"/>
      <c r="K200" s="38"/>
    </row>
    <row r="201" spans="1:12" ht="14.15" customHeight="1">
      <c r="A201" s="436">
        <f t="shared" si="19"/>
        <v>185</v>
      </c>
      <c r="B201" s="85" t="s">
        <v>517</v>
      </c>
      <c r="C201" s="16">
        <f>C196+C188+C199</f>
        <v>1248582771.5800002</v>
      </c>
      <c r="D201" s="16">
        <f>D196+D188+D199</f>
        <v>19618540.580000091</v>
      </c>
      <c r="E201" s="16">
        <f>E196+E188+E199</f>
        <v>1228964231</v>
      </c>
      <c r="F201" s="16">
        <f>F196+F188</f>
        <v>-152170000</v>
      </c>
      <c r="G201" s="16">
        <f>G196+G188</f>
        <v>1076794231</v>
      </c>
      <c r="H201" s="16"/>
      <c r="I201" s="17"/>
      <c r="J201" s="38"/>
      <c r="K201" s="38"/>
      <c r="L201" s="102"/>
    </row>
    <row r="202" spans="1:12" ht="14.15" customHeight="1">
      <c r="A202" s="436">
        <f t="shared" si="19"/>
        <v>186</v>
      </c>
      <c r="B202" s="52"/>
      <c r="C202" s="146"/>
      <c r="D202" s="146"/>
      <c r="E202" s="58"/>
      <c r="F202" s="146"/>
      <c r="G202" s="64"/>
      <c r="H202" s="64"/>
      <c r="I202" s="130"/>
      <c r="J202" s="38"/>
      <c r="K202" s="38"/>
    </row>
    <row r="203" spans="1:12" ht="14.15" customHeight="1" thickBot="1">
      <c r="A203" s="436">
        <f t="shared" si="19"/>
        <v>187</v>
      </c>
      <c r="B203" s="5" t="s">
        <v>141</v>
      </c>
      <c r="C203" s="152">
        <f>+C171-C201</f>
        <v>2045304433.6599996</v>
      </c>
      <c r="D203" s="152">
        <f>+D171-D201</f>
        <v>27234668.969999958</v>
      </c>
      <c r="E203" s="152">
        <f>+E171-E201</f>
        <v>2018069764.6899996</v>
      </c>
      <c r="F203" s="133">
        <f>+F171-F201</f>
        <v>-176458780</v>
      </c>
      <c r="G203" s="133">
        <f>+G171-G201</f>
        <v>1841610984.6899996</v>
      </c>
      <c r="H203" s="133"/>
      <c r="I203" s="153"/>
      <c r="J203" s="38"/>
      <c r="K203" s="38"/>
      <c r="L203" s="378"/>
    </row>
    <row r="204" spans="1:12" ht="14.15" customHeight="1" thickTop="1">
      <c r="A204" s="436">
        <f t="shared" si="19"/>
        <v>188</v>
      </c>
      <c r="B204" s="25"/>
      <c r="C204" s="16"/>
      <c r="D204" s="16"/>
      <c r="E204" s="125"/>
      <c r="F204" s="16"/>
      <c r="G204" s="16"/>
      <c r="H204" s="16"/>
      <c r="I204" s="17"/>
      <c r="J204" s="38"/>
      <c r="K204" s="38"/>
    </row>
    <row r="205" spans="1:12" ht="14.15" customHeight="1">
      <c r="A205" s="436">
        <f t="shared" si="19"/>
        <v>189</v>
      </c>
      <c r="B205" s="13" t="s">
        <v>142</v>
      </c>
      <c r="C205" s="10"/>
      <c r="D205" s="10"/>
      <c r="E205" s="10"/>
      <c r="F205" s="10"/>
      <c r="G205" s="10"/>
      <c r="H205" s="10"/>
      <c r="I205" s="15"/>
      <c r="J205" s="38"/>
      <c r="K205" s="38"/>
    </row>
    <row r="206" spans="1:12" ht="14.15" customHeight="1">
      <c r="A206" s="436">
        <f t="shared" si="19"/>
        <v>190</v>
      </c>
      <c r="B206" s="22" t="s">
        <v>143</v>
      </c>
      <c r="C206" s="10">
        <f>1919047.33-C207</f>
        <v>1861168.33</v>
      </c>
      <c r="D206" s="43">
        <f>C206-E206</f>
        <v>1861168.33</v>
      </c>
      <c r="E206" s="43">
        <v>0</v>
      </c>
      <c r="F206" s="10"/>
      <c r="G206" s="10"/>
      <c r="H206" s="10"/>
      <c r="I206" s="15"/>
      <c r="J206" s="38"/>
      <c r="K206" s="38"/>
      <c r="L206" s="436" t="s">
        <v>1073</v>
      </c>
    </row>
    <row r="207" spans="1:12" ht="14.15" customHeight="1">
      <c r="A207" s="436">
        <f t="shared" si="19"/>
        <v>191</v>
      </c>
      <c r="B207" s="56" t="s">
        <v>55</v>
      </c>
      <c r="C207" s="10">
        <v>57879</v>
      </c>
      <c r="D207" s="43">
        <f>C207-E207</f>
        <v>57879</v>
      </c>
      <c r="E207" s="10">
        <v>0</v>
      </c>
      <c r="F207" s="10"/>
      <c r="G207" s="10"/>
      <c r="H207" s="10"/>
      <c r="I207" s="15"/>
      <c r="J207" s="38"/>
      <c r="K207" s="38"/>
    </row>
    <row r="208" spans="1:12" ht="14.15" customHeight="1">
      <c r="A208" s="436">
        <f t="shared" si="19"/>
        <v>192</v>
      </c>
      <c r="B208" s="13" t="s">
        <v>520</v>
      </c>
      <c r="C208" s="47">
        <f>SUM(C206:C207)</f>
        <v>1919047.33</v>
      </c>
      <c r="D208" s="47">
        <f>SUM(D206:D207)</f>
        <v>1919047.33</v>
      </c>
      <c r="E208" s="47">
        <f>SUM(E206:E207)</f>
        <v>0</v>
      </c>
      <c r="F208" s="47">
        <f>SUM(F206:F207)</f>
        <v>0</v>
      </c>
      <c r="G208" s="47">
        <f>SUM(G206:G207)</f>
        <v>0</v>
      </c>
      <c r="H208" s="47"/>
      <c r="I208" s="49"/>
      <c r="J208" s="38"/>
      <c r="K208" s="38"/>
    </row>
    <row r="209" spans="1:12" ht="14.15" customHeight="1">
      <c r="A209" s="436">
        <f t="shared" si="19"/>
        <v>193</v>
      </c>
      <c r="B209" s="22"/>
      <c r="C209" s="43"/>
      <c r="D209" s="43"/>
      <c r="E209" s="43"/>
      <c r="F209" s="43"/>
      <c r="G209" s="43"/>
      <c r="H209" s="43"/>
      <c r="I209" s="15"/>
      <c r="J209" s="38"/>
      <c r="K209" s="38"/>
    </row>
    <row r="210" spans="1:12" ht="14.15" customHeight="1">
      <c r="A210" s="436">
        <f t="shared" si="19"/>
        <v>194</v>
      </c>
      <c r="B210" s="22" t="s">
        <v>136</v>
      </c>
      <c r="C210" s="10">
        <f>18645471.41-C211</f>
        <v>18193059.609999999</v>
      </c>
      <c r="D210" s="10">
        <f>C210-E210</f>
        <v>272895.6099999994</v>
      </c>
      <c r="E210" s="10">
        <f>ROUND(C210*'Allocation Factors'!$G$10,0)</f>
        <v>17920164</v>
      </c>
      <c r="F210" s="10">
        <f>'Sch 5'!C200</f>
        <v>-11100396</v>
      </c>
      <c r="G210" s="10">
        <f>E210+F210</f>
        <v>6819768</v>
      </c>
      <c r="H210" s="10"/>
      <c r="I210" s="15" t="s">
        <v>341</v>
      </c>
      <c r="J210" s="38"/>
      <c r="K210" s="38"/>
      <c r="L210" s="436" t="s">
        <v>1073</v>
      </c>
    </row>
    <row r="211" spans="1:12" ht="14.15" customHeight="1">
      <c r="A211" s="436">
        <f t="shared" si="19"/>
        <v>195</v>
      </c>
      <c r="B211" s="56" t="s">
        <v>144</v>
      </c>
      <c r="C211" s="10">
        <v>452411.8</v>
      </c>
      <c r="D211" s="10">
        <f>C211-E211</f>
        <v>6785.7999999999884</v>
      </c>
      <c r="E211" s="10">
        <f>ROUND(C211*'Allocation Factors'!$G$10,0)</f>
        <v>445626</v>
      </c>
      <c r="F211" s="10">
        <f>'Sch 5'!C201</f>
        <v>0</v>
      </c>
      <c r="G211" s="10">
        <f>E211+F211</f>
        <v>445626</v>
      </c>
      <c r="H211" s="10"/>
      <c r="I211" s="15" t="s">
        <v>341</v>
      </c>
      <c r="J211" s="38"/>
      <c r="K211" s="38"/>
    </row>
    <row r="212" spans="1:12" ht="14.15" customHeight="1">
      <c r="A212" s="436">
        <f t="shared" si="19"/>
        <v>196</v>
      </c>
      <c r="B212" s="85" t="s">
        <v>486</v>
      </c>
      <c r="C212" s="47">
        <f>SUM(C210:C211)</f>
        <v>18645471.41</v>
      </c>
      <c r="D212" s="47">
        <f>SUM(D210:D211)</f>
        <v>279681.40999999939</v>
      </c>
      <c r="E212" s="47">
        <f>SUM(E210:E211)</f>
        <v>18365790</v>
      </c>
      <c r="F212" s="47">
        <f>SUM(F210:F211)</f>
        <v>-11100396</v>
      </c>
      <c r="G212" s="47">
        <f>SUM(G210:G211)</f>
        <v>7265394</v>
      </c>
      <c r="H212" s="47"/>
      <c r="I212" s="154"/>
      <c r="J212" s="38"/>
      <c r="K212" s="38"/>
    </row>
    <row r="213" spans="1:12" ht="14.15" customHeight="1">
      <c r="A213" s="436">
        <f t="shared" si="19"/>
        <v>197</v>
      </c>
      <c r="B213" s="25"/>
      <c r="C213" s="43"/>
      <c r="D213" s="16"/>
      <c r="E213" s="43"/>
      <c r="F213" s="43"/>
      <c r="G213" s="43"/>
      <c r="H213" s="43"/>
      <c r="I213" s="15"/>
      <c r="J213" s="38"/>
      <c r="K213" s="38"/>
    </row>
    <row r="214" spans="1:12" ht="14.15" customHeight="1">
      <c r="A214" s="436">
        <f t="shared" si="19"/>
        <v>198</v>
      </c>
      <c r="B214" s="22" t="s">
        <v>145</v>
      </c>
      <c r="C214" s="10">
        <f>73164554.1999999-C215</f>
        <v>69851983.179999903</v>
      </c>
      <c r="D214" s="10">
        <f>C214-E214</f>
        <v>1047780.1799999028</v>
      </c>
      <c r="E214" s="10">
        <f>ROUND(C214*'Allocation Factors'!$G$16,0)</f>
        <v>68804203</v>
      </c>
      <c r="F214" s="10">
        <f>'Sch 5'!C204</f>
        <v>0</v>
      </c>
      <c r="G214" s="10">
        <f>E214+F214</f>
        <v>68804203</v>
      </c>
      <c r="H214" s="10"/>
      <c r="I214" s="15" t="s">
        <v>346</v>
      </c>
      <c r="J214" s="38"/>
      <c r="K214" s="38"/>
      <c r="L214" s="436" t="s">
        <v>1073</v>
      </c>
    </row>
    <row r="215" spans="1:12" ht="14.15" customHeight="1">
      <c r="A215" s="436">
        <f t="shared" si="19"/>
        <v>199</v>
      </c>
      <c r="B215" s="52" t="s">
        <v>55</v>
      </c>
      <c r="C215" s="10">
        <v>3312571.02</v>
      </c>
      <c r="D215" s="10">
        <f>C215-E215</f>
        <v>49689.020000000019</v>
      </c>
      <c r="E215" s="10">
        <f>ROUND(C215*'Allocation Factors'!$G$16,0)</f>
        <v>3262882</v>
      </c>
      <c r="F215" s="10">
        <f>'Sch 5'!C205</f>
        <v>0</v>
      </c>
      <c r="G215" s="10">
        <f>E215+F215</f>
        <v>3262882</v>
      </c>
      <c r="H215" s="10"/>
      <c r="I215" s="15"/>
      <c r="J215" s="38"/>
      <c r="K215" s="38"/>
    </row>
    <row r="216" spans="1:12" ht="14.15" customHeight="1">
      <c r="A216" s="436">
        <f t="shared" si="19"/>
        <v>200</v>
      </c>
      <c r="B216" s="13" t="s">
        <v>481</v>
      </c>
      <c r="C216" s="47">
        <f>SUM(C214:C215)</f>
        <v>73164554.199999899</v>
      </c>
      <c r="D216" s="47">
        <f>SUM(D214:D215)</f>
        <v>1097469.1999999029</v>
      </c>
      <c r="E216" s="47">
        <f>SUM(E214:E215)</f>
        <v>72067085</v>
      </c>
      <c r="F216" s="47">
        <f>SUM(F214:F215)</f>
        <v>0</v>
      </c>
      <c r="G216" s="47">
        <f>SUM(G214:G215)</f>
        <v>72067085</v>
      </c>
      <c r="H216" s="47"/>
      <c r="I216" s="154"/>
      <c r="J216" s="38"/>
      <c r="K216" s="38"/>
    </row>
    <row r="217" spans="1:12" ht="14.15" customHeight="1">
      <c r="A217" s="436">
        <f t="shared" si="19"/>
        <v>201</v>
      </c>
      <c r="B217" s="22"/>
      <c r="C217" s="43"/>
      <c r="D217" s="16"/>
      <c r="E217" s="43"/>
      <c r="F217" s="43"/>
      <c r="G217" s="43"/>
      <c r="H217" s="43"/>
      <c r="I217" s="15"/>
      <c r="J217" s="38"/>
      <c r="K217" s="38"/>
    </row>
    <row r="218" spans="1:12" s="18" customFormat="1" ht="14.15" customHeight="1">
      <c r="A218" s="436">
        <f t="shared" si="19"/>
        <v>202</v>
      </c>
      <c r="B218" s="22" t="s">
        <v>138</v>
      </c>
      <c r="C218" s="10">
        <f>44033808.15-C219</f>
        <v>42651347.049999997</v>
      </c>
      <c r="D218" s="10">
        <f>C218-E218</f>
        <v>42651.04999999702</v>
      </c>
      <c r="E218" s="10">
        <f>ROUND(C218*'Allocation Factors'!$G$18,0)</f>
        <v>42608696</v>
      </c>
      <c r="F218" s="10">
        <f>'Sch 5'!C208</f>
        <v>0</v>
      </c>
      <c r="G218" s="10">
        <f>E218+F218</f>
        <v>42608696</v>
      </c>
      <c r="H218" s="10"/>
      <c r="I218" s="25" t="s">
        <v>348</v>
      </c>
      <c r="J218" s="38"/>
      <c r="K218" s="38"/>
      <c r="L218" s="436" t="s">
        <v>1073</v>
      </c>
    </row>
    <row r="219" spans="1:12" s="18" customFormat="1" ht="14.15" customHeight="1">
      <c r="A219" s="436">
        <f t="shared" si="19"/>
        <v>203</v>
      </c>
      <c r="B219" s="56" t="s">
        <v>55</v>
      </c>
      <c r="C219" s="10">
        <v>1382461.1</v>
      </c>
      <c r="D219" s="10">
        <f>C219-E219</f>
        <v>1382.1000000000931</v>
      </c>
      <c r="E219" s="10">
        <f>ROUND(C219*'Allocation Factors'!$G$18,0)</f>
        <v>1381079</v>
      </c>
      <c r="F219" s="10">
        <f>'Sch 5'!C209</f>
        <v>0</v>
      </c>
      <c r="G219" s="10">
        <f>E219+F219</f>
        <v>1381079</v>
      </c>
      <c r="H219" s="10"/>
      <c r="I219" s="25"/>
      <c r="J219" s="38"/>
      <c r="K219" s="38"/>
    </row>
    <row r="220" spans="1:12" s="18" customFormat="1" ht="14.15" customHeight="1">
      <c r="A220" s="436">
        <f t="shared" si="19"/>
        <v>204</v>
      </c>
      <c r="B220" s="13" t="s">
        <v>482</v>
      </c>
      <c r="C220" s="47">
        <f>SUM(C218:C219)</f>
        <v>44033808.149999999</v>
      </c>
      <c r="D220" s="47">
        <f>SUM(D218:D219)</f>
        <v>44033.149999997113</v>
      </c>
      <c r="E220" s="47">
        <f>SUM(E218:E219)</f>
        <v>43989775</v>
      </c>
      <c r="F220" s="47">
        <f>SUM(F218:F219)</f>
        <v>0</v>
      </c>
      <c r="G220" s="47">
        <f>SUM(G218:G219)</f>
        <v>43989775</v>
      </c>
      <c r="H220" s="47"/>
      <c r="I220" s="154"/>
      <c r="J220" s="38"/>
      <c r="K220" s="38"/>
    </row>
    <row r="221" spans="1:12" s="18" customFormat="1" ht="14.15" customHeight="1">
      <c r="A221" s="436">
        <f t="shared" si="19"/>
        <v>205</v>
      </c>
      <c r="B221" s="22"/>
      <c r="C221" s="43"/>
      <c r="D221" s="16"/>
      <c r="E221" s="43"/>
      <c r="F221" s="43"/>
      <c r="G221" s="16"/>
      <c r="H221" s="16"/>
      <c r="I221" s="25"/>
      <c r="J221" s="38"/>
      <c r="K221" s="38"/>
    </row>
    <row r="222" spans="1:12" s="18" customFormat="1" ht="14.15" customHeight="1">
      <c r="A222" s="436">
        <f t="shared" si="19"/>
        <v>206</v>
      </c>
      <c r="B222" s="22" t="s">
        <v>139</v>
      </c>
      <c r="C222" s="10">
        <f>6684522.38-C223</f>
        <v>6512158.3899999997</v>
      </c>
      <c r="D222" s="10">
        <f>C222-E222</f>
        <v>91170.389999999665</v>
      </c>
      <c r="E222" s="10">
        <f>ROUND(C222*'Allocation Factors'!$G$22,0)</f>
        <v>6420988</v>
      </c>
      <c r="F222" s="10">
        <f>'Sch 5'!C212</f>
        <v>0</v>
      </c>
      <c r="G222" s="10">
        <f>E222+F222</f>
        <v>6420988</v>
      </c>
      <c r="H222" s="10"/>
      <c r="I222" s="15" t="s">
        <v>352</v>
      </c>
      <c r="J222" s="38"/>
      <c r="K222" s="38"/>
      <c r="L222" s="436" t="s">
        <v>1073</v>
      </c>
    </row>
    <row r="223" spans="1:12" s="18" customFormat="1" ht="14.15" customHeight="1">
      <c r="A223" s="436">
        <f t="shared" si="19"/>
        <v>207</v>
      </c>
      <c r="B223" s="56" t="s">
        <v>55</v>
      </c>
      <c r="C223" s="10">
        <v>172363.99000000002</v>
      </c>
      <c r="D223" s="10">
        <f>C223-E223</f>
        <v>2412.9900000000198</v>
      </c>
      <c r="E223" s="10">
        <f>ROUND(C223*'Allocation Factors'!$G$22,0)</f>
        <v>169951</v>
      </c>
      <c r="F223" s="10">
        <f>'Sch 5'!C213</f>
        <v>0</v>
      </c>
      <c r="G223" s="10">
        <f>E223+F223</f>
        <v>169951</v>
      </c>
      <c r="H223" s="10"/>
      <c r="I223" s="25"/>
      <c r="J223" s="38"/>
      <c r="K223" s="38"/>
    </row>
    <row r="224" spans="1:12" s="18" customFormat="1" ht="14.15" customHeight="1">
      <c r="A224" s="436">
        <f t="shared" si="19"/>
        <v>208</v>
      </c>
      <c r="B224" s="13" t="s">
        <v>483</v>
      </c>
      <c r="C224" s="47">
        <f>SUM(C222:C223)</f>
        <v>6684522.3799999999</v>
      </c>
      <c r="D224" s="47">
        <f>SUM(D222:D223)</f>
        <v>93583.379999999685</v>
      </c>
      <c r="E224" s="47">
        <f>SUM(E222:E223)</f>
        <v>6590939</v>
      </c>
      <c r="F224" s="47">
        <f>SUM(F222:F223)</f>
        <v>0</v>
      </c>
      <c r="G224" s="47">
        <f>SUM(G222:G223)</f>
        <v>6590939</v>
      </c>
      <c r="H224" s="47"/>
      <c r="I224" s="49"/>
      <c r="J224" s="38"/>
      <c r="K224" s="38"/>
    </row>
    <row r="225" spans="1:12" s="18" customFormat="1" ht="14.15" customHeight="1">
      <c r="A225" s="436">
        <f t="shared" si="19"/>
        <v>209</v>
      </c>
      <c r="B225" s="56"/>
      <c r="C225" s="64"/>
      <c r="D225" s="146"/>
      <c r="E225" s="64"/>
      <c r="F225" s="64"/>
      <c r="G225" s="146"/>
      <c r="H225" s="146"/>
      <c r="I225" s="52"/>
      <c r="J225" s="38"/>
      <c r="K225" s="38"/>
    </row>
    <row r="226" spans="1:12" s="18" customFormat="1" ht="14.15" customHeight="1">
      <c r="A226" s="436">
        <f t="shared" si="19"/>
        <v>210</v>
      </c>
      <c r="B226" s="85" t="s">
        <v>146</v>
      </c>
      <c r="C226" s="16">
        <f>C212+C216+C220+C224+C208</f>
        <v>144447403.46999991</v>
      </c>
      <c r="D226" s="16">
        <f>D206+D212+D216+D220+D224+D208</f>
        <v>5294982.7999998992</v>
      </c>
      <c r="E226" s="16">
        <f>E206+E212+E216+E220+E224+E208</f>
        <v>141013589</v>
      </c>
      <c r="F226" s="16">
        <f>F206+F212+F216+F220+F224+F208</f>
        <v>-11100396</v>
      </c>
      <c r="G226" s="16">
        <f>G206+G212+G216+G220+G224+G208</f>
        <v>129913193</v>
      </c>
      <c r="H226" s="16"/>
      <c r="I226" s="150"/>
      <c r="J226" s="38"/>
      <c r="K226" s="38"/>
    </row>
    <row r="227" spans="1:12" s="18" customFormat="1" ht="14.15" customHeight="1">
      <c r="A227" s="436">
        <f t="shared" si="19"/>
        <v>211</v>
      </c>
      <c r="B227" s="85"/>
      <c r="C227" s="16"/>
      <c r="D227" s="16"/>
      <c r="E227" s="16"/>
      <c r="F227" s="16"/>
      <c r="G227" s="16"/>
      <c r="H227" s="16"/>
      <c r="I227" s="150"/>
      <c r="J227" s="38"/>
      <c r="K227" s="38"/>
    </row>
    <row r="228" spans="1:12" s="18" customFormat="1" ht="14.15" customHeight="1">
      <c r="A228" s="436">
        <f t="shared" si="19"/>
        <v>212</v>
      </c>
      <c r="B228" s="85" t="s">
        <v>825</v>
      </c>
      <c r="C228" s="16">
        <f>C207+C211+C215+C219+C223</f>
        <v>5377686.9100000001</v>
      </c>
      <c r="D228" s="16">
        <f>D207+D211+D215+D219+D223</f>
        <v>118148.91000000012</v>
      </c>
      <c r="E228" s="16">
        <f>E207+E211+E215+E219+E223</f>
        <v>5259538</v>
      </c>
      <c r="F228" s="16">
        <f>F207+F211+F215+F219+F223</f>
        <v>0</v>
      </c>
      <c r="G228" s="16">
        <f>G207+G211+G215+G219+G223</f>
        <v>5259538</v>
      </c>
      <c r="H228" s="16"/>
      <c r="I228" s="150"/>
      <c r="J228" s="38"/>
      <c r="K228" s="38"/>
    </row>
    <row r="229" spans="1:12" s="18" customFormat="1" ht="14.15" customHeight="1">
      <c r="A229" s="436">
        <f t="shared" si="19"/>
        <v>213</v>
      </c>
      <c r="B229" s="85" t="s">
        <v>824</v>
      </c>
      <c r="C229" s="16">
        <f>C206+C210+C214+C218+C222</f>
        <v>139069716.55999988</v>
      </c>
      <c r="D229" s="16">
        <f>D206+D210+D214+D218+D222</f>
        <v>3315665.559999899</v>
      </c>
      <c r="E229" s="16">
        <f>E206+E210+E214+E218+E222</f>
        <v>135754051</v>
      </c>
      <c r="F229" s="16">
        <f>F206+F210+F214+F218+F222</f>
        <v>-11100396</v>
      </c>
      <c r="G229" s="16">
        <f>G206+G210+G214+G218+G222</f>
        <v>124653655</v>
      </c>
      <c r="H229" s="16"/>
      <c r="I229" s="150"/>
      <c r="J229" s="38"/>
      <c r="K229" s="38"/>
      <c r="L229" s="436" t="s">
        <v>1073</v>
      </c>
    </row>
    <row r="230" spans="1:12" s="18" customFormat="1" ht="14.15" customHeight="1">
      <c r="A230" s="436">
        <f t="shared" si="19"/>
        <v>214</v>
      </c>
      <c r="B230" s="25"/>
      <c r="C230" s="16"/>
      <c r="D230" s="16"/>
      <c r="E230" s="125"/>
      <c r="F230" s="16"/>
      <c r="G230" s="19"/>
      <c r="H230" s="19"/>
      <c r="I230" s="25"/>
      <c r="J230" s="38"/>
      <c r="K230" s="38"/>
    </row>
    <row r="231" spans="1:12" ht="14.15" customHeight="1">
      <c r="A231" s="436">
        <f t="shared" si="19"/>
        <v>215</v>
      </c>
      <c r="B231" s="13" t="s">
        <v>152</v>
      </c>
      <c r="C231" s="10"/>
      <c r="D231" s="10"/>
      <c r="E231" s="10"/>
      <c r="F231" s="10"/>
      <c r="G231" s="10"/>
      <c r="H231" s="10"/>
      <c r="I231" s="15"/>
      <c r="J231" s="38"/>
      <c r="K231" s="38"/>
    </row>
    <row r="232" spans="1:12" ht="14.15" customHeight="1">
      <c r="A232" s="436">
        <f t="shared" si="19"/>
        <v>216</v>
      </c>
      <c r="B232" s="22" t="s">
        <v>136</v>
      </c>
      <c r="C232" s="10">
        <v>0</v>
      </c>
      <c r="D232" s="10">
        <f>C232-E232</f>
        <v>0</v>
      </c>
      <c r="E232" s="16">
        <v>0</v>
      </c>
      <c r="F232" s="10">
        <f>'Sch 5'!C219</f>
        <v>0</v>
      </c>
      <c r="G232" s="10">
        <f>E232+F232</f>
        <v>0</v>
      </c>
      <c r="H232" s="10"/>
      <c r="I232" s="25" t="s">
        <v>378</v>
      </c>
      <c r="J232" s="38"/>
      <c r="K232" s="38"/>
    </row>
    <row r="233" spans="1:12" ht="14.15" customHeight="1">
      <c r="A233" s="436">
        <f t="shared" si="19"/>
        <v>217</v>
      </c>
      <c r="B233" s="22" t="s">
        <v>145</v>
      </c>
      <c r="C233" s="10">
        <v>0</v>
      </c>
      <c r="D233" s="10">
        <f>C233-E233</f>
        <v>0</v>
      </c>
      <c r="E233" s="16">
        <f>ROUND(C233*'Allocation Factors'!$G$12,0)</f>
        <v>0</v>
      </c>
      <c r="F233" s="10">
        <f>'Sch 5'!C220</f>
        <v>0</v>
      </c>
      <c r="G233" s="10">
        <f>E233+F233</f>
        <v>0</v>
      </c>
      <c r="H233" s="10"/>
      <c r="I233" s="15" t="s">
        <v>343</v>
      </c>
      <c r="J233" s="38"/>
      <c r="K233" s="38"/>
    </row>
    <row r="234" spans="1:12" ht="14.15" customHeight="1">
      <c r="A234" s="436">
        <f t="shared" si="19"/>
        <v>218</v>
      </c>
      <c r="B234" s="22" t="s">
        <v>138</v>
      </c>
      <c r="C234" s="10">
        <v>801671.21</v>
      </c>
      <c r="D234" s="10">
        <f>C234-E234</f>
        <v>801.20999999996275</v>
      </c>
      <c r="E234" s="16">
        <f>ROUND(C234*'Allocation Factors'!$G$18,0)</f>
        <v>800870</v>
      </c>
      <c r="F234" s="10">
        <f>'Sch 5'!C221</f>
        <v>0</v>
      </c>
      <c r="G234" s="10">
        <f>E234+F234</f>
        <v>800870</v>
      </c>
      <c r="H234" s="10"/>
      <c r="I234" s="25" t="s">
        <v>348</v>
      </c>
      <c r="J234" s="38"/>
      <c r="K234" s="38"/>
      <c r="L234" s="436">
        <v>1050001</v>
      </c>
    </row>
    <row r="235" spans="1:12" ht="14.15" customHeight="1">
      <c r="A235" s="436">
        <f t="shared" si="19"/>
        <v>219</v>
      </c>
      <c r="B235" s="56" t="s">
        <v>139</v>
      </c>
      <c r="C235" s="10">
        <v>0</v>
      </c>
      <c r="D235" s="10">
        <f>C235-E235</f>
        <v>0</v>
      </c>
      <c r="E235" s="10">
        <f>ROUND(C235*'Allocation Factors'!$G$22,0)</f>
        <v>0</v>
      </c>
      <c r="F235" s="10">
        <f>'Sch 5'!C222</f>
        <v>0</v>
      </c>
      <c r="G235" s="10">
        <f>E235+F235</f>
        <v>0</v>
      </c>
      <c r="H235" s="10"/>
      <c r="I235" s="15" t="s">
        <v>352</v>
      </c>
      <c r="J235" s="38"/>
      <c r="K235" s="38"/>
    </row>
    <row r="236" spans="1:12" ht="14.15" customHeight="1">
      <c r="A236" s="436">
        <f t="shared" si="19"/>
        <v>220</v>
      </c>
      <c r="B236" s="85" t="s">
        <v>488</v>
      </c>
      <c r="C236" s="80">
        <f>SUM(C232:C235)</f>
        <v>801671.21</v>
      </c>
      <c r="D236" s="80">
        <f>SUM(D232:D235)</f>
        <v>801.20999999996275</v>
      </c>
      <c r="E236" s="80">
        <f>SUM(E232:E235)</f>
        <v>800870</v>
      </c>
      <c r="F236" s="80">
        <f>SUM(F232:F235)</f>
        <v>0</v>
      </c>
      <c r="G236" s="80">
        <f>G232+G233+G234+G235</f>
        <v>800870</v>
      </c>
      <c r="H236" s="80"/>
      <c r="I236" s="142"/>
      <c r="J236" s="38"/>
      <c r="K236" s="38"/>
      <c r="L236" s="436">
        <v>1050001</v>
      </c>
    </row>
    <row r="237" spans="1:12" ht="14.15" customHeight="1">
      <c r="A237" s="436">
        <f t="shared" si="19"/>
        <v>221</v>
      </c>
      <c r="B237" s="25"/>
      <c r="C237" s="16"/>
      <c r="D237" s="16"/>
      <c r="E237" s="125"/>
      <c r="F237" s="16"/>
      <c r="G237" s="16"/>
      <c r="H237" s="16"/>
      <c r="I237" s="17"/>
      <c r="J237" s="38"/>
      <c r="K237" s="38"/>
    </row>
    <row r="238" spans="1:12" s="18" customFormat="1" ht="14.15" customHeight="1">
      <c r="A238" s="436">
        <f t="shared" si="19"/>
        <v>222</v>
      </c>
      <c r="B238" s="13" t="s">
        <v>374</v>
      </c>
      <c r="C238" s="10"/>
      <c r="D238" s="10"/>
      <c r="E238" s="10"/>
      <c r="F238" s="10"/>
      <c r="G238" s="19"/>
      <c r="H238" s="19"/>
      <c r="I238" s="25"/>
      <c r="J238" s="38"/>
      <c r="K238" s="38"/>
    </row>
    <row r="239" spans="1:12" ht="39" customHeight="1">
      <c r="A239" s="436">
        <f t="shared" si="19"/>
        <v>223</v>
      </c>
      <c r="B239" s="22" t="s">
        <v>153</v>
      </c>
      <c r="C239" s="10">
        <f>38883577.25+1132047.48+8488907.18</f>
        <v>48504531.909999996</v>
      </c>
      <c r="D239" s="10">
        <f>C239-E239</f>
        <v>679063.90999999642</v>
      </c>
      <c r="E239" s="10">
        <f>ROUND(C239*'Allocation Factors'!$G$14,0)</f>
        <v>47825468</v>
      </c>
      <c r="F239" s="10">
        <f>'Sch 5'!C226</f>
        <v>-16290160</v>
      </c>
      <c r="G239" s="10">
        <f>E239+F239</f>
        <v>31535308</v>
      </c>
      <c r="H239" s="10"/>
      <c r="I239" s="15" t="s">
        <v>344</v>
      </c>
      <c r="J239" s="38"/>
      <c r="K239" s="38"/>
      <c r="L239" s="438" t="s">
        <v>1078</v>
      </c>
    </row>
    <row r="240" spans="1:12" ht="14.15" customHeight="1">
      <c r="A240" s="436">
        <f t="shared" si="19"/>
        <v>224</v>
      </c>
      <c r="B240" s="22" t="s">
        <v>155</v>
      </c>
      <c r="C240" s="10">
        <v>9113506.4680000003</v>
      </c>
      <c r="D240" s="10">
        <f>C240-E240</f>
        <v>136702.46800000034</v>
      </c>
      <c r="E240" s="10">
        <f>ROUND(C240*'Allocation Factors'!$G$10,0)</f>
        <v>8976804</v>
      </c>
      <c r="F240" s="10">
        <f>'Sch 5'!C227</f>
        <v>0</v>
      </c>
      <c r="G240" s="10">
        <f>E240+F240</f>
        <v>8976804</v>
      </c>
      <c r="H240" s="10"/>
      <c r="I240" s="15" t="s">
        <v>341</v>
      </c>
      <c r="J240" s="38"/>
      <c r="K240" s="38"/>
      <c r="L240" s="436" t="s">
        <v>1077</v>
      </c>
    </row>
    <row r="241" spans="1:12" ht="14.15" customHeight="1">
      <c r="A241" s="436">
        <f t="shared" si="19"/>
        <v>225</v>
      </c>
      <c r="B241" s="22" t="s">
        <v>155</v>
      </c>
      <c r="C241" s="10">
        <v>3268321.05</v>
      </c>
      <c r="D241" s="10">
        <f>C241-E241</f>
        <v>45756.049999999814</v>
      </c>
      <c r="E241" s="10">
        <f>ROUND(C241*'Allocation Factors'!$G$14,0)</f>
        <v>3222565</v>
      </c>
      <c r="F241" s="10">
        <f>'Sch 5'!C228</f>
        <v>-1844518</v>
      </c>
      <c r="G241" s="10">
        <f>E241+F241</f>
        <v>1378047</v>
      </c>
      <c r="H241" s="10"/>
      <c r="I241" s="15" t="s">
        <v>344</v>
      </c>
      <c r="J241" s="38"/>
      <c r="K241" s="38"/>
      <c r="L241" s="436" t="s">
        <v>1076</v>
      </c>
    </row>
    <row r="242" spans="1:12" ht="14.15" customHeight="1">
      <c r="A242" s="436">
        <f t="shared" si="19"/>
        <v>226</v>
      </c>
      <c r="B242" s="22" t="s">
        <v>156</v>
      </c>
      <c r="C242" s="10">
        <v>3192626.4790000003</v>
      </c>
      <c r="D242" s="10">
        <f>C242-E242</f>
        <v>47889.479000000283</v>
      </c>
      <c r="E242" s="10">
        <f>ROUND(C242*'Allocation Factors'!$G$16,0)</f>
        <v>3144737</v>
      </c>
      <c r="F242" s="10">
        <f>'Sch 5'!C229</f>
        <v>0</v>
      </c>
      <c r="G242" s="10">
        <f>E242+F242</f>
        <v>3144737</v>
      </c>
      <c r="H242" s="10"/>
      <c r="I242" s="15" t="s">
        <v>346</v>
      </c>
      <c r="J242" s="38"/>
      <c r="K242" s="38"/>
      <c r="L242" s="436" t="s">
        <v>1075</v>
      </c>
    </row>
    <row r="243" spans="1:12" ht="14.15" customHeight="1">
      <c r="A243" s="436">
        <f t="shared" si="19"/>
        <v>227</v>
      </c>
      <c r="B243" s="56" t="s">
        <v>157</v>
      </c>
      <c r="C243" s="64">
        <v>7255106.7019999996</v>
      </c>
      <c r="D243" s="64">
        <f>C243-E243</f>
        <v>7254.7019999995828</v>
      </c>
      <c r="E243" s="64">
        <f>ROUND(C243*'Allocation Factors'!$G$18,0)</f>
        <v>7247852</v>
      </c>
      <c r="F243" s="64">
        <f>'Sch 5'!C230</f>
        <v>0</v>
      </c>
      <c r="G243" s="64">
        <f>E243+F243</f>
        <v>7247852</v>
      </c>
      <c r="H243" s="64"/>
      <c r="I243" s="130" t="s">
        <v>348</v>
      </c>
      <c r="J243" s="38"/>
      <c r="K243" s="38"/>
      <c r="L243" s="436" t="s">
        <v>1074</v>
      </c>
    </row>
    <row r="244" spans="1:12" ht="43.5" customHeight="1">
      <c r="A244" s="436">
        <f t="shared" si="19"/>
        <v>228</v>
      </c>
      <c r="B244" s="13" t="s">
        <v>518</v>
      </c>
      <c r="C244" s="10">
        <f>SUM(C239:C243)</f>
        <v>71334092.608999997</v>
      </c>
      <c r="D244" s="10">
        <f>SUM(D239:D243)</f>
        <v>916666.60899999645</v>
      </c>
      <c r="E244" s="10">
        <f>SUM(E239:E243)</f>
        <v>70417426</v>
      </c>
      <c r="F244" s="10">
        <f>SUM(F239:F243)</f>
        <v>-18134678</v>
      </c>
      <c r="G244" s="10">
        <f>SUM(G239:G243)</f>
        <v>52282748</v>
      </c>
      <c r="H244" s="10"/>
      <c r="I244" s="15"/>
      <c r="J244" s="38"/>
      <c r="K244" s="38"/>
      <c r="L244" s="438" t="s">
        <v>1004</v>
      </c>
    </row>
    <row r="245" spans="1:12" ht="14.15" customHeight="1">
      <c r="A245" s="436">
        <f t="shared" si="19"/>
        <v>229</v>
      </c>
      <c r="B245" s="22"/>
      <c r="C245" s="10"/>
      <c r="D245" s="10"/>
      <c r="E245" s="10"/>
      <c r="F245" s="10"/>
      <c r="G245" s="10"/>
      <c r="H245" s="10"/>
      <c r="I245" s="15"/>
      <c r="J245" s="38"/>
      <c r="K245" s="38"/>
    </row>
    <row r="246" spans="1:12" ht="14.15" customHeight="1">
      <c r="A246" s="436">
        <f t="shared" si="19"/>
        <v>230</v>
      </c>
      <c r="B246" s="13" t="s">
        <v>373</v>
      </c>
      <c r="C246" s="10"/>
      <c r="D246" s="10"/>
      <c r="E246" s="10"/>
      <c r="F246" s="10"/>
      <c r="G246" s="10"/>
      <c r="H246" s="10"/>
      <c r="I246" s="15"/>
      <c r="J246" s="38"/>
      <c r="K246" s="38"/>
    </row>
    <row r="247" spans="1:12" ht="14.15" customHeight="1">
      <c r="A247" s="436">
        <f t="shared" ref="A247:A312" si="20">+A246+1</f>
        <v>231</v>
      </c>
      <c r="B247" s="22" t="s">
        <v>956</v>
      </c>
      <c r="C247" s="10">
        <f>13594831.4+28069873.36</f>
        <v>41664704.759999998</v>
      </c>
      <c r="D247" s="10">
        <f>C247-E247</f>
        <v>583305.75999999791</v>
      </c>
      <c r="E247" s="10">
        <f>ROUND(C247*'Allocation Factors'!$G$24,0)</f>
        <v>41081399</v>
      </c>
      <c r="F247" s="10">
        <f>'Sch 5'!C234</f>
        <v>-41081399</v>
      </c>
      <c r="G247" s="10">
        <f>E247+F247</f>
        <v>0</v>
      </c>
      <c r="H247" s="10"/>
      <c r="I247" s="15" t="s">
        <v>354</v>
      </c>
      <c r="J247" s="38"/>
      <c r="K247" s="38"/>
      <c r="L247" s="436" t="s">
        <v>1005</v>
      </c>
    </row>
    <row r="248" spans="1:12" ht="69" customHeight="1">
      <c r="A248" s="436">
        <f t="shared" si="20"/>
        <v>232</v>
      </c>
      <c r="B248" s="56" t="s">
        <v>159</v>
      </c>
      <c r="C248" s="10">
        <v>1147845.54</v>
      </c>
      <c r="D248" s="10">
        <f>C248-E248</f>
        <v>16069.540000000037</v>
      </c>
      <c r="E248" s="10">
        <f>ROUND(C248*'Allocation Factors'!$G$24,0)</f>
        <v>1131776</v>
      </c>
      <c r="F248" s="10">
        <f>'Sch 5'!C235</f>
        <v>-9915482.0700000003</v>
      </c>
      <c r="G248" s="10">
        <f>E248+F248</f>
        <v>-8783706.0700000003</v>
      </c>
      <c r="H248" s="10"/>
      <c r="I248" s="15" t="s">
        <v>354</v>
      </c>
      <c r="J248" s="38"/>
      <c r="K248" s="38"/>
      <c r="L248" s="438" t="s">
        <v>1006</v>
      </c>
    </row>
    <row r="249" spans="1:12" ht="14.15" customHeight="1">
      <c r="A249" s="436">
        <f t="shared" si="20"/>
        <v>233</v>
      </c>
      <c r="B249" s="13" t="s">
        <v>519</v>
      </c>
      <c r="C249" s="80">
        <f>SUM(C247:C248)</f>
        <v>42812550.299999997</v>
      </c>
      <c r="D249" s="80">
        <f>SUM(D247:D248)</f>
        <v>599375.29999999795</v>
      </c>
      <c r="E249" s="80">
        <f>SUM(E247:E248)</f>
        <v>42213175</v>
      </c>
      <c r="F249" s="80">
        <f>SUM(F247:F248)</f>
        <v>-50996881.07</v>
      </c>
      <c r="G249" s="80">
        <f>SUM(G247:G248)</f>
        <v>-8783706.0700000003</v>
      </c>
      <c r="H249" s="80"/>
      <c r="I249" s="142"/>
      <c r="J249" s="38"/>
      <c r="K249" s="38"/>
    </row>
    <row r="250" spans="1:12" ht="14.15" customHeight="1">
      <c r="A250" s="436">
        <f t="shared" si="20"/>
        <v>234</v>
      </c>
      <c r="B250" s="25"/>
      <c r="C250" s="16"/>
      <c r="D250" s="16"/>
      <c r="E250" s="125"/>
      <c r="F250" s="16"/>
      <c r="G250" s="43"/>
      <c r="H250" s="43"/>
      <c r="I250" s="15"/>
      <c r="J250" s="38"/>
      <c r="K250" s="38"/>
    </row>
    <row r="251" spans="1:12" ht="14.15" customHeight="1">
      <c r="A251" s="436">
        <f t="shared" si="20"/>
        <v>235</v>
      </c>
      <c r="B251" s="25"/>
      <c r="C251" s="16"/>
      <c r="D251" s="16"/>
      <c r="E251" s="16"/>
      <c r="F251" s="16"/>
      <c r="G251" s="10"/>
      <c r="H251" s="10"/>
      <c r="I251" s="15"/>
      <c r="J251" s="38"/>
      <c r="K251" s="38"/>
    </row>
    <row r="252" spans="1:12" ht="14.15" customHeight="1">
      <c r="A252" s="436">
        <f t="shared" si="20"/>
        <v>236</v>
      </c>
      <c r="B252" s="13" t="s">
        <v>160</v>
      </c>
      <c r="C252" s="10"/>
      <c r="D252" s="10"/>
      <c r="E252" s="10"/>
      <c r="F252" s="10"/>
      <c r="G252" s="10"/>
      <c r="H252" s="10"/>
      <c r="I252" s="15"/>
      <c r="J252" s="38"/>
      <c r="K252" s="38"/>
    </row>
    <row r="253" spans="1:12" s="18" customFormat="1" ht="33.75" customHeight="1">
      <c r="A253" s="436">
        <f t="shared" si="20"/>
        <v>237</v>
      </c>
      <c r="B253" s="22" t="s">
        <v>909</v>
      </c>
      <c r="C253" s="10">
        <v>-466468648.20915747</v>
      </c>
      <c r="D253" s="10">
        <f t="shared" ref="D253:D260" si="21">C253-E253</f>
        <v>-117260392.20915747</v>
      </c>
      <c r="E253" s="463">
        <v>-349208256</v>
      </c>
      <c r="F253" s="10">
        <f>'Sch 5'!C240</f>
        <v>68478082.195299998</v>
      </c>
      <c r="G253" s="10">
        <f t="shared" ref="G253:G260" si="22">E253+F253</f>
        <v>-280730173.80470002</v>
      </c>
      <c r="H253" s="10"/>
      <c r="I253" s="25" t="s">
        <v>354</v>
      </c>
      <c r="J253" s="38"/>
      <c r="K253" s="38"/>
      <c r="L253" s="380" t="s">
        <v>1080</v>
      </c>
    </row>
    <row r="254" spans="1:12" s="18" customFormat="1" ht="14.15" customHeight="1">
      <c r="A254" s="436">
        <f t="shared" si="20"/>
        <v>238</v>
      </c>
      <c r="B254" s="22" t="s">
        <v>162</v>
      </c>
      <c r="C254" s="10">
        <v>0</v>
      </c>
      <c r="D254" s="10">
        <f t="shared" si="21"/>
        <v>0</v>
      </c>
      <c r="E254" s="10">
        <v>0</v>
      </c>
      <c r="F254" s="10">
        <f>'Sch 5'!C241</f>
        <v>0</v>
      </c>
      <c r="G254" s="10">
        <f t="shared" si="22"/>
        <v>0</v>
      </c>
      <c r="H254" s="10"/>
      <c r="I254" s="25" t="s">
        <v>54</v>
      </c>
      <c r="J254" s="38"/>
      <c r="K254" s="38"/>
    </row>
    <row r="255" spans="1:12" s="18" customFormat="1" ht="14.15" customHeight="1">
      <c r="A255" s="436">
        <f t="shared" si="20"/>
        <v>239</v>
      </c>
      <c r="B255" s="22" t="s">
        <v>163</v>
      </c>
      <c r="C255" s="10">
        <v>0</v>
      </c>
      <c r="D255" s="10">
        <f t="shared" si="21"/>
        <v>0</v>
      </c>
      <c r="E255" s="10">
        <v>0</v>
      </c>
      <c r="F255" s="10">
        <f>'Sch 5'!C242</f>
        <v>0</v>
      </c>
      <c r="G255" s="10">
        <f t="shared" si="22"/>
        <v>0</v>
      </c>
      <c r="H255" s="10"/>
      <c r="I255" s="25" t="s">
        <v>54</v>
      </c>
      <c r="J255" s="38"/>
      <c r="K255" s="38"/>
    </row>
    <row r="256" spans="1:12" s="18" customFormat="1" ht="14.15" customHeight="1">
      <c r="A256" s="436">
        <f t="shared" si="20"/>
        <v>240</v>
      </c>
      <c r="B256" s="83" t="s">
        <v>1109</v>
      </c>
      <c r="C256" s="10">
        <f>2999191.2-411+411.22+811.24</f>
        <v>3000002.6600000006</v>
      </c>
      <c r="D256" s="10">
        <f t="shared" ref="D256" si="23">C256-E256</f>
        <v>0</v>
      </c>
      <c r="E256" s="10">
        <f>C256</f>
        <v>3000002.6600000006</v>
      </c>
      <c r="F256" s="10">
        <f>'Sch 5'!C244</f>
        <v>0</v>
      </c>
      <c r="G256" s="10">
        <f t="shared" ref="G256" si="24">E256+F256</f>
        <v>3000002.6600000006</v>
      </c>
      <c r="H256" s="10"/>
      <c r="I256" s="25" t="s">
        <v>54</v>
      </c>
      <c r="J256" s="38"/>
      <c r="K256" s="38"/>
      <c r="L256" s="18" t="s">
        <v>1119</v>
      </c>
    </row>
    <row r="257" spans="1:12" s="18" customFormat="1" ht="14.15" customHeight="1">
      <c r="A257" s="436">
        <f t="shared" si="20"/>
        <v>241</v>
      </c>
      <c r="B257" s="22" t="s">
        <v>1123</v>
      </c>
      <c r="C257" s="10">
        <f>-100134.01+-297005.08+-627351.96</f>
        <v>-1024491.05</v>
      </c>
      <c r="D257" s="10">
        <f t="shared" si="21"/>
        <v>-5.0000000046566129E-2</v>
      </c>
      <c r="E257" s="10">
        <f>ROUND(C257*'Allocation Factors'!$G$34,0)</f>
        <v>-1024491</v>
      </c>
      <c r="F257" s="10">
        <f>'Sch 5'!C244</f>
        <v>0</v>
      </c>
      <c r="G257" s="10">
        <f t="shared" si="22"/>
        <v>-1024491</v>
      </c>
      <c r="H257" s="10"/>
      <c r="I257" s="25" t="s">
        <v>378</v>
      </c>
      <c r="J257" s="38"/>
      <c r="K257" s="38"/>
      <c r="L257" s="18" t="s">
        <v>1124</v>
      </c>
    </row>
    <row r="258" spans="1:12" ht="14.15" customHeight="1">
      <c r="A258" s="436">
        <f t="shared" si="20"/>
        <v>242</v>
      </c>
      <c r="B258" s="22" t="s">
        <v>164</v>
      </c>
      <c r="C258" s="10">
        <f>-39415318.47+-209261.88</f>
        <v>-39624580.350000001</v>
      </c>
      <c r="D258" s="10">
        <f>J258</f>
        <v>-209261.88</v>
      </c>
      <c r="E258" s="10">
        <f>C258-D258</f>
        <v>-39415318.469999999</v>
      </c>
      <c r="F258" s="10">
        <f>'Sch 5'!C245</f>
        <v>0</v>
      </c>
      <c r="G258" s="10">
        <f t="shared" si="22"/>
        <v>-39415318.469999999</v>
      </c>
      <c r="H258" s="10"/>
      <c r="I258" s="25" t="s">
        <v>378</v>
      </c>
      <c r="J258" s="38">
        <v>-209261.88</v>
      </c>
      <c r="K258" s="38"/>
      <c r="L258" s="436" t="s">
        <v>1079</v>
      </c>
    </row>
    <row r="259" spans="1:12" ht="14.15" customHeight="1">
      <c r="A259" s="436">
        <f t="shared" si="20"/>
        <v>243</v>
      </c>
      <c r="B259" s="22" t="s">
        <v>1117</v>
      </c>
      <c r="C259" s="10">
        <v>0</v>
      </c>
      <c r="D259" s="10">
        <f>C259-E259</f>
        <v>0</v>
      </c>
      <c r="E259" s="10">
        <f>C259</f>
        <v>0</v>
      </c>
      <c r="F259" s="10">
        <f>'Sch 5'!C246</f>
        <v>0</v>
      </c>
      <c r="G259" s="10"/>
      <c r="H259" s="10"/>
      <c r="I259" s="25" t="s">
        <v>54</v>
      </c>
      <c r="J259" s="38"/>
      <c r="K259" s="38"/>
    </row>
    <row r="260" spans="1:12" ht="14.15" customHeight="1">
      <c r="A260" s="436">
        <f t="shared" si="20"/>
        <v>244</v>
      </c>
      <c r="B260" s="56" t="s">
        <v>165</v>
      </c>
      <c r="C260" s="64">
        <v>0</v>
      </c>
      <c r="D260" s="64">
        <f t="shared" si="21"/>
        <v>0</v>
      </c>
      <c r="E260" s="64">
        <v>0</v>
      </c>
      <c r="F260" s="64">
        <f>'Sch 5'!C247</f>
        <v>0</v>
      </c>
      <c r="G260" s="64">
        <f t="shared" si="22"/>
        <v>0</v>
      </c>
      <c r="H260" s="64"/>
      <c r="I260" s="52" t="s">
        <v>54</v>
      </c>
      <c r="J260" s="38"/>
      <c r="K260" s="38"/>
    </row>
    <row r="261" spans="1:12" ht="14.15" customHeight="1">
      <c r="A261" s="436">
        <f t="shared" si="20"/>
        <v>245</v>
      </c>
      <c r="B261" s="85" t="s">
        <v>166</v>
      </c>
      <c r="C261" s="16">
        <f>SUM(C253:C260)</f>
        <v>-504117716.94915748</v>
      </c>
      <c r="D261" s="16">
        <f>SUM(D253:D260)</f>
        <v>-117469654.13915746</v>
      </c>
      <c r="E261" s="16">
        <f>SUM(E253:E260)</f>
        <v>-386648062.80999994</v>
      </c>
      <c r="F261" s="16">
        <f>SUM(F253:F260)</f>
        <v>68478082.195299998</v>
      </c>
      <c r="G261" s="16">
        <f>SUM(G253:G260)</f>
        <v>-318169980.61469996</v>
      </c>
      <c r="H261" s="16"/>
      <c r="I261" s="150"/>
      <c r="J261" s="38"/>
      <c r="K261" s="38"/>
    </row>
    <row r="262" spans="1:12" ht="14.15" customHeight="1">
      <c r="A262" s="436">
        <f t="shared" si="20"/>
        <v>246</v>
      </c>
      <c r="B262" s="52"/>
      <c r="C262" s="16"/>
      <c r="D262" s="16"/>
      <c r="E262" s="16"/>
      <c r="F262" s="16"/>
      <c r="G262" s="16"/>
      <c r="H262" s="16"/>
      <c r="I262" s="150"/>
      <c r="J262" s="38"/>
      <c r="K262" s="38"/>
    </row>
    <row r="263" spans="1:12" s="3" customFormat="1" ht="14.15" customHeight="1" thickBot="1">
      <c r="A263" s="436">
        <f t="shared" si="20"/>
        <v>247</v>
      </c>
      <c r="B263" s="54" t="s">
        <v>915</v>
      </c>
      <c r="C263" s="86">
        <f>C203+C229+C236+C244+C249+C261</f>
        <v>1795204747.3898423</v>
      </c>
      <c r="D263" s="86">
        <f>D203+D229+D236+D244+D249+D261</f>
        <v>-85402476.490157604</v>
      </c>
      <c r="E263" s="86">
        <f>E203+E229+E236+E244+E249+E261</f>
        <v>1880607223.8799996</v>
      </c>
      <c r="F263" s="86">
        <f>F203+F229+F236+F244+F249+F261</f>
        <v>-188212652.87470001</v>
      </c>
      <c r="G263" s="86">
        <f>G203+G229+G236+G244+G249+G261</f>
        <v>1692394571.0052996</v>
      </c>
      <c r="H263" s="86"/>
      <c r="I263" s="55"/>
      <c r="J263" s="38"/>
      <c r="K263" s="38"/>
      <c r="L263" s="197"/>
    </row>
    <row r="264" spans="1:12" ht="13.5" customHeight="1" thickTop="1">
      <c r="A264" s="436">
        <f t="shared" si="20"/>
        <v>248</v>
      </c>
      <c r="B264" s="65"/>
      <c r="C264" s="65"/>
      <c r="D264" s="43"/>
      <c r="E264" s="43"/>
      <c r="F264" s="43"/>
      <c r="G264" s="43"/>
      <c r="H264" s="43"/>
      <c r="I264" s="15"/>
      <c r="J264" s="38"/>
      <c r="K264" s="38"/>
    </row>
    <row r="265" spans="1:12" ht="13.5" customHeight="1">
      <c r="A265" s="436">
        <f t="shared" si="20"/>
        <v>249</v>
      </c>
      <c r="B265" s="22"/>
      <c r="C265" s="10"/>
      <c r="D265" s="10"/>
      <c r="E265" s="10"/>
      <c r="F265" s="10"/>
      <c r="G265" s="10"/>
      <c r="H265" s="10"/>
      <c r="I265" s="15"/>
      <c r="J265" s="38"/>
      <c r="K265" s="38"/>
    </row>
    <row r="266" spans="1:12" ht="25">
      <c r="A266" s="436">
        <f t="shared" si="20"/>
        <v>250</v>
      </c>
      <c r="B266" s="124" t="s">
        <v>318</v>
      </c>
      <c r="C266" s="10">
        <f>307168643.95+382178696.94+2202874.83</f>
        <v>691550215.72000003</v>
      </c>
      <c r="D266" s="19">
        <f>C266-E266</f>
        <v>0</v>
      </c>
      <c r="E266" s="16">
        <f>C266</f>
        <v>691550215.72000003</v>
      </c>
      <c r="F266" s="10">
        <f>'Sch 5'!C253</f>
        <v>-188883578.01999998</v>
      </c>
      <c r="G266" s="10">
        <f>E266+F266</f>
        <v>502666637.70000005</v>
      </c>
      <c r="H266" s="10"/>
      <c r="I266" s="15" t="s">
        <v>54</v>
      </c>
      <c r="J266" s="38"/>
      <c r="K266" s="38"/>
      <c r="L266" s="438" t="s">
        <v>1081</v>
      </c>
    </row>
    <row r="267" spans="1:12" ht="14.15" customHeight="1">
      <c r="A267" s="436">
        <f t="shared" si="20"/>
        <v>251</v>
      </c>
      <c r="B267" s="124" t="s">
        <v>368</v>
      </c>
      <c r="C267" s="10">
        <f>4487355.69+2826953.46+81301.45</f>
        <v>7395610.6000000006</v>
      </c>
      <c r="D267" s="19">
        <f>C267</f>
        <v>7395610.6000000006</v>
      </c>
      <c r="E267" s="16">
        <f>C267-D267</f>
        <v>0</v>
      </c>
      <c r="F267" s="10">
        <f>'Sch 5'!C254</f>
        <v>0</v>
      </c>
      <c r="G267" s="10">
        <f>E267+F267</f>
        <v>0</v>
      </c>
      <c r="H267" s="10"/>
      <c r="I267" s="15" t="s">
        <v>54</v>
      </c>
      <c r="J267" s="38"/>
      <c r="K267" s="38"/>
      <c r="L267" s="436" t="s">
        <v>1082</v>
      </c>
    </row>
    <row r="268" spans="1:12" ht="14.15" customHeight="1">
      <c r="A268" s="436">
        <f t="shared" si="20"/>
        <v>252</v>
      </c>
      <c r="B268" s="124" t="s">
        <v>15</v>
      </c>
      <c r="C268" s="10">
        <f>-283033-175806-4644606</f>
        <v>-5103445</v>
      </c>
      <c r="D268" s="19">
        <f>C268</f>
        <v>-5103445</v>
      </c>
      <c r="E268" s="16">
        <f>C268-D268</f>
        <v>0</v>
      </c>
      <c r="F268" s="10"/>
      <c r="G268" s="10"/>
      <c r="H268" s="10"/>
      <c r="I268" s="15"/>
      <c r="J268" s="38"/>
      <c r="K268" s="38"/>
      <c r="L268" s="436" t="s">
        <v>1113</v>
      </c>
    </row>
    <row r="269" spans="1:12" ht="14.15" customHeight="1">
      <c r="A269" s="436">
        <f t="shared" si="20"/>
        <v>253</v>
      </c>
      <c r="B269" s="124"/>
      <c r="C269" s="10"/>
      <c r="D269" s="19"/>
      <c r="E269" s="19"/>
      <c r="G269" s="10"/>
      <c r="H269" s="10"/>
      <c r="I269" s="15"/>
      <c r="J269" s="38"/>
      <c r="K269" s="38"/>
    </row>
    <row r="270" spans="1:12" ht="14.15" customHeight="1">
      <c r="A270" s="436">
        <f t="shared" si="20"/>
        <v>254</v>
      </c>
      <c r="B270" s="3" t="s">
        <v>168</v>
      </c>
      <c r="C270" s="10"/>
      <c r="D270" s="19"/>
      <c r="E270" s="19"/>
      <c r="G270" s="10"/>
      <c r="H270" s="10"/>
      <c r="I270" s="15"/>
      <c r="J270" s="38"/>
      <c r="K270" s="38"/>
    </row>
    <row r="271" spans="1:12" ht="14.15" customHeight="1">
      <c r="A271" s="436">
        <f t="shared" si="20"/>
        <v>255</v>
      </c>
      <c r="B271" s="83" t="s">
        <v>169</v>
      </c>
      <c r="C271" s="10">
        <v>0</v>
      </c>
      <c r="D271" s="19">
        <f>C271-E271</f>
        <v>0</v>
      </c>
      <c r="E271" s="19">
        <v>0</v>
      </c>
      <c r="F271" s="10">
        <f>'Sch 5'!C258</f>
        <v>0</v>
      </c>
      <c r="G271" s="10">
        <f>E271+F271</f>
        <v>0</v>
      </c>
      <c r="H271" s="10"/>
      <c r="I271" s="15"/>
      <c r="J271" s="38"/>
      <c r="K271" s="38"/>
    </row>
    <row r="272" spans="1:12" ht="50">
      <c r="A272" s="436">
        <f t="shared" si="20"/>
        <v>256</v>
      </c>
      <c r="B272" s="83" t="s">
        <v>170</v>
      </c>
      <c r="C272" s="10">
        <f>53668804.99-C267</f>
        <v>46273194.390000001</v>
      </c>
      <c r="D272" s="10">
        <f>C272-E272</f>
        <v>647824.72145999968</v>
      </c>
      <c r="E272" s="43">
        <f>(C272*'Allocation Factors'!G14)</f>
        <v>45625369.668540001</v>
      </c>
      <c r="F272" s="10">
        <f>'Sch 5'!C259</f>
        <v>-9021444</v>
      </c>
      <c r="G272" s="10">
        <f>E272+F272</f>
        <v>36603925.668540001</v>
      </c>
      <c r="H272" s="10"/>
      <c r="I272" s="15" t="s">
        <v>344</v>
      </c>
      <c r="J272" s="38"/>
      <c r="K272" s="38"/>
      <c r="L272" s="438" t="s">
        <v>1083</v>
      </c>
    </row>
    <row r="273" spans="1:13" ht="14.15" customHeight="1">
      <c r="A273" s="436">
        <f t="shared" si="20"/>
        <v>257</v>
      </c>
      <c r="B273" s="56" t="s">
        <v>171</v>
      </c>
      <c r="C273" s="10">
        <v>0</v>
      </c>
      <c r="D273" s="19">
        <f>C273-E273</f>
        <v>0</v>
      </c>
      <c r="E273" s="19">
        <v>0</v>
      </c>
      <c r="F273" s="10">
        <f>'Sch 5'!C260</f>
        <v>0</v>
      </c>
      <c r="G273" s="10">
        <f>E273+F273</f>
        <v>0</v>
      </c>
      <c r="H273" s="10"/>
      <c r="I273" s="15"/>
      <c r="J273" s="38"/>
      <c r="K273" s="38"/>
    </row>
    <row r="274" spans="1:13" ht="14.15" customHeight="1">
      <c r="A274" s="436">
        <f t="shared" si="20"/>
        <v>258</v>
      </c>
      <c r="B274" s="20" t="s">
        <v>490</v>
      </c>
      <c r="C274" s="80">
        <f>+C271+C272</f>
        <v>46273194.390000001</v>
      </c>
      <c r="D274" s="80">
        <f>+D271+D272+D273</f>
        <v>647824.72145999968</v>
      </c>
      <c r="E274" s="80">
        <f>+E271+E272</f>
        <v>45625369.668540001</v>
      </c>
      <c r="F274" s="80">
        <f>+F271+F272</f>
        <v>-9021444</v>
      </c>
      <c r="G274" s="47">
        <f>E274+F274</f>
        <v>36603925.668540001</v>
      </c>
      <c r="H274" s="47"/>
      <c r="I274" s="142"/>
      <c r="J274" s="38"/>
      <c r="K274" s="38"/>
    </row>
    <row r="275" spans="1:13" ht="14.15" customHeight="1">
      <c r="A275" s="436">
        <f t="shared" si="20"/>
        <v>259</v>
      </c>
      <c r="B275" s="124"/>
      <c r="C275" s="16"/>
      <c r="D275" s="16"/>
      <c r="E275" s="16"/>
      <c r="F275" s="16"/>
      <c r="G275" s="43"/>
      <c r="H275" s="43"/>
      <c r="I275" s="15"/>
      <c r="J275" s="38"/>
      <c r="K275" s="38"/>
    </row>
    <row r="276" spans="1:13" ht="14.15" customHeight="1">
      <c r="A276" s="436">
        <f t="shared" si="20"/>
        <v>260</v>
      </c>
      <c r="B276" s="13" t="s">
        <v>172</v>
      </c>
      <c r="C276" s="43"/>
      <c r="D276" s="16"/>
      <c r="E276" s="48"/>
      <c r="F276" s="43"/>
      <c r="G276" s="43"/>
      <c r="H276" s="43"/>
      <c r="I276" s="15"/>
      <c r="J276" s="38"/>
      <c r="K276" s="38"/>
    </row>
    <row r="277" spans="1:13" ht="14.15" customHeight="1">
      <c r="A277" s="436">
        <f t="shared" si="20"/>
        <v>261</v>
      </c>
      <c r="B277" s="22" t="s">
        <v>173</v>
      </c>
      <c r="C277" s="10">
        <v>1803105.37</v>
      </c>
      <c r="D277" s="16">
        <f>ROUND(C277-E277,0)</f>
        <v>0</v>
      </c>
      <c r="E277" s="16">
        <f>ROUND(C277*'Allocation Factors'!$G$34,0)</f>
        <v>1803105</v>
      </c>
      <c r="F277" s="10">
        <f>'Sch 5'!C264</f>
        <v>0</v>
      </c>
      <c r="G277" s="10">
        <f>E277+F277</f>
        <v>1803105</v>
      </c>
      <c r="H277" s="10"/>
      <c r="I277" s="15" t="s">
        <v>362</v>
      </c>
      <c r="J277" s="38"/>
      <c r="K277" s="38"/>
      <c r="L277" s="436">
        <v>4500000</v>
      </c>
    </row>
    <row r="278" spans="1:13" ht="14.15" customHeight="1">
      <c r="A278" s="436">
        <f t="shared" si="20"/>
        <v>262</v>
      </c>
      <c r="B278" s="22" t="s">
        <v>174</v>
      </c>
      <c r="C278" s="10">
        <v>158578.51</v>
      </c>
      <c r="D278" s="16">
        <f>ROUND(C278-E278,0)</f>
        <v>0</v>
      </c>
      <c r="E278" s="16">
        <f>ROUND(C278*'Allocation Factors'!$G$34,0)</f>
        <v>158579</v>
      </c>
      <c r="F278" s="10">
        <f>'Sch 5'!C265</f>
        <v>0</v>
      </c>
      <c r="G278" s="10">
        <f>E278+F278</f>
        <v>158579</v>
      </c>
      <c r="H278" s="10"/>
      <c r="I278" s="15" t="s">
        <v>362</v>
      </c>
      <c r="J278" s="38"/>
      <c r="K278" s="38"/>
      <c r="L278" s="436">
        <v>4510001</v>
      </c>
    </row>
    <row r="279" spans="1:13" ht="14.15" customHeight="1">
      <c r="A279" s="436">
        <f t="shared" si="20"/>
        <v>263</v>
      </c>
      <c r="B279" s="13" t="s">
        <v>175</v>
      </c>
      <c r="C279" s="10"/>
      <c r="D279" s="10"/>
      <c r="E279" s="11"/>
      <c r="F279" s="10"/>
      <c r="G279" s="10"/>
      <c r="H279" s="10"/>
      <c r="I279" s="15"/>
      <c r="J279" s="38"/>
      <c r="K279" s="38"/>
    </row>
    <row r="280" spans="1:13" s="21" customFormat="1" ht="14.15" customHeight="1">
      <c r="A280" s="436">
        <f t="shared" si="20"/>
        <v>264</v>
      </c>
      <c r="B280" s="22" t="s">
        <v>176</v>
      </c>
      <c r="C280" s="10">
        <v>0</v>
      </c>
      <c r="D280" s="10">
        <f t="shared" ref="D280:D288" si="25">C280-E280</f>
        <v>0</v>
      </c>
      <c r="E280" s="10">
        <f>ROUND(C280*'Allocation Factors'!$G$10,0)</f>
        <v>0</v>
      </c>
      <c r="F280" s="10">
        <f>'Sch 5'!C267</f>
        <v>0</v>
      </c>
      <c r="G280" s="10">
        <f t="shared" ref="G280:G288" si="26">E280+F280</f>
        <v>0</v>
      </c>
      <c r="H280" s="10"/>
      <c r="I280" s="25" t="s">
        <v>341</v>
      </c>
      <c r="J280" s="38"/>
      <c r="K280" s="38"/>
      <c r="L280" s="436">
        <v>4540001</v>
      </c>
      <c r="M280" s="83"/>
    </row>
    <row r="281" spans="1:13" ht="14.15" customHeight="1">
      <c r="A281" s="436">
        <f t="shared" si="20"/>
        <v>265</v>
      </c>
      <c r="B281" s="22" t="s">
        <v>177</v>
      </c>
      <c r="C281" s="10">
        <f>555701.22-336633.39</f>
        <v>219067.82999999996</v>
      </c>
      <c r="D281" s="10">
        <f t="shared" si="25"/>
        <v>3285.8299999999581</v>
      </c>
      <c r="E281" s="16">
        <f>ROUND(C281*'Allocation Factors'!$G$16,0)</f>
        <v>215782</v>
      </c>
      <c r="F281" s="10">
        <f>'Sch 5'!C268</f>
        <v>0</v>
      </c>
      <c r="G281" s="10">
        <f t="shared" si="26"/>
        <v>215782</v>
      </c>
      <c r="H281" s="10"/>
      <c r="I281" s="15" t="s">
        <v>346</v>
      </c>
      <c r="J281" s="38"/>
      <c r="K281" s="38"/>
      <c r="L281" s="436">
        <v>4540001</v>
      </c>
    </row>
    <row r="282" spans="1:13" ht="14.15" customHeight="1">
      <c r="A282" s="436">
        <f t="shared" si="20"/>
        <v>266</v>
      </c>
      <c r="B282" s="22" t="s">
        <v>178</v>
      </c>
      <c r="C282" s="10">
        <v>1234374.879</v>
      </c>
      <c r="D282" s="10">
        <f t="shared" si="25"/>
        <v>1233.8789999999572</v>
      </c>
      <c r="E282" s="16">
        <f>ROUND(C282*'Allocation Factors'!$G$18,0)</f>
        <v>1233141</v>
      </c>
      <c r="F282" s="10">
        <f>'Sch 5'!C269</f>
        <v>0</v>
      </c>
      <c r="G282" s="10">
        <f t="shared" si="26"/>
        <v>1233141</v>
      </c>
      <c r="H282" s="10"/>
      <c r="I282" s="15" t="s">
        <v>348</v>
      </c>
      <c r="J282" s="38"/>
      <c r="K282" s="38"/>
      <c r="L282" s="436">
        <v>4540001</v>
      </c>
    </row>
    <row r="283" spans="1:13" ht="14.15" customHeight="1">
      <c r="A283" s="436">
        <f t="shared" si="20"/>
        <v>267</v>
      </c>
      <c r="B283" s="22" t="s">
        <v>179</v>
      </c>
      <c r="C283" s="10">
        <v>909596.05</v>
      </c>
      <c r="D283" s="10">
        <f t="shared" si="25"/>
        <v>13644.050000000047</v>
      </c>
      <c r="E283" s="16">
        <f>ROUND(C283*'Allocation Factors'!$G$10,0)</f>
        <v>895952</v>
      </c>
      <c r="F283" s="10">
        <f>'Sch 5'!C270</f>
        <v>0</v>
      </c>
      <c r="G283" s="10">
        <f t="shared" si="26"/>
        <v>895952</v>
      </c>
      <c r="H283" s="10"/>
      <c r="I283" s="15" t="s">
        <v>341</v>
      </c>
      <c r="J283" s="38"/>
      <c r="K283" s="38"/>
      <c r="L283" s="436">
        <v>4540002</v>
      </c>
    </row>
    <row r="284" spans="1:13" ht="14.15" customHeight="1">
      <c r="A284" s="436">
        <f t="shared" si="20"/>
        <v>268</v>
      </c>
      <c r="B284" s="22" t="s">
        <v>180</v>
      </c>
      <c r="C284" s="10">
        <v>19925</v>
      </c>
      <c r="D284" s="10">
        <f t="shared" si="25"/>
        <v>299</v>
      </c>
      <c r="E284" s="16">
        <f>ROUND(C284*'Allocation Factors'!$G$16,0)</f>
        <v>19626</v>
      </c>
      <c r="F284" s="10">
        <f>'Sch 5'!C271</f>
        <v>0</v>
      </c>
      <c r="G284" s="10">
        <f t="shared" si="26"/>
        <v>19626</v>
      </c>
      <c r="H284" s="10"/>
      <c r="I284" s="15" t="s">
        <v>346</v>
      </c>
      <c r="J284" s="38"/>
      <c r="K284" s="38"/>
      <c r="L284" s="436">
        <v>4540002</v>
      </c>
    </row>
    <row r="285" spans="1:13" ht="14.15" customHeight="1">
      <c r="A285" s="436">
        <f t="shared" si="20"/>
        <v>269</v>
      </c>
      <c r="B285" s="22" t="s">
        <v>181</v>
      </c>
      <c r="C285" s="243">
        <v>2100</v>
      </c>
      <c r="D285" s="10">
        <f t="shared" si="25"/>
        <v>2</v>
      </c>
      <c r="E285" s="16">
        <f>ROUND(C285*'Allocation Factors'!$G$18,0)</f>
        <v>2098</v>
      </c>
      <c r="F285" s="10">
        <f>'Sch 5'!C272</f>
        <v>0</v>
      </c>
      <c r="G285" s="10">
        <f t="shared" si="26"/>
        <v>2098</v>
      </c>
      <c r="H285" s="10"/>
      <c r="I285" s="15" t="s">
        <v>348</v>
      </c>
      <c r="J285" s="38"/>
      <c r="K285" s="38"/>
      <c r="L285" s="436">
        <v>4540002</v>
      </c>
    </row>
    <row r="286" spans="1:13" ht="14.15" customHeight="1">
      <c r="A286" s="436">
        <f t="shared" si="20"/>
        <v>270</v>
      </c>
      <c r="B286" s="22" t="s">
        <v>182</v>
      </c>
      <c r="C286" s="243">
        <f>4388870.16+7433.36</f>
        <v>4396303.5200000005</v>
      </c>
      <c r="D286" s="10">
        <f t="shared" si="25"/>
        <v>4396.5200000004843</v>
      </c>
      <c r="E286" s="16">
        <f>ROUND(C286*'Allocation Factors'!$G$18,0)</f>
        <v>4391907</v>
      </c>
      <c r="F286" s="10">
        <f>'Sch 5'!C273</f>
        <v>4266</v>
      </c>
      <c r="G286" s="10">
        <f t="shared" si="26"/>
        <v>4396173</v>
      </c>
      <c r="H286" s="10"/>
      <c r="I286" s="15" t="s">
        <v>348</v>
      </c>
      <c r="J286" s="38"/>
      <c r="K286" s="38"/>
      <c r="L286" s="436">
        <v>4540005</v>
      </c>
    </row>
    <row r="287" spans="1:13" ht="14.15" customHeight="1">
      <c r="A287" s="436">
        <f t="shared" si="20"/>
        <v>271</v>
      </c>
      <c r="B287" s="22" t="s">
        <v>183</v>
      </c>
      <c r="C287" s="10">
        <v>136463.85999999999</v>
      </c>
      <c r="D287" s="10">
        <f t="shared" si="25"/>
        <v>136.85999999998603</v>
      </c>
      <c r="E287" s="16">
        <f>ROUND(C287*'Allocation Factors'!$G$18,0)</f>
        <v>136327</v>
      </c>
      <c r="F287" s="10">
        <f>'Sch 5'!C274</f>
        <v>0</v>
      </c>
      <c r="G287" s="10">
        <f t="shared" si="26"/>
        <v>136327</v>
      </c>
      <c r="H287" s="10"/>
      <c r="I287" s="15" t="s">
        <v>348</v>
      </c>
      <c r="J287" s="38"/>
      <c r="K287" s="38"/>
      <c r="L287" s="436">
        <v>4540004</v>
      </c>
    </row>
    <row r="288" spans="1:13" ht="14.15" customHeight="1">
      <c r="A288" s="436">
        <f t="shared" si="20"/>
        <v>272</v>
      </c>
      <c r="B288" s="56" t="s">
        <v>184</v>
      </c>
      <c r="C288" s="10">
        <v>0</v>
      </c>
      <c r="D288" s="10">
        <f t="shared" si="25"/>
        <v>0</v>
      </c>
      <c r="E288" s="16">
        <f>ROUND(C288*'Allocation Factors'!$G$16,0)</f>
        <v>0</v>
      </c>
      <c r="F288" s="10">
        <f>'Sch 5'!C275</f>
        <v>0</v>
      </c>
      <c r="G288" s="10">
        <f t="shared" si="26"/>
        <v>0</v>
      </c>
      <c r="H288" s="10"/>
      <c r="I288" s="83" t="s">
        <v>346</v>
      </c>
      <c r="J288" s="38"/>
      <c r="K288" s="38"/>
      <c r="L288" s="436">
        <v>4540004</v>
      </c>
    </row>
    <row r="289" spans="1:16" s="21" customFormat="1" ht="14.15" customHeight="1">
      <c r="A289" s="436">
        <f t="shared" si="20"/>
        <v>273</v>
      </c>
      <c r="B289" s="20" t="s">
        <v>491</v>
      </c>
      <c r="C289" s="80">
        <f>SUM(C280:C288)</f>
        <v>6917831.1390000004</v>
      </c>
      <c r="D289" s="80">
        <f>SUM(D280:D288)</f>
        <v>22998.139000000432</v>
      </c>
      <c r="E289" s="80">
        <f>SUM(E280:E288)</f>
        <v>6894833</v>
      </c>
      <c r="F289" s="80">
        <f>SUM(F280:F288)</f>
        <v>4266</v>
      </c>
      <c r="G289" s="80">
        <f>SUM(G280:G288)</f>
        <v>6899099</v>
      </c>
      <c r="H289" s="80"/>
      <c r="I289" s="142"/>
      <c r="J289" s="38"/>
      <c r="K289" s="38"/>
      <c r="L289" s="18"/>
    </row>
    <row r="290" spans="1:16" s="21" customFormat="1" ht="14.15" customHeight="1">
      <c r="A290" s="436">
        <f t="shared" si="20"/>
        <v>274</v>
      </c>
      <c r="B290" s="124"/>
      <c r="C290" s="16"/>
      <c r="D290" s="16"/>
      <c r="E290" s="125"/>
      <c r="F290" s="16"/>
      <c r="G290" s="16"/>
      <c r="H290" s="16"/>
      <c r="I290" s="25"/>
      <c r="J290" s="38"/>
      <c r="K290" s="38"/>
      <c r="L290" s="18"/>
    </row>
    <row r="291" spans="1:16" s="21" customFormat="1" ht="14.15" customHeight="1">
      <c r="A291" s="436">
        <f t="shared" si="20"/>
        <v>275</v>
      </c>
      <c r="B291" s="13" t="s">
        <v>185</v>
      </c>
      <c r="C291" s="10"/>
      <c r="D291" s="19"/>
      <c r="E291" s="10"/>
      <c r="F291" s="10"/>
      <c r="G291" s="19"/>
      <c r="H291" s="19"/>
      <c r="I291" s="25"/>
      <c r="J291" s="38"/>
      <c r="K291" s="38"/>
      <c r="L291" s="18"/>
    </row>
    <row r="292" spans="1:16" s="21" customFormat="1" ht="14.15" customHeight="1">
      <c r="A292" s="436">
        <f t="shared" si="20"/>
        <v>276</v>
      </c>
      <c r="B292" s="22" t="s">
        <v>186</v>
      </c>
      <c r="C292" s="10">
        <v>0</v>
      </c>
      <c r="D292" s="10">
        <f t="shared" ref="D292:D300" si="27">C292-E292</f>
        <v>0</v>
      </c>
      <c r="E292" s="10">
        <f>ROUND(C292*'Allocation Factors'!$G$14,0)</f>
        <v>0</v>
      </c>
      <c r="F292" s="10">
        <f>'Sch 5'!C279</f>
        <v>0</v>
      </c>
      <c r="G292" s="10">
        <f>E292+F292</f>
        <v>0</v>
      </c>
      <c r="H292" s="10"/>
      <c r="I292" s="25" t="s">
        <v>344</v>
      </c>
      <c r="J292" s="38"/>
      <c r="K292" s="38"/>
      <c r="L292" s="436" t="s">
        <v>1069</v>
      </c>
      <c r="M292" s="83"/>
      <c r="N292" s="83"/>
      <c r="O292" s="83"/>
      <c r="P292" s="83"/>
    </row>
    <row r="293" spans="1:16" ht="14.15" customHeight="1">
      <c r="A293" s="436">
        <f t="shared" si="20"/>
        <v>277</v>
      </c>
      <c r="B293" s="22" t="s">
        <v>809</v>
      </c>
      <c r="C293" s="10">
        <v>307779.57</v>
      </c>
      <c r="D293" s="10">
        <f t="shared" si="27"/>
        <v>0</v>
      </c>
      <c r="E293" s="10">
        <f>C293</f>
        <v>307779.57</v>
      </c>
      <c r="F293" s="10">
        <f>'Sch 5'!C280</f>
        <v>-307780</v>
      </c>
      <c r="G293" s="10">
        <f>E293+F293</f>
        <v>-0.42999999999301508</v>
      </c>
      <c r="H293" s="10"/>
      <c r="I293" s="15" t="s">
        <v>54</v>
      </c>
      <c r="J293" s="38"/>
      <c r="K293" s="38"/>
      <c r="L293" s="436">
        <v>4560007</v>
      </c>
    </row>
    <row r="294" spans="1:16" ht="14.15" customHeight="1">
      <c r="A294" s="436">
        <f t="shared" si="20"/>
        <v>278</v>
      </c>
      <c r="B294" s="22" t="s">
        <v>806</v>
      </c>
      <c r="C294" s="10">
        <v>52474.5</v>
      </c>
      <c r="D294" s="10">
        <f t="shared" si="27"/>
        <v>52474.5</v>
      </c>
      <c r="E294" s="16">
        <v>0</v>
      </c>
      <c r="F294" s="10">
        <f>'Sch 5'!C281</f>
        <v>0</v>
      </c>
      <c r="G294" s="10">
        <f t="shared" ref="G294:G300" si="28">E294+F294</f>
        <v>0</v>
      </c>
      <c r="H294" s="10"/>
      <c r="I294" s="15" t="s">
        <v>54</v>
      </c>
      <c r="J294" s="38"/>
      <c r="K294" s="38"/>
      <c r="L294" s="436">
        <v>4561019</v>
      </c>
    </row>
    <row r="295" spans="1:16" ht="14.15" customHeight="1">
      <c r="A295" s="436">
        <f t="shared" si="20"/>
        <v>279</v>
      </c>
      <c r="B295" s="22" t="s">
        <v>802</v>
      </c>
      <c r="C295" s="10">
        <f>1274199.43-52318906.97-1178146.8</f>
        <v>-52222854.339999996</v>
      </c>
      <c r="D295" s="10">
        <f t="shared" si="27"/>
        <v>0</v>
      </c>
      <c r="E295" s="10">
        <f>C295</f>
        <v>-52222854.339999996</v>
      </c>
      <c r="F295" s="10">
        <f>'Sch 5'!C282</f>
        <v>-6321080</v>
      </c>
      <c r="G295" s="10">
        <f>E295+F295</f>
        <v>-58543934.339999996</v>
      </c>
      <c r="H295" s="10"/>
      <c r="I295" s="25" t="s">
        <v>54</v>
      </c>
      <c r="J295" s="38"/>
      <c r="K295" s="38"/>
      <c r="L295" s="436" t="s">
        <v>1068</v>
      </c>
    </row>
    <row r="296" spans="1:16" ht="14.15" customHeight="1">
      <c r="A296" s="436">
        <f t="shared" si="20"/>
        <v>280</v>
      </c>
      <c r="B296" s="22" t="s">
        <v>803</v>
      </c>
      <c r="C296" s="10">
        <v>218761.7</v>
      </c>
      <c r="D296" s="10">
        <f t="shared" si="27"/>
        <v>0</v>
      </c>
      <c r="E296" s="10">
        <f>C296</f>
        <v>218761.7</v>
      </c>
      <c r="F296" s="10">
        <f>'Sch 5'!C283</f>
        <v>0</v>
      </c>
      <c r="G296" s="10">
        <f t="shared" si="28"/>
        <v>218761.7</v>
      </c>
      <c r="H296" s="10"/>
      <c r="I296" s="25" t="s">
        <v>54</v>
      </c>
      <c r="J296" s="38"/>
      <c r="K296" s="38"/>
      <c r="L296" s="436">
        <v>4561036</v>
      </c>
    </row>
    <row r="297" spans="1:16" ht="41.25" customHeight="1">
      <c r="A297" s="436">
        <f t="shared" si="20"/>
        <v>281</v>
      </c>
      <c r="B297" s="22" t="s">
        <v>807</v>
      </c>
      <c r="C297" s="10">
        <f>12736.5+10334744.93+6799.18+2549035.83-6077.83+70059601.49-152366.69+1853016.34+1581619.84+57638.29</f>
        <v>86296747.88000001</v>
      </c>
      <c r="D297" s="10">
        <f t="shared" si="27"/>
        <v>1294450.8800000101</v>
      </c>
      <c r="E297" s="10">
        <f>ROUND(C297*'Allocation Factors'!$G$16,0)</f>
        <v>85002297</v>
      </c>
      <c r="F297" s="10">
        <f>'Sch 5'!C284</f>
        <v>0</v>
      </c>
      <c r="G297" s="10">
        <f t="shared" si="28"/>
        <v>85002297</v>
      </c>
      <c r="H297" s="10"/>
      <c r="I297" s="15" t="s">
        <v>346</v>
      </c>
      <c r="J297" s="38"/>
      <c r="K297" s="38"/>
      <c r="L297" s="438" t="s">
        <v>1067</v>
      </c>
    </row>
    <row r="298" spans="1:16" ht="14.15" customHeight="1">
      <c r="A298" s="436">
        <f t="shared" si="20"/>
        <v>282</v>
      </c>
      <c r="B298" s="22" t="s">
        <v>804</v>
      </c>
      <c r="C298" s="10">
        <f>-553514+2882044+109129+437399</f>
        <v>2875058</v>
      </c>
      <c r="D298" s="10">
        <f t="shared" si="27"/>
        <v>2875058</v>
      </c>
      <c r="E298" s="10">
        <v>0</v>
      </c>
      <c r="F298" s="10">
        <f>'Sch 5'!C285</f>
        <v>0</v>
      </c>
      <c r="G298" s="10">
        <f t="shared" si="28"/>
        <v>0</v>
      </c>
      <c r="H298" s="10"/>
      <c r="I298" s="25" t="s">
        <v>54</v>
      </c>
      <c r="J298" s="38"/>
      <c r="K298" s="38"/>
      <c r="L298" s="436" t="s">
        <v>1070</v>
      </c>
    </row>
    <row r="299" spans="1:16" ht="14.15" customHeight="1">
      <c r="A299" s="436">
        <f t="shared" si="20"/>
        <v>283</v>
      </c>
      <c r="B299" s="22" t="s">
        <v>805</v>
      </c>
      <c r="C299" s="10">
        <v>0</v>
      </c>
      <c r="D299" s="10">
        <f t="shared" si="27"/>
        <v>0</v>
      </c>
      <c r="E299" s="16">
        <f>ROUND(C299*'Allocation Factors'!$G$16,0)</f>
        <v>0</v>
      </c>
      <c r="F299" s="10">
        <f>'Sch 5'!C286</f>
        <v>0</v>
      </c>
      <c r="G299" s="10">
        <f t="shared" si="28"/>
        <v>0</v>
      </c>
      <c r="H299" s="10"/>
      <c r="I299" s="15" t="s">
        <v>346</v>
      </c>
      <c r="J299" s="38"/>
      <c r="K299" s="38"/>
    </row>
    <row r="300" spans="1:16" ht="14.15" customHeight="1">
      <c r="A300" s="436">
        <f t="shared" si="20"/>
        <v>284</v>
      </c>
      <c r="B300" s="22" t="s">
        <v>808</v>
      </c>
      <c r="C300" s="10">
        <f>-307779.57+798176.11</f>
        <v>490396.54</v>
      </c>
      <c r="D300" s="10">
        <f t="shared" si="27"/>
        <v>490.53999999997905</v>
      </c>
      <c r="E300" s="16">
        <f>ROUND(C300*'Allocation Factors'!$G$18,0)</f>
        <v>489906</v>
      </c>
      <c r="F300" s="10">
        <f>'Sch 5'!C287</f>
        <v>0</v>
      </c>
      <c r="G300" s="10">
        <f t="shared" si="28"/>
        <v>489906</v>
      </c>
      <c r="H300" s="10"/>
      <c r="I300" s="15" t="s">
        <v>348</v>
      </c>
      <c r="J300" s="38"/>
      <c r="K300" s="38"/>
      <c r="L300" s="436">
        <v>4560015</v>
      </c>
    </row>
    <row r="301" spans="1:16" ht="86.25" customHeight="1">
      <c r="A301" s="436">
        <f t="shared" si="20"/>
        <v>285</v>
      </c>
      <c r="B301" s="20" t="s">
        <v>492</v>
      </c>
      <c r="C301" s="80">
        <f>SUM(C292:C300)</f>
        <v>38018363.850000016</v>
      </c>
      <c r="D301" s="80">
        <f>SUM(D292:D300)</f>
        <v>4222473.9200000102</v>
      </c>
      <c r="E301" s="80">
        <f>SUM(E292:E300)</f>
        <v>33795889.930000007</v>
      </c>
      <c r="F301" s="80">
        <f>SUM(F292:F300)</f>
        <v>-6628860</v>
      </c>
      <c r="G301" s="80">
        <f>SUM(G292:G300)</f>
        <v>27167029.930000007</v>
      </c>
      <c r="H301" s="80"/>
      <c r="I301" s="142"/>
      <c r="J301" s="38"/>
      <c r="K301" s="38"/>
      <c r="L301" s="438" t="s">
        <v>1007</v>
      </c>
    </row>
    <row r="302" spans="1:16" ht="14.15" customHeight="1">
      <c r="A302" s="436">
        <f t="shared" si="20"/>
        <v>286</v>
      </c>
      <c r="B302" s="57"/>
      <c r="C302" s="146"/>
      <c r="D302" s="146"/>
      <c r="E302" s="58"/>
      <c r="F302" s="146"/>
      <c r="G302" s="64"/>
      <c r="H302" s="64"/>
      <c r="I302" s="130"/>
      <c r="J302" s="38"/>
      <c r="K302" s="38"/>
    </row>
    <row r="303" spans="1:16" ht="14.15" customHeight="1">
      <c r="A303" s="436">
        <f t="shared" si="20"/>
        <v>287</v>
      </c>
      <c r="B303" s="20" t="s">
        <v>493</v>
      </c>
      <c r="C303" s="16">
        <f>SUM(C277:C278,C289,C301)</f>
        <v>46897878.869000018</v>
      </c>
      <c r="D303" s="16">
        <f>SUM(D277:D278,D289,D301)</f>
        <v>4245472.0590000106</v>
      </c>
      <c r="E303" s="16">
        <f>SUM(E277:E278,E289,E301)</f>
        <v>42652406.930000007</v>
      </c>
      <c r="F303" s="16">
        <f>SUM(F277:F278,F289,F301)</f>
        <v>-6624594</v>
      </c>
      <c r="G303" s="16">
        <f>G301+G289+G278+G277</f>
        <v>36027812.930000007</v>
      </c>
      <c r="H303" s="16"/>
      <c r="I303" s="17"/>
      <c r="J303" s="38"/>
      <c r="K303" s="38"/>
    </row>
    <row r="304" spans="1:16" ht="14.15" customHeight="1">
      <c r="A304" s="436">
        <f t="shared" si="20"/>
        <v>288</v>
      </c>
      <c r="B304" s="57"/>
      <c r="C304" s="146"/>
      <c r="D304" s="146"/>
      <c r="E304" s="58"/>
      <c r="F304" s="146"/>
      <c r="G304" s="146"/>
      <c r="H304" s="146"/>
      <c r="I304" s="147"/>
      <c r="J304" s="38"/>
      <c r="K304" s="38"/>
    </row>
    <row r="305" spans="1:16" ht="14.15" customHeight="1">
      <c r="A305" s="436">
        <f t="shared" si="20"/>
        <v>289</v>
      </c>
      <c r="B305" s="20" t="s">
        <v>494</v>
      </c>
      <c r="C305" s="50">
        <f>+C266+C267+C268+C274+C303</f>
        <v>787013454.579</v>
      </c>
      <c r="D305" s="50">
        <f>+D266+D267+D268+D274+D303</f>
        <v>7185462.3804600108</v>
      </c>
      <c r="E305" s="50">
        <f>+E266+E267+E268+E274+E303</f>
        <v>779827992.3185401</v>
      </c>
      <c r="F305" s="50">
        <f>+F266+F267+F268+F274+F303</f>
        <v>-204529616.01999998</v>
      </c>
      <c r="G305" s="50">
        <f>+G266+G267+G268+G274+G303</f>
        <v>575298376.29854012</v>
      </c>
      <c r="H305" s="94">
        <f>ROUND(E305/C305,3)</f>
        <v>0.99099999999999999</v>
      </c>
      <c r="I305" s="51"/>
      <c r="J305" s="38"/>
      <c r="K305" s="38"/>
    </row>
    <row r="306" spans="1:16" ht="14.15" customHeight="1">
      <c r="A306" s="436">
        <f t="shared" si="20"/>
        <v>290</v>
      </c>
      <c r="B306" s="22"/>
      <c r="C306" s="10"/>
      <c r="D306" s="10"/>
      <c r="E306" s="11"/>
      <c r="F306" s="10"/>
      <c r="G306" s="10"/>
      <c r="H306" s="10"/>
      <c r="I306" s="15"/>
      <c r="J306" s="38"/>
      <c r="K306" s="38"/>
    </row>
    <row r="307" spans="1:16" ht="14.15" customHeight="1">
      <c r="A307" s="436">
        <f t="shared" si="20"/>
        <v>291</v>
      </c>
      <c r="B307" s="42" t="s">
        <v>187</v>
      </c>
      <c r="C307" s="10"/>
      <c r="D307" s="10"/>
      <c r="E307" s="10"/>
      <c r="F307" s="10"/>
      <c r="G307" s="10"/>
      <c r="H307" s="10"/>
      <c r="I307" s="15"/>
      <c r="J307" s="38"/>
      <c r="K307" s="38"/>
    </row>
    <row r="308" spans="1:16" ht="14.15" customHeight="1">
      <c r="A308" s="436">
        <f t="shared" si="20"/>
        <v>292</v>
      </c>
      <c r="B308" s="13" t="s">
        <v>188</v>
      </c>
      <c r="C308" s="10"/>
      <c r="D308" s="10"/>
      <c r="E308" s="10"/>
      <c r="F308" s="10"/>
      <c r="G308" s="10"/>
      <c r="H308" s="10"/>
      <c r="I308" s="15"/>
      <c r="J308" s="38"/>
      <c r="K308" s="38"/>
    </row>
    <row r="309" spans="1:16" ht="14.15" customHeight="1">
      <c r="A309" s="436">
        <f t="shared" si="20"/>
        <v>293</v>
      </c>
      <c r="B309" s="22" t="s">
        <v>189</v>
      </c>
      <c r="C309" s="10">
        <v>5717095.8799999999</v>
      </c>
      <c r="D309" s="10">
        <f t="shared" ref="D309:D321" si="29">C309-E309</f>
        <v>85756.879999999888</v>
      </c>
      <c r="E309" s="10">
        <f>ROUND(J309+(C309-J309)*'Allocation Factors'!$G$10,0)</f>
        <v>5631339</v>
      </c>
      <c r="F309" s="10">
        <f>'Sch 5'!C296</f>
        <v>-4372.9710369596723</v>
      </c>
      <c r="G309" s="10">
        <f>E309+F309</f>
        <v>5626966.0289630406</v>
      </c>
      <c r="H309" s="10"/>
      <c r="I309" s="15" t="s">
        <v>341</v>
      </c>
      <c r="J309" s="10"/>
      <c r="K309" s="10"/>
      <c r="L309" s="436" t="s">
        <v>1058</v>
      </c>
    </row>
    <row r="310" spans="1:16" ht="14.15" customHeight="1">
      <c r="A310" s="436">
        <f t="shared" si="20"/>
        <v>294</v>
      </c>
      <c r="B310" s="22" t="s">
        <v>383</v>
      </c>
      <c r="C310" s="10">
        <f>6765493.71+48218495.59+4710090.41+28179483.45+75598.78-680000</f>
        <v>87269161.940000013</v>
      </c>
      <c r="D310" s="10">
        <f t="shared" si="29"/>
        <v>1221767.9400000125</v>
      </c>
      <c r="E310" s="10">
        <f>ROUND(J310+(C310-J310)*'Allocation Factors'!$G$14,0)</f>
        <v>86047394</v>
      </c>
      <c r="F310" s="10">
        <f>'Sch 5'!C297</f>
        <v>-48798449.643159322</v>
      </c>
      <c r="G310" s="10">
        <f>E310+F310</f>
        <v>37248944.356840678</v>
      </c>
      <c r="H310" s="10"/>
      <c r="I310" s="15" t="s">
        <v>344</v>
      </c>
      <c r="J310" s="38"/>
      <c r="K310" s="38"/>
      <c r="L310" s="436" t="s">
        <v>1063</v>
      </c>
    </row>
    <row r="311" spans="1:16" ht="14.15" customHeight="1">
      <c r="A311" s="436">
        <f t="shared" si="20"/>
        <v>295</v>
      </c>
      <c r="B311" s="22" t="s">
        <v>867</v>
      </c>
      <c r="C311" s="10">
        <f>5948283.62+0.13</f>
        <v>5948283.75</v>
      </c>
      <c r="D311" s="10">
        <f t="shared" si="29"/>
        <v>89224.75</v>
      </c>
      <c r="E311" s="10">
        <f>ROUND(C311*'Allocation Factors'!$G$10,0)</f>
        <v>5859059</v>
      </c>
      <c r="F311" s="10">
        <f>'Sch 5'!C298</f>
        <v>0</v>
      </c>
      <c r="G311" s="10">
        <f>E311+F311</f>
        <v>5859059</v>
      </c>
      <c r="H311" s="10"/>
      <c r="I311" s="15" t="s">
        <v>341</v>
      </c>
      <c r="J311" s="38"/>
      <c r="K311" s="38"/>
      <c r="L311" s="436" t="s">
        <v>1008</v>
      </c>
    </row>
    <row r="312" spans="1:16" ht="38.25" customHeight="1">
      <c r="A312" s="436">
        <f t="shared" si="20"/>
        <v>296</v>
      </c>
      <c r="B312" s="22" t="s">
        <v>384</v>
      </c>
      <c r="C312" s="10">
        <f>2321885.7+221526.38+727836.34-540210.82</f>
        <v>2731037.6</v>
      </c>
      <c r="D312" s="10">
        <f t="shared" si="29"/>
        <v>38234.600000000093</v>
      </c>
      <c r="E312" s="10">
        <f>ROUND(C312*'Allocation Factors'!$G$14,0)</f>
        <v>2692803</v>
      </c>
      <c r="F312" s="10">
        <f>'Sch 5'!C299</f>
        <v>69355</v>
      </c>
      <c r="G312" s="10">
        <f>E312+F312</f>
        <v>2762158</v>
      </c>
      <c r="H312" s="10"/>
      <c r="I312" s="15" t="s">
        <v>344</v>
      </c>
      <c r="J312" s="38"/>
      <c r="K312" s="38"/>
      <c r="L312" s="438" t="s">
        <v>1062</v>
      </c>
    </row>
    <row r="313" spans="1:16" s="21" customFormat="1" ht="14.15" customHeight="1">
      <c r="A313" s="436">
        <f t="shared" ref="A313:A377" si="30">+A312+1</f>
        <v>297</v>
      </c>
      <c r="B313" s="22" t="s">
        <v>320</v>
      </c>
      <c r="C313" s="10">
        <v>10086011.789999999</v>
      </c>
      <c r="D313" s="10">
        <f t="shared" si="29"/>
        <v>-0.21000000089406967</v>
      </c>
      <c r="E313" s="10">
        <f>ROUND(C313*'Allocation Factors'!$G$34,0)</f>
        <v>10086012</v>
      </c>
      <c r="F313" s="10">
        <f>'Sch 5'!C300</f>
        <v>-10086012</v>
      </c>
      <c r="G313" s="10">
        <f t="shared" ref="G313:G321" si="31">E313+F313</f>
        <v>0</v>
      </c>
      <c r="H313" s="10"/>
      <c r="I313" s="15" t="s">
        <v>362</v>
      </c>
      <c r="J313" s="38"/>
      <c r="K313" s="38"/>
      <c r="L313" s="436">
        <v>5010005</v>
      </c>
      <c r="M313" s="83"/>
    </row>
    <row r="314" spans="1:16" ht="30.75" customHeight="1">
      <c r="A314" s="436">
        <f t="shared" si="30"/>
        <v>298</v>
      </c>
      <c r="B314" s="22" t="s">
        <v>688</v>
      </c>
      <c r="C314" s="10">
        <v>5662987.9299999997</v>
      </c>
      <c r="D314" s="10">
        <f t="shared" si="29"/>
        <v>81206.929999999702</v>
      </c>
      <c r="E314" s="10">
        <f>ROUND(((((C314)*0.34)*'Allocation Factors'!$G$10)+(((C314)*0.66)*'Allocation Factors'!$G$14)),0)</f>
        <v>5581781</v>
      </c>
      <c r="F314" s="10">
        <f>'Sch 5'!C301</f>
        <v>-1934528.95</v>
      </c>
      <c r="G314" s="10">
        <f t="shared" si="31"/>
        <v>3647252.05</v>
      </c>
      <c r="H314" s="10"/>
      <c r="I314" s="15" t="s">
        <v>367</v>
      </c>
      <c r="J314" s="38"/>
      <c r="K314" s="38"/>
      <c r="L314" s="438" t="s">
        <v>1059</v>
      </c>
    </row>
    <row r="315" spans="1:16" ht="14.15" customHeight="1">
      <c r="A315" s="436">
        <f t="shared" si="30"/>
        <v>299</v>
      </c>
      <c r="B315" s="22" t="s">
        <v>190</v>
      </c>
      <c r="C315" s="10">
        <v>0</v>
      </c>
      <c r="D315" s="10">
        <f t="shared" si="29"/>
        <v>0</v>
      </c>
      <c r="E315" s="10">
        <f>ROUND(C315*'Allocation Factors'!$G$10,0)</f>
        <v>0</v>
      </c>
      <c r="F315" s="10">
        <f>'Sch 5'!C302</f>
        <v>0</v>
      </c>
      <c r="G315" s="10">
        <f t="shared" si="31"/>
        <v>0</v>
      </c>
      <c r="H315" s="10"/>
      <c r="I315" s="15" t="s">
        <v>341</v>
      </c>
      <c r="J315" s="38"/>
      <c r="K315" s="38"/>
    </row>
    <row r="316" spans="1:16" ht="14.15" customHeight="1">
      <c r="A316" s="436">
        <f t="shared" si="30"/>
        <v>300</v>
      </c>
      <c r="B316" s="22" t="s">
        <v>191</v>
      </c>
      <c r="C316" s="10">
        <v>0</v>
      </c>
      <c r="D316" s="10">
        <f t="shared" si="29"/>
        <v>0</v>
      </c>
      <c r="E316" s="10">
        <f>ROUND(C316*'Allocation Factors'!$G$10,0)</f>
        <v>0</v>
      </c>
      <c r="F316" s="10">
        <f>'Sch 5'!C303</f>
        <v>0</v>
      </c>
      <c r="G316" s="10">
        <f t="shared" si="31"/>
        <v>0</v>
      </c>
      <c r="H316" s="10"/>
      <c r="I316" s="15" t="s">
        <v>341</v>
      </c>
      <c r="J316" s="38"/>
      <c r="K316" s="38"/>
    </row>
    <row r="317" spans="1:16" ht="14.15" customHeight="1">
      <c r="A317" s="436">
        <f t="shared" si="30"/>
        <v>301</v>
      </c>
      <c r="B317" s="22" t="s">
        <v>192</v>
      </c>
      <c r="C317" s="10">
        <v>94883.57</v>
      </c>
      <c r="D317" s="10">
        <f t="shared" si="29"/>
        <v>1360.570000000007</v>
      </c>
      <c r="E317" s="10">
        <f>ROUND(((((C317)*0.34)*'Allocation Factors'!$G$10)+(((C317)*0.66)*'Allocation Factors'!$G$14)),0)</f>
        <v>93523</v>
      </c>
      <c r="F317" s="10">
        <f>'Sch 5'!C304</f>
        <v>1298</v>
      </c>
      <c r="G317" s="10">
        <f t="shared" si="31"/>
        <v>94821</v>
      </c>
      <c r="H317" s="10"/>
      <c r="I317" s="15" t="s">
        <v>367</v>
      </c>
      <c r="J317" s="38"/>
      <c r="K317" s="38"/>
      <c r="L317" s="436">
        <v>5050000</v>
      </c>
    </row>
    <row r="318" spans="1:16" s="21" customFormat="1" ht="14.15" customHeight="1">
      <c r="A318" s="436">
        <f t="shared" si="30"/>
        <v>302</v>
      </c>
      <c r="B318" s="22" t="s">
        <v>193</v>
      </c>
      <c r="C318" s="10">
        <v>5904893.5099999998</v>
      </c>
      <c r="D318" s="10">
        <f t="shared" si="29"/>
        <v>88573.509999999776</v>
      </c>
      <c r="E318" s="10">
        <f>ROUND(J318+(C318-J318)*'Allocation Factors'!$G$10,0)</f>
        <v>5816320</v>
      </c>
      <c r="F318" s="10">
        <f>'Sch 5'!C305</f>
        <v>-682928</v>
      </c>
      <c r="G318" s="10">
        <f t="shared" si="31"/>
        <v>5133392</v>
      </c>
      <c r="H318" s="10"/>
      <c r="I318" s="15" t="s">
        <v>341</v>
      </c>
      <c r="J318" s="10"/>
      <c r="K318" s="10"/>
      <c r="L318" s="436" t="s">
        <v>1060</v>
      </c>
    </row>
    <row r="319" spans="1:16" s="21" customFormat="1" ht="14.15" customHeight="1">
      <c r="A319" s="436">
        <f t="shared" si="30"/>
        <v>303</v>
      </c>
      <c r="B319" s="22" t="s">
        <v>194</v>
      </c>
      <c r="C319" s="10">
        <v>0</v>
      </c>
      <c r="D319" s="10">
        <f>C319-E319</f>
        <v>0</v>
      </c>
      <c r="E319" s="10">
        <f>ROUND(C319*'Allocation Factors'!$G$10,0)</f>
        <v>0</v>
      </c>
      <c r="F319" s="10">
        <f>'Sch 5'!C306</f>
        <v>0</v>
      </c>
      <c r="G319" s="10">
        <f t="shared" si="31"/>
        <v>0</v>
      </c>
      <c r="H319" s="10"/>
      <c r="I319" s="15" t="s">
        <v>341</v>
      </c>
      <c r="J319" s="38"/>
      <c r="K319" s="38"/>
      <c r="L319" s="436"/>
      <c r="M319" s="83"/>
      <c r="N319" s="83"/>
      <c r="O319" s="83"/>
      <c r="P319" s="83"/>
    </row>
    <row r="320" spans="1:16" ht="14.15" customHeight="1">
      <c r="A320" s="436">
        <f t="shared" si="30"/>
        <v>304</v>
      </c>
      <c r="B320" s="22" t="s">
        <v>864</v>
      </c>
      <c r="C320" s="10">
        <v>0</v>
      </c>
      <c r="D320" s="10">
        <f t="shared" si="29"/>
        <v>0</v>
      </c>
      <c r="E320" s="10">
        <f>ROUND(C320*'Allocation Factors'!$G$10,0)</f>
        <v>0</v>
      </c>
      <c r="F320" s="10">
        <f>'Sch 5'!C307</f>
        <v>0</v>
      </c>
      <c r="G320" s="10">
        <f t="shared" si="31"/>
        <v>0</v>
      </c>
      <c r="H320" s="10"/>
      <c r="I320" s="15" t="s">
        <v>341</v>
      </c>
      <c r="J320" s="38"/>
      <c r="K320" s="38"/>
    </row>
    <row r="321" spans="1:15" ht="14.15" customHeight="1">
      <c r="A321" s="436">
        <f t="shared" si="30"/>
        <v>305</v>
      </c>
      <c r="B321" s="56" t="s">
        <v>195</v>
      </c>
      <c r="C321" s="10">
        <f>51943.43+327.58</f>
        <v>52271.01</v>
      </c>
      <c r="D321" s="10">
        <f t="shared" si="29"/>
        <v>732.01000000000204</v>
      </c>
      <c r="E321" s="10">
        <f>ROUND(C321*'Allocation Factors'!$G$14,0)</f>
        <v>51539</v>
      </c>
      <c r="F321" s="10">
        <f>'Sch 5'!C308</f>
        <v>0</v>
      </c>
      <c r="G321" s="10">
        <f t="shared" si="31"/>
        <v>51539</v>
      </c>
      <c r="H321" s="10"/>
      <c r="I321" s="15" t="s">
        <v>344</v>
      </c>
      <c r="J321" s="38"/>
      <c r="K321" s="38"/>
      <c r="L321" s="436" t="s">
        <v>1061</v>
      </c>
    </row>
    <row r="322" spans="1:15" ht="14.15" customHeight="1">
      <c r="A322" s="436">
        <f t="shared" si="30"/>
        <v>306</v>
      </c>
      <c r="B322" s="20" t="s">
        <v>495</v>
      </c>
      <c r="C322" s="80">
        <f>SUM(C309:C321)</f>
        <v>123466626.98000002</v>
      </c>
      <c r="D322" s="80">
        <f>SUM(D309:D321)</f>
        <v>1606856.9800000112</v>
      </c>
      <c r="E322" s="80">
        <f>SUM(E309:E321)</f>
        <v>121859770</v>
      </c>
      <c r="F322" s="80">
        <f>SUM(F309:F321)</f>
        <v>-61435638.564196289</v>
      </c>
      <c r="G322" s="80">
        <f>SUM(G309:G321)</f>
        <v>60424131.435803711</v>
      </c>
      <c r="H322" s="80"/>
      <c r="I322" s="142"/>
      <c r="J322" s="38"/>
      <c r="K322" s="38"/>
    </row>
    <row r="323" spans="1:15" ht="14.15" customHeight="1">
      <c r="A323" s="436">
        <f t="shared" si="30"/>
        <v>307</v>
      </c>
      <c r="B323" s="23"/>
      <c r="C323" s="16"/>
      <c r="D323" s="137"/>
      <c r="E323" s="125"/>
      <c r="F323" s="16"/>
      <c r="G323" s="43"/>
      <c r="H323" s="43"/>
      <c r="I323" s="15"/>
      <c r="J323" s="38"/>
      <c r="K323" s="38"/>
    </row>
    <row r="324" spans="1:15" ht="14.15" customHeight="1">
      <c r="A324" s="436">
        <f t="shared" si="30"/>
        <v>308</v>
      </c>
      <c r="B324" s="22" t="s">
        <v>197</v>
      </c>
      <c r="C324" s="10">
        <v>1615369.51</v>
      </c>
      <c r="D324" s="10">
        <f>C324-E324</f>
        <v>24230.510000000009</v>
      </c>
      <c r="E324" s="10">
        <f>ROUND(C324*'Allocation Factors'!$G$10,0)</f>
        <v>1591139</v>
      </c>
      <c r="F324" s="10">
        <f>'Sch 5'!C311</f>
        <v>6274.5211402908608</v>
      </c>
      <c r="G324" s="10">
        <f>E324+F324</f>
        <v>1597413.5211402909</v>
      </c>
      <c r="H324" s="10"/>
      <c r="I324" s="15" t="s">
        <v>341</v>
      </c>
      <c r="J324" s="38"/>
      <c r="K324" s="38"/>
      <c r="L324" s="436" t="s">
        <v>1064</v>
      </c>
    </row>
    <row r="325" spans="1:15" ht="14.15" customHeight="1">
      <c r="A325" s="436">
        <f t="shared" si="30"/>
        <v>309</v>
      </c>
      <c r="B325" s="22" t="s">
        <v>198</v>
      </c>
      <c r="C325" s="10">
        <v>2131947.41</v>
      </c>
      <c r="D325" s="10">
        <f>C325-E325</f>
        <v>31979.410000000149</v>
      </c>
      <c r="E325" s="10">
        <f>ROUND(J325+(C325-J325)*'Allocation Factors'!$G$10,0)</f>
        <v>2099968</v>
      </c>
      <c r="F325" s="10">
        <f>'Sch 5'!C312</f>
        <v>410.44332120778199</v>
      </c>
      <c r="G325" s="10">
        <f>E325+F325</f>
        <v>2100378.443321208</v>
      </c>
      <c r="H325" s="10"/>
      <c r="I325" s="15" t="s">
        <v>341</v>
      </c>
      <c r="J325" s="10"/>
      <c r="K325" s="10"/>
      <c r="L325" s="436">
        <v>5110000</v>
      </c>
    </row>
    <row r="326" spans="1:15" ht="13.5" customHeight="1">
      <c r="A326" s="436">
        <f t="shared" si="30"/>
        <v>310</v>
      </c>
      <c r="B326" s="22" t="s">
        <v>199</v>
      </c>
      <c r="C326" s="10">
        <f>13580372.88+19.71-3903.65+232064.64</f>
        <v>13808553.580000002</v>
      </c>
      <c r="D326" s="10">
        <f>C326-E326</f>
        <v>198014.58000000194</v>
      </c>
      <c r="E326" s="10">
        <f>ROUND(((((C326-J326)*0.34)*'Allocation Factors'!$G$10)+(((C326-J326)*0.66)*'Allocation Factors'!$G$14)),0)+J326</f>
        <v>13610539</v>
      </c>
      <c r="F326" s="10">
        <f>'Sch 5'!C313</f>
        <v>-2021987.1336984858</v>
      </c>
      <c r="G326" s="10">
        <f>E326+F326</f>
        <v>11588551.866301514</v>
      </c>
      <c r="H326" s="10"/>
      <c r="I326" s="15" t="s">
        <v>367</v>
      </c>
      <c r="J326" s="10"/>
      <c r="K326" s="393">
        <f>E326/C326</f>
        <v>0.9856600056730922</v>
      </c>
      <c r="L326" s="436" t="s">
        <v>1065</v>
      </c>
    </row>
    <row r="327" spans="1:15" ht="14.15" customHeight="1">
      <c r="A327" s="436">
        <f t="shared" si="30"/>
        <v>311</v>
      </c>
      <c r="B327" s="22" t="s">
        <v>200</v>
      </c>
      <c r="C327" s="10">
        <v>4686151.29</v>
      </c>
      <c r="D327" s="10">
        <f>C327-E327</f>
        <v>70292.290000000037</v>
      </c>
      <c r="E327" s="10">
        <f>ROUND(J327+(C327-J327)*'Allocation Factors'!$G$10,0)</f>
        <v>4615859</v>
      </c>
      <c r="F327" s="10">
        <f>'Sch 5'!C314</f>
        <v>46054.398293940525</v>
      </c>
      <c r="G327" s="10">
        <f>E327+F327</f>
        <v>4661913.3982939404</v>
      </c>
      <c r="H327" s="10"/>
      <c r="I327" s="15" t="s">
        <v>341</v>
      </c>
      <c r="J327" s="10"/>
      <c r="K327" s="10"/>
      <c r="L327" s="436">
        <v>5130000</v>
      </c>
    </row>
    <row r="328" spans="1:15" ht="14.15" customHeight="1">
      <c r="A328" s="436">
        <f t="shared" si="30"/>
        <v>312</v>
      </c>
      <c r="B328" s="56" t="s">
        <v>201</v>
      </c>
      <c r="C328" s="10">
        <f>1230389.53-25.82</f>
        <v>1230363.71</v>
      </c>
      <c r="D328" s="10">
        <f>C328-E328</f>
        <v>18455.709999999963</v>
      </c>
      <c r="E328" s="10">
        <f>ROUND(J328+(C328-J328)*'Allocation Factors'!$G$10,0)</f>
        <v>1211908</v>
      </c>
      <c r="F328" s="10">
        <f>'Sch 5'!C315</f>
        <v>2876.9820875311962</v>
      </c>
      <c r="G328" s="10">
        <f>E328+F328</f>
        <v>1214784.9820875311</v>
      </c>
      <c r="H328" s="10"/>
      <c r="I328" s="15" t="s">
        <v>341</v>
      </c>
      <c r="J328" s="38"/>
      <c r="K328" s="38"/>
      <c r="L328" s="436" t="s">
        <v>1066</v>
      </c>
    </row>
    <row r="329" spans="1:15" ht="14.15" customHeight="1">
      <c r="A329" s="436">
        <f t="shared" si="30"/>
        <v>313</v>
      </c>
      <c r="B329" s="20" t="s">
        <v>496</v>
      </c>
      <c r="C329" s="80">
        <f>SUM(C324:C328)</f>
        <v>23472385.5</v>
      </c>
      <c r="D329" s="80">
        <f>SUM(D324:D328)</f>
        <v>342972.5000000021</v>
      </c>
      <c r="E329" s="80">
        <f>SUM(E324:E328)</f>
        <v>23129413</v>
      </c>
      <c r="F329" s="80">
        <f>SUM(F324:F328)</f>
        <v>-1966370.7888555154</v>
      </c>
      <c r="G329" s="80">
        <f>SUM(G324:G328)</f>
        <v>21163042.211144485</v>
      </c>
      <c r="H329" s="80"/>
      <c r="I329" s="142"/>
      <c r="J329" s="38"/>
      <c r="K329" s="38"/>
    </row>
    <row r="330" spans="1:15" ht="14.15" customHeight="1">
      <c r="A330" s="436">
        <f t="shared" si="30"/>
        <v>314</v>
      </c>
      <c r="B330" s="57"/>
      <c r="C330" s="146"/>
      <c r="D330" s="146"/>
      <c r="E330" s="58"/>
      <c r="F330" s="146"/>
      <c r="G330" s="64"/>
      <c r="H330" s="64"/>
      <c r="I330" s="130"/>
      <c r="J330" s="38"/>
      <c r="K330" s="38"/>
    </row>
    <row r="331" spans="1:15" ht="14.15" customHeight="1">
      <c r="A331" s="436">
        <f t="shared" si="30"/>
        <v>315</v>
      </c>
      <c r="B331" s="20" t="s">
        <v>202</v>
      </c>
      <c r="C331" s="16">
        <f>+C329+C322</f>
        <v>146939012.48000002</v>
      </c>
      <c r="D331" s="16">
        <f>+D329+D322</f>
        <v>1949829.4800000133</v>
      </c>
      <c r="E331" s="16">
        <f>+E329+E322</f>
        <v>144989183</v>
      </c>
      <c r="F331" s="16">
        <f>+F329+F322</f>
        <v>-63402009.353051804</v>
      </c>
      <c r="G331" s="16">
        <f>+G329+G322</f>
        <v>81587173.646948189</v>
      </c>
      <c r="H331" s="16"/>
      <c r="I331" s="17"/>
      <c r="J331" s="38"/>
      <c r="K331" s="38"/>
    </row>
    <row r="332" spans="1:15" ht="14.15" customHeight="1">
      <c r="A332" s="436">
        <f t="shared" si="30"/>
        <v>316</v>
      </c>
      <c r="B332" s="124"/>
      <c r="C332" s="16"/>
      <c r="D332" s="16"/>
      <c r="E332" s="12"/>
      <c r="F332" s="16"/>
      <c r="G332" s="43"/>
      <c r="H332" s="43"/>
      <c r="I332" s="15"/>
      <c r="J332" s="38"/>
      <c r="K332" s="38"/>
    </row>
    <row r="333" spans="1:15" ht="14.15" customHeight="1">
      <c r="A333" s="436">
        <f t="shared" si="30"/>
        <v>317</v>
      </c>
      <c r="B333" s="13" t="s">
        <v>203</v>
      </c>
      <c r="C333" s="43"/>
      <c r="D333" s="43"/>
      <c r="E333" s="43"/>
      <c r="F333" s="43"/>
      <c r="G333" s="43"/>
      <c r="H333" s="43"/>
      <c r="I333" s="15"/>
      <c r="J333" s="38"/>
      <c r="K333" s="38"/>
    </row>
    <row r="334" spans="1:15" ht="14.15" customHeight="1">
      <c r="A334" s="436">
        <f t="shared" si="30"/>
        <v>318</v>
      </c>
      <c r="B334" s="22" t="s">
        <v>1116</v>
      </c>
      <c r="C334" s="43">
        <f>450043.65+-20.62+-33.54</f>
        <v>449989.49000000005</v>
      </c>
      <c r="D334" s="10">
        <f>C334-E334</f>
        <v>6749.4900000000489</v>
      </c>
      <c r="E334" s="10">
        <f>ROUND(C334*'Allocation Factors'!$G$10,0)</f>
        <v>443240</v>
      </c>
      <c r="F334" s="10">
        <f>'Sch 5'!C321</f>
        <v>0</v>
      </c>
      <c r="G334" s="10">
        <f>E334+F334</f>
        <v>443240</v>
      </c>
      <c r="H334" s="43"/>
      <c r="I334" s="15" t="s">
        <v>341</v>
      </c>
      <c r="J334" s="38"/>
      <c r="K334" s="38"/>
    </row>
    <row r="335" spans="1:15" ht="23.25" customHeight="1">
      <c r="A335" s="436">
        <f t="shared" si="30"/>
        <v>319</v>
      </c>
      <c r="B335" s="22" t="s">
        <v>204</v>
      </c>
      <c r="C335" s="10">
        <f>'Sch 7'!D12</f>
        <v>49660263.949999996</v>
      </c>
      <c r="D335" s="10">
        <f>C335-E335</f>
        <v>744903.94999999553</v>
      </c>
      <c r="E335" s="10">
        <f>ROUND(C335*'Allocation Factors'!$G$10,0)</f>
        <v>48915360</v>
      </c>
      <c r="F335" s="10">
        <f>'Sch 5'!C322</f>
        <v>-38933320.959279999</v>
      </c>
      <c r="G335" s="10">
        <f>E335+F335</f>
        <v>9982039.0407200009</v>
      </c>
      <c r="H335" s="10"/>
      <c r="I335" s="15" t="s">
        <v>341</v>
      </c>
      <c r="J335" s="10"/>
      <c r="K335" s="10"/>
      <c r="L335" s="438" t="s">
        <v>1056</v>
      </c>
      <c r="O335" s="436"/>
    </row>
    <row r="336" spans="1:15" ht="23.25" customHeight="1">
      <c r="A336" s="436">
        <f t="shared" si="30"/>
        <v>320</v>
      </c>
      <c r="B336" s="22" t="s">
        <v>205</v>
      </c>
      <c r="C336" s="10">
        <f>'Sch 7'!B12</f>
        <v>234295960.21999997</v>
      </c>
      <c r="D336" s="10">
        <f>C336-E336</f>
        <v>3187448.219999969</v>
      </c>
      <c r="E336" s="10">
        <f>ROUND(J336+(C336-J336)*'Allocation Factors'!$G$14,0)</f>
        <v>231108512</v>
      </c>
      <c r="F336" s="10">
        <f>'Sch 5'!C323</f>
        <v>-92223530</v>
      </c>
      <c r="G336" s="10">
        <f>E336+F336</f>
        <v>138884982</v>
      </c>
      <c r="H336" s="10"/>
      <c r="I336" s="15" t="s">
        <v>344</v>
      </c>
      <c r="J336" s="10">
        <f>2631871+3989249</f>
        <v>6621120</v>
      </c>
      <c r="K336" s="436" t="s">
        <v>999</v>
      </c>
      <c r="L336" s="438" t="s">
        <v>1055</v>
      </c>
    </row>
    <row r="337" spans="1:12" ht="14.15" customHeight="1">
      <c r="A337" s="436">
        <f t="shared" si="30"/>
        <v>321</v>
      </c>
      <c r="B337" s="22" t="s">
        <v>206</v>
      </c>
      <c r="C337" s="10">
        <v>174000.2</v>
      </c>
      <c r="D337" s="10">
        <f>C337-E337</f>
        <v>2610.2000000000116</v>
      </c>
      <c r="E337" s="10">
        <f>ROUND(C337*'Allocation Factors'!$G$10,0)</f>
        <v>171390</v>
      </c>
      <c r="F337" s="10">
        <f>'Sch 5'!C324</f>
        <v>0</v>
      </c>
      <c r="G337" s="10">
        <f>E337+F337</f>
        <v>171390</v>
      </c>
      <c r="H337" s="10"/>
      <c r="I337" s="15" t="s">
        <v>341</v>
      </c>
      <c r="J337" s="38"/>
      <c r="K337" s="38"/>
      <c r="L337" s="436">
        <v>5560000</v>
      </c>
    </row>
    <row r="338" spans="1:12" ht="14.15" customHeight="1">
      <c r="A338" s="436">
        <f t="shared" si="30"/>
        <v>322</v>
      </c>
      <c r="B338" s="56" t="s">
        <v>207</v>
      </c>
      <c r="C338" s="10">
        <v>847270.62</v>
      </c>
      <c r="D338" s="10">
        <f>C338-E338</f>
        <v>12708.619999999995</v>
      </c>
      <c r="E338" s="10">
        <f>ROUND(C338*'Allocation Factors'!$G$10,0)</f>
        <v>834562</v>
      </c>
      <c r="F338" s="10">
        <f>'Sch 5'!C325</f>
        <v>0</v>
      </c>
      <c r="G338" s="10">
        <f>E338+F338</f>
        <v>834562</v>
      </c>
      <c r="H338" s="10"/>
      <c r="I338" s="15" t="s">
        <v>341</v>
      </c>
      <c r="J338" s="38"/>
      <c r="K338" s="38"/>
      <c r="L338" s="436" t="s">
        <v>1057</v>
      </c>
    </row>
    <row r="339" spans="1:12" s="21" customFormat="1" ht="14.15" customHeight="1">
      <c r="A339" s="436">
        <f t="shared" si="30"/>
        <v>323</v>
      </c>
      <c r="B339" s="20" t="s">
        <v>497</v>
      </c>
      <c r="C339" s="80">
        <f>SUM(C334:C338)</f>
        <v>285427484.47999996</v>
      </c>
      <c r="D339" s="80">
        <f t="shared" ref="D339:G339" si="32">SUM(D334:D338)</f>
        <v>3954420.4799999651</v>
      </c>
      <c r="E339" s="80">
        <f t="shared" si="32"/>
        <v>281473064</v>
      </c>
      <c r="F339" s="80">
        <f t="shared" si="32"/>
        <v>-131156850.95928</v>
      </c>
      <c r="G339" s="80">
        <f t="shared" si="32"/>
        <v>150316213.04071999</v>
      </c>
      <c r="H339" s="80"/>
      <c r="I339" s="142"/>
      <c r="J339" s="38"/>
      <c r="K339" s="38"/>
      <c r="L339" s="18"/>
    </row>
    <row r="340" spans="1:12" s="21" customFormat="1" ht="14.15" customHeight="1">
      <c r="A340" s="436">
        <f t="shared" si="30"/>
        <v>324</v>
      </c>
      <c r="B340" s="57"/>
      <c r="C340" s="146"/>
      <c r="D340" s="146"/>
      <c r="E340" s="58"/>
      <c r="F340" s="146"/>
      <c r="G340" s="64"/>
      <c r="H340" s="64"/>
      <c r="I340" s="52"/>
      <c r="J340" s="38"/>
      <c r="K340" s="38"/>
      <c r="L340" s="18"/>
    </row>
    <row r="341" spans="1:12" ht="14.15" customHeight="1">
      <c r="A341" s="436">
        <f t="shared" si="30"/>
        <v>325</v>
      </c>
      <c r="B341" s="20" t="s">
        <v>498</v>
      </c>
      <c r="C341" s="16">
        <f>C339+C331</f>
        <v>432366496.95999998</v>
      </c>
      <c r="D341" s="16">
        <f>D339+D331</f>
        <v>5904249.9599999785</v>
      </c>
      <c r="E341" s="16">
        <f>E339+E331</f>
        <v>426462247</v>
      </c>
      <c r="F341" s="16">
        <f>F339+F331</f>
        <v>-194558860.3123318</v>
      </c>
      <c r="G341" s="16">
        <f>G339+G331</f>
        <v>231903386.68766817</v>
      </c>
      <c r="H341" s="16"/>
      <c r="I341" s="150"/>
      <c r="J341" s="38"/>
      <c r="K341" s="38"/>
    </row>
    <row r="342" spans="1:12" ht="14.15" customHeight="1">
      <c r="A342" s="436">
        <f t="shared" si="30"/>
        <v>326</v>
      </c>
      <c r="B342" s="124"/>
      <c r="C342" s="12"/>
      <c r="D342" s="16"/>
      <c r="E342" s="12"/>
      <c r="F342" s="16"/>
      <c r="G342" s="10"/>
      <c r="H342" s="10"/>
      <c r="I342" s="15"/>
      <c r="J342" s="38"/>
      <c r="K342" s="38"/>
    </row>
    <row r="343" spans="1:12" ht="14.15" customHeight="1">
      <c r="A343" s="436">
        <f t="shared" si="30"/>
        <v>327</v>
      </c>
      <c r="B343" s="13" t="s">
        <v>210</v>
      </c>
      <c r="C343" s="10"/>
      <c r="D343" s="10"/>
      <c r="E343" s="10"/>
      <c r="F343" s="10"/>
      <c r="G343" s="10"/>
      <c r="H343" s="10"/>
      <c r="I343" s="15"/>
      <c r="J343" s="38"/>
      <c r="K343" s="38"/>
    </row>
    <row r="344" spans="1:12" ht="14.15" customHeight="1">
      <c r="A344" s="436">
        <f t="shared" si="30"/>
        <v>328</v>
      </c>
      <c r="B344" s="22" t="s">
        <v>211</v>
      </c>
      <c r="C344" s="10">
        <v>3597391.25</v>
      </c>
      <c r="D344" s="10">
        <f t="shared" ref="D344:D355" si="33">C344-E344</f>
        <v>53961.25</v>
      </c>
      <c r="E344" s="10">
        <f>ROUND(C344*'Allocation Factors'!$G$16,0)</f>
        <v>3543430</v>
      </c>
      <c r="F344" s="10">
        <f>'Sch 5'!C331</f>
        <v>-108860</v>
      </c>
      <c r="G344" s="10">
        <f t="shared" ref="G344:G349" si="34">E344+F344</f>
        <v>3434570</v>
      </c>
      <c r="H344" s="10"/>
      <c r="I344" s="15" t="s">
        <v>346</v>
      </c>
      <c r="J344" s="38"/>
      <c r="K344" s="38"/>
      <c r="L344" s="436">
        <v>5600000</v>
      </c>
    </row>
    <row r="345" spans="1:12" ht="14.15" customHeight="1">
      <c r="A345" s="436">
        <f t="shared" si="30"/>
        <v>329</v>
      </c>
      <c r="B345" s="22" t="s">
        <v>821</v>
      </c>
      <c r="C345" s="10">
        <f>317582.62+72003.22</f>
        <v>389585.83999999997</v>
      </c>
      <c r="D345" s="10">
        <f t="shared" si="33"/>
        <v>5843.8399999999674</v>
      </c>
      <c r="E345" s="10">
        <f>ROUND(C345*'Allocation Factors'!$G$16,0)</f>
        <v>383742</v>
      </c>
      <c r="F345" s="10">
        <f>'Sch 5'!C332</f>
        <v>-117604</v>
      </c>
      <c r="G345" s="10">
        <f t="shared" si="34"/>
        <v>266138</v>
      </c>
      <c r="H345" s="10"/>
      <c r="I345" s="15" t="s">
        <v>346</v>
      </c>
      <c r="J345" s="38"/>
      <c r="K345" s="38"/>
      <c r="L345" s="436" t="s">
        <v>1049</v>
      </c>
    </row>
    <row r="346" spans="1:12" ht="14.15" customHeight="1">
      <c r="A346" s="436">
        <f t="shared" si="30"/>
        <v>330</v>
      </c>
      <c r="B346" s="22" t="s">
        <v>820</v>
      </c>
      <c r="C346" s="10">
        <v>1612828.3</v>
      </c>
      <c r="D346" s="10">
        <f t="shared" si="33"/>
        <v>24192.300000000047</v>
      </c>
      <c r="E346" s="10">
        <f>ROUND(C346*'Allocation Factors'!$G$16,0)</f>
        <v>1588636</v>
      </c>
      <c r="F346" s="10">
        <f>'Sch 5'!C333</f>
        <v>0</v>
      </c>
      <c r="G346" s="10">
        <f t="shared" si="34"/>
        <v>1588636</v>
      </c>
      <c r="H346" s="10"/>
      <c r="I346" s="15" t="s">
        <v>346</v>
      </c>
      <c r="J346" s="38"/>
      <c r="K346" s="38"/>
      <c r="L346" s="436" t="s">
        <v>1050</v>
      </c>
    </row>
    <row r="347" spans="1:12" ht="14.15" customHeight="1">
      <c r="A347" s="436">
        <f t="shared" si="30"/>
        <v>331</v>
      </c>
      <c r="B347" s="22" t="s">
        <v>212</v>
      </c>
      <c r="C347" s="10">
        <v>309788.84000000003</v>
      </c>
      <c r="D347" s="10">
        <f t="shared" si="33"/>
        <v>4646.8400000000256</v>
      </c>
      <c r="E347" s="10">
        <f>ROUND(C347*'Allocation Factors'!$G$16,0)</f>
        <v>305142</v>
      </c>
      <c r="F347" s="10">
        <f>'Sch 5'!C334</f>
        <v>0</v>
      </c>
      <c r="G347" s="10">
        <f t="shared" si="34"/>
        <v>305142</v>
      </c>
      <c r="H347" s="10"/>
      <c r="I347" s="15" t="s">
        <v>346</v>
      </c>
      <c r="J347" s="38"/>
      <c r="K347" s="38"/>
      <c r="L347" s="436">
        <v>5620001</v>
      </c>
    </row>
    <row r="348" spans="1:12" s="21" customFormat="1" ht="14.15" customHeight="1">
      <c r="A348" s="436">
        <f t="shared" si="30"/>
        <v>332</v>
      </c>
      <c r="B348" s="22" t="s">
        <v>213</v>
      </c>
      <c r="C348" s="10">
        <v>23895.120000000003</v>
      </c>
      <c r="D348" s="10">
        <f t="shared" si="33"/>
        <v>358.12000000000262</v>
      </c>
      <c r="E348" s="10">
        <f>ROUND(C348*'Allocation Factors'!$G$16,0)</f>
        <v>23537</v>
      </c>
      <c r="F348" s="10">
        <f>'Sch 5'!C335</f>
        <v>0</v>
      </c>
      <c r="G348" s="10">
        <f t="shared" si="34"/>
        <v>23537</v>
      </c>
      <c r="H348" s="10"/>
      <c r="I348" s="15" t="s">
        <v>346</v>
      </c>
      <c r="J348" s="38"/>
      <c r="K348" s="38"/>
      <c r="L348" s="436">
        <v>5630000</v>
      </c>
    </row>
    <row r="349" spans="1:12" s="21" customFormat="1" ht="14.15" customHeight="1">
      <c r="A349" s="436">
        <f t="shared" si="30"/>
        <v>333</v>
      </c>
      <c r="B349" s="22" t="s">
        <v>214</v>
      </c>
      <c r="C349" s="10">
        <v>60012.22</v>
      </c>
      <c r="D349" s="10">
        <f t="shared" si="33"/>
        <v>900.22000000000116</v>
      </c>
      <c r="E349" s="10">
        <f>ROUND(C349*'Allocation Factors'!$G$16,0)</f>
        <v>59112</v>
      </c>
      <c r="F349" s="10">
        <f>'Sch 5'!C336</f>
        <v>0</v>
      </c>
      <c r="G349" s="10">
        <f t="shared" si="34"/>
        <v>59112</v>
      </c>
      <c r="H349" s="10"/>
      <c r="I349" s="15" t="s">
        <v>346</v>
      </c>
      <c r="J349" s="38"/>
      <c r="K349" s="38"/>
      <c r="L349" s="436">
        <v>5640000</v>
      </c>
    </row>
    <row r="350" spans="1:12" s="21" customFormat="1" ht="14.15" customHeight="1">
      <c r="A350" s="436">
        <f t="shared" si="30"/>
        <v>334</v>
      </c>
      <c r="B350" s="22" t="s">
        <v>901</v>
      </c>
      <c r="C350" s="10">
        <f>1769370.25+62343822.53+5224028.01+728804.02</f>
        <v>70066024.810000002</v>
      </c>
      <c r="D350" s="10">
        <f t="shared" si="33"/>
        <v>-0.18999999761581421</v>
      </c>
      <c r="E350" s="10">
        <f>ROUND((C350-J350)*'Allocation Factors'!$G$34,0)</f>
        <v>70066025</v>
      </c>
      <c r="F350" s="10">
        <f>'Sch 5'!C337</f>
        <v>7893781</v>
      </c>
      <c r="G350" s="10">
        <f t="shared" ref="G350:G355" si="35">E350+F350</f>
        <v>77959806</v>
      </c>
      <c r="H350" s="10"/>
      <c r="I350" s="25" t="s">
        <v>362</v>
      </c>
      <c r="J350" s="38"/>
      <c r="K350" s="38"/>
      <c r="L350" s="436" t="s">
        <v>1054</v>
      </c>
    </row>
    <row r="351" spans="1:12" s="21" customFormat="1" ht="14.15" customHeight="1">
      <c r="A351" s="436">
        <f t="shared" si="30"/>
        <v>335</v>
      </c>
      <c r="B351" s="22" t="s">
        <v>862</v>
      </c>
      <c r="C351" s="10">
        <v>73833.03</v>
      </c>
      <c r="D351" s="10">
        <f t="shared" si="33"/>
        <v>2.9999999998835847E-2</v>
      </c>
      <c r="E351" s="10">
        <f>ROUND((C351-J351)*'Allocation Factors'!$G$34,0)</f>
        <v>73833</v>
      </c>
      <c r="F351" s="10">
        <f>'Sch 5'!C338</f>
        <v>0</v>
      </c>
      <c r="G351" s="10">
        <f t="shared" si="35"/>
        <v>73833</v>
      </c>
      <c r="H351" s="10"/>
      <c r="I351" s="25" t="s">
        <v>362</v>
      </c>
      <c r="J351" s="38"/>
      <c r="K351" s="38"/>
      <c r="L351" s="436">
        <v>5650015</v>
      </c>
    </row>
    <row r="352" spans="1:12" s="21" customFormat="1" ht="14.15" customHeight="1">
      <c r="A352" s="436">
        <f t="shared" si="30"/>
        <v>336</v>
      </c>
      <c r="B352" s="22" t="s">
        <v>810</v>
      </c>
      <c r="C352" s="10">
        <v>117964.5</v>
      </c>
      <c r="D352" s="10">
        <f t="shared" si="33"/>
        <v>1769.5</v>
      </c>
      <c r="E352" s="10">
        <f>ROUND(C352*'Allocation Factors'!$G$16,0)</f>
        <v>116195</v>
      </c>
      <c r="F352" s="10">
        <f>'Sch 5'!C339</f>
        <v>0</v>
      </c>
      <c r="G352" s="10">
        <f t="shared" si="35"/>
        <v>116195</v>
      </c>
      <c r="H352" s="10"/>
      <c r="I352" s="25" t="s">
        <v>346</v>
      </c>
      <c r="J352" s="38"/>
      <c r="K352" s="38"/>
      <c r="L352" s="436">
        <v>5650002</v>
      </c>
    </row>
    <row r="353" spans="1:12" s="21" customFormat="1" ht="14.15" customHeight="1">
      <c r="A353" s="436">
        <f t="shared" si="30"/>
        <v>337</v>
      </c>
      <c r="B353" s="22" t="s">
        <v>863</v>
      </c>
      <c r="C353" s="10">
        <f>-1328334.06+522576.98+327.95+730068</f>
        <v>-75361.130000000121</v>
      </c>
      <c r="D353" s="10">
        <f t="shared" si="33"/>
        <v>-75361.130000000121</v>
      </c>
      <c r="E353" s="10">
        <v>0</v>
      </c>
      <c r="F353" s="10">
        <f>'Sch 5'!C340</f>
        <v>0</v>
      </c>
      <c r="G353" s="10">
        <f t="shared" si="35"/>
        <v>0</v>
      </c>
      <c r="H353" s="10"/>
      <c r="I353" s="25" t="s">
        <v>54</v>
      </c>
      <c r="J353" s="38"/>
      <c r="K353" s="38"/>
      <c r="L353" s="102" t="s">
        <v>1053</v>
      </c>
    </row>
    <row r="354" spans="1:12" s="21" customFormat="1" ht="14.15" customHeight="1">
      <c r="A354" s="436">
        <f t="shared" si="30"/>
        <v>338</v>
      </c>
      <c r="B354" s="22" t="s">
        <v>215</v>
      </c>
      <c r="C354" s="10">
        <v>-5712757.6600000001</v>
      </c>
      <c r="D354" s="10">
        <f>C354-E354</f>
        <v>15219.339999999851</v>
      </c>
      <c r="E354" s="10">
        <f>ROUND(J354+(C354-J354)*'Allocation Factors'!$G$16,0)</f>
        <v>-5727977</v>
      </c>
      <c r="F354" s="10">
        <f>'Sch 5'!C341</f>
        <v>6726967</v>
      </c>
      <c r="G354" s="10">
        <f t="shared" si="35"/>
        <v>998990</v>
      </c>
      <c r="H354" s="10"/>
      <c r="I354" s="15" t="s">
        <v>346</v>
      </c>
      <c r="J354" s="38">
        <v>-6727358.2800000003</v>
      </c>
      <c r="K354" s="436" t="s">
        <v>1115</v>
      </c>
      <c r="L354" s="102" t="s">
        <v>1051</v>
      </c>
    </row>
    <row r="355" spans="1:12" ht="14.15" customHeight="1">
      <c r="A355" s="436">
        <f t="shared" si="30"/>
        <v>339</v>
      </c>
      <c r="B355" s="56" t="s">
        <v>216</v>
      </c>
      <c r="C355" s="10">
        <v>277.29000000000002</v>
      </c>
      <c r="D355" s="10">
        <f t="shared" si="33"/>
        <v>4.2900000000000205</v>
      </c>
      <c r="E355" s="10">
        <f>ROUND(C355*'Allocation Factors'!$G$16,0)</f>
        <v>273</v>
      </c>
      <c r="F355" s="10">
        <f>'Sch 5'!C342</f>
        <v>0</v>
      </c>
      <c r="G355" s="10">
        <f t="shared" si="35"/>
        <v>273</v>
      </c>
      <c r="H355" s="10"/>
      <c r="I355" s="15" t="s">
        <v>346</v>
      </c>
      <c r="J355" s="38"/>
      <c r="K355" s="38"/>
      <c r="L355" s="436" t="s">
        <v>1052</v>
      </c>
    </row>
    <row r="356" spans="1:12" ht="14.15" customHeight="1">
      <c r="A356" s="436">
        <f t="shared" si="30"/>
        <v>340</v>
      </c>
      <c r="B356" s="20" t="s">
        <v>499</v>
      </c>
      <c r="C356" s="80">
        <f>SUM(C344:C355)</f>
        <v>70463482.410000011</v>
      </c>
      <c r="D356" s="80">
        <f>SUM(D344:D355)</f>
        <v>31534.41000000215</v>
      </c>
      <c r="E356" s="80">
        <f>SUM(E344:E355)</f>
        <v>70431948</v>
      </c>
      <c r="F356" s="80">
        <f>SUM(F344:F355)</f>
        <v>14394284</v>
      </c>
      <c r="G356" s="80">
        <f>SUM(G344:G355)</f>
        <v>84826232</v>
      </c>
      <c r="H356" s="80"/>
      <c r="I356" s="142"/>
      <c r="J356" s="38"/>
      <c r="K356" s="38"/>
    </row>
    <row r="357" spans="1:12" ht="14.15" customHeight="1">
      <c r="A357" s="436">
        <f t="shared" si="30"/>
        <v>341</v>
      </c>
      <c r="B357" s="124"/>
      <c r="C357" s="16"/>
      <c r="D357" s="16"/>
      <c r="E357" s="16"/>
      <c r="F357" s="16"/>
      <c r="G357" s="43"/>
      <c r="H357" s="43"/>
      <c r="I357" s="15"/>
      <c r="J357" s="38"/>
      <c r="K357" s="38"/>
    </row>
    <row r="358" spans="1:12" ht="14.15" customHeight="1">
      <c r="A358" s="436">
        <f t="shared" si="30"/>
        <v>342</v>
      </c>
      <c r="B358" s="20" t="s">
        <v>218</v>
      </c>
      <c r="C358" s="16"/>
      <c r="D358" s="16"/>
      <c r="E358" s="16"/>
      <c r="F358" s="16"/>
      <c r="G358" s="10"/>
      <c r="H358" s="10"/>
      <c r="I358" s="15"/>
      <c r="J358" s="38"/>
      <c r="K358" s="38"/>
    </row>
    <row r="359" spans="1:12" ht="14.15" customHeight="1">
      <c r="A359" s="436">
        <f t="shared" si="30"/>
        <v>343</v>
      </c>
      <c r="B359" s="22" t="s">
        <v>219</v>
      </c>
      <c r="C359" s="10">
        <v>1574.65</v>
      </c>
      <c r="D359" s="10">
        <f t="shared" ref="D359:D365" si="36">C359-E359</f>
        <v>23.650000000000091</v>
      </c>
      <c r="E359" s="10">
        <f>ROUND(C359*'Allocation Factors'!$G$16,0)</f>
        <v>1551</v>
      </c>
      <c r="F359" s="10">
        <f>'Sch 5'!C346</f>
        <v>0</v>
      </c>
      <c r="G359" s="10">
        <f t="shared" ref="G359:G365" si="37">E359+F359</f>
        <v>1551</v>
      </c>
      <c r="H359" s="10"/>
      <c r="I359" s="15" t="s">
        <v>346</v>
      </c>
      <c r="J359" s="38"/>
      <c r="K359" s="38"/>
      <c r="L359" s="436">
        <v>5680000</v>
      </c>
    </row>
    <row r="360" spans="1:12" ht="14.15" customHeight="1">
      <c r="A360" s="436">
        <f t="shared" si="30"/>
        <v>344</v>
      </c>
      <c r="B360" s="22" t="s">
        <v>220</v>
      </c>
      <c r="C360" s="10">
        <v>162369.56</v>
      </c>
      <c r="D360" s="10">
        <f t="shared" si="36"/>
        <v>2435.5599999999977</v>
      </c>
      <c r="E360" s="10">
        <f>ROUND(C360*'Allocation Factors'!$G$16,0)</f>
        <v>159934</v>
      </c>
      <c r="F360" s="10">
        <f>'Sch 5'!C347</f>
        <v>0</v>
      </c>
      <c r="G360" s="10">
        <f t="shared" si="37"/>
        <v>159934</v>
      </c>
      <c r="H360" s="10"/>
      <c r="I360" s="15" t="s">
        <v>346</v>
      </c>
      <c r="J360" s="38"/>
      <c r="K360" s="38"/>
      <c r="L360" s="436" t="s">
        <v>1047</v>
      </c>
    </row>
    <row r="361" spans="1:12" ht="14.15" customHeight="1">
      <c r="A361" s="436">
        <f t="shared" si="30"/>
        <v>345</v>
      </c>
      <c r="B361" s="22" t="s">
        <v>221</v>
      </c>
      <c r="C361" s="10">
        <v>643167.69200000004</v>
      </c>
      <c r="D361" s="10">
        <f t="shared" si="36"/>
        <v>9647.6920000000391</v>
      </c>
      <c r="E361" s="10">
        <f>ROUND(C361*'Allocation Factors'!$G$16,0)</f>
        <v>633520</v>
      </c>
      <c r="F361" s="10">
        <f>'Sch 5'!C348</f>
        <v>0</v>
      </c>
      <c r="G361" s="10">
        <f t="shared" si="37"/>
        <v>633520</v>
      </c>
      <c r="H361" s="10"/>
      <c r="I361" s="15" t="s">
        <v>346</v>
      </c>
      <c r="J361" s="38"/>
      <c r="K361" s="38"/>
      <c r="L361" s="436">
        <v>5700000</v>
      </c>
    </row>
    <row r="362" spans="1:12" ht="14.15" customHeight="1">
      <c r="A362" s="436">
        <f t="shared" si="30"/>
        <v>346</v>
      </c>
      <c r="B362" s="22" t="s">
        <v>222</v>
      </c>
      <c r="C362" s="10">
        <v>5445751.04</v>
      </c>
      <c r="D362" s="10">
        <f t="shared" si="36"/>
        <v>81686.040000000037</v>
      </c>
      <c r="E362" s="10">
        <f>ROUND(C362*'Allocation Factors'!$G$16,0)</f>
        <v>5364065</v>
      </c>
      <c r="F362" s="10">
        <f>'Sch 5'!C349</f>
        <v>-71.099999999999994</v>
      </c>
      <c r="G362" s="10">
        <f t="shared" si="37"/>
        <v>5363993.9000000004</v>
      </c>
      <c r="H362" s="10"/>
      <c r="I362" s="15" t="s">
        <v>346</v>
      </c>
      <c r="J362" s="38"/>
      <c r="K362" s="38"/>
      <c r="L362" s="436">
        <v>5710000</v>
      </c>
    </row>
    <row r="363" spans="1:12" ht="14.15" customHeight="1">
      <c r="A363" s="436">
        <f t="shared" si="30"/>
        <v>347</v>
      </c>
      <c r="B363" s="22" t="s">
        <v>223</v>
      </c>
      <c r="C363" s="10">
        <v>666.24</v>
      </c>
      <c r="D363" s="10">
        <f t="shared" si="36"/>
        <v>10.240000000000009</v>
      </c>
      <c r="E363" s="10">
        <f>ROUND(C363*'Allocation Factors'!$G$16,0)</f>
        <v>656</v>
      </c>
      <c r="F363" s="10">
        <f>'Sch 5'!C350</f>
        <v>0</v>
      </c>
      <c r="G363" s="10">
        <f t="shared" si="37"/>
        <v>656</v>
      </c>
      <c r="H363" s="10"/>
      <c r="I363" s="15" t="s">
        <v>346</v>
      </c>
      <c r="J363" s="38"/>
      <c r="K363" s="38"/>
      <c r="L363" s="436">
        <v>5720000</v>
      </c>
    </row>
    <row r="364" spans="1:12" ht="14.15" customHeight="1">
      <c r="A364" s="436">
        <f t="shared" si="30"/>
        <v>348</v>
      </c>
      <c r="B364" s="22" t="s">
        <v>224</v>
      </c>
      <c r="C364" s="10">
        <v>3160.8</v>
      </c>
      <c r="D364" s="10">
        <f t="shared" si="36"/>
        <v>47.800000000000182</v>
      </c>
      <c r="E364" s="10">
        <f>ROUND(C364*'Allocation Factors'!$G$16,0)</f>
        <v>3113</v>
      </c>
      <c r="F364" s="10">
        <f>'Sch 5'!C351</f>
        <v>0</v>
      </c>
      <c r="G364" s="10">
        <f t="shared" si="37"/>
        <v>3113</v>
      </c>
      <c r="H364" s="10"/>
      <c r="I364" s="15" t="s">
        <v>346</v>
      </c>
      <c r="J364" s="38"/>
      <c r="K364" s="38"/>
      <c r="L364" s="436">
        <v>5730000</v>
      </c>
    </row>
    <row r="365" spans="1:12" ht="14.15" customHeight="1">
      <c r="A365" s="436">
        <f t="shared" si="30"/>
        <v>349</v>
      </c>
      <c r="B365" s="56" t="s">
        <v>225</v>
      </c>
      <c r="C365" s="10">
        <f>65344.71+895070.09</f>
        <v>960414.79999999993</v>
      </c>
      <c r="D365" s="10">
        <f t="shared" si="36"/>
        <v>14405.79999999993</v>
      </c>
      <c r="E365" s="10">
        <f>ROUND(C365*'Allocation Factors'!$G$16,0)</f>
        <v>946009</v>
      </c>
      <c r="F365" s="64">
        <f>'Sch 5'!C352</f>
        <v>0</v>
      </c>
      <c r="G365" s="10">
        <f t="shared" si="37"/>
        <v>946009</v>
      </c>
      <c r="H365" s="10"/>
      <c r="I365" s="15" t="s">
        <v>346</v>
      </c>
      <c r="J365" s="38"/>
      <c r="K365" s="38"/>
      <c r="L365" s="436" t="s">
        <v>1048</v>
      </c>
    </row>
    <row r="366" spans="1:12" ht="14.15" customHeight="1">
      <c r="A366" s="436">
        <f t="shared" si="30"/>
        <v>350</v>
      </c>
      <c r="B366" s="20" t="s">
        <v>500</v>
      </c>
      <c r="C366" s="155">
        <f>SUM(C359:C365)</f>
        <v>7217104.7819999997</v>
      </c>
      <c r="D366" s="155">
        <f>SUM(D359:D365)</f>
        <v>108256.78200000001</v>
      </c>
      <c r="E366" s="155">
        <f>SUM(E359:E365)</f>
        <v>7108848</v>
      </c>
      <c r="F366" s="10">
        <f>SUM(F359:F365)</f>
        <v>-71.099999999999994</v>
      </c>
      <c r="G366" s="156">
        <f>SUM(G359:G365)</f>
        <v>7108776.9000000004</v>
      </c>
      <c r="H366" s="156"/>
      <c r="I366" s="142"/>
      <c r="J366" s="38"/>
      <c r="K366" s="38"/>
    </row>
    <row r="367" spans="1:12" ht="14.15" customHeight="1">
      <c r="A367" s="436">
        <f t="shared" si="30"/>
        <v>351</v>
      </c>
      <c r="B367" s="57"/>
      <c r="C367" s="146"/>
      <c r="D367" s="146"/>
      <c r="E367" s="146"/>
      <c r="F367" s="146"/>
      <c r="G367" s="64"/>
      <c r="H367" s="64"/>
      <c r="I367" s="130"/>
      <c r="J367" s="38"/>
      <c r="K367" s="38"/>
    </row>
    <row r="368" spans="1:12" ht="14.15" customHeight="1">
      <c r="A368" s="436">
        <f t="shared" si="30"/>
        <v>352</v>
      </c>
      <c r="B368" s="20" t="s">
        <v>501</v>
      </c>
      <c r="C368" s="157">
        <f>C356+C366</f>
        <v>77680587.192000017</v>
      </c>
      <c r="D368" s="157">
        <f>D356+D366</f>
        <v>139791.19200000216</v>
      </c>
      <c r="E368" s="157">
        <f>E356+E366</f>
        <v>77540796</v>
      </c>
      <c r="F368" s="10">
        <f>F356+F366</f>
        <v>14394212.9</v>
      </c>
      <c r="G368" s="157">
        <f>G356+G366</f>
        <v>91935008.900000006</v>
      </c>
      <c r="H368" s="12"/>
      <c r="I368" s="17"/>
      <c r="J368" s="38"/>
      <c r="K368" s="38"/>
    </row>
    <row r="369" spans="1:18" ht="14.15" customHeight="1">
      <c r="A369" s="436">
        <f t="shared" si="30"/>
        <v>353</v>
      </c>
      <c r="B369" s="124"/>
      <c r="C369" s="16"/>
      <c r="D369" s="16"/>
      <c r="E369" s="12"/>
      <c r="F369" s="16"/>
      <c r="G369" s="43"/>
      <c r="H369" s="43"/>
      <c r="I369" s="15"/>
      <c r="J369" s="38"/>
      <c r="K369" s="38"/>
      <c r="Q369" s="21"/>
      <c r="R369" s="21"/>
    </row>
    <row r="370" spans="1:18" ht="14.15" customHeight="1">
      <c r="A370" s="436">
        <f t="shared" si="30"/>
        <v>354</v>
      </c>
      <c r="B370" s="13" t="s">
        <v>228</v>
      </c>
      <c r="C370" s="43"/>
      <c r="D370" s="43"/>
      <c r="E370" s="43"/>
      <c r="F370" s="10"/>
      <c r="G370" s="10"/>
      <c r="H370" s="10"/>
      <c r="I370" s="15"/>
      <c r="J370" s="38"/>
      <c r="K370" s="38"/>
      <c r="Q370" s="21"/>
      <c r="R370" s="21"/>
    </row>
    <row r="371" spans="1:18" ht="14.15" customHeight="1">
      <c r="A371" s="436">
        <f t="shared" si="30"/>
        <v>355</v>
      </c>
      <c r="B371" s="22" t="s">
        <v>229</v>
      </c>
      <c r="C371" s="10">
        <v>842415.43</v>
      </c>
      <c r="D371" s="43">
        <f t="shared" ref="D371:D380" si="38">C371-E371</f>
        <v>842.43000000005122</v>
      </c>
      <c r="E371" s="43">
        <f>ROUND(C371*'Allocation Factors'!$G$18,0)</f>
        <v>841573</v>
      </c>
      <c r="F371" s="10">
        <f>'Sch 5'!C358</f>
        <v>6441.5299999999988</v>
      </c>
      <c r="G371" s="10">
        <f t="shared" ref="G371:G380" si="39">E371+F371</f>
        <v>848014.53</v>
      </c>
      <c r="H371" s="10"/>
      <c r="I371" s="194" t="s">
        <v>348</v>
      </c>
      <c r="J371" s="38"/>
      <c r="K371" s="38"/>
      <c r="L371" s="436">
        <v>5800000</v>
      </c>
      <c r="Q371" s="21"/>
      <c r="R371" s="21"/>
    </row>
    <row r="372" spans="1:18" ht="14.15" customHeight="1">
      <c r="A372" s="436">
        <f t="shared" si="30"/>
        <v>356</v>
      </c>
      <c r="B372" s="22" t="s">
        <v>230</v>
      </c>
      <c r="C372" s="10">
        <v>2548.5700000000002</v>
      </c>
      <c r="D372" s="43">
        <f t="shared" si="38"/>
        <v>2.5700000000001637</v>
      </c>
      <c r="E372" s="43">
        <f>ROUND(C372*'Allocation Factors'!$G$18,0)</f>
        <v>2546</v>
      </c>
      <c r="F372" s="10">
        <f>'Sch 5'!C359</f>
        <v>0</v>
      </c>
      <c r="G372" s="10">
        <f t="shared" si="39"/>
        <v>2546</v>
      </c>
      <c r="H372" s="10"/>
      <c r="I372" s="194" t="s">
        <v>348</v>
      </c>
      <c r="J372" s="38"/>
      <c r="K372" s="38"/>
      <c r="L372" s="436">
        <v>5810000</v>
      </c>
      <c r="Q372" s="21"/>
      <c r="R372" s="21"/>
    </row>
    <row r="373" spans="1:18" ht="14.15" customHeight="1">
      <c r="A373" s="436">
        <f t="shared" si="30"/>
        <v>357</v>
      </c>
      <c r="B373" s="22" t="s">
        <v>231</v>
      </c>
      <c r="C373" s="10">
        <v>413459.65</v>
      </c>
      <c r="D373" s="43">
        <f t="shared" si="38"/>
        <v>413.65000000002328</v>
      </c>
      <c r="E373" s="43">
        <f>ROUND(C373*'Allocation Factors'!$G$18,0)</f>
        <v>413046</v>
      </c>
      <c r="F373" s="10">
        <f>'Sch 5'!C360</f>
        <v>0</v>
      </c>
      <c r="G373" s="10">
        <f t="shared" si="39"/>
        <v>413046</v>
      </c>
      <c r="H373" s="10"/>
      <c r="I373" s="194" t="s">
        <v>348</v>
      </c>
      <c r="J373" s="38"/>
      <c r="K373" s="38"/>
      <c r="L373" s="436">
        <v>5820000</v>
      </c>
      <c r="Q373" s="21"/>
      <c r="R373" s="21"/>
    </row>
    <row r="374" spans="1:18" ht="14.15" customHeight="1">
      <c r="A374" s="436">
        <f t="shared" si="30"/>
        <v>358</v>
      </c>
      <c r="B374" s="22" t="s">
        <v>232</v>
      </c>
      <c r="C374" s="10">
        <v>288720.61</v>
      </c>
      <c r="D374" s="43">
        <f t="shared" si="38"/>
        <v>288.60999999998603</v>
      </c>
      <c r="E374" s="43">
        <f>ROUND(C374*'Allocation Factors'!$G$18,0)</f>
        <v>288432</v>
      </c>
      <c r="F374" s="10">
        <f>'Sch 5'!C361</f>
        <v>-45422.850570295013</v>
      </c>
      <c r="G374" s="10">
        <f t="shared" si="39"/>
        <v>243009.14942970499</v>
      </c>
      <c r="H374" s="10"/>
      <c r="I374" s="194" t="s">
        <v>348</v>
      </c>
      <c r="J374" s="38"/>
      <c r="K374" s="38"/>
      <c r="L374" s="436">
        <v>5830000</v>
      </c>
      <c r="Q374" s="21"/>
      <c r="R374" s="21"/>
    </row>
    <row r="375" spans="1:18" ht="14.15" customHeight="1">
      <c r="A375" s="436">
        <f t="shared" si="30"/>
        <v>359</v>
      </c>
      <c r="B375" s="22" t="s">
        <v>233</v>
      </c>
      <c r="C375" s="10">
        <v>236693.18000000002</v>
      </c>
      <c r="D375" s="43">
        <f t="shared" si="38"/>
        <v>237.18000000002212</v>
      </c>
      <c r="E375" s="43">
        <f>ROUND(C375*'Allocation Factors'!$G$18,0)</f>
        <v>236456</v>
      </c>
      <c r="F375" s="10">
        <f>'Sch 5'!C362</f>
        <v>-37.69674588870609</v>
      </c>
      <c r="G375" s="10">
        <f t="shared" si="39"/>
        <v>236418.30325411129</v>
      </c>
      <c r="H375" s="10"/>
      <c r="I375" s="194" t="s">
        <v>348</v>
      </c>
      <c r="J375" s="38"/>
      <c r="K375" s="38"/>
      <c r="L375" s="436">
        <v>5840000</v>
      </c>
      <c r="Q375" s="21"/>
      <c r="R375" s="21"/>
    </row>
    <row r="376" spans="1:18" ht="14.15" customHeight="1">
      <c r="A376" s="436">
        <f t="shared" si="30"/>
        <v>360</v>
      </c>
      <c r="B376" s="22" t="s">
        <v>234</v>
      </c>
      <c r="C376" s="10">
        <v>60854.79</v>
      </c>
      <c r="D376" s="43">
        <f t="shared" si="38"/>
        <v>60.790000000000873</v>
      </c>
      <c r="E376" s="43">
        <f>ROUND(C376*'Allocation Factors'!$G$18,0)</f>
        <v>60794</v>
      </c>
      <c r="F376" s="10">
        <f>'Sch 5'!C363</f>
        <v>48.22550746901743</v>
      </c>
      <c r="G376" s="10">
        <f t="shared" si="39"/>
        <v>60842.225507469018</v>
      </c>
      <c r="H376" s="10"/>
      <c r="I376" s="194" t="s">
        <v>348</v>
      </c>
      <c r="J376" s="38"/>
      <c r="K376" s="38"/>
      <c r="L376" s="436">
        <v>5850000</v>
      </c>
      <c r="Q376" s="21"/>
      <c r="R376" s="21"/>
    </row>
    <row r="377" spans="1:18" ht="14.15" customHeight="1">
      <c r="A377" s="436">
        <f t="shared" si="30"/>
        <v>361</v>
      </c>
      <c r="B377" s="22" t="s">
        <v>235</v>
      </c>
      <c r="C377" s="10">
        <v>1179732.93</v>
      </c>
      <c r="D377" s="43">
        <f t="shared" si="38"/>
        <v>1179.9299999999348</v>
      </c>
      <c r="E377" s="43">
        <f>ROUND(C377*'Allocation Factors'!$G$18,0)</f>
        <v>1178553</v>
      </c>
      <c r="F377" s="10">
        <f>'Sch 5'!C364</f>
        <v>-12312.926108763888</v>
      </c>
      <c r="G377" s="10">
        <f t="shared" si="39"/>
        <v>1166240.0738912362</v>
      </c>
      <c r="H377" s="10"/>
      <c r="I377" s="194" t="s">
        <v>348</v>
      </c>
      <c r="J377" s="38"/>
      <c r="K377" s="38"/>
      <c r="L377" s="436">
        <v>5860000</v>
      </c>
      <c r="Q377" s="21"/>
      <c r="R377" s="21"/>
    </row>
    <row r="378" spans="1:18" ht="14.15" customHeight="1">
      <c r="A378" s="436">
        <f t="shared" ref="A378:A441" si="40">+A377+1</f>
        <v>362</v>
      </c>
      <c r="B378" s="22" t="s">
        <v>236</v>
      </c>
      <c r="C378" s="10">
        <v>206567.6</v>
      </c>
      <c r="D378" s="43">
        <f t="shared" si="38"/>
        <v>206.60000000000582</v>
      </c>
      <c r="E378" s="43">
        <f>ROUND(C378*'Allocation Factors'!$G$18,0)</f>
        <v>206361</v>
      </c>
      <c r="F378" s="10">
        <f>'Sch 5'!C365</f>
        <v>3197.7001755540887</v>
      </c>
      <c r="G378" s="10">
        <f t="shared" si="39"/>
        <v>209558.70017555408</v>
      </c>
      <c r="H378" s="10"/>
      <c r="I378" s="194" t="s">
        <v>348</v>
      </c>
      <c r="J378" s="38"/>
      <c r="K378" s="38"/>
      <c r="L378" s="436">
        <v>5870000</v>
      </c>
      <c r="Q378" s="21"/>
      <c r="R378" s="21"/>
    </row>
    <row r="379" spans="1:18" s="21" customFormat="1" ht="14.15" customHeight="1">
      <c r="A379" s="436">
        <f t="shared" si="40"/>
        <v>363</v>
      </c>
      <c r="B379" s="22" t="s">
        <v>237</v>
      </c>
      <c r="C379" s="10">
        <v>3637287.87</v>
      </c>
      <c r="D379" s="43">
        <f t="shared" si="38"/>
        <v>3636.8700000001118</v>
      </c>
      <c r="E379" s="43">
        <f>ROUND(C379*'Allocation Factors'!$G$18,0)</f>
        <v>3633651</v>
      </c>
      <c r="F379" s="10">
        <f>'Sch 5'!C366</f>
        <v>32359.60968853136</v>
      </c>
      <c r="G379" s="10">
        <f t="shared" si="39"/>
        <v>3666010.6096885311</v>
      </c>
      <c r="H379" s="10"/>
      <c r="I379" s="194" t="s">
        <v>348</v>
      </c>
      <c r="J379" s="38"/>
      <c r="K379" s="38"/>
      <c r="L379" s="436">
        <v>5880000</v>
      </c>
      <c r="M379" s="83"/>
      <c r="N379" s="83"/>
      <c r="O379" s="83"/>
      <c r="P379" s="83"/>
    </row>
    <row r="380" spans="1:18" s="21" customFormat="1" ht="14.15" customHeight="1">
      <c r="A380" s="436">
        <f t="shared" si="40"/>
        <v>364</v>
      </c>
      <c r="B380" s="56" t="s">
        <v>238</v>
      </c>
      <c r="C380" s="10">
        <f>924961.74+12355.25</f>
        <v>937316.99</v>
      </c>
      <c r="D380" s="43">
        <f t="shared" si="38"/>
        <v>936.98999999999069</v>
      </c>
      <c r="E380" s="43">
        <f>ROUND(C380*'Allocation Factors'!$G$18,0)</f>
        <v>936380</v>
      </c>
      <c r="F380" s="10">
        <f>'Sch 5'!C367</f>
        <v>9065</v>
      </c>
      <c r="G380" s="10">
        <f t="shared" si="39"/>
        <v>945445</v>
      </c>
      <c r="H380" s="10"/>
      <c r="I380" s="194" t="s">
        <v>348</v>
      </c>
      <c r="J380" s="38"/>
      <c r="K380" s="38"/>
      <c r="L380" s="436" t="s">
        <v>1046</v>
      </c>
      <c r="M380" s="83"/>
      <c r="N380" s="83"/>
      <c r="O380" s="83"/>
      <c r="P380" s="83"/>
    </row>
    <row r="381" spans="1:18" ht="14.15" customHeight="1">
      <c r="A381" s="436">
        <f t="shared" si="40"/>
        <v>365</v>
      </c>
      <c r="B381" s="20" t="s">
        <v>502</v>
      </c>
      <c r="C381" s="80">
        <f>SUM(C371:C380)</f>
        <v>7805597.6200000001</v>
      </c>
      <c r="D381" s="80">
        <f>SUM(D371:D380)</f>
        <v>7805.6200000001263</v>
      </c>
      <c r="E381" s="80">
        <f>SUM(E371:E380)</f>
        <v>7797792</v>
      </c>
      <c r="F381" s="80">
        <f>SUM(F371:F380)</f>
        <v>-6661.408053393141</v>
      </c>
      <c r="G381" s="47">
        <f>SUM(G371:G380)</f>
        <v>7791130.5919466065</v>
      </c>
      <c r="H381" s="47"/>
      <c r="I381" s="154"/>
      <c r="J381" s="38"/>
      <c r="K381" s="38"/>
    </row>
    <row r="382" spans="1:18" ht="14.15" customHeight="1">
      <c r="A382" s="436">
        <f t="shared" si="40"/>
        <v>366</v>
      </c>
      <c r="B382" s="158"/>
      <c r="C382" s="16"/>
      <c r="D382" s="16"/>
      <c r="E382" s="125"/>
      <c r="F382" s="16"/>
      <c r="G382" s="43"/>
      <c r="H382" s="43"/>
      <c r="I382" s="15"/>
      <c r="J382" s="38"/>
      <c r="K382" s="38"/>
    </row>
    <row r="383" spans="1:18" ht="14.15" customHeight="1">
      <c r="A383" s="436">
        <f t="shared" si="40"/>
        <v>367</v>
      </c>
      <c r="B383" s="22" t="s">
        <v>239</v>
      </c>
      <c r="C383" s="10">
        <v>7828.26</v>
      </c>
      <c r="D383" s="43">
        <f t="shared" ref="D383:D393" si="41">C383-E383</f>
        <v>8.2600000000002183</v>
      </c>
      <c r="E383" s="43">
        <f>ROUND(C383*'Allocation Factors'!$G$18,0)</f>
        <v>7820</v>
      </c>
      <c r="F383" s="10">
        <f>'Sch 5'!C370</f>
        <v>219</v>
      </c>
      <c r="G383" s="10">
        <f t="shared" ref="G383:G393" si="42">E383+F383</f>
        <v>8039</v>
      </c>
      <c r="H383" s="10"/>
      <c r="I383" s="194" t="s">
        <v>348</v>
      </c>
      <c r="J383" s="38"/>
      <c r="K383" s="38"/>
      <c r="L383" s="436">
        <v>5900000</v>
      </c>
    </row>
    <row r="384" spans="1:18" ht="14.15" customHeight="1">
      <c r="A384" s="436">
        <f t="shared" si="40"/>
        <v>368</v>
      </c>
      <c r="B384" s="22" t="s">
        <v>240</v>
      </c>
      <c r="C384" s="10">
        <v>19054.740000000002</v>
      </c>
      <c r="D384" s="43">
        <f t="shared" si="41"/>
        <v>18.740000000001601</v>
      </c>
      <c r="E384" s="43">
        <f>ROUND(C384*'Allocation Factors'!$G$18,0)</f>
        <v>19036</v>
      </c>
      <c r="F384" s="10">
        <f>'Sch 5'!C371</f>
        <v>0</v>
      </c>
      <c r="G384" s="10">
        <f t="shared" si="42"/>
        <v>19036</v>
      </c>
      <c r="H384" s="10"/>
      <c r="I384" s="194" t="s">
        <v>348</v>
      </c>
      <c r="J384" s="38"/>
      <c r="K384" s="38"/>
      <c r="L384" s="436">
        <v>5910000</v>
      </c>
    </row>
    <row r="385" spans="1:15" ht="13.15" customHeight="1">
      <c r="A385" s="436">
        <f t="shared" si="40"/>
        <v>369</v>
      </c>
      <c r="B385" s="22" t="s">
        <v>241</v>
      </c>
      <c r="C385" s="10">
        <v>307280.48</v>
      </c>
      <c r="D385" s="43">
        <f t="shared" si="41"/>
        <v>307.47999999998137</v>
      </c>
      <c r="E385" s="43">
        <f>ROUND(C385*'Allocation Factors'!$G$18,0)</f>
        <v>306973</v>
      </c>
      <c r="F385" s="10">
        <f>'Sch 5'!C372</f>
        <v>0</v>
      </c>
      <c r="G385" s="10">
        <f t="shared" si="42"/>
        <v>306973</v>
      </c>
      <c r="H385" s="10"/>
      <c r="I385" s="194" t="s">
        <v>348</v>
      </c>
      <c r="J385" s="38"/>
      <c r="K385" s="38"/>
      <c r="L385" s="436">
        <v>5920000</v>
      </c>
    </row>
    <row r="386" spans="1:15" ht="14.15" customHeight="1">
      <c r="A386" s="436">
        <f t="shared" si="40"/>
        <v>370</v>
      </c>
      <c r="B386" s="22" t="s">
        <v>242</v>
      </c>
      <c r="C386" s="10">
        <v>33400380.009999998</v>
      </c>
      <c r="D386" s="43">
        <f t="shared" si="41"/>
        <v>33400.009999997914</v>
      </c>
      <c r="E386" s="43">
        <f>ROUND(C386*'Allocation Factors'!$G$18,0)</f>
        <v>33366980</v>
      </c>
      <c r="F386" s="10">
        <f>'Sch 5'!C373</f>
        <v>-6356356.0049999999</v>
      </c>
      <c r="G386" s="10">
        <f t="shared" si="42"/>
        <v>27010623.995000001</v>
      </c>
      <c r="H386" s="10"/>
      <c r="I386" s="194" t="s">
        <v>348</v>
      </c>
      <c r="J386" s="38"/>
      <c r="K386" s="38"/>
      <c r="L386" s="436">
        <v>5930000</v>
      </c>
    </row>
    <row r="387" spans="1:15" ht="12.75" customHeight="1">
      <c r="A387" s="436">
        <f t="shared" si="40"/>
        <v>371</v>
      </c>
      <c r="B387" s="22" t="s">
        <v>322</v>
      </c>
      <c r="C387" s="10">
        <v>1649913.7200000002</v>
      </c>
      <c r="D387" s="43">
        <v>0</v>
      </c>
      <c r="E387" s="43">
        <f>C387</f>
        <v>1649913.7200000002</v>
      </c>
      <c r="F387" s="10">
        <f>'Sch 5'!C374</f>
        <v>-1649913.72</v>
      </c>
      <c r="G387" s="10">
        <f t="shared" si="42"/>
        <v>0</v>
      </c>
      <c r="H387" s="10"/>
      <c r="I387" s="194" t="s">
        <v>1187</v>
      </c>
      <c r="J387" s="38"/>
      <c r="K387" s="38"/>
      <c r="L387" s="436">
        <v>5930010</v>
      </c>
    </row>
    <row r="388" spans="1:15" ht="14.15" customHeight="1">
      <c r="A388" s="436">
        <f t="shared" si="40"/>
        <v>372</v>
      </c>
      <c r="B388" s="22" t="s">
        <v>1193</v>
      </c>
      <c r="C388" s="10">
        <v>349118.69</v>
      </c>
      <c r="D388" s="43">
        <f t="shared" si="41"/>
        <v>348.69000000000233</v>
      </c>
      <c r="E388" s="43">
        <f>ROUND(C388*'Allocation Factors'!$G$18,0)</f>
        <v>348770</v>
      </c>
      <c r="F388" s="10">
        <f>'Sch 5'!C375</f>
        <v>0</v>
      </c>
      <c r="G388" s="10">
        <f t="shared" si="42"/>
        <v>348770</v>
      </c>
      <c r="H388" s="10"/>
      <c r="I388" s="194" t="s">
        <v>348</v>
      </c>
      <c r="J388" s="38"/>
      <c r="K388" s="38"/>
      <c r="L388" s="436">
        <v>5930001</v>
      </c>
    </row>
    <row r="389" spans="1:15" ht="14.15" customHeight="1">
      <c r="A389" s="436">
        <f t="shared" si="40"/>
        <v>373</v>
      </c>
      <c r="B389" s="22" t="s">
        <v>244</v>
      </c>
      <c r="C389" s="10">
        <v>51244.11</v>
      </c>
      <c r="D389" s="43">
        <f t="shared" si="41"/>
        <v>51.110000000000582</v>
      </c>
      <c r="E389" s="43">
        <f>ROUND(C389*'Allocation Factors'!$G$18,0)</f>
        <v>51193</v>
      </c>
      <c r="F389" s="10">
        <f>'Sch 5'!C376</f>
        <v>-538.07250102123669</v>
      </c>
      <c r="G389" s="10">
        <f t="shared" si="42"/>
        <v>50654.927498978766</v>
      </c>
      <c r="H389" s="10"/>
      <c r="I389" s="194" t="s">
        <v>348</v>
      </c>
      <c r="J389" s="38"/>
      <c r="K389" s="38"/>
      <c r="L389" s="436">
        <v>5940000</v>
      </c>
    </row>
    <row r="390" spans="1:15" ht="14.15" customHeight="1">
      <c r="A390" s="436">
        <f t="shared" si="40"/>
        <v>374</v>
      </c>
      <c r="B390" s="22" t="s">
        <v>245</v>
      </c>
      <c r="C390" s="10">
        <v>30987.040000000001</v>
      </c>
      <c r="D390" s="43">
        <f t="shared" si="41"/>
        <v>31.040000000000873</v>
      </c>
      <c r="E390" s="43">
        <f>ROUND(C390*'Allocation Factors'!$G$18,0)</f>
        <v>30956</v>
      </c>
      <c r="F390" s="10">
        <f>'Sch 5'!C377</f>
        <v>396.88039273848983</v>
      </c>
      <c r="G390" s="10">
        <f t="shared" si="42"/>
        <v>31352.880392738491</v>
      </c>
      <c r="H390" s="10"/>
      <c r="I390" s="194" t="s">
        <v>348</v>
      </c>
      <c r="J390" s="38"/>
      <c r="K390" s="38"/>
      <c r="L390" s="436">
        <v>5950000</v>
      </c>
    </row>
    <row r="391" spans="1:15" s="21" customFormat="1" ht="14.15" customHeight="1">
      <c r="A391" s="436">
        <f t="shared" si="40"/>
        <v>375</v>
      </c>
      <c r="B391" s="22" t="s">
        <v>246</v>
      </c>
      <c r="C391" s="10">
        <v>11275.02</v>
      </c>
      <c r="D391" s="43">
        <f t="shared" si="41"/>
        <v>11.020000000000437</v>
      </c>
      <c r="E391" s="43">
        <f>ROUND(C391*'Allocation Factors'!$G$18,0)</f>
        <v>11264</v>
      </c>
      <c r="F391" s="10">
        <f>'Sch 5'!C378</f>
        <v>243.12106731476581</v>
      </c>
      <c r="G391" s="10">
        <f t="shared" si="42"/>
        <v>11507.121067314765</v>
      </c>
      <c r="H391" s="10"/>
      <c r="I391" s="194" t="s">
        <v>348</v>
      </c>
      <c r="J391" s="38"/>
      <c r="K391" s="38"/>
      <c r="L391" s="436">
        <v>5960000</v>
      </c>
      <c r="M391" s="83"/>
      <c r="N391" s="83"/>
      <c r="O391" s="83"/>
    </row>
    <row r="392" spans="1:15" ht="14.15" customHeight="1">
      <c r="A392" s="436">
        <f t="shared" si="40"/>
        <v>376</v>
      </c>
      <c r="B392" s="22" t="s">
        <v>247</v>
      </c>
      <c r="C392" s="10">
        <v>30875.4</v>
      </c>
      <c r="D392" s="43">
        <f t="shared" si="41"/>
        <v>30.400000000001455</v>
      </c>
      <c r="E392" s="43">
        <f>ROUND(C392*'Allocation Factors'!$G$18,0)</f>
        <v>30845</v>
      </c>
      <c r="F392" s="10">
        <f>'Sch 5'!C379</f>
        <v>533.43013670769164</v>
      </c>
      <c r="G392" s="10">
        <f t="shared" si="42"/>
        <v>31378.430136707691</v>
      </c>
      <c r="H392" s="10"/>
      <c r="I392" s="194" t="s">
        <v>348</v>
      </c>
      <c r="J392" s="38"/>
      <c r="K392" s="38"/>
      <c r="L392" s="436">
        <v>5970000</v>
      </c>
    </row>
    <row r="393" spans="1:15" ht="14.15" customHeight="1">
      <c r="A393" s="436">
        <f t="shared" si="40"/>
        <v>377</v>
      </c>
      <c r="B393" s="56" t="s">
        <v>248</v>
      </c>
      <c r="C393" s="10">
        <v>23125.1</v>
      </c>
      <c r="D393" s="43">
        <f t="shared" si="41"/>
        <v>23.099999999998545</v>
      </c>
      <c r="E393" s="43">
        <f>ROUND(C393*'Allocation Factors'!$G$18,0)</f>
        <v>23102</v>
      </c>
      <c r="F393" s="10">
        <f>'Sch 5'!C380</f>
        <v>-21.039722804634948</v>
      </c>
      <c r="G393" s="10">
        <f t="shared" si="42"/>
        <v>23080.960277195365</v>
      </c>
      <c r="H393" s="10"/>
      <c r="I393" s="194" t="s">
        <v>348</v>
      </c>
      <c r="J393" s="38"/>
      <c r="K393" s="38"/>
      <c r="L393" s="436">
        <v>5980000</v>
      </c>
    </row>
    <row r="394" spans="1:15" ht="14.15" customHeight="1">
      <c r="A394" s="436">
        <f t="shared" si="40"/>
        <v>378</v>
      </c>
      <c r="B394" s="20" t="s">
        <v>503</v>
      </c>
      <c r="C394" s="47">
        <f>SUM(C383:C393)</f>
        <v>35881082.569999993</v>
      </c>
      <c r="D394" s="80">
        <f>SUM(D383:D393)</f>
        <v>34229.849999997896</v>
      </c>
      <c r="E394" s="80">
        <f>SUM(E383:E393)</f>
        <v>35846852.719999999</v>
      </c>
      <c r="F394" s="80">
        <f>SUM(F383:F393)</f>
        <v>-8005436.4056270653</v>
      </c>
      <c r="G394" s="80">
        <f>SUM(G383:G393)</f>
        <v>27841416.314372934</v>
      </c>
      <c r="H394" s="80"/>
      <c r="I394" s="142"/>
      <c r="J394" s="38"/>
      <c r="K394" s="38"/>
    </row>
    <row r="395" spans="1:15" ht="14.15" customHeight="1">
      <c r="A395" s="436">
        <f t="shared" si="40"/>
        <v>379</v>
      </c>
      <c r="B395" s="159"/>
      <c r="C395" s="64"/>
      <c r="D395" s="146"/>
      <c r="E395" s="58"/>
      <c r="F395" s="146"/>
      <c r="G395" s="64"/>
      <c r="H395" s="64"/>
      <c r="I395" s="130"/>
      <c r="J395" s="38"/>
      <c r="K395" s="38"/>
    </row>
    <row r="396" spans="1:15" ht="14.15" customHeight="1">
      <c r="A396" s="436">
        <f t="shared" si="40"/>
        <v>380</v>
      </c>
      <c r="B396" s="20" t="s">
        <v>249</v>
      </c>
      <c r="C396" s="16">
        <f>C381+C394</f>
        <v>43686680.18999999</v>
      </c>
      <c r="D396" s="16">
        <f>D381+D394</f>
        <v>42035.469999998022</v>
      </c>
      <c r="E396" s="16">
        <f>E381+E394</f>
        <v>43644644.719999999</v>
      </c>
      <c r="F396" s="16">
        <f>F381+F394</f>
        <v>-8012097.8136804588</v>
      </c>
      <c r="G396" s="16">
        <f>G381+G394</f>
        <v>35632546.906319544</v>
      </c>
      <c r="H396" s="16"/>
      <c r="I396" s="17"/>
      <c r="J396" s="38"/>
      <c r="K396" s="38"/>
    </row>
    <row r="397" spans="1:15" ht="14.15" customHeight="1">
      <c r="A397" s="436">
        <f t="shared" si="40"/>
        <v>381</v>
      </c>
      <c r="B397" s="124"/>
      <c r="C397" s="16">
        <f>C329+C366+C394+C438+C439-C365</f>
        <v>68243707.101999983</v>
      </c>
      <c r="D397" s="16">
        <f>D329+D366+D394+D438+D439-D365</f>
        <v>510556.56775000005</v>
      </c>
      <c r="E397" s="16">
        <f>E329+E366+E394+E438+E439-E365</f>
        <v>67733150.534250006</v>
      </c>
      <c r="F397" s="16">
        <f>F329+F366+F394+F438+F439-F365</f>
        <v>-10020865.774482582</v>
      </c>
      <c r="G397" s="16">
        <f>G329+G366+G394+G438+G439-G365</f>
        <v>57712284.759767413</v>
      </c>
      <c r="H397" s="16"/>
      <c r="I397" s="17"/>
      <c r="J397" s="38"/>
      <c r="K397" s="38"/>
    </row>
    <row r="398" spans="1:15" ht="14.15" customHeight="1">
      <c r="A398" s="436">
        <f t="shared" si="40"/>
        <v>382</v>
      </c>
      <c r="B398" s="13" t="s">
        <v>250</v>
      </c>
      <c r="C398" s="43"/>
      <c r="D398" s="43"/>
      <c r="E398" s="43"/>
      <c r="F398" s="43"/>
      <c r="G398" s="10"/>
      <c r="H398" s="10"/>
      <c r="I398" s="15"/>
      <c r="J398" s="38"/>
      <c r="K398" s="38"/>
    </row>
    <row r="399" spans="1:15" ht="14.15" customHeight="1">
      <c r="A399" s="436">
        <f t="shared" si="40"/>
        <v>383</v>
      </c>
      <c r="B399" s="22" t="s">
        <v>251</v>
      </c>
      <c r="C399" s="10">
        <v>17501.599999999999</v>
      </c>
      <c r="D399" s="43">
        <f t="shared" ref="D399:D404" si="43">C399-E399</f>
        <v>0.59999999999854481</v>
      </c>
      <c r="E399" s="10">
        <f>ROUND(C399*'Allocation Factors'!$G$36,0)</f>
        <v>17501</v>
      </c>
      <c r="F399" s="10">
        <f>'Sch 5'!C386</f>
        <v>0</v>
      </c>
      <c r="G399" s="10">
        <f t="shared" ref="G399:G404" si="44">E399+F399</f>
        <v>17501</v>
      </c>
      <c r="H399" s="10"/>
      <c r="I399" s="15" t="s">
        <v>796</v>
      </c>
      <c r="J399" s="38"/>
      <c r="K399" s="38"/>
      <c r="L399" s="436" t="s">
        <v>1041</v>
      </c>
    </row>
    <row r="400" spans="1:15" ht="14.15" customHeight="1">
      <c r="A400" s="436">
        <f t="shared" si="40"/>
        <v>384</v>
      </c>
      <c r="B400" s="22" t="s">
        <v>252</v>
      </c>
      <c r="C400" s="10">
        <f>100438.42+315022.85+35736.64</f>
        <v>451197.91</v>
      </c>
      <c r="D400" s="43">
        <f t="shared" si="43"/>
        <v>5.9099999999743886</v>
      </c>
      <c r="E400" s="10">
        <f>ROUND(C400*'Allocation Factors'!$G$36,0)</f>
        <v>451192</v>
      </c>
      <c r="F400" s="10">
        <f>'Sch 5'!C387</f>
        <v>-2414.706407876205</v>
      </c>
      <c r="G400" s="10">
        <f t="shared" si="44"/>
        <v>448777.29359212378</v>
      </c>
      <c r="H400" s="10"/>
      <c r="I400" s="15" t="s">
        <v>796</v>
      </c>
      <c r="J400" s="65"/>
      <c r="K400" s="65"/>
      <c r="L400" s="379" t="s">
        <v>1042</v>
      </c>
    </row>
    <row r="401" spans="1:16" ht="25">
      <c r="A401" s="436">
        <f t="shared" si="40"/>
        <v>385</v>
      </c>
      <c r="B401" s="22" t="s">
        <v>253</v>
      </c>
      <c r="C401" s="10">
        <v>5198594.4400000004</v>
      </c>
      <c r="D401" s="43">
        <f t="shared" si="43"/>
        <v>63.440000000409782</v>
      </c>
      <c r="E401" s="10">
        <f>ROUND(C401*'Allocation Factors'!$G$36,0)</f>
        <v>5198531</v>
      </c>
      <c r="F401" s="10">
        <f>'Sch 5'!C388</f>
        <v>4922.4710723627213</v>
      </c>
      <c r="G401" s="10">
        <f t="shared" si="44"/>
        <v>5203453.4710723627</v>
      </c>
      <c r="H401" s="10"/>
      <c r="I401" s="15" t="s">
        <v>796</v>
      </c>
      <c r="J401" s="65"/>
      <c r="K401" s="65"/>
      <c r="L401" s="381" t="s">
        <v>1043</v>
      </c>
    </row>
    <row r="402" spans="1:16" ht="14.15" customHeight="1">
      <c r="A402" s="436">
        <f t="shared" si="40"/>
        <v>386</v>
      </c>
      <c r="B402" s="22" t="s">
        <v>254</v>
      </c>
      <c r="C402" s="10">
        <v>2164206.29</v>
      </c>
      <c r="D402" s="43">
        <f t="shared" si="43"/>
        <v>26.290000000037253</v>
      </c>
      <c r="E402" s="10">
        <f>ROUND(C402*'Allocation Factors'!$G$36,0)</f>
        <v>2164180</v>
      </c>
      <c r="F402" s="10">
        <f>'Sch 5'!C389</f>
        <v>398035</v>
      </c>
      <c r="G402" s="10">
        <f t="shared" si="44"/>
        <v>2562215</v>
      </c>
      <c r="H402" s="10"/>
      <c r="I402" s="15" t="s">
        <v>796</v>
      </c>
      <c r="J402" s="160"/>
      <c r="K402" s="160"/>
      <c r="L402" s="379">
        <v>9040000</v>
      </c>
    </row>
    <row r="403" spans="1:16" s="21" customFormat="1" ht="14.15" customHeight="1">
      <c r="A403" s="436">
        <f t="shared" si="40"/>
        <v>387</v>
      </c>
      <c r="B403" s="22" t="s">
        <v>255</v>
      </c>
      <c r="C403" s="10">
        <v>557680.17000000004</v>
      </c>
      <c r="D403" s="43">
        <f t="shared" si="43"/>
        <v>7.1700000000419095</v>
      </c>
      <c r="E403" s="10">
        <f>ROUND(C403*'Allocation Factors'!$G$36,0)</f>
        <v>557673</v>
      </c>
      <c r="F403" s="10">
        <f>'Sch 5'!C390</f>
        <v>-482443</v>
      </c>
      <c r="G403" s="10">
        <f t="shared" si="44"/>
        <v>75230</v>
      </c>
      <c r="H403" s="10"/>
      <c r="I403" s="15" t="s">
        <v>796</v>
      </c>
      <c r="J403" s="66"/>
      <c r="K403" s="66"/>
      <c r="L403" s="204" t="s">
        <v>1044</v>
      </c>
      <c r="M403" s="83"/>
      <c r="N403" s="83"/>
      <c r="O403" s="83"/>
    </row>
    <row r="404" spans="1:16" ht="14.15" customHeight="1">
      <c r="A404" s="436">
        <f t="shared" si="40"/>
        <v>388</v>
      </c>
      <c r="B404" s="56" t="s">
        <v>256</v>
      </c>
      <c r="C404" s="10">
        <v>23110.09</v>
      </c>
      <c r="D404" s="43">
        <f t="shared" si="43"/>
        <v>9.0000000000145519E-2</v>
      </c>
      <c r="E404" s="10">
        <f>ROUND(C404*'Allocation Factors'!$G$36,0)</f>
        <v>23110</v>
      </c>
      <c r="F404" s="10">
        <f>'Sch 5'!C391</f>
        <v>0</v>
      </c>
      <c r="G404" s="10">
        <f t="shared" si="44"/>
        <v>23110</v>
      </c>
      <c r="H404" s="10"/>
      <c r="I404" s="15" t="s">
        <v>796</v>
      </c>
      <c r="J404" s="65"/>
      <c r="K404" s="65"/>
      <c r="L404" s="204" t="s">
        <v>1045</v>
      </c>
    </row>
    <row r="405" spans="1:16" ht="14.15" customHeight="1">
      <c r="A405" s="436">
        <f t="shared" si="40"/>
        <v>389</v>
      </c>
      <c r="B405" s="20" t="s">
        <v>504</v>
      </c>
      <c r="C405" s="80">
        <f>SUM(C399:C404)</f>
        <v>8412290.5</v>
      </c>
      <c r="D405" s="80">
        <f>SUM(D399:D404)</f>
        <v>103.50000000046202</v>
      </c>
      <c r="E405" s="80">
        <f>SUM(E399:E404)</f>
        <v>8412187</v>
      </c>
      <c r="F405" s="80">
        <f>SUM(F399:F404)</f>
        <v>-81900.235335513484</v>
      </c>
      <c r="G405" s="80">
        <f>SUM(G399:G404)</f>
        <v>8330286.7646644861</v>
      </c>
      <c r="H405" s="80"/>
      <c r="I405" s="142"/>
      <c r="J405" s="38"/>
      <c r="K405" s="38"/>
    </row>
    <row r="406" spans="1:16" ht="14.15" customHeight="1">
      <c r="A406" s="436">
        <f t="shared" si="40"/>
        <v>390</v>
      </c>
      <c r="B406" s="124"/>
      <c r="C406" s="16"/>
      <c r="D406" s="16"/>
      <c r="E406" s="125"/>
      <c r="F406" s="16"/>
      <c r="G406" s="43"/>
      <c r="H406" s="43"/>
      <c r="I406" s="15"/>
      <c r="J406" s="38"/>
      <c r="K406" s="38"/>
    </row>
    <row r="407" spans="1:16" ht="14.15" customHeight="1">
      <c r="A407" s="436">
        <f t="shared" si="40"/>
        <v>391</v>
      </c>
      <c r="B407" s="13" t="s">
        <v>257</v>
      </c>
      <c r="C407" s="43"/>
      <c r="D407" s="43"/>
      <c r="E407" s="43"/>
      <c r="F407" s="43"/>
      <c r="G407" s="10"/>
      <c r="H407" s="10"/>
      <c r="I407" s="15"/>
      <c r="J407" s="38"/>
      <c r="K407" s="38"/>
    </row>
    <row r="408" spans="1:16" ht="14.15" customHeight="1">
      <c r="A408" s="436">
        <f t="shared" si="40"/>
        <v>392</v>
      </c>
      <c r="B408" s="22" t="s">
        <v>258</v>
      </c>
      <c r="C408" s="10">
        <v>21931.86</v>
      </c>
      <c r="D408" s="43">
        <f>C408-E408</f>
        <v>-0.13999999999941792</v>
      </c>
      <c r="E408" s="10">
        <f>ROUND(C408*'Allocation Factors'!$G$36,0)</f>
        <v>21932</v>
      </c>
      <c r="F408" s="10">
        <f>'Sch 5'!C395</f>
        <v>0</v>
      </c>
      <c r="G408" s="10">
        <f>E408+F408</f>
        <v>21932</v>
      </c>
      <c r="H408" s="10"/>
      <c r="I408" s="15" t="s">
        <v>796</v>
      </c>
      <c r="J408" s="38"/>
      <c r="K408" s="38"/>
      <c r="L408" s="436" t="s">
        <v>1038</v>
      </c>
    </row>
    <row r="409" spans="1:16" ht="13.5" customHeight="1">
      <c r="A409" s="436">
        <f t="shared" si="40"/>
        <v>393</v>
      </c>
      <c r="B409" s="22" t="s">
        <v>259</v>
      </c>
      <c r="C409" s="10">
        <f>1019248.13+307541.79</f>
        <v>1326789.92</v>
      </c>
      <c r="D409" s="43">
        <f>C409-E409</f>
        <v>1.9199999999254942</v>
      </c>
      <c r="E409" s="10">
        <f>ROUND((J409)+(C409-J409)*'Allocation Factors'!$G$36,0)</f>
        <v>1326788</v>
      </c>
      <c r="F409" s="10">
        <f>'Sch 5'!C396</f>
        <v>-1133771.07</v>
      </c>
      <c r="G409" s="10">
        <f>E409+F409</f>
        <v>193016.92999999993</v>
      </c>
      <c r="H409" s="10"/>
      <c r="I409" s="15" t="s">
        <v>796</v>
      </c>
      <c r="J409" s="10">
        <v>1138373</v>
      </c>
      <c r="K409" s="436" t="s">
        <v>998</v>
      </c>
      <c r="L409" s="436" t="s">
        <v>1039</v>
      </c>
      <c r="P409" s="436"/>
    </row>
    <row r="410" spans="1:16" ht="14.15" customHeight="1">
      <c r="A410" s="436">
        <f t="shared" si="40"/>
        <v>394</v>
      </c>
      <c r="B410" s="22" t="s">
        <v>260</v>
      </c>
      <c r="C410" s="10">
        <v>61011.19</v>
      </c>
      <c r="D410" s="43">
        <f>C410-E410</f>
        <v>1.1900000000023283</v>
      </c>
      <c r="E410" s="10">
        <f>ROUND(C410*'Allocation Factors'!$G$36,0)</f>
        <v>61010</v>
      </c>
      <c r="F410" s="10">
        <f>'Sch 5'!C397</f>
        <v>-116530.22</v>
      </c>
      <c r="G410" s="10">
        <f>E410+F410</f>
        <v>-55520.22</v>
      </c>
      <c r="H410" s="10"/>
      <c r="I410" s="15" t="s">
        <v>796</v>
      </c>
      <c r="J410" s="38"/>
      <c r="K410" s="38"/>
      <c r="L410" s="436">
        <v>9090000</v>
      </c>
    </row>
    <row r="411" spans="1:16" ht="14.15" customHeight="1">
      <c r="A411" s="436">
        <f t="shared" si="40"/>
        <v>395</v>
      </c>
      <c r="B411" s="56" t="s">
        <v>261</v>
      </c>
      <c r="C411" s="10">
        <f>36979.34+0.67</f>
        <v>36980.009999999995</v>
      </c>
      <c r="D411" s="43">
        <f>C411-E411</f>
        <v>9.9999999947613105E-3</v>
      </c>
      <c r="E411" s="10">
        <f>ROUND(C411*'Allocation Factors'!$G$36,0)</f>
        <v>36980</v>
      </c>
      <c r="F411" s="10">
        <f>'Sch 5'!C398</f>
        <v>0</v>
      </c>
      <c r="G411" s="10">
        <f>E411+F411</f>
        <v>36980</v>
      </c>
      <c r="H411" s="10"/>
      <c r="I411" s="15" t="s">
        <v>796</v>
      </c>
      <c r="J411" s="38"/>
      <c r="K411" s="38"/>
      <c r="L411" s="436" t="s">
        <v>1040</v>
      </c>
    </row>
    <row r="412" spans="1:16" ht="14.15" customHeight="1">
      <c r="A412" s="436">
        <f t="shared" si="40"/>
        <v>396</v>
      </c>
      <c r="B412" s="20" t="s">
        <v>505</v>
      </c>
      <c r="C412" s="80">
        <f>SUM(C408:C411)</f>
        <v>1446712.98</v>
      </c>
      <c r="D412" s="80">
        <f>SUM(D407:D411)</f>
        <v>2.9799999999231659</v>
      </c>
      <c r="E412" s="80">
        <f>SUM(E407:E411)</f>
        <v>1446710</v>
      </c>
      <c r="F412" s="80">
        <f>SUM(F407:F411)</f>
        <v>-1250301.29</v>
      </c>
      <c r="G412" s="80">
        <f>SUM(G408:G411)</f>
        <v>196408.70999999993</v>
      </c>
      <c r="H412" s="80"/>
      <c r="I412" s="142"/>
      <c r="J412" s="38"/>
      <c r="K412" s="38"/>
    </row>
    <row r="413" spans="1:16" ht="14.15" customHeight="1">
      <c r="A413" s="436">
        <f t="shared" si="40"/>
        <v>397</v>
      </c>
      <c r="B413" s="124"/>
      <c r="C413" s="16"/>
      <c r="D413" s="16"/>
      <c r="E413" s="125"/>
      <c r="F413" s="16"/>
      <c r="G413" s="43"/>
      <c r="H413" s="43"/>
      <c r="I413" s="15"/>
      <c r="J413" s="38"/>
      <c r="K413" s="38"/>
    </row>
    <row r="414" spans="1:16" ht="14.15" customHeight="1">
      <c r="A414" s="436">
        <f t="shared" si="40"/>
        <v>398</v>
      </c>
      <c r="B414" s="13" t="s">
        <v>262</v>
      </c>
      <c r="C414" s="43"/>
      <c r="D414" s="43"/>
      <c r="E414" s="43"/>
      <c r="F414" s="43"/>
      <c r="G414" s="10"/>
      <c r="H414" s="10"/>
      <c r="I414" s="15"/>
      <c r="J414" s="38"/>
      <c r="K414" s="38"/>
    </row>
    <row r="415" spans="1:16" ht="14.15" customHeight="1">
      <c r="A415" s="436">
        <f t="shared" si="40"/>
        <v>399</v>
      </c>
      <c r="B415" s="22" t="s">
        <v>263</v>
      </c>
      <c r="C415" s="10">
        <v>0</v>
      </c>
      <c r="D415" s="43">
        <f>C415-E415</f>
        <v>0</v>
      </c>
      <c r="E415" s="43">
        <f>C415*'Allocation Factors'!$G$36</f>
        <v>0</v>
      </c>
      <c r="F415" s="10">
        <f>'Sch 5'!C402</f>
        <v>0</v>
      </c>
      <c r="G415" s="10">
        <f>E415+F415</f>
        <v>0</v>
      </c>
      <c r="H415" s="10"/>
      <c r="I415" s="15" t="s">
        <v>796</v>
      </c>
      <c r="J415" s="38"/>
      <c r="K415" s="38"/>
      <c r="L415" s="436" t="s">
        <v>1035</v>
      </c>
    </row>
    <row r="416" spans="1:16" ht="14.15" customHeight="1">
      <c r="A416" s="436">
        <f t="shared" si="40"/>
        <v>400</v>
      </c>
      <c r="B416" s="22" t="s">
        <v>264</v>
      </c>
      <c r="C416" s="10">
        <v>47429.93</v>
      </c>
      <c r="D416" s="43">
        <f>C416-E416</f>
        <v>0.5806620757211931</v>
      </c>
      <c r="E416" s="43">
        <f>C416*'Allocation Factors'!$G$36</f>
        <v>47429.349337924279</v>
      </c>
      <c r="F416" s="10">
        <f>'Sch 5'!C403</f>
        <v>0</v>
      </c>
      <c r="G416" s="10">
        <f>E416+F416</f>
        <v>47429.349337924279</v>
      </c>
      <c r="H416" s="10"/>
      <c r="I416" s="15" t="s">
        <v>796</v>
      </c>
      <c r="J416" s="38"/>
      <c r="K416" s="38"/>
      <c r="L416" s="436" t="s">
        <v>1036</v>
      </c>
    </row>
    <row r="417" spans="1:12" ht="14.15" customHeight="1">
      <c r="A417" s="436">
        <f t="shared" si="40"/>
        <v>401</v>
      </c>
      <c r="B417" s="22" t="s">
        <v>265</v>
      </c>
      <c r="C417" s="10">
        <v>0</v>
      </c>
      <c r="D417" s="43">
        <f>C417-E417</f>
        <v>0</v>
      </c>
      <c r="E417" s="43">
        <f>C417*'Allocation Factors'!$G$36</f>
        <v>0</v>
      </c>
      <c r="F417" s="10">
        <f>'Sch 5'!C404</f>
        <v>0</v>
      </c>
      <c r="G417" s="10">
        <f>E417+F417</f>
        <v>0</v>
      </c>
      <c r="H417" s="10"/>
      <c r="I417" s="15" t="s">
        <v>796</v>
      </c>
      <c r="J417" s="38"/>
      <c r="K417" s="38"/>
      <c r="L417" s="436" t="s">
        <v>1037</v>
      </c>
    </row>
    <row r="418" spans="1:12" ht="14.15" customHeight="1">
      <c r="A418" s="436">
        <f t="shared" si="40"/>
        <v>402</v>
      </c>
      <c r="B418" s="56" t="s">
        <v>266</v>
      </c>
      <c r="C418" s="10">
        <v>0</v>
      </c>
      <c r="D418" s="43">
        <f>C418-E418</f>
        <v>0</v>
      </c>
      <c r="E418" s="43">
        <f>C418*'Allocation Factors'!$G$36</f>
        <v>0</v>
      </c>
      <c r="F418" s="10">
        <f>'Sch 5'!C405</f>
        <v>0</v>
      </c>
      <c r="G418" s="10">
        <f>E418+F418</f>
        <v>0</v>
      </c>
      <c r="H418" s="10"/>
      <c r="I418" s="15" t="s">
        <v>796</v>
      </c>
      <c r="J418" s="38"/>
      <c r="K418" s="38"/>
      <c r="L418" s="436">
        <v>91600000</v>
      </c>
    </row>
    <row r="419" spans="1:12" ht="14.15" customHeight="1">
      <c r="A419" s="436">
        <f t="shared" si="40"/>
        <v>403</v>
      </c>
      <c r="B419" s="20" t="s">
        <v>506</v>
      </c>
      <c r="C419" s="80">
        <f>SUM(C414:C418)</f>
        <v>47429.93</v>
      </c>
      <c r="D419" s="80">
        <f>SUM(D414:D418)</f>
        <v>0.5806620757211931</v>
      </c>
      <c r="E419" s="80">
        <f>SUM(E414:E418)</f>
        <v>47429.349337924279</v>
      </c>
      <c r="F419" s="80">
        <f>SUM(F414:F418)</f>
        <v>0</v>
      </c>
      <c r="G419" s="80">
        <f>SUM(G415:G418)</f>
        <v>47429.349337924279</v>
      </c>
      <c r="H419" s="80"/>
      <c r="I419" s="142"/>
      <c r="J419" s="38"/>
      <c r="K419" s="38"/>
    </row>
    <row r="420" spans="1:12" ht="14.15" customHeight="1">
      <c r="A420" s="436">
        <f t="shared" si="40"/>
        <v>404</v>
      </c>
      <c r="B420" s="124"/>
      <c r="C420" s="16"/>
      <c r="D420" s="16"/>
      <c r="E420" s="16"/>
      <c r="F420" s="16"/>
      <c r="G420" s="43"/>
      <c r="H420" s="43"/>
      <c r="I420" s="15"/>
      <c r="J420" s="38"/>
      <c r="K420" s="38"/>
    </row>
    <row r="421" spans="1:12" ht="14.15" customHeight="1">
      <c r="A421" s="436">
        <f t="shared" si="40"/>
        <v>405</v>
      </c>
      <c r="B421" s="13" t="s">
        <v>267</v>
      </c>
      <c r="C421" s="43"/>
      <c r="D421" s="43"/>
      <c r="E421" s="242"/>
      <c r="F421" s="43"/>
      <c r="G421" s="10"/>
      <c r="H421" s="10"/>
      <c r="I421" s="15"/>
      <c r="J421" s="38"/>
      <c r="K421" s="38"/>
    </row>
    <row r="422" spans="1:12" ht="14.15" customHeight="1">
      <c r="A422" s="436">
        <f t="shared" si="40"/>
        <v>406</v>
      </c>
      <c r="B422" s="22" t="s">
        <v>268</v>
      </c>
      <c r="C422" s="10">
        <v>10530346.91</v>
      </c>
      <c r="D422" s="43">
        <f t="shared" ref="D422:D435" si="45">C422-E422</f>
        <v>157954.91000000015</v>
      </c>
      <c r="E422" s="43">
        <f>ROUND(J422+(C422-J422)*'Allocation Factors'!$G$38,0)</f>
        <v>10372392</v>
      </c>
      <c r="F422" s="10">
        <f>'Sch 5'!C409</f>
        <v>-3194055.2112411158</v>
      </c>
      <c r="G422" s="10">
        <f t="shared" ref="G422:G435" si="46">E422+F422</f>
        <v>7178336.7887588842</v>
      </c>
      <c r="H422" s="10"/>
      <c r="I422" s="15" t="s">
        <v>907</v>
      </c>
      <c r="J422" s="38"/>
      <c r="K422" s="38"/>
      <c r="L422" s="436" t="s">
        <v>1026</v>
      </c>
    </row>
    <row r="423" spans="1:12" ht="74.25" customHeight="1">
      <c r="A423" s="436">
        <f t="shared" si="40"/>
        <v>407</v>
      </c>
      <c r="B423" s="22" t="s">
        <v>269</v>
      </c>
      <c r="C423" s="10">
        <v>735858.04</v>
      </c>
      <c r="D423" s="43">
        <f t="shared" si="45"/>
        <v>11038.040000000037</v>
      </c>
      <c r="E423" s="43">
        <f>ROUND(J423+(C423-J423)*'Allocation Factors'!$G$38,0)</f>
        <v>724820</v>
      </c>
      <c r="F423" s="10">
        <f>'Sch 5'!C410</f>
        <v>-13215.03</v>
      </c>
      <c r="G423" s="10">
        <f t="shared" si="46"/>
        <v>711604.97</v>
      </c>
      <c r="H423" s="10"/>
      <c r="I423" s="15" t="s">
        <v>907</v>
      </c>
      <c r="J423" s="10"/>
      <c r="K423" s="10"/>
      <c r="L423" s="438" t="s">
        <v>1027</v>
      </c>
    </row>
    <row r="424" spans="1:12" ht="14.15" customHeight="1">
      <c r="A424" s="436">
        <f t="shared" si="40"/>
        <v>408</v>
      </c>
      <c r="B424" s="22" t="s">
        <v>270</v>
      </c>
      <c r="C424" s="10">
        <f>-319594.66-599930+0.09-3518.46</f>
        <v>-923043.02999999991</v>
      </c>
      <c r="D424" s="43">
        <f t="shared" si="45"/>
        <v>-13845.645450000069</v>
      </c>
      <c r="E424" s="43">
        <f>C424*'Allocation Factors'!$G$38</f>
        <v>-909197.38454999984</v>
      </c>
      <c r="F424" s="10">
        <f>'Sch 5'!C411</f>
        <v>-51013</v>
      </c>
      <c r="G424" s="10">
        <f t="shared" si="46"/>
        <v>-960210.38454999984</v>
      </c>
      <c r="H424" s="10"/>
      <c r="I424" s="15" t="s">
        <v>907</v>
      </c>
      <c r="J424" s="38"/>
      <c r="K424" s="38"/>
      <c r="L424" s="436" t="s">
        <v>1028</v>
      </c>
    </row>
    <row r="425" spans="1:12" s="21" customFormat="1" ht="30" customHeight="1">
      <c r="A425" s="436">
        <f t="shared" si="40"/>
        <v>409</v>
      </c>
      <c r="B425" s="22" t="s">
        <v>271</v>
      </c>
      <c r="C425" s="10">
        <f>2824558.84+775278.45+636.92</f>
        <v>3600474.21</v>
      </c>
      <c r="D425" s="43">
        <f t="shared" si="45"/>
        <v>54007.113150000107</v>
      </c>
      <c r="E425" s="43">
        <f>C425*'Allocation Factors'!$G$38</f>
        <v>3546467.0968499999</v>
      </c>
      <c r="F425" s="10">
        <f>'Sch 5'!C412</f>
        <v>-49146</v>
      </c>
      <c r="G425" s="10">
        <f t="shared" si="46"/>
        <v>3497321.0968499999</v>
      </c>
      <c r="H425" s="10"/>
      <c r="I425" s="15" t="s">
        <v>907</v>
      </c>
      <c r="J425" s="38"/>
      <c r="K425" s="38"/>
      <c r="L425" s="438" t="s">
        <v>1029</v>
      </c>
    </row>
    <row r="426" spans="1:12" s="21" customFormat="1" ht="14.15" customHeight="1">
      <c r="A426" s="436">
        <f t="shared" si="40"/>
        <v>410</v>
      </c>
      <c r="B426" s="22" t="s">
        <v>272</v>
      </c>
      <c r="C426" s="10">
        <v>1064153.72</v>
      </c>
      <c r="D426" s="43">
        <f t="shared" si="45"/>
        <v>15962.305799999973</v>
      </c>
      <c r="E426" s="43">
        <f>C426*'Allocation Factors'!$G$38</f>
        <v>1048191.4142</v>
      </c>
      <c r="F426" s="10">
        <f>'Sch 5'!C413</f>
        <v>0</v>
      </c>
      <c r="G426" s="10">
        <f t="shared" si="46"/>
        <v>1048191.4142</v>
      </c>
      <c r="H426" s="10"/>
      <c r="I426" s="15" t="s">
        <v>907</v>
      </c>
      <c r="J426" s="38"/>
      <c r="K426" s="38"/>
      <c r="L426" s="18">
        <v>9240000</v>
      </c>
    </row>
    <row r="427" spans="1:12" s="21" customFormat="1" ht="32.25" customHeight="1">
      <c r="A427" s="436">
        <f t="shared" si="40"/>
        <v>411</v>
      </c>
      <c r="B427" s="22" t="s">
        <v>273</v>
      </c>
      <c r="C427" s="10">
        <v>-1927484.16</v>
      </c>
      <c r="D427" s="43">
        <f t="shared" si="45"/>
        <v>-28912.262400000123</v>
      </c>
      <c r="E427" s="43">
        <f>C427*'Allocation Factors'!$G$38</f>
        <v>-1898571.8975999998</v>
      </c>
      <c r="F427" s="10">
        <f>'Sch 5'!C414</f>
        <v>-3449</v>
      </c>
      <c r="G427" s="10">
        <f t="shared" si="46"/>
        <v>-1902020.8975999998</v>
      </c>
      <c r="H427" s="10"/>
      <c r="I427" s="15" t="s">
        <v>907</v>
      </c>
      <c r="J427" s="38"/>
      <c r="K427" s="38"/>
      <c r="L427" s="380" t="s">
        <v>1030</v>
      </c>
    </row>
    <row r="428" spans="1:12" s="21" customFormat="1" ht="28.5" customHeight="1">
      <c r="A428" s="436">
        <f t="shared" si="40"/>
        <v>412</v>
      </c>
      <c r="B428" s="22" t="s">
        <v>274</v>
      </c>
      <c r="C428" s="10">
        <v>-2231477.87</v>
      </c>
      <c r="D428" s="43">
        <f t="shared" si="45"/>
        <v>-33472.168049999978</v>
      </c>
      <c r="E428" s="43">
        <f>C428*'Allocation Factors'!$G$38</f>
        <v>-2198005.7019500001</v>
      </c>
      <c r="F428" s="10">
        <f>'Sch 5'!C415</f>
        <v>397994.45071200002</v>
      </c>
      <c r="G428" s="10">
        <f t="shared" si="46"/>
        <v>-1800011.2512380001</v>
      </c>
      <c r="H428" s="10"/>
      <c r="I428" s="15" t="s">
        <v>907</v>
      </c>
      <c r="J428" s="38"/>
      <c r="K428" s="38"/>
      <c r="L428" s="380" t="s">
        <v>1031</v>
      </c>
    </row>
    <row r="429" spans="1:12" ht="14.15" customHeight="1">
      <c r="A429" s="436">
        <f t="shared" si="40"/>
        <v>413</v>
      </c>
      <c r="B429" s="83" t="s">
        <v>275</v>
      </c>
      <c r="C429" s="10">
        <v>0</v>
      </c>
      <c r="D429" s="43">
        <f t="shared" si="45"/>
        <v>0</v>
      </c>
      <c r="E429" s="43">
        <f>C429*'Allocation Factors'!$G$38</f>
        <v>0</v>
      </c>
      <c r="F429" s="10">
        <f>'Sch 5'!C416</f>
        <v>0</v>
      </c>
      <c r="G429" s="10">
        <f t="shared" si="46"/>
        <v>0</v>
      </c>
      <c r="H429" s="10"/>
      <c r="I429" s="15" t="s">
        <v>907</v>
      </c>
      <c r="J429" s="38"/>
      <c r="K429" s="38"/>
      <c r="L429" s="436">
        <v>9260057</v>
      </c>
    </row>
    <row r="430" spans="1:12" ht="13.5" customHeight="1">
      <c r="A430" s="436">
        <f t="shared" si="40"/>
        <v>414</v>
      </c>
      <c r="B430" s="22" t="s">
        <v>276</v>
      </c>
      <c r="C430" s="10">
        <v>139720.06</v>
      </c>
      <c r="D430" s="43">
        <f t="shared" si="45"/>
        <v>2095.800900000002</v>
      </c>
      <c r="E430" s="43">
        <f>C430*'Allocation Factors'!$G$38</f>
        <v>137624.2591</v>
      </c>
      <c r="F430" s="10">
        <f>'Sch 5'!C417</f>
        <v>0</v>
      </c>
      <c r="G430" s="10">
        <f t="shared" si="46"/>
        <v>137624.2591</v>
      </c>
      <c r="H430" s="10"/>
      <c r="I430" s="15" t="s">
        <v>907</v>
      </c>
      <c r="J430" s="38"/>
      <c r="K430" s="38"/>
      <c r="L430" s="436">
        <v>9270000</v>
      </c>
    </row>
    <row r="431" spans="1:12" ht="14.15" customHeight="1">
      <c r="A431" s="436">
        <f t="shared" si="40"/>
        <v>415</v>
      </c>
      <c r="B431" s="22" t="s">
        <v>1160</v>
      </c>
      <c r="C431" s="10">
        <f>3002.78+953393.08</f>
        <v>956395.86</v>
      </c>
      <c r="D431" s="43">
        <f t="shared" si="45"/>
        <v>-0.14000000001396984</v>
      </c>
      <c r="E431" s="10">
        <f>ROUND(C431*'Allocation Factors'!$G$34,0)</f>
        <v>956396</v>
      </c>
      <c r="F431" s="10">
        <f>'Sch 5'!C418</f>
        <v>-31906.250000000233</v>
      </c>
      <c r="G431" s="10">
        <f t="shared" si="46"/>
        <v>924489.74999999977</v>
      </c>
      <c r="H431" s="10"/>
      <c r="I431" s="15" t="s">
        <v>362</v>
      </c>
      <c r="J431" s="38"/>
      <c r="K431" s="38"/>
      <c r="L431" s="436" t="s">
        <v>1122</v>
      </c>
    </row>
    <row r="432" spans="1:12" ht="22.5" customHeight="1">
      <c r="A432" s="436">
        <f t="shared" si="40"/>
        <v>416</v>
      </c>
      <c r="B432" s="22" t="s">
        <v>323</v>
      </c>
      <c r="C432" s="10">
        <f>1711551.41+9943.65</f>
        <v>1721495.0599999998</v>
      </c>
      <c r="D432" s="43">
        <f>C432-E432</f>
        <v>9943.6499999999069</v>
      </c>
      <c r="E432" s="10">
        <f>(C432-J432)</f>
        <v>1711551.41</v>
      </c>
      <c r="F432" s="10">
        <f>'Sch 5'!C419</f>
        <v>173119.62</v>
      </c>
      <c r="G432" s="10">
        <f t="shared" si="46"/>
        <v>1884671.0299999998</v>
      </c>
      <c r="H432" s="10"/>
      <c r="I432" s="15" t="s">
        <v>362</v>
      </c>
      <c r="J432" s="38">
        <v>9943.65</v>
      </c>
      <c r="K432" s="436" t="s">
        <v>1114</v>
      </c>
      <c r="L432" s="436" t="s">
        <v>1009</v>
      </c>
    </row>
    <row r="433" spans="1:15" ht="19" customHeight="1">
      <c r="A433" s="436">
        <f t="shared" si="40"/>
        <v>417</v>
      </c>
      <c r="B433" s="22" t="s">
        <v>278</v>
      </c>
      <c r="C433" s="10">
        <v>231323.4</v>
      </c>
      <c r="D433" s="43">
        <f t="shared" si="45"/>
        <v>3469.8509999999951</v>
      </c>
      <c r="E433" s="43">
        <f>C433*'Allocation Factors'!$G$38</f>
        <v>227853.549</v>
      </c>
      <c r="F433" s="10">
        <f>'Sch 5'!C420</f>
        <v>-53346.28</v>
      </c>
      <c r="G433" s="10">
        <f t="shared" si="46"/>
        <v>174507.269</v>
      </c>
      <c r="H433" s="10"/>
      <c r="I433" s="15" t="s">
        <v>907</v>
      </c>
      <c r="J433" s="38"/>
      <c r="K433" s="38"/>
      <c r="L433" s="438" t="s">
        <v>1032</v>
      </c>
    </row>
    <row r="434" spans="1:15" ht="14.15" customHeight="1">
      <c r="A434" s="436">
        <f t="shared" si="40"/>
        <v>418</v>
      </c>
      <c r="B434" s="22" t="s">
        <v>279</v>
      </c>
      <c r="C434" s="10">
        <v>1185044.18</v>
      </c>
      <c r="D434" s="43">
        <f t="shared" si="45"/>
        <v>17775.662699999986</v>
      </c>
      <c r="E434" s="43">
        <f>C434*'Allocation Factors'!$G$38</f>
        <v>1167268.5172999999</v>
      </c>
      <c r="F434" s="10">
        <f>'Sch 5'!C421</f>
        <v>-160</v>
      </c>
      <c r="G434" s="10">
        <f t="shared" si="46"/>
        <v>1167108.5172999999</v>
      </c>
      <c r="H434" s="10"/>
      <c r="I434" s="15" t="s">
        <v>907</v>
      </c>
      <c r="J434" s="38"/>
      <c r="K434" s="38"/>
      <c r="L434" s="436" t="s">
        <v>1033</v>
      </c>
    </row>
    <row r="435" spans="1:15" ht="14.15" customHeight="1">
      <c r="A435" s="436">
        <f t="shared" si="40"/>
        <v>419</v>
      </c>
      <c r="B435" s="56" t="s">
        <v>280</v>
      </c>
      <c r="C435" s="10">
        <f>15929.52+164993.15+10677.14</f>
        <v>191599.81</v>
      </c>
      <c r="D435" s="43">
        <f t="shared" si="45"/>
        <v>2873.8099999999977</v>
      </c>
      <c r="E435" s="43">
        <f>ROUND(J435+(C435-J435)*'Allocation Factors'!$G$38,0)</f>
        <v>188726</v>
      </c>
      <c r="F435" s="10">
        <f>'Sch 5'!C422</f>
        <v>-130089</v>
      </c>
      <c r="G435" s="10">
        <f t="shared" si="46"/>
        <v>58637</v>
      </c>
      <c r="H435" s="10"/>
      <c r="I435" s="15" t="s">
        <v>907</v>
      </c>
      <c r="J435" s="38"/>
      <c r="K435" s="38"/>
      <c r="L435" s="436" t="s">
        <v>1034</v>
      </c>
    </row>
    <row r="436" spans="1:15" ht="14.15" customHeight="1">
      <c r="A436" s="436">
        <f t="shared" si="40"/>
        <v>420</v>
      </c>
      <c r="B436" s="20" t="s">
        <v>507</v>
      </c>
      <c r="C436" s="80">
        <f>SUM(C422:C435)</f>
        <v>15274406.190000001</v>
      </c>
      <c r="D436" s="80">
        <f>SUM(D422:D435)</f>
        <v>198890.92764999997</v>
      </c>
      <c r="E436" s="80">
        <f>SUM(E422:E435)</f>
        <v>15075515.26235</v>
      </c>
      <c r="F436" s="80">
        <f>SUM(F422:F435)</f>
        <v>-2955265.7005291157</v>
      </c>
      <c r="G436" s="161">
        <f>SUM(G422:G435)</f>
        <v>12120249.561820883</v>
      </c>
      <c r="H436" s="161"/>
      <c r="I436" s="162"/>
      <c r="J436" s="38"/>
      <c r="K436" s="38"/>
    </row>
    <row r="437" spans="1:15" ht="14.15" customHeight="1">
      <c r="A437" s="436">
        <f t="shared" si="40"/>
        <v>421</v>
      </c>
      <c r="B437" s="22"/>
      <c r="C437" s="16"/>
      <c r="D437" s="16"/>
      <c r="E437" s="16"/>
      <c r="F437" s="16"/>
      <c r="G437" s="43"/>
      <c r="H437" s="43"/>
      <c r="I437" s="15"/>
      <c r="J437" s="38"/>
      <c r="K437" s="38"/>
    </row>
    <row r="438" spans="1:15" ht="39" customHeight="1">
      <c r="A438" s="436">
        <f t="shared" si="40"/>
        <v>422</v>
      </c>
      <c r="B438" s="124" t="s">
        <v>281</v>
      </c>
      <c r="C438" s="10">
        <f>2633549.05-C439</f>
        <v>1829624.0599999998</v>
      </c>
      <c r="D438" s="43">
        <f>C438-E438</f>
        <v>27444.360899999971</v>
      </c>
      <c r="E438" s="43">
        <f>C438*'Allocation Factors'!$G$38</f>
        <v>1802179.6990999999</v>
      </c>
      <c r="F438" s="10">
        <f>'Sch 5'!C425</f>
        <v>-48987.48</v>
      </c>
      <c r="G438" s="10">
        <f>E438+F438</f>
        <v>1753192.2190999999</v>
      </c>
      <c r="H438" s="10"/>
      <c r="I438" s="15" t="s">
        <v>907</v>
      </c>
      <c r="J438" s="38"/>
      <c r="K438" s="38"/>
      <c r="L438" s="438" t="s">
        <v>1025</v>
      </c>
    </row>
    <row r="439" spans="1:15" ht="14.15" customHeight="1">
      <c r="A439" s="436">
        <f t="shared" si="40"/>
        <v>423</v>
      </c>
      <c r="B439" s="57" t="s">
        <v>282</v>
      </c>
      <c r="C439" s="10">
        <v>803924.99</v>
      </c>
      <c r="D439" s="16">
        <f>C439-E439</f>
        <v>12058.874850000022</v>
      </c>
      <c r="E439" s="43">
        <f>C439*'Allocation Factors'!$G$38</f>
        <v>791866.11514999997</v>
      </c>
      <c r="F439" s="10">
        <f>'Sch 5'!C426</f>
        <v>0</v>
      </c>
      <c r="G439" s="10">
        <f>E439+F439</f>
        <v>791866.11514999997</v>
      </c>
      <c r="H439" s="10"/>
      <c r="I439" s="15" t="s">
        <v>907</v>
      </c>
      <c r="J439" s="38"/>
      <c r="K439" s="38"/>
      <c r="L439" s="436">
        <v>9350015</v>
      </c>
    </row>
    <row r="440" spans="1:15" ht="14.15" customHeight="1">
      <c r="A440" s="436">
        <f t="shared" si="40"/>
        <v>424</v>
      </c>
      <c r="B440" s="20" t="s">
        <v>283</v>
      </c>
      <c r="C440" s="80">
        <f>C436+SUM(C438:C439)</f>
        <v>17907955.240000002</v>
      </c>
      <c r="D440" s="80">
        <f>D436+SUM(D438:D439)</f>
        <v>238394.16339999996</v>
      </c>
      <c r="E440" s="80">
        <f>E436+SUM(E438:E439)</f>
        <v>17669561.0766</v>
      </c>
      <c r="F440" s="80">
        <f>F436+F438+F439</f>
        <v>-3004253.1805291157</v>
      </c>
      <c r="G440" s="161">
        <f>G436+G438+G439</f>
        <v>14665307.896070883</v>
      </c>
      <c r="H440" s="161"/>
      <c r="I440" s="162"/>
      <c r="J440" s="38"/>
      <c r="K440" s="38"/>
    </row>
    <row r="441" spans="1:15" ht="14.15" customHeight="1">
      <c r="A441" s="436">
        <f t="shared" si="40"/>
        <v>425</v>
      </c>
      <c r="B441" s="57"/>
      <c r="C441" s="146"/>
      <c r="D441" s="146"/>
      <c r="E441" s="58"/>
      <c r="F441" s="146"/>
      <c r="G441" s="64"/>
      <c r="H441" s="64"/>
      <c r="I441" s="130"/>
      <c r="J441" s="38"/>
      <c r="K441" s="38"/>
    </row>
    <row r="442" spans="1:15" s="21" customFormat="1" ht="14.15" customHeight="1">
      <c r="A442" s="436">
        <f t="shared" ref="A442:A507" si="47">+A441+1</f>
        <v>426</v>
      </c>
      <c r="B442" s="20" t="s">
        <v>508</v>
      </c>
      <c r="C442" s="163">
        <f>C440+C419+C412+C405+C396+C368+C341</f>
        <v>581548152.99199998</v>
      </c>
      <c r="D442" s="163">
        <f>D440+D419+D412+D405+D396+D368+D341</f>
        <v>6324577.8460620549</v>
      </c>
      <c r="E442" s="163">
        <f>E440+E419+E412+E405+E396+E368+E341</f>
        <v>575223575.14593792</v>
      </c>
      <c r="F442" s="163">
        <f>F440+F419+F412+F405+F396+F368+F341</f>
        <v>-192513199.9318769</v>
      </c>
      <c r="G442" s="163">
        <f>G440+G419+G412+G405+G396+G368+G341</f>
        <v>382710375.21406102</v>
      </c>
      <c r="H442" s="91">
        <f>ROUND(E442/C442,3)</f>
        <v>0.98899999999999999</v>
      </c>
      <c r="I442" s="164"/>
      <c r="J442" s="38"/>
      <c r="K442" s="38"/>
      <c r="L442" s="436"/>
      <c r="M442" s="83"/>
      <c r="N442" s="83"/>
      <c r="O442" s="83"/>
    </row>
    <row r="443" spans="1:15" s="21" customFormat="1" ht="14.15" customHeight="1">
      <c r="A443" s="436">
        <f t="shared" si="47"/>
        <v>427</v>
      </c>
      <c r="B443" s="124"/>
      <c r="C443" s="157"/>
      <c r="D443" s="157"/>
      <c r="E443" s="165"/>
      <c r="F443" s="157"/>
      <c r="G443" s="166"/>
      <c r="H443" s="166"/>
      <c r="I443" s="164"/>
      <c r="J443" s="38"/>
      <c r="K443" s="38"/>
      <c r="L443" s="436"/>
      <c r="M443" s="83"/>
      <c r="N443" s="83"/>
      <c r="O443" s="83"/>
    </row>
    <row r="444" spans="1:15" s="21" customFormat="1" ht="14.15" customHeight="1">
      <c r="A444" s="436">
        <f t="shared" si="47"/>
        <v>428</v>
      </c>
      <c r="B444" s="85" t="s">
        <v>823</v>
      </c>
      <c r="C444" s="157">
        <f>(C442-(C310+C311+C312+C313+C335+C336))-(C346+C350+C351+C352+C353+C365)</f>
        <v>118801729.43199998</v>
      </c>
      <c r="D444" s="157">
        <f>(D442-(D310+D311+D312+D313+D335+D336))-(D346+D350+D351+D352+D365)</f>
        <v>1002631.1560620767</v>
      </c>
      <c r="E444" s="157">
        <f>(E442-(E310+E311+E312+E313+E335+E336))-(E346+E350+E351+E352+E365)</f>
        <v>117723737.14593792</v>
      </c>
      <c r="F444" s="157">
        <f>(F442-(F310+F335+F336))-(F346+F350+F351+F352+F365)</f>
        <v>-20451680.329437584</v>
      </c>
      <c r="G444" s="157">
        <f>(G442-(G310+G335+G336))-(G346+G350+G351+G352+G365)</f>
        <v>115909930.81650034</v>
      </c>
      <c r="H444" s="91">
        <f>ROUND(E444/C444,3)</f>
        <v>0.99099999999999999</v>
      </c>
      <c r="J444" s="38"/>
      <c r="K444" s="38"/>
      <c r="L444" s="436"/>
      <c r="M444" s="83"/>
      <c r="N444" s="83"/>
      <c r="O444" s="83"/>
    </row>
    <row r="445" spans="1:15" s="21" customFormat="1" ht="14.15" customHeight="1">
      <c r="A445" s="436">
        <f t="shared" si="47"/>
        <v>429</v>
      </c>
      <c r="B445" s="124"/>
      <c r="C445" s="157"/>
      <c r="D445" s="157"/>
      <c r="E445" s="165"/>
      <c r="F445" s="157"/>
      <c r="G445" s="166"/>
      <c r="H445" s="166"/>
      <c r="I445" s="164"/>
      <c r="J445" s="38"/>
      <c r="K445" s="38"/>
      <c r="L445" s="436"/>
      <c r="M445" s="83"/>
      <c r="N445" s="83"/>
      <c r="O445" s="83"/>
    </row>
    <row r="446" spans="1:15" s="21" customFormat="1" ht="14.15" customHeight="1">
      <c r="A446" s="436">
        <f t="shared" si="47"/>
        <v>430</v>
      </c>
      <c r="B446" s="20" t="s">
        <v>375</v>
      </c>
      <c r="C446" s="157"/>
      <c r="D446" s="157"/>
      <c r="E446" s="165"/>
      <c r="F446" s="157"/>
      <c r="G446" s="167"/>
      <c r="H446" s="167"/>
      <c r="I446" s="164"/>
      <c r="J446" s="38"/>
      <c r="K446" s="38"/>
      <c r="L446" s="436"/>
      <c r="M446" s="83"/>
      <c r="N446" s="83"/>
      <c r="O446" s="83"/>
    </row>
    <row r="447" spans="1:15" s="21" customFormat="1" ht="14.15" customHeight="1">
      <c r="A447" s="436">
        <f t="shared" si="47"/>
        <v>431</v>
      </c>
      <c r="B447" s="22" t="s">
        <v>393</v>
      </c>
      <c r="C447" s="157">
        <v>0</v>
      </c>
      <c r="D447" s="157">
        <v>0</v>
      </c>
      <c r="E447" s="157">
        <v>0</v>
      </c>
      <c r="F447" s="157">
        <f>'Sch 5'!C432</f>
        <v>0</v>
      </c>
      <c r="G447" s="167">
        <f>E447+F447</f>
        <v>0</v>
      </c>
      <c r="H447" s="167"/>
      <c r="I447" s="164"/>
      <c r="J447" s="38"/>
      <c r="K447" s="38"/>
      <c r="L447" s="436"/>
      <c r="M447" s="83"/>
      <c r="N447" s="83"/>
      <c r="O447" s="83"/>
    </row>
    <row r="448" spans="1:15" s="21" customFormat="1" ht="14.15" customHeight="1">
      <c r="A448" s="436">
        <f t="shared" si="47"/>
        <v>432</v>
      </c>
      <c r="B448" s="22" t="s">
        <v>392</v>
      </c>
      <c r="C448" s="157">
        <v>0</v>
      </c>
      <c r="D448" s="157">
        <v>0</v>
      </c>
      <c r="E448" s="157">
        <v>0</v>
      </c>
      <c r="F448" s="10">
        <f>'Sch 5'!C433</f>
        <v>0</v>
      </c>
      <c r="G448" s="167">
        <f>E448+F448</f>
        <v>0</v>
      </c>
      <c r="H448" s="167"/>
      <c r="I448" s="164"/>
      <c r="J448" s="38"/>
      <c r="K448" s="38"/>
      <c r="L448" s="436"/>
      <c r="M448" s="83"/>
      <c r="N448" s="83"/>
      <c r="O448" s="83"/>
    </row>
    <row r="449" spans="1:15" s="21" customFormat="1" ht="14.15" customHeight="1">
      <c r="A449" s="436">
        <f t="shared" si="47"/>
        <v>433</v>
      </c>
      <c r="B449" s="22" t="s">
        <v>249</v>
      </c>
      <c r="C449" s="157">
        <v>0</v>
      </c>
      <c r="D449" s="157">
        <v>0</v>
      </c>
      <c r="E449" s="157">
        <v>0</v>
      </c>
      <c r="F449" s="157">
        <f>'Sch 5'!C434</f>
        <v>0</v>
      </c>
      <c r="G449" s="167">
        <f>E449+F449</f>
        <v>0</v>
      </c>
      <c r="H449" s="167"/>
      <c r="I449" s="164"/>
      <c r="J449" s="38"/>
      <c r="K449" s="38"/>
      <c r="L449" s="436"/>
      <c r="M449" s="83"/>
      <c r="N449" s="83"/>
      <c r="O449" s="83"/>
    </row>
    <row r="450" spans="1:15" s="21" customFormat="1" ht="14.15" customHeight="1">
      <c r="A450" s="436">
        <f t="shared" si="47"/>
        <v>434</v>
      </c>
      <c r="B450" s="22" t="s">
        <v>381</v>
      </c>
      <c r="C450" s="157">
        <v>0</v>
      </c>
      <c r="D450" s="157">
        <v>0</v>
      </c>
      <c r="E450" s="157">
        <v>0</v>
      </c>
      <c r="F450" s="157">
        <f>'Sch 5'!C435</f>
        <v>0</v>
      </c>
      <c r="G450" s="167">
        <f>E450+F450</f>
        <v>0</v>
      </c>
      <c r="H450" s="167"/>
      <c r="I450" s="164"/>
      <c r="J450" s="38"/>
      <c r="K450" s="38"/>
      <c r="L450" s="436"/>
      <c r="M450" s="83"/>
      <c r="N450" s="83"/>
      <c r="O450" s="83"/>
    </row>
    <row r="451" spans="1:15" s="21" customFormat="1" ht="14.15" customHeight="1">
      <c r="A451" s="436">
        <f t="shared" si="47"/>
        <v>435</v>
      </c>
      <c r="B451" s="56" t="s">
        <v>394</v>
      </c>
      <c r="C451" s="168">
        <v>0</v>
      </c>
      <c r="D451" s="168">
        <v>0</v>
      </c>
      <c r="E451" s="168">
        <v>0</v>
      </c>
      <c r="F451" s="157">
        <f>'Sch 5'!C436</f>
        <v>0</v>
      </c>
      <c r="G451" s="167">
        <f>E451+F451</f>
        <v>0</v>
      </c>
      <c r="H451" s="169"/>
      <c r="I451" s="170"/>
      <c r="J451" s="38"/>
      <c r="K451" s="38"/>
      <c r="L451" s="436"/>
      <c r="M451" s="83"/>
      <c r="N451" s="83"/>
      <c r="O451" s="83"/>
    </row>
    <row r="452" spans="1:15" s="21" customFormat="1" ht="14.15" customHeight="1">
      <c r="A452" s="436">
        <f t="shared" si="47"/>
        <v>436</v>
      </c>
      <c r="B452" s="62" t="s">
        <v>509</v>
      </c>
      <c r="C452" s="171">
        <f>SUM(C447:C451)</f>
        <v>0</v>
      </c>
      <c r="D452" s="172">
        <f>SUM(D447:D451)</f>
        <v>0</v>
      </c>
      <c r="E452" s="171">
        <f>SUM(E447:E451)</f>
        <v>0</v>
      </c>
      <c r="F452" s="171">
        <f>SUM(F447:F451)</f>
        <v>0</v>
      </c>
      <c r="G452" s="171">
        <f>SUM(G447:G451)</f>
        <v>0</v>
      </c>
      <c r="H452" s="173"/>
      <c r="I452" s="174"/>
      <c r="J452" s="38"/>
      <c r="K452" s="38"/>
      <c r="L452" s="436"/>
      <c r="M452" s="83"/>
      <c r="N452" s="83"/>
      <c r="O452" s="83"/>
    </row>
    <row r="453" spans="1:15" s="21" customFormat="1" ht="14.15" customHeight="1" thickBot="1">
      <c r="A453" s="436">
        <f t="shared" si="47"/>
        <v>437</v>
      </c>
      <c r="B453" s="59" t="s">
        <v>510</v>
      </c>
      <c r="C453" s="175"/>
      <c r="D453" s="131"/>
      <c r="E453" s="175"/>
      <c r="F453" s="175">
        <f>'Sch 5'!C49</f>
        <v>-72923158.403071955</v>
      </c>
      <c r="G453" s="175">
        <f>G452*0.125</f>
        <v>0</v>
      </c>
      <c r="H453" s="176"/>
      <c r="I453" s="177"/>
      <c r="J453" s="38"/>
      <c r="K453" s="38"/>
      <c r="L453" s="436"/>
      <c r="M453" s="83"/>
      <c r="N453" s="83"/>
      <c r="O453" s="83"/>
    </row>
    <row r="454" spans="1:15" s="21" customFormat="1" ht="14.15" customHeight="1" thickTop="1">
      <c r="A454" s="436">
        <f t="shared" si="47"/>
        <v>438</v>
      </c>
      <c r="B454" s="124"/>
      <c r="C454" s="157"/>
      <c r="D454" s="157"/>
      <c r="E454" s="165"/>
      <c r="F454" s="157"/>
      <c r="G454" s="167"/>
      <c r="H454" s="167"/>
      <c r="I454" s="164"/>
      <c r="J454" s="38"/>
      <c r="K454" s="38"/>
      <c r="L454" s="436"/>
      <c r="M454" s="83"/>
      <c r="N454" s="83"/>
      <c r="O454" s="83"/>
    </row>
    <row r="455" spans="1:15" ht="14.15" customHeight="1">
      <c r="A455" s="436">
        <f t="shared" si="47"/>
        <v>439</v>
      </c>
      <c r="B455" s="13" t="s">
        <v>284</v>
      </c>
      <c r="C455" s="43"/>
      <c r="D455" s="43"/>
      <c r="E455" s="43"/>
      <c r="F455" s="43"/>
      <c r="G455" s="10"/>
      <c r="H455" s="10"/>
      <c r="I455" s="15"/>
      <c r="J455" s="38"/>
      <c r="K455" s="38"/>
    </row>
    <row r="456" spans="1:15" ht="14.15" customHeight="1">
      <c r="A456" s="436">
        <f t="shared" si="47"/>
        <v>440</v>
      </c>
      <c r="B456" s="22" t="s">
        <v>136</v>
      </c>
      <c r="C456" s="10">
        <f>36258858.95+3627685+62537.29</f>
        <v>39949081.240000002</v>
      </c>
      <c r="D456" s="43">
        <f>C456-E456</f>
        <v>599236.24000000209</v>
      </c>
      <c r="E456" s="10">
        <f>ROUND(J456+(C456-J456)*'Allocation Factors'!$G$10,0)</f>
        <v>39349845</v>
      </c>
      <c r="F456" s="10">
        <f>'Sch 5'!C441</f>
        <v>-11183970.592049999</v>
      </c>
      <c r="G456" s="10">
        <f>E456+F456</f>
        <v>28165874.407949999</v>
      </c>
      <c r="H456" s="10"/>
      <c r="I456" s="15" t="s">
        <v>341</v>
      </c>
      <c r="J456" s="38"/>
      <c r="K456" s="38"/>
    </row>
    <row r="457" spans="1:15" ht="14.15" customHeight="1">
      <c r="A457" s="436">
        <f t="shared" si="47"/>
        <v>441</v>
      </c>
      <c r="B457" s="22" t="s">
        <v>286</v>
      </c>
      <c r="C457" s="10">
        <v>21526507.780000001</v>
      </c>
      <c r="D457" s="43">
        <f>C457-E457</f>
        <v>322897.78000000119</v>
      </c>
      <c r="E457" s="43">
        <f>ROUND(C457*'Allocation Factors'!$G$16,0)</f>
        <v>21203610</v>
      </c>
      <c r="F457" s="10">
        <f>'Sch 5'!C442</f>
        <v>526787</v>
      </c>
      <c r="G457" s="10">
        <f>E457+F457</f>
        <v>21730397</v>
      </c>
      <c r="H457" s="10"/>
      <c r="I457" s="15" t="s">
        <v>346</v>
      </c>
      <c r="J457" s="38"/>
      <c r="K457" s="38"/>
    </row>
    <row r="458" spans="1:15" ht="14.15" customHeight="1">
      <c r="A458" s="436">
        <f t="shared" si="47"/>
        <v>442</v>
      </c>
      <c r="B458" s="22" t="s">
        <v>287</v>
      </c>
      <c r="C458" s="10">
        <v>283395.03999999998</v>
      </c>
      <c r="D458" s="43">
        <f>C458-E458</f>
        <v>4251.039999999979</v>
      </c>
      <c r="E458" s="43">
        <f>ROUND(C458*'Allocation Factors'!$G$10,0)</f>
        <v>279144</v>
      </c>
      <c r="F458" s="10">
        <f>'Sch 5'!C443</f>
        <v>0</v>
      </c>
      <c r="G458" s="10">
        <f>E458+F458</f>
        <v>279144</v>
      </c>
      <c r="H458" s="10"/>
      <c r="I458" s="15" t="s">
        <v>341</v>
      </c>
      <c r="J458" s="38"/>
      <c r="K458" s="38"/>
    </row>
    <row r="459" spans="1:15" ht="14.15" customHeight="1">
      <c r="A459" s="436">
        <f t="shared" si="47"/>
        <v>443</v>
      </c>
      <c r="B459" s="22" t="s">
        <v>138</v>
      </c>
      <c r="C459" s="10">
        <v>36830995.259999998</v>
      </c>
      <c r="D459" s="43">
        <f>C459-E459</f>
        <v>36831.259999997914</v>
      </c>
      <c r="E459" s="43">
        <f>ROUND(C459*'Allocation Factors'!$G$18,0)</f>
        <v>36794164</v>
      </c>
      <c r="F459" s="43">
        <f>'Sch 5'!C444</f>
        <v>966467</v>
      </c>
      <c r="G459" s="43">
        <f>E459+F459</f>
        <v>37760631</v>
      </c>
      <c r="H459" s="43"/>
      <c r="I459" s="15" t="s">
        <v>348</v>
      </c>
      <c r="J459" s="38"/>
      <c r="K459" s="38"/>
    </row>
    <row r="460" spans="1:15" s="21" customFormat="1" ht="14.15" customHeight="1">
      <c r="A460" s="436">
        <f t="shared" si="47"/>
        <v>444</v>
      </c>
      <c r="B460" s="56" t="s">
        <v>139</v>
      </c>
      <c r="C460" s="64">
        <v>4451741.7500000009</v>
      </c>
      <c r="D460" s="64">
        <f>C460-E460</f>
        <v>62324.750000000931</v>
      </c>
      <c r="E460" s="146">
        <f>ROUND(C460*'Allocation Factors'!$G$22,0)</f>
        <v>4389417</v>
      </c>
      <c r="F460" s="64">
        <f>'Sch 5'!C445</f>
        <v>410291</v>
      </c>
      <c r="G460" s="64">
        <f>E460+F460</f>
        <v>4799708</v>
      </c>
      <c r="H460" s="64"/>
      <c r="I460" s="130" t="s">
        <v>352</v>
      </c>
      <c r="J460" s="38"/>
      <c r="K460" s="38"/>
      <c r="L460" s="436"/>
      <c r="M460" s="83"/>
      <c r="N460" s="83"/>
      <c r="O460" s="83"/>
    </row>
    <row r="461" spans="1:15" ht="14.15" customHeight="1">
      <c r="A461" s="436">
        <f t="shared" si="47"/>
        <v>445</v>
      </c>
      <c r="B461" s="20" t="s">
        <v>511</v>
      </c>
      <c r="C461" s="16">
        <f>SUM(C456:C460)</f>
        <v>103041721.06999999</v>
      </c>
      <c r="D461" s="16">
        <f>SUM(D456:D460)</f>
        <v>1025541.0700000022</v>
      </c>
      <c r="E461" s="16">
        <f>SUM(E456:E460)</f>
        <v>102016180</v>
      </c>
      <c r="F461" s="16">
        <f>SUM(F456:F460)</f>
        <v>-9280425.5920499992</v>
      </c>
      <c r="G461" s="16">
        <f>SUM(G456:G460)</f>
        <v>92735754.407949999</v>
      </c>
      <c r="H461" s="16"/>
      <c r="I461" s="17"/>
      <c r="J461" s="38"/>
      <c r="K461" s="38"/>
      <c r="L461" s="436" t="s">
        <v>1010</v>
      </c>
    </row>
    <row r="462" spans="1:15" ht="14.15" customHeight="1">
      <c r="A462" s="436">
        <f t="shared" si="47"/>
        <v>446</v>
      </c>
      <c r="C462" s="43"/>
      <c r="D462" s="43"/>
      <c r="E462" s="43"/>
      <c r="F462" s="43"/>
      <c r="G462" s="43"/>
      <c r="H462" s="43"/>
      <c r="I462" s="15"/>
      <c r="J462" s="38"/>
      <c r="K462" s="38"/>
    </row>
    <row r="463" spans="1:15" ht="14.15" customHeight="1">
      <c r="A463" s="436">
        <f t="shared" si="47"/>
        <v>447</v>
      </c>
      <c r="B463" s="13" t="s">
        <v>288</v>
      </c>
      <c r="C463" s="43"/>
      <c r="D463" s="43"/>
      <c r="E463" s="43"/>
      <c r="F463" s="43"/>
      <c r="G463" s="10"/>
      <c r="H463" s="10"/>
      <c r="I463" s="15"/>
      <c r="J463" s="38"/>
      <c r="K463" s="38"/>
    </row>
    <row r="464" spans="1:15" ht="14.15" customHeight="1">
      <c r="A464" s="436">
        <f t="shared" si="47"/>
        <v>448</v>
      </c>
      <c r="B464" s="22" t="s">
        <v>289</v>
      </c>
      <c r="C464" s="10">
        <v>9777825.2300000004</v>
      </c>
      <c r="D464" s="43">
        <f>C464-E464</f>
        <v>136889.23000000045</v>
      </c>
      <c r="E464" s="16">
        <f>ROUND(C464*'Allocation Factors'!$G$22,0)</f>
        <v>9640936</v>
      </c>
      <c r="F464" s="10">
        <f>'Sch 5'!C449</f>
        <v>-347254</v>
      </c>
      <c r="G464" s="10">
        <f>E464+F464</f>
        <v>9293682</v>
      </c>
      <c r="H464" s="10"/>
      <c r="I464" s="15" t="s">
        <v>352</v>
      </c>
      <c r="J464" s="38"/>
      <c r="K464" s="38"/>
    </row>
    <row r="465" spans="1:14" ht="14.15" customHeight="1">
      <c r="A465" s="436">
        <f t="shared" si="47"/>
        <v>449</v>
      </c>
      <c r="B465" s="22" t="s">
        <v>149</v>
      </c>
      <c r="C465" s="43">
        <v>0</v>
      </c>
      <c r="D465" s="43">
        <f>C465-E465</f>
        <v>0</v>
      </c>
      <c r="E465" s="43">
        <f>ROUND(C465*'Allocation Factors'!$G$10,0)</f>
        <v>0</v>
      </c>
      <c r="F465" s="10">
        <f>'Sch 5'!C450</f>
        <v>0</v>
      </c>
      <c r="G465" s="10">
        <f>E465+F465</f>
        <v>0</v>
      </c>
      <c r="H465" s="10"/>
      <c r="I465" s="15" t="s">
        <v>341</v>
      </c>
      <c r="J465" s="38"/>
      <c r="K465" s="38"/>
    </row>
    <row r="466" spans="1:14" ht="14.15" customHeight="1">
      <c r="A466" s="436">
        <f t="shared" si="47"/>
        <v>450</v>
      </c>
      <c r="B466" s="22" t="s">
        <v>137</v>
      </c>
      <c r="C466" s="43">
        <v>38616</v>
      </c>
      <c r="D466" s="43">
        <f>C466-E466</f>
        <v>579</v>
      </c>
      <c r="E466" s="43">
        <f>ROUND(C466*'Allocation Factors'!$G$16,0)</f>
        <v>38037</v>
      </c>
      <c r="F466" s="10">
        <f>'Sch 5'!C451</f>
        <v>0</v>
      </c>
      <c r="G466" s="10">
        <f>E466+F466</f>
        <v>38037</v>
      </c>
      <c r="H466" s="10"/>
      <c r="I466" s="15" t="s">
        <v>346</v>
      </c>
      <c r="J466" s="38"/>
      <c r="K466" s="38"/>
      <c r="L466" s="436">
        <v>4060001</v>
      </c>
    </row>
    <row r="467" spans="1:14" ht="14.15" customHeight="1">
      <c r="A467" s="436">
        <f t="shared" si="47"/>
        <v>451</v>
      </c>
      <c r="B467" s="22" t="s">
        <v>150</v>
      </c>
      <c r="C467" s="43">
        <v>0</v>
      </c>
      <c r="D467" s="43">
        <f>C467-E467</f>
        <v>0</v>
      </c>
      <c r="E467" s="43">
        <f>ROUND(C467*'Allocation Factors'!$G$18,0)</f>
        <v>0</v>
      </c>
      <c r="F467" s="10">
        <f>'Sch 5'!C452</f>
        <v>0</v>
      </c>
      <c r="G467" s="10">
        <f>E467+F467</f>
        <v>0</v>
      </c>
      <c r="H467" s="10"/>
      <c r="I467" s="15" t="s">
        <v>348</v>
      </c>
      <c r="J467" s="38"/>
      <c r="K467" s="38"/>
    </row>
    <row r="468" spans="1:14" ht="14.15" customHeight="1">
      <c r="A468" s="436">
        <f t="shared" si="47"/>
        <v>452</v>
      </c>
      <c r="B468" s="56" t="s">
        <v>151</v>
      </c>
      <c r="C468" s="64">
        <v>0</v>
      </c>
      <c r="D468" s="64">
        <f>C468-E468</f>
        <v>0</v>
      </c>
      <c r="E468" s="146">
        <f>ROUND(C468*'Allocation Factors'!$G$22,0)</f>
        <v>0</v>
      </c>
      <c r="F468" s="64">
        <f>'Sch 5'!C453</f>
        <v>0</v>
      </c>
      <c r="G468" s="64">
        <f>E468+F468</f>
        <v>0</v>
      </c>
      <c r="H468" s="64"/>
      <c r="I468" s="130" t="s">
        <v>352</v>
      </c>
      <c r="J468" s="38"/>
      <c r="K468" s="38"/>
    </row>
    <row r="469" spans="1:14" ht="14.15" customHeight="1">
      <c r="A469" s="436">
        <f t="shared" si="47"/>
        <v>453</v>
      </c>
      <c r="B469" s="20" t="s">
        <v>512</v>
      </c>
      <c r="C469" s="16">
        <f>SUM(C464:C468)</f>
        <v>9816441.2300000004</v>
      </c>
      <c r="D469" s="16">
        <f>SUM(D464:D468)</f>
        <v>137468.23000000045</v>
      </c>
      <c r="E469" s="16">
        <f>SUM(E464:E468)</f>
        <v>9678973</v>
      </c>
      <c r="F469" s="16">
        <f>SUM(F464:F468)</f>
        <v>-347254</v>
      </c>
      <c r="G469" s="16">
        <f>SUM(G464:G468)</f>
        <v>9331719</v>
      </c>
      <c r="H469" s="16"/>
      <c r="I469" s="17"/>
      <c r="J469" s="38"/>
      <c r="K469" s="38"/>
      <c r="L469" s="436" t="s">
        <v>1011</v>
      </c>
    </row>
    <row r="470" spans="1:14" ht="14.15" customHeight="1">
      <c r="A470" s="436">
        <f t="shared" si="47"/>
        <v>454</v>
      </c>
      <c r="B470" s="158"/>
      <c r="C470" s="16"/>
      <c r="D470" s="16"/>
      <c r="E470" s="125"/>
      <c r="F470" s="16"/>
      <c r="G470" s="43"/>
      <c r="H470" s="43"/>
      <c r="I470" s="15"/>
      <c r="J470" s="38"/>
      <c r="K470" s="38"/>
    </row>
    <row r="471" spans="1:14" ht="14.15" customHeight="1">
      <c r="A471" s="436">
        <f t="shared" si="47"/>
        <v>455</v>
      </c>
      <c r="B471" s="20" t="s">
        <v>290</v>
      </c>
      <c r="C471" s="16"/>
      <c r="D471" s="65"/>
      <c r="E471" s="16"/>
      <c r="F471" s="16"/>
      <c r="G471" s="10"/>
      <c r="H471" s="10"/>
      <c r="I471" s="15"/>
      <c r="J471" s="38"/>
      <c r="K471" s="38"/>
    </row>
    <row r="472" spans="1:14" ht="14.15" customHeight="1">
      <c r="A472" s="436">
        <f t="shared" si="47"/>
        <v>456</v>
      </c>
      <c r="B472" s="57" t="s">
        <v>324</v>
      </c>
      <c r="C472" s="10">
        <f>361145.88+13244718.63</f>
        <v>13605864.510000002</v>
      </c>
      <c r="D472" s="43">
        <f>C472-E472</f>
        <v>8604.5100000016391</v>
      </c>
      <c r="E472" s="10">
        <f>ROUND((J472)+(C472-J472-J473)*'Allocation Factors'!$G$16,0)</f>
        <v>13597260</v>
      </c>
      <c r="F472" s="10">
        <f>'Sch 5'!C457</f>
        <v>-12810260</v>
      </c>
      <c r="G472" s="10">
        <f>E472+F472</f>
        <v>787000</v>
      </c>
      <c r="H472" s="10"/>
      <c r="I472" s="15" t="s">
        <v>346</v>
      </c>
      <c r="J472" s="38">
        <v>13032207</v>
      </c>
      <c r="K472" s="436" t="s">
        <v>997</v>
      </c>
    </row>
    <row r="473" spans="1:14" ht="14.15" customHeight="1">
      <c r="A473" s="436">
        <f t="shared" si="47"/>
        <v>457</v>
      </c>
      <c r="B473" s="20" t="s">
        <v>513</v>
      </c>
      <c r="C473" s="47">
        <f>SUM(C472:C472)</f>
        <v>13605864.510000002</v>
      </c>
      <c r="D473" s="47">
        <f>SUM(D472:D472)</f>
        <v>8604.5100000016391</v>
      </c>
      <c r="E473" s="47">
        <f>SUM(E472:E472)</f>
        <v>13597260</v>
      </c>
      <c r="F473" s="47">
        <f>SUM(F472:F472)</f>
        <v>-12810260</v>
      </c>
      <c r="G473" s="47">
        <f>SUM(G472:G472)</f>
        <v>787000</v>
      </c>
      <c r="H473" s="47"/>
      <c r="I473" s="141"/>
      <c r="J473" s="38"/>
      <c r="K473" s="436"/>
      <c r="L473" s="436" t="s">
        <v>1012</v>
      </c>
    </row>
    <row r="474" spans="1:14" ht="14.15" customHeight="1">
      <c r="A474" s="436">
        <f t="shared" si="47"/>
        <v>458</v>
      </c>
      <c r="B474" s="57"/>
      <c r="C474" s="64"/>
      <c r="D474" s="64"/>
      <c r="E474" s="58"/>
      <c r="F474" s="146"/>
      <c r="G474" s="64"/>
      <c r="H474" s="64"/>
      <c r="I474" s="130"/>
      <c r="J474" s="38"/>
      <c r="K474" s="38"/>
      <c r="N474" s="436"/>
    </row>
    <row r="475" spans="1:14" ht="14.15" customHeight="1" thickBot="1">
      <c r="A475" s="436">
        <f t="shared" si="47"/>
        <v>459</v>
      </c>
      <c r="B475" s="59" t="s">
        <v>514</v>
      </c>
      <c r="C475" s="133">
        <f>C461+C469+C473</f>
        <v>126464026.81</v>
      </c>
      <c r="D475" s="133">
        <f>D461+D469+D473</f>
        <v>1171613.8100000042</v>
      </c>
      <c r="E475" s="133">
        <f>E461+E469+E473</f>
        <v>125292413</v>
      </c>
      <c r="F475" s="133">
        <f>F461+F469+F473</f>
        <v>-22437939.592050001</v>
      </c>
      <c r="G475" s="133">
        <f>G461+G469+G473</f>
        <v>102854473.40795</v>
      </c>
      <c r="H475" s="133"/>
      <c r="I475" s="153"/>
      <c r="J475" s="38"/>
      <c r="K475" s="38"/>
    </row>
    <row r="476" spans="1:14" ht="14.15" customHeight="1" thickTop="1">
      <c r="A476" s="436">
        <f t="shared" si="47"/>
        <v>460</v>
      </c>
      <c r="B476" s="124"/>
      <c r="C476" s="16"/>
      <c r="D476" s="16"/>
      <c r="E476" s="16"/>
      <c r="F476" s="16"/>
      <c r="G476" s="19"/>
      <c r="H476" s="19"/>
      <c r="I476" s="17"/>
      <c r="J476" s="38"/>
      <c r="K476" s="38"/>
    </row>
    <row r="477" spans="1:14" ht="14.15" customHeight="1">
      <c r="A477" s="436">
        <f t="shared" si="47"/>
        <v>461</v>
      </c>
      <c r="B477" s="20" t="s">
        <v>291</v>
      </c>
      <c r="C477" s="43"/>
      <c r="D477" s="16"/>
      <c r="E477" s="48"/>
      <c r="F477" s="43"/>
      <c r="G477" s="10"/>
      <c r="H477" s="10"/>
      <c r="I477" s="15"/>
      <c r="J477" s="38"/>
      <c r="K477" s="38"/>
    </row>
    <row r="478" spans="1:14" ht="14.15" customHeight="1">
      <c r="A478" s="436">
        <f t="shared" si="47"/>
        <v>462</v>
      </c>
      <c r="B478" s="13" t="s">
        <v>292</v>
      </c>
      <c r="C478" s="43"/>
      <c r="D478" s="16"/>
      <c r="E478" s="43"/>
      <c r="F478" s="43"/>
      <c r="G478" s="10"/>
      <c r="H478" s="10"/>
      <c r="I478" s="15"/>
      <c r="J478" s="38"/>
      <c r="K478" s="38"/>
    </row>
    <row r="479" spans="1:14" ht="14.15" customHeight="1">
      <c r="A479" s="436">
        <f t="shared" si="47"/>
        <v>463</v>
      </c>
      <c r="B479" s="22" t="s">
        <v>293</v>
      </c>
      <c r="C479" s="10">
        <f>3193118.71-1403551.76</f>
        <v>1789566.95</v>
      </c>
      <c r="D479" s="43">
        <f>C479-E479</f>
        <v>16105.949999999953</v>
      </c>
      <c r="E479" s="43">
        <f>ROUND(C479*'Allocation Factors'!$G$30,0)</f>
        <v>1773461</v>
      </c>
      <c r="F479" s="10">
        <f>'Sch 5'!C464</f>
        <v>109220</v>
      </c>
      <c r="G479" s="10">
        <f>E479+F479</f>
        <v>1882681</v>
      </c>
      <c r="H479" s="10"/>
      <c r="I479" s="15" t="s">
        <v>370</v>
      </c>
      <c r="J479" s="38"/>
      <c r="K479" s="38"/>
      <c r="L479" s="436" t="s">
        <v>1013</v>
      </c>
    </row>
    <row r="480" spans="1:14" ht="14.15" customHeight="1">
      <c r="A480" s="436">
        <f t="shared" si="47"/>
        <v>464</v>
      </c>
      <c r="B480" s="22" t="s">
        <v>294</v>
      </c>
      <c r="C480" s="10">
        <f>21668.07-8476.08</f>
        <v>13191.99</v>
      </c>
      <c r="D480" s="43">
        <f>C480-E480</f>
        <v>118.98999999999978</v>
      </c>
      <c r="E480" s="43">
        <f>ROUND(C480*'Allocation Factors'!$G$30,0)</f>
        <v>13073</v>
      </c>
      <c r="F480" s="10">
        <f>'Sch 5'!C465</f>
        <v>0</v>
      </c>
      <c r="G480" s="10">
        <f>E480+F480</f>
        <v>13073</v>
      </c>
      <c r="H480" s="10"/>
      <c r="I480" s="15" t="s">
        <v>370</v>
      </c>
      <c r="J480" s="38"/>
      <c r="K480" s="38"/>
      <c r="L480" s="436" t="s">
        <v>1014</v>
      </c>
    </row>
    <row r="481" spans="1:12" ht="14.15" customHeight="1">
      <c r="A481" s="436">
        <f t="shared" si="47"/>
        <v>465</v>
      </c>
      <c r="B481" s="56" t="s">
        <v>295</v>
      </c>
      <c r="C481" s="10">
        <f>30153.35-7449.22</f>
        <v>22704.129999999997</v>
      </c>
      <c r="D481" s="43">
        <f>C481-E481</f>
        <v>204.12999999999738</v>
      </c>
      <c r="E481" s="43">
        <f>ROUND(((C481-J481)*'Allocation Factors'!$G$30),0)</f>
        <v>22500</v>
      </c>
      <c r="F481" s="10">
        <f>'Sch 5'!C466</f>
        <v>0</v>
      </c>
      <c r="G481" s="10">
        <f>E481+F481</f>
        <v>22500</v>
      </c>
      <c r="H481" s="10"/>
      <c r="I481" s="15" t="s">
        <v>397</v>
      </c>
      <c r="J481" s="38"/>
      <c r="K481" s="38"/>
      <c r="L481" s="436" t="s">
        <v>1015</v>
      </c>
    </row>
    <row r="482" spans="1:12" ht="14.15" customHeight="1">
      <c r="A482" s="436">
        <f t="shared" si="47"/>
        <v>466</v>
      </c>
      <c r="B482" s="20" t="s">
        <v>515</v>
      </c>
      <c r="C482" s="80">
        <f>SUM(C479:C481)</f>
        <v>1825463.0699999998</v>
      </c>
      <c r="D482" s="80">
        <f>SUM(D477:D481)</f>
        <v>16429.069999999949</v>
      </c>
      <c r="E482" s="80">
        <f>SUM(E478:E481)</f>
        <v>1809034</v>
      </c>
      <c r="F482" s="80">
        <f>SUM(F478:F481)</f>
        <v>109220</v>
      </c>
      <c r="G482" s="80">
        <f>SUM(G479:G481)</f>
        <v>1918254</v>
      </c>
      <c r="H482" s="80"/>
      <c r="I482" s="142"/>
      <c r="J482" s="38"/>
      <c r="K482" s="38"/>
    </row>
    <row r="483" spans="1:12" ht="14.15" customHeight="1">
      <c r="A483" s="436">
        <f t="shared" si="47"/>
        <v>467</v>
      </c>
      <c r="B483" s="124"/>
      <c r="C483" s="16"/>
      <c r="D483" s="16"/>
      <c r="E483" s="16"/>
      <c r="F483" s="16"/>
      <c r="G483" s="43"/>
      <c r="H483" s="43"/>
      <c r="I483" s="15"/>
      <c r="J483" s="38"/>
      <c r="K483" s="38"/>
    </row>
    <row r="484" spans="1:12" ht="14.15" customHeight="1">
      <c r="A484" s="436">
        <f t="shared" si="47"/>
        <v>468</v>
      </c>
      <c r="B484" s="22" t="s">
        <v>296</v>
      </c>
      <c r="C484" s="10">
        <f>883986.19+13738105.85+4408398</f>
        <v>19030490.039999999</v>
      </c>
      <c r="D484" s="43">
        <f>C484-E484</f>
        <v>266427.03999999911</v>
      </c>
      <c r="E484" s="43">
        <f>ROUND((C484-J484)*'Allocation Factors'!$G$24,0)</f>
        <v>18764063</v>
      </c>
      <c r="F484" s="10">
        <f>'Sch 5'!C469</f>
        <v>1293113</v>
      </c>
      <c r="G484" s="10">
        <f>E484+F484</f>
        <v>20057176</v>
      </c>
      <c r="H484" s="10"/>
      <c r="I484" s="15" t="s">
        <v>354</v>
      </c>
      <c r="J484" s="38"/>
      <c r="K484" s="38"/>
      <c r="L484" s="436" t="s">
        <v>1016</v>
      </c>
    </row>
    <row r="485" spans="1:12" ht="14.15" customHeight="1">
      <c r="A485" s="436">
        <f t="shared" si="47"/>
        <v>469</v>
      </c>
      <c r="B485" s="22" t="s">
        <v>325</v>
      </c>
      <c r="C485" s="10">
        <v>0</v>
      </c>
      <c r="D485" s="43">
        <f>C485-E485</f>
        <v>0</v>
      </c>
      <c r="E485" s="43">
        <f>ROUND(C485*'Allocation Factors'!$G$24,0)</f>
        <v>0</v>
      </c>
      <c r="F485" s="10">
        <f>'Sch 5'!C470</f>
        <v>0</v>
      </c>
      <c r="G485" s="10">
        <f>E485+F485</f>
        <v>0</v>
      </c>
      <c r="H485" s="10"/>
      <c r="I485" s="15" t="s">
        <v>354</v>
      </c>
      <c r="J485" s="38"/>
      <c r="K485" s="38"/>
    </row>
    <row r="486" spans="1:12" ht="14.15" customHeight="1">
      <c r="A486" s="436">
        <f t="shared" si="47"/>
        <v>470</v>
      </c>
      <c r="B486" s="22" t="s">
        <v>326</v>
      </c>
      <c r="C486" s="10">
        <v>0</v>
      </c>
      <c r="D486" s="43">
        <f t="shared" ref="D486:D493" si="48">C486-E486</f>
        <v>0</v>
      </c>
      <c r="E486" s="43">
        <f>ROUND(C486*'Allocation Factors'!$G$34,0)</f>
        <v>0</v>
      </c>
      <c r="F486" s="10">
        <f>'Sch 5'!C471</f>
        <v>0</v>
      </c>
      <c r="G486" s="10">
        <f t="shared" ref="G486:G493" si="49">E486+F486</f>
        <v>0</v>
      </c>
      <c r="H486" s="10"/>
      <c r="I486" s="15" t="s">
        <v>362</v>
      </c>
      <c r="J486" s="38"/>
      <c r="K486" s="38"/>
      <c r="L486" s="436" t="s">
        <v>1021</v>
      </c>
    </row>
    <row r="487" spans="1:12" ht="33.75" customHeight="1">
      <c r="A487" s="436">
        <f t="shared" si="47"/>
        <v>471</v>
      </c>
      <c r="B487" s="22" t="s">
        <v>298</v>
      </c>
      <c r="C487" s="10">
        <f>-504500+317581.76+2822.42+46627.5+17197.66</f>
        <v>-120270.65999999997</v>
      </c>
      <c r="D487" s="43">
        <f t="shared" si="48"/>
        <v>-1683.6599999999744</v>
      </c>
      <c r="E487" s="43">
        <f>ROUND(C487*'Allocation Factors'!$G$24,0)</f>
        <v>-118587</v>
      </c>
      <c r="F487" s="10">
        <f>'Sch 5'!C472</f>
        <v>-65715</v>
      </c>
      <c r="G487" s="10">
        <f t="shared" si="49"/>
        <v>-184302</v>
      </c>
      <c r="H487" s="10"/>
      <c r="I487" s="15" t="s">
        <v>354</v>
      </c>
      <c r="J487" s="38"/>
      <c r="K487" s="38"/>
      <c r="L487" s="438" t="s">
        <v>1020</v>
      </c>
    </row>
    <row r="488" spans="1:12" ht="14.15" customHeight="1">
      <c r="A488" s="436">
        <f t="shared" si="47"/>
        <v>472</v>
      </c>
      <c r="B488" s="22" t="s">
        <v>299</v>
      </c>
      <c r="C488" s="10">
        <v>26</v>
      </c>
      <c r="D488" s="43">
        <f t="shared" si="48"/>
        <v>0</v>
      </c>
      <c r="E488" s="43">
        <f>C488</f>
        <v>26</v>
      </c>
      <c r="F488" s="10">
        <f>'Sch 5'!C473</f>
        <v>0</v>
      </c>
      <c r="G488" s="10">
        <f>E488+F488</f>
        <v>26</v>
      </c>
      <c r="H488" s="10"/>
      <c r="I488" s="15" t="s">
        <v>362</v>
      </c>
      <c r="J488" s="38"/>
      <c r="K488" s="38"/>
      <c r="L488" s="436" t="s">
        <v>1022</v>
      </c>
    </row>
    <row r="489" spans="1:12" ht="14.15" customHeight="1">
      <c r="A489" s="436">
        <f t="shared" si="47"/>
        <v>473</v>
      </c>
      <c r="B489" s="22" t="s">
        <v>774</v>
      </c>
      <c r="C489" s="10">
        <f>-4295.68+4735696.91+1609222.59</f>
        <v>6340623.8200000003</v>
      </c>
      <c r="D489" s="43">
        <f t="shared" si="48"/>
        <v>95109.820000000298</v>
      </c>
      <c r="E489" s="43">
        <f>ROUND(C489*'Allocation Factors'!$G$10,0)</f>
        <v>6245514</v>
      </c>
      <c r="F489" s="10">
        <f>'Sch 5'!C474</f>
        <v>4231</v>
      </c>
      <c r="G489" s="10">
        <f>E489+F489</f>
        <v>6249745</v>
      </c>
      <c r="H489" s="10"/>
      <c r="I489" s="238" t="s">
        <v>341</v>
      </c>
      <c r="J489" s="38"/>
      <c r="K489" s="38"/>
      <c r="L489" s="436" t="s">
        <v>1023</v>
      </c>
    </row>
    <row r="490" spans="1:12" ht="34.5" customHeight="1">
      <c r="A490" s="436">
        <f t="shared" si="47"/>
        <v>474</v>
      </c>
      <c r="B490" s="22" t="s">
        <v>327</v>
      </c>
      <c r="C490" s="10">
        <f>-4858.53-1736.03+1411.15+16536.19+5131.17</f>
        <v>16483.949999999997</v>
      </c>
      <c r="D490" s="43">
        <f t="shared" si="48"/>
        <v>-5.0000000002910383E-2</v>
      </c>
      <c r="E490" s="43">
        <f>ROUND(C490*'Allocation Factors'!$G$34,0)</f>
        <v>16484</v>
      </c>
      <c r="F490" s="10">
        <f>'Sch 5'!C475</f>
        <v>0</v>
      </c>
      <c r="G490" s="10">
        <f t="shared" si="49"/>
        <v>16484</v>
      </c>
      <c r="H490" s="10"/>
      <c r="I490" s="15" t="s">
        <v>362</v>
      </c>
      <c r="J490" s="38"/>
      <c r="K490" s="38"/>
      <c r="L490" s="438" t="s">
        <v>1017</v>
      </c>
    </row>
    <row r="491" spans="1:12" ht="13.5" customHeight="1">
      <c r="A491" s="436">
        <f t="shared" si="47"/>
        <v>475</v>
      </c>
      <c r="B491" s="22" t="s">
        <v>300</v>
      </c>
      <c r="C491" s="10">
        <v>0</v>
      </c>
      <c r="D491" s="43">
        <f t="shared" si="48"/>
        <v>0</v>
      </c>
      <c r="E491" s="43">
        <f>ROUND(C491*'Allocation Factors'!$G$34,0)</f>
        <v>0</v>
      </c>
      <c r="F491" s="10">
        <f>'Sch 5'!C476</f>
        <v>0</v>
      </c>
      <c r="G491" s="10">
        <f t="shared" si="49"/>
        <v>0</v>
      </c>
      <c r="H491" s="10"/>
      <c r="I491" s="15" t="s">
        <v>362</v>
      </c>
      <c r="J491" s="38"/>
      <c r="K491" s="38"/>
      <c r="L491" s="436" t="s">
        <v>1018</v>
      </c>
    </row>
    <row r="492" spans="1:12" ht="14.15" customHeight="1">
      <c r="A492" s="436">
        <f t="shared" si="47"/>
        <v>476</v>
      </c>
      <c r="B492" s="22" t="s">
        <v>301</v>
      </c>
      <c r="C492" s="10">
        <v>5749.8</v>
      </c>
      <c r="D492" s="43">
        <f t="shared" si="48"/>
        <v>51.800000000000182</v>
      </c>
      <c r="E492" s="43">
        <f>ROUND(C492*'Allocation Factors'!$G$30,0)</f>
        <v>5698</v>
      </c>
      <c r="F492" s="10">
        <f>'Sch 5'!C477</f>
        <v>0</v>
      </c>
      <c r="G492" s="10">
        <f t="shared" si="49"/>
        <v>5698</v>
      </c>
      <c r="H492" s="10"/>
      <c r="I492" s="15" t="s">
        <v>370</v>
      </c>
      <c r="J492" s="38"/>
      <c r="K492" s="38"/>
      <c r="L492" s="436" t="s">
        <v>1019</v>
      </c>
    </row>
    <row r="493" spans="1:12" ht="39" customHeight="1">
      <c r="A493" s="436">
        <f t="shared" si="47"/>
        <v>477</v>
      </c>
      <c r="B493" s="56" t="s">
        <v>302</v>
      </c>
      <c r="C493" s="10">
        <f>10210+3402+289.12+456103.33+94634</f>
        <v>564638.44999999995</v>
      </c>
      <c r="D493" s="43">
        <f t="shared" si="48"/>
        <v>7904.4499999999534</v>
      </c>
      <c r="E493" s="43">
        <f>ROUND(C493*'Allocation Factors'!$G$22,0)</f>
        <v>556734</v>
      </c>
      <c r="F493" s="10">
        <f>'Sch 5'!C478</f>
        <v>0</v>
      </c>
      <c r="G493" s="10">
        <f t="shared" si="49"/>
        <v>556734</v>
      </c>
      <c r="H493" s="10"/>
      <c r="I493" s="15" t="s">
        <v>352</v>
      </c>
      <c r="J493" s="38"/>
      <c r="K493" s="38"/>
      <c r="L493" s="438" t="s">
        <v>1024</v>
      </c>
    </row>
    <row r="494" spans="1:12" ht="14.15" customHeight="1">
      <c r="A494" s="436">
        <f t="shared" si="47"/>
        <v>478</v>
      </c>
      <c r="B494" s="20" t="s">
        <v>516</v>
      </c>
      <c r="C494" s="80">
        <f>SUM(C482:C493)</f>
        <v>27663204.469999999</v>
      </c>
      <c r="D494" s="80">
        <f>SUM(D482:D493)</f>
        <v>384238.46999999933</v>
      </c>
      <c r="E494" s="80">
        <f>SUM(E482:E493)</f>
        <v>27278966</v>
      </c>
      <c r="F494" s="80">
        <f>SUM(F482:F493)</f>
        <v>1340849</v>
      </c>
      <c r="G494" s="80">
        <f>SUM(G482:G493)</f>
        <v>28619815</v>
      </c>
      <c r="H494" s="80"/>
      <c r="I494" s="142"/>
      <c r="J494" s="38"/>
      <c r="K494" s="38"/>
    </row>
    <row r="495" spans="1:12" ht="14.15" customHeight="1">
      <c r="A495" s="436">
        <f t="shared" si="47"/>
        <v>479</v>
      </c>
      <c r="B495" s="20"/>
      <c r="C495" s="16"/>
      <c r="D495" s="16"/>
      <c r="E495" s="125"/>
      <c r="F495" s="16"/>
      <c r="G495" s="16"/>
      <c r="H495" s="16"/>
      <c r="I495" s="17"/>
      <c r="J495" s="38"/>
      <c r="K495" s="38"/>
    </row>
    <row r="496" spans="1:12" ht="14.15" customHeight="1">
      <c r="A496" s="436">
        <f t="shared" si="47"/>
        <v>480</v>
      </c>
      <c r="B496" s="22" t="s">
        <v>798</v>
      </c>
      <c r="C496" s="43">
        <f>('Sch 8'!E42+'Sch 8'!G42)*-1</f>
        <v>-542192.31999999995</v>
      </c>
      <c r="D496" s="43">
        <f>C496-E496</f>
        <v>-8133.3199999999488</v>
      </c>
      <c r="E496" s="43">
        <f>ROUND(C496*'Allocation Factors'!$G$10,0)</f>
        <v>-534059</v>
      </c>
      <c r="F496" s="10">
        <f>'Sch 5'!C481</f>
        <v>-4797635</v>
      </c>
      <c r="G496" s="10">
        <f>E496+F496</f>
        <v>-5331694</v>
      </c>
      <c r="H496" s="10"/>
      <c r="I496" s="15" t="s">
        <v>341</v>
      </c>
      <c r="J496" s="38"/>
      <c r="K496" s="38"/>
    </row>
    <row r="497" spans="1:12" ht="14.15" customHeight="1">
      <c r="A497" s="436">
        <f t="shared" si="47"/>
        <v>481</v>
      </c>
      <c r="B497" s="22" t="s">
        <v>799</v>
      </c>
      <c r="C497" s="43">
        <f>('Sch 8'!I42+'Sch 8'!K42)*-1</f>
        <v>-2045526.2200000002</v>
      </c>
      <c r="D497" s="43">
        <f>C497-E497</f>
        <v>-30683.220000000205</v>
      </c>
      <c r="E497" s="43">
        <f>ROUND(C497*'Allocation Factors'!$G$16,0)</f>
        <v>-2014843</v>
      </c>
      <c r="F497" s="10">
        <f>'Sch 5'!C482</f>
        <v>0</v>
      </c>
      <c r="G497" s="10">
        <f>E497+F497</f>
        <v>-2014843</v>
      </c>
      <c r="H497" s="10"/>
      <c r="I497" s="15" t="s">
        <v>346</v>
      </c>
      <c r="J497" s="38"/>
      <c r="K497" s="38"/>
    </row>
    <row r="498" spans="1:12" ht="14.15" customHeight="1">
      <c r="A498" s="436">
        <f t="shared" si="47"/>
        <v>482</v>
      </c>
      <c r="B498" s="22" t="s">
        <v>800</v>
      </c>
      <c r="C498" s="43">
        <f>('Sch 8'!M42+'Sch 8'!O42)*-1</f>
        <v>-955216.71</v>
      </c>
      <c r="D498" s="43">
        <f>C498-E498</f>
        <v>-955.70999999996275</v>
      </c>
      <c r="E498" s="43">
        <f>ROUND(C498*'Allocation Factors'!$G$18,0)</f>
        <v>-954261</v>
      </c>
      <c r="F498" s="10">
        <f>'Sch 5'!C483</f>
        <v>0</v>
      </c>
      <c r="G498" s="10">
        <f>E498+F498</f>
        <v>-954261</v>
      </c>
      <c r="H498" s="10"/>
      <c r="I498" s="15" t="s">
        <v>348</v>
      </c>
      <c r="J498" s="38"/>
      <c r="K498" s="38"/>
    </row>
    <row r="499" spans="1:12" ht="14.15" customHeight="1">
      <c r="A499" s="436">
        <f t="shared" si="47"/>
        <v>483</v>
      </c>
      <c r="B499" s="22" t="s">
        <v>801</v>
      </c>
      <c r="C499" s="43">
        <f>('Sch 8'!Q42+'Sch 8'!S42)*-1</f>
        <v>-131377.81</v>
      </c>
      <c r="D499" s="43">
        <f>C499-E499</f>
        <v>-1838.8099999999977</v>
      </c>
      <c r="E499" s="43">
        <f>ROUND(C499*'Allocation Factors'!$G$22,0)</f>
        <v>-129539</v>
      </c>
      <c r="F499" s="10">
        <f>'Sch 5'!C484</f>
        <v>0</v>
      </c>
      <c r="G499" s="10">
        <f>E499+F499</f>
        <v>-129539</v>
      </c>
      <c r="H499" s="10"/>
      <c r="I499" s="15" t="s">
        <v>352</v>
      </c>
      <c r="J499" s="38"/>
      <c r="K499" s="38"/>
    </row>
    <row r="500" spans="1:12" ht="14.15" customHeight="1">
      <c r="A500" s="436">
        <f t="shared" si="47"/>
        <v>484</v>
      </c>
      <c r="B500" s="22" t="s">
        <v>958</v>
      </c>
      <c r="C500" s="43">
        <f>('Sch 8'!U42+'Sch 8'!W42)*-1</f>
        <v>-52985.67</v>
      </c>
      <c r="D500" s="43">
        <f>C500-E500</f>
        <v>-741.66999999999825</v>
      </c>
      <c r="E500" s="43">
        <f>ROUND(C500*'Allocation Factors'!$G$22,0)</f>
        <v>-52244</v>
      </c>
      <c r="F500" s="10">
        <f>'Sch 5'!C485</f>
        <v>0</v>
      </c>
      <c r="G500" s="10">
        <f>E500+F500</f>
        <v>-52244</v>
      </c>
      <c r="H500" s="10"/>
      <c r="I500" s="15" t="s">
        <v>352</v>
      </c>
      <c r="J500" s="38"/>
      <c r="K500" s="38"/>
    </row>
    <row r="501" spans="1:12" ht="14.15" customHeight="1">
      <c r="A501" s="436">
        <f t="shared" si="47"/>
        <v>485</v>
      </c>
      <c r="B501" s="22"/>
      <c r="C501" s="43"/>
      <c r="D501" s="43"/>
      <c r="E501" s="43"/>
      <c r="F501" s="10"/>
      <c r="G501" s="10"/>
      <c r="H501" s="10"/>
      <c r="I501" s="15"/>
      <c r="J501" s="38"/>
      <c r="K501" s="38"/>
    </row>
    <row r="502" spans="1:12" ht="14.15" customHeight="1">
      <c r="A502" s="436">
        <f t="shared" si="47"/>
        <v>486</v>
      </c>
      <c r="B502" s="22" t="s">
        <v>303</v>
      </c>
      <c r="C502" s="10">
        <v>452405.24</v>
      </c>
      <c r="D502" s="43">
        <f>C502-E502</f>
        <v>0.23999999999068677</v>
      </c>
      <c r="E502" s="84">
        <f>ROUND(C502*'Allocation Factors'!$G$34,0)</f>
        <v>452405</v>
      </c>
      <c r="F502" s="10">
        <f>'Sch 5'!C486</f>
        <v>1258220</v>
      </c>
      <c r="G502" s="10">
        <f>E502+F502</f>
        <v>1710625</v>
      </c>
      <c r="H502" s="10"/>
      <c r="I502" s="15" t="s">
        <v>362</v>
      </c>
      <c r="J502" s="38"/>
      <c r="K502" s="38"/>
      <c r="L502" s="436">
        <v>4310002</v>
      </c>
    </row>
    <row r="503" spans="1:12" ht="14.15" customHeight="1">
      <c r="A503" s="436">
        <f t="shared" si="47"/>
        <v>487</v>
      </c>
      <c r="B503" s="22"/>
      <c r="C503" s="43"/>
      <c r="D503" s="43"/>
      <c r="E503" s="14"/>
      <c r="F503" s="10"/>
      <c r="G503" s="10"/>
      <c r="H503" s="10"/>
      <c r="I503" s="15"/>
      <c r="J503" s="38"/>
      <c r="K503" s="38"/>
    </row>
    <row r="504" spans="1:12" ht="14.15" customHeight="1">
      <c r="A504" s="436">
        <f t="shared" si="47"/>
        <v>488</v>
      </c>
      <c r="B504" s="3" t="s">
        <v>304</v>
      </c>
      <c r="C504" s="43"/>
      <c r="D504" s="24"/>
      <c r="E504" s="11"/>
      <c r="F504" s="43"/>
      <c r="G504" s="10"/>
      <c r="H504" s="10"/>
      <c r="I504" s="15"/>
      <c r="J504" s="38"/>
      <c r="K504" s="38"/>
    </row>
    <row r="505" spans="1:12" ht="13.5" customHeight="1">
      <c r="A505" s="436">
        <f t="shared" si="47"/>
        <v>489</v>
      </c>
      <c r="B505" s="22" t="s">
        <v>305</v>
      </c>
      <c r="C505" s="10">
        <v>-11516.38</v>
      </c>
      <c r="D505" s="43">
        <f>J505</f>
        <v>0</v>
      </c>
      <c r="E505" s="43">
        <f>C505-D505</f>
        <v>-11516.38</v>
      </c>
      <c r="F505" s="10">
        <f>'Sch 5'!C489</f>
        <v>0</v>
      </c>
      <c r="G505" s="10">
        <f t="shared" ref="G505:G512" si="50">E505+F505</f>
        <v>-11516.38</v>
      </c>
      <c r="H505" s="10"/>
      <c r="I505" s="15" t="s">
        <v>362</v>
      </c>
      <c r="J505" s="38"/>
      <c r="K505" s="38"/>
      <c r="L505" s="436">
        <v>4116000</v>
      </c>
    </row>
    <row r="506" spans="1:12" ht="13.5" customHeight="1">
      <c r="A506" s="436">
        <f t="shared" si="47"/>
        <v>490</v>
      </c>
      <c r="B506" s="22" t="s">
        <v>306</v>
      </c>
      <c r="C506" s="10">
        <v>0</v>
      </c>
      <c r="D506" s="43">
        <f t="shared" ref="D506:D512" si="51">C506-E506</f>
        <v>0</v>
      </c>
      <c r="E506" s="43">
        <v>0</v>
      </c>
      <c r="F506" s="10">
        <f>'Sch 5'!C490</f>
        <v>0</v>
      </c>
      <c r="G506" s="10">
        <f t="shared" si="50"/>
        <v>0</v>
      </c>
      <c r="H506" s="10"/>
      <c r="I506" s="15" t="s">
        <v>54</v>
      </c>
      <c r="J506" s="38"/>
      <c r="K506" s="38"/>
      <c r="L506" s="436">
        <v>4117000</v>
      </c>
    </row>
    <row r="507" spans="1:12" ht="13.5" customHeight="1">
      <c r="A507" s="436">
        <f t="shared" si="47"/>
        <v>491</v>
      </c>
      <c r="B507" s="22" t="s">
        <v>775</v>
      </c>
      <c r="C507" s="10">
        <v>-140184</v>
      </c>
      <c r="D507" s="43">
        <f t="shared" si="51"/>
        <v>-1963</v>
      </c>
      <c r="E507" s="43">
        <f>ROUND(C507*'Allocation Factors'!$G$14,0)</f>
        <v>-138221</v>
      </c>
      <c r="F507" s="10">
        <f>'Sch 5'!C491</f>
        <v>0</v>
      </c>
      <c r="G507" s="10">
        <f t="shared" si="50"/>
        <v>-138221</v>
      </c>
      <c r="H507" s="10"/>
      <c r="I507" s="15" t="s">
        <v>344</v>
      </c>
      <c r="J507" s="38"/>
      <c r="K507" s="38"/>
      <c r="L507" s="436" t="s">
        <v>1084</v>
      </c>
    </row>
    <row r="508" spans="1:12" ht="14.15" customHeight="1">
      <c r="A508" s="436">
        <f t="shared" ref="A508:A521" si="52">+A507+1</f>
        <v>492</v>
      </c>
      <c r="B508" s="22" t="s">
        <v>797</v>
      </c>
      <c r="C508" s="10">
        <v>558067.74</v>
      </c>
      <c r="D508" s="43">
        <f t="shared" si="51"/>
        <v>8370.7399999999907</v>
      </c>
      <c r="E508" s="43">
        <f>ROUND(C508*'Allocation Factors'!$G$10,0)</f>
        <v>549697</v>
      </c>
      <c r="F508" s="10">
        <f>'Sch 5'!C492</f>
        <v>255569.3805</v>
      </c>
      <c r="G508" s="10">
        <f t="shared" si="50"/>
        <v>805266.38049999997</v>
      </c>
      <c r="H508" s="10"/>
      <c r="I508" s="15" t="s">
        <v>341</v>
      </c>
      <c r="J508" s="38"/>
      <c r="K508" s="38"/>
      <c r="L508" s="436">
        <v>4111005</v>
      </c>
    </row>
    <row r="509" spans="1:12" ht="13.5" customHeight="1">
      <c r="A509" s="436">
        <f t="shared" si="52"/>
        <v>493</v>
      </c>
      <c r="B509" s="22" t="s">
        <v>308</v>
      </c>
      <c r="C509" s="10">
        <f>-5.97-232191.79</f>
        <v>-232197.76000000001</v>
      </c>
      <c r="D509" s="43">
        <f>C509-E509</f>
        <v>0</v>
      </c>
      <c r="E509" s="43">
        <f>J509</f>
        <v>-232197.76000000001</v>
      </c>
      <c r="F509" s="10">
        <f>'Sch 5'!C493</f>
        <v>3288567.05</v>
      </c>
      <c r="G509" s="10">
        <f t="shared" si="50"/>
        <v>3056369.29</v>
      </c>
      <c r="H509" s="10"/>
      <c r="I509" s="15" t="s">
        <v>362</v>
      </c>
      <c r="J509" s="38">
        <f>C509</f>
        <v>-232197.76000000001</v>
      </c>
      <c r="K509" s="436" t="s">
        <v>905</v>
      </c>
      <c r="L509" s="436" t="s">
        <v>1085</v>
      </c>
    </row>
    <row r="510" spans="1:12" ht="13.5" customHeight="1">
      <c r="A510" s="436">
        <f t="shared" si="52"/>
        <v>494</v>
      </c>
      <c r="B510" s="22" t="s">
        <v>813</v>
      </c>
      <c r="C510" s="10">
        <v>-101401.7</v>
      </c>
      <c r="D510" s="43">
        <f t="shared" si="51"/>
        <v>-1318.6999999999971</v>
      </c>
      <c r="E510" s="43">
        <f>ROUND(C510*'Allocation Factors'!$G$26,0)</f>
        <v>-100083</v>
      </c>
      <c r="F510" s="10">
        <f>'Sch 5'!C494</f>
        <v>0</v>
      </c>
      <c r="G510" s="10">
        <f t="shared" si="50"/>
        <v>-100083</v>
      </c>
      <c r="H510" s="10"/>
      <c r="I510" s="15" t="s">
        <v>355</v>
      </c>
      <c r="J510" s="38"/>
      <c r="L510" s="436">
        <v>4190005</v>
      </c>
    </row>
    <row r="511" spans="1:12" ht="13.5" customHeight="1">
      <c r="A511" s="436">
        <f t="shared" si="52"/>
        <v>495</v>
      </c>
      <c r="B511" s="22" t="s">
        <v>814</v>
      </c>
      <c r="C511" s="10">
        <v>3336421.59</v>
      </c>
      <c r="D511" s="43">
        <f>C511</f>
        <v>3336421.59</v>
      </c>
      <c r="E511" s="43">
        <v>0</v>
      </c>
      <c r="F511" s="10">
        <f>'Sch 5'!C495</f>
        <v>0</v>
      </c>
      <c r="G511" s="10">
        <f t="shared" si="50"/>
        <v>0</v>
      </c>
      <c r="H511" s="10"/>
      <c r="I511" s="15" t="s">
        <v>54</v>
      </c>
      <c r="J511" s="38"/>
      <c r="L511" s="436">
        <v>4300003</v>
      </c>
    </row>
    <row r="512" spans="1:12" ht="14.15" customHeight="1">
      <c r="A512" s="436">
        <f t="shared" si="52"/>
        <v>496</v>
      </c>
      <c r="B512" s="56" t="s">
        <v>812</v>
      </c>
      <c r="C512" s="64">
        <v>458407.72</v>
      </c>
      <c r="D512" s="43">
        <f t="shared" si="51"/>
        <v>5959.7199999999721</v>
      </c>
      <c r="E512" s="43">
        <f>ROUND((C512-(C512-J512))*'Allocation Factors'!$G$26,0)</f>
        <v>452448</v>
      </c>
      <c r="F512" s="10">
        <f>'Sch 5'!C496</f>
        <v>0</v>
      </c>
      <c r="G512" s="10">
        <f t="shared" si="50"/>
        <v>452448</v>
      </c>
      <c r="H512" s="10"/>
      <c r="I512" s="15" t="s">
        <v>355</v>
      </c>
      <c r="J512" s="43">
        <v>458407.72</v>
      </c>
      <c r="K512" s="436" t="s">
        <v>996</v>
      </c>
      <c r="L512" s="436">
        <v>4310007</v>
      </c>
    </row>
    <row r="513" spans="1:12" ht="14.15" customHeight="1">
      <c r="A513" s="436">
        <f t="shared" si="52"/>
        <v>497</v>
      </c>
      <c r="B513" s="13" t="s">
        <v>310</v>
      </c>
      <c r="C513" s="47">
        <f>SUM(C505:C512)</f>
        <v>3867597.21</v>
      </c>
      <c r="D513" s="47">
        <f>SUM(D505:D512)</f>
        <v>3347470.3499999996</v>
      </c>
      <c r="E513" s="47">
        <f>SUM(E505:E512)</f>
        <v>520126.86</v>
      </c>
      <c r="F513" s="47">
        <f>SUM(F505:F512)</f>
        <v>3544136.4304999998</v>
      </c>
      <c r="G513" s="47">
        <f>SUM(G505:G512)</f>
        <v>4064263.2905000001</v>
      </c>
      <c r="H513" s="47"/>
      <c r="I513" s="154"/>
      <c r="J513" s="38"/>
      <c r="K513" s="38"/>
    </row>
    <row r="514" spans="1:12" ht="14.15" customHeight="1">
      <c r="A514" s="436">
        <f t="shared" si="52"/>
        <v>498</v>
      </c>
      <c r="B514" s="22"/>
      <c r="C514" s="43"/>
      <c r="D514" s="16"/>
      <c r="E514" s="43"/>
      <c r="F514" s="43"/>
      <c r="G514" s="43"/>
      <c r="H514" s="43"/>
      <c r="I514" s="15"/>
      <c r="J514" s="38"/>
      <c r="K514" s="38"/>
    </row>
    <row r="515" spans="1:12" ht="14.15" customHeight="1">
      <c r="A515" s="436">
        <f t="shared" si="52"/>
        <v>499</v>
      </c>
      <c r="B515" s="22"/>
      <c r="C515" s="43"/>
      <c r="D515" s="43"/>
      <c r="E515" s="43"/>
      <c r="F515" s="43"/>
      <c r="G515" s="43"/>
      <c r="H515" s="43"/>
      <c r="I515" s="15"/>
      <c r="J515" s="38"/>
      <c r="K515" s="38"/>
    </row>
    <row r="516" spans="1:12" ht="13.9" customHeight="1">
      <c r="A516" s="436">
        <f t="shared" si="52"/>
        <v>500</v>
      </c>
      <c r="B516" s="13" t="s">
        <v>311</v>
      </c>
      <c r="C516" s="43"/>
      <c r="D516" s="43"/>
      <c r="E516" s="43"/>
      <c r="F516" s="43"/>
      <c r="G516" s="10"/>
      <c r="H516" s="10"/>
      <c r="I516" s="15"/>
      <c r="J516" s="38"/>
      <c r="K516" s="38"/>
    </row>
    <row r="517" spans="1:12" ht="13.9" customHeight="1">
      <c r="A517" s="436">
        <f t="shared" si="52"/>
        <v>501</v>
      </c>
      <c r="B517" s="124" t="s">
        <v>328</v>
      </c>
      <c r="C517" s="43">
        <v>-270314.43000000017</v>
      </c>
      <c r="D517" s="43">
        <f>C517-E517</f>
        <v>-2596480.4300000002</v>
      </c>
      <c r="E517" s="195">
        <v>2326166</v>
      </c>
      <c r="F517" s="10">
        <f>'Sch 5'!C501</f>
        <v>903847.61244044744</v>
      </c>
      <c r="G517" s="10">
        <f>E517+F517</f>
        <v>3230013.6124404473</v>
      </c>
      <c r="H517" s="10"/>
      <c r="I517" s="15" t="s">
        <v>54</v>
      </c>
      <c r="J517" s="38"/>
      <c r="K517" s="38"/>
      <c r="L517" s="102"/>
    </row>
    <row r="518" spans="1:12" ht="14.15" customHeight="1">
      <c r="A518" s="436">
        <f t="shared" si="52"/>
        <v>502</v>
      </c>
      <c r="B518" s="124" t="s">
        <v>312</v>
      </c>
      <c r="C518" s="43">
        <v>2139341</v>
      </c>
      <c r="D518" s="43">
        <f>C518-E518</f>
        <v>-8522081</v>
      </c>
      <c r="E518" s="195">
        <v>10661422</v>
      </c>
      <c r="F518" s="10">
        <f>'Sch 5'!C502</f>
        <v>3601421.886194136</v>
      </c>
      <c r="G518" s="10">
        <f>E518+F518</f>
        <v>14262843.886194136</v>
      </c>
      <c r="H518" s="10"/>
      <c r="I518" s="15" t="s">
        <v>54</v>
      </c>
      <c r="J518" s="38"/>
      <c r="K518" s="38"/>
      <c r="L518" s="102"/>
    </row>
    <row r="519" spans="1:12" ht="14.15" customHeight="1">
      <c r="A519" s="436">
        <f t="shared" si="52"/>
        <v>503</v>
      </c>
      <c r="B519" s="124" t="s">
        <v>313</v>
      </c>
      <c r="C519" s="43">
        <v>-30848612.202645641</v>
      </c>
      <c r="D519" s="43">
        <f>C519-E519</f>
        <v>8936870.7973543592</v>
      </c>
      <c r="E519" s="196">
        <v>-39785483</v>
      </c>
      <c r="F519" s="10">
        <f>'Sch 5'!C503</f>
        <v>31070231.085962024</v>
      </c>
      <c r="G519" s="10">
        <f>E519+F519</f>
        <v>-8715251.9140379764</v>
      </c>
      <c r="H519" s="10"/>
      <c r="I519" s="15" t="s">
        <v>54</v>
      </c>
      <c r="J519" s="38"/>
      <c r="K519" s="38"/>
      <c r="L519" s="102"/>
    </row>
    <row r="520" spans="1:12" ht="14.15" customHeight="1">
      <c r="A520" s="436">
        <f t="shared" si="52"/>
        <v>504</v>
      </c>
      <c r="B520" s="124" t="s">
        <v>314</v>
      </c>
      <c r="C520" s="43">
        <v>0</v>
      </c>
      <c r="D520" s="43">
        <f>C520-E520</f>
        <v>0</v>
      </c>
      <c r="E520" s="196">
        <v>0</v>
      </c>
      <c r="F520" s="10">
        <f>'Sch 5'!C504</f>
        <v>0</v>
      </c>
      <c r="G520" s="10">
        <f>E520+F520</f>
        <v>0</v>
      </c>
      <c r="H520" s="10"/>
      <c r="I520" s="15" t="s">
        <v>54</v>
      </c>
      <c r="J520" s="38"/>
      <c r="K520" s="38"/>
      <c r="L520" s="382"/>
    </row>
    <row r="521" spans="1:12" ht="14.15" customHeight="1">
      <c r="A521" s="436">
        <f t="shared" si="52"/>
        <v>505</v>
      </c>
      <c r="B521" s="57" t="s">
        <v>329</v>
      </c>
      <c r="C521" s="43">
        <v>0</v>
      </c>
      <c r="D521" s="43">
        <f>C521-E521</f>
        <v>0</v>
      </c>
      <c r="E521" s="464">
        <v>0</v>
      </c>
      <c r="F521" s="10">
        <f>'Sch 5'!C505</f>
        <v>0</v>
      </c>
      <c r="G521" s="10">
        <f>E521+F521</f>
        <v>0</v>
      </c>
      <c r="H521" s="10"/>
      <c r="I521" s="15" t="s">
        <v>54</v>
      </c>
      <c r="J521" s="38"/>
      <c r="K521" s="38"/>
      <c r="L521" s="102"/>
    </row>
    <row r="522" spans="1:12" ht="25.5">
      <c r="A522" s="436">
        <f>+A521+1</f>
        <v>506</v>
      </c>
      <c r="B522" s="13" t="s">
        <v>315</v>
      </c>
      <c r="C522" s="47">
        <f>SUM(C516:C521)</f>
        <v>-28979585.632645641</v>
      </c>
      <c r="D522" s="47">
        <f>SUM(D516:D521)</f>
        <v>-2181690.6326456405</v>
      </c>
      <c r="E522" s="47">
        <f>SUM(E516:E521)</f>
        <v>-26797895</v>
      </c>
      <c r="F522" s="47">
        <f>SUM(F516:F521)</f>
        <v>35575500.584596604</v>
      </c>
      <c r="G522" s="47">
        <f>SUM(G516:G521)</f>
        <v>8777605.5845966078</v>
      </c>
      <c r="H522" s="47"/>
      <c r="I522" s="154"/>
      <c r="J522" s="38"/>
      <c r="K522" s="38"/>
      <c r="L522" s="251" t="s">
        <v>1086</v>
      </c>
    </row>
    <row r="523" spans="1:12" ht="14.15" customHeight="1">
      <c r="B523" s="22"/>
      <c r="C523" s="123"/>
      <c r="D523" s="123"/>
      <c r="E523" s="123"/>
      <c r="F523" s="123"/>
      <c r="G523" s="43"/>
      <c r="H523" s="43"/>
      <c r="I523" s="15"/>
      <c r="J523" s="38"/>
      <c r="K523" s="38"/>
    </row>
    <row r="524" spans="1:12" s="22" customFormat="1" ht="14.15" customHeight="1">
      <c r="A524" s="437"/>
      <c r="B524" s="13"/>
      <c r="C524" s="123"/>
      <c r="D524" s="178"/>
      <c r="E524" s="179"/>
      <c r="F524" s="179"/>
      <c r="G524" s="43"/>
      <c r="H524" s="43"/>
      <c r="I524" s="15"/>
      <c r="J524" s="65"/>
      <c r="K524" s="65"/>
      <c r="L524" s="437"/>
    </row>
    <row r="525" spans="1:12" s="22" customFormat="1" ht="14.15" customHeight="1">
      <c r="A525" s="437"/>
      <c r="C525" s="180"/>
      <c r="D525" s="178"/>
      <c r="E525" s="179"/>
      <c r="F525" s="179"/>
      <c r="G525" s="43"/>
      <c r="H525" s="245"/>
      <c r="I525" s="15"/>
      <c r="J525" s="65"/>
      <c r="K525" s="65"/>
      <c r="L525" s="437"/>
    </row>
    <row r="526" spans="1:12" s="22" customFormat="1" ht="14.15" customHeight="1">
      <c r="A526" s="437"/>
      <c r="C526" s="43"/>
      <c r="D526" s="179"/>
      <c r="E526" s="179"/>
      <c r="F526" s="179"/>
      <c r="G526" s="43"/>
      <c r="H526" s="245"/>
      <c r="I526" s="15"/>
      <c r="J526" s="65"/>
      <c r="K526" s="65"/>
      <c r="L526" s="437"/>
    </row>
    <row r="527" spans="1:12" s="22" customFormat="1" ht="14.15" customHeight="1">
      <c r="A527" s="437"/>
      <c r="C527" s="43"/>
      <c r="D527" s="179"/>
      <c r="E527" s="179"/>
      <c r="F527" s="179"/>
      <c r="G527" s="43"/>
      <c r="H527" s="43"/>
      <c r="I527" s="15"/>
      <c r="J527" s="65"/>
      <c r="K527" s="65"/>
      <c r="L527" s="437"/>
    </row>
    <row r="528" spans="1:12" s="22" customFormat="1" ht="14.15" customHeight="1">
      <c r="A528" s="437"/>
      <c r="C528" s="43"/>
      <c r="D528" s="179"/>
      <c r="E528" s="179"/>
      <c r="F528" s="179"/>
      <c r="G528" s="43"/>
      <c r="H528" s="43"/>
      <c r="I528" s="15"/>
      <c r="J528" s="65"/>
      <c r="K528" s="65"/>
      <c r="L528" s="437"/>
    </row>
    <row r="529" spans="1:12" s="22" customFormat="1" ht="14.15" customHeight="1">
      <c r="A529" s="437"/>
      <c r="B529" s="13"/>
      <c r="D529" s="123"/>
      <c r="E529" s="123"/>
      <c r="F529" s="179"/>
      <c r="G529" s="43"/>
      <c r="H529" s="43"/>
      <c r="I529" s="15"/>
      <c r="J529" s="65"/>
      <c r="K529" s="65"/>
      <c r="L529" s="437"/>
    </row>
    <row r="530" spans="1:12" s="22" customFormat="1" ht="14.15" customHeight="1">
      <c r="A530" s="437"/>
      <c r="C530" s="179"/>
      <c r="D530" s="178"/>
      <c r="E530" s="179"/>
      <c r="F530" s="179"/>
      <c r="G530" s="43"/>
      <c r="H530" s="43"/>
      <c r="I530" s="15"/>
      <c r="J530" s="65"/>
      <c r="K530" s="65"/>
      <c r="L530" s="437"/>
    </row>
    <row r="531" spans="1:12" s="22" customFormat="1" ht="14.15" customHeight="1">
      <c r="A531" s="437"/>
      <c r="C531" s="43"/>
      <c r="D531" s="179"/>
      <c r="E531" s="179"/>
      <c r="F531" s="179"/>
      <c r="G531" s="43"/>
      <c r="H531" s="43"/>
      <c r="I531" s="15"/>
      <c r="J531" s="65"/>
      <c r="K531" s="65"/>
      <c r="L531" s="437"/>
    </row>
    <row r="532" spans="1:12" s="22" customFormat="1" ht="14.15" customHeight="1">
      <c r="A532" s="437"/>
      <c r="C532" s="43"/>
      <c r="D532" s="179"/>
      <c r="E532" s="179"/>
      <c r="F532" s="179"/>
      <c r="G532" s="43"/>
      <c r="H532" s="43"/>
      <c r="I532" s="15"/>
      <c r="J532" s="65"/>
      <c r="K532" s="65"/>
      <c r="L532" s="437"/>
    </row>
    <row r="533" spans="1:12" s="22" customFormat="1" ht="14.15" customHeight="1">
      <c r="A533" s="437"/>
      <c r="C533" s="43"/>
      <c r="D533" s="179"/>
      <c r="E533" s="179"/>
      <c r="F533" s="179"/>
      <c r="G533" s="43"/>
      <c r="H533" s="43"/>
      <c r="I533" s="15"/>
      <c r="J533" s="65"/>
      <c r="K533" s="65"/>
      <c r="L533" s="437"/>
    </row>
    <row r="534" spans="1:12" s="22" customFormat="1" ht="14.15" customHeight="1">
      <c r="A534" s="437"/>
      <c r="C534" s="43"/>
      <c r="D534" s="179"/>
      <c r="E534" s="179"/>
      <c r="F534" s="179"/>
      <c r="G534" s="43"/>
      <c r="H534" s="43"/>
      <c r="I534" s="15"/>
      <c r="J534" s="181"/>
      <c r="K534" s="181"/>
      <c r="L534" s="437"/>
    </row>
    <row r="535" spans="1:12" s="22" customFormat="1" ht="14.15" customHeight="1">
      <c r="A535" s="437"/>
      <c r="C535" s="43"/>
      <c r="D535" s="179"/>
      <c r="E535" s="179"/>
      <c r="F535" s="179"/>
      <c r="G535" s="43"/>
      <c r="H535" s="43"/>
      <c r="I535" s="15"/>
      <c r="J535" s="65"/>
      <c r="K535" s="65"/>
      <c r="L535" s="437"/>
    </row>
    <row r="536" spans="1:12" s="22" customFormat="1" ht="14.15" customHeight="1">
      <c r="A536" s="437"/>
      <c r="B536" s="13"/>
      <c r="C536" s="179"/>
      <c r="D536" s="179"/>
      <c r="E536" s="179"/>
      <c r="F536" s="179"/>
      <c r="G536" s="43"/>
      <c r="H536" s="43"/>
      <c r="I536" s="182"/>
      <c r="J536" s="65"/>
      <c r="K536" s="65"/>
      <c r="L536" s="437"/>
    </row>
    <row r="537" spans="1:12" s="22" customFormat="1" ht="14.15" customHeight="1">
      <c r="A537" s="437"/>
      <c r="C537" s="43"/>
      <c r="D537" s="179"/>
      <c r="E537" s="179"/>
      <c r="F537" s="179"/>
      <c r="G537" s="43"/>
      <c r="H537" s="43"/>
      <c r="I537" s="15"/>
      <c r="J537" s="183"/>
      <c r="K537" s="183"/>
      <c r="L537" s="437"/>
    </row>
    <row r="538" spans="1:12" s="22" customFormat="1" ht="14.15" customHeight="1">
      <c r="A538" s="437"/>
      <c r="B538" s="13"/>
      <c r="C538" s="179"/>
      <c r="D538" s="179"/>
      <c r="E538" s="179"/>
      <c r="F538" s="179"/>
      <c r="G538" s="43"/>
      <c r="H538" s="43"/>
      <c r="I538" s="15"/>
      <c r="J538" s="179"/>
      <c r="K538" s="179"/>
      <c r="L538" s="437"/>
    </row>
    <row r="539" spans="1:12" s="22" customFormat="1" ht="14.15" customHeight="1">
      <c r="A539" s="437"/>
      <c r="E539" s="184"/>
      <c r="F539" s="184"/>
      <c r="G539" s="43"/>
      <c r="H539" s="43"/>
      <c r="I539" s="15"/>
      <c r="J539" s="183"/>
      <c r="K539" s="183"/>
      <c r="L539" s="437"/>
    </row>
    <row r="540" spans="1:12" s="22" customFormat="1" ht="14.15" customHeight="1">
      <c r="A540" s="437"/>
      <c r="B540" s="13"/>
      <c r="C540" s="78"/>
      <c r="D540" s="79"/>
      <c r="E540" s="79"/>
      <c r="F540" s="185"/>
      <c r="G540" s="43"/>
      <c r="H540" s="43"/>
      <c r="I540" s="15"/>
      <c r="J540" s="183"/>
      <c r="K540" s="183"/>
      <c r="L540" s="437"/>
    </row>
    <row r="541" spans="1:12" ht="14.15" customHeight="1">
      <c r="B541" s="22"/>
      <c r="D541" s="186"/>
      <c r="E541" s="186"/>
      <c r="F541" s="184"/>
      <c r="G541" s="10"/>
      <c r="H541" s="10"/>
      <c r="I541" s="15"/>
      <c r="J541" s="14"/>
      <c r="K541" s="14"/>
    </row>
    <row r="542" spans="1:12" ht="14.15" customHeight="1">
      <c r="B542" s="187"/>
      <c r="C542" s="38"/>
      <c r="D542" s="188"/>
      <c r="E542" s="189"/>
      <c r="F542" s="184"/>
      <c r="G542" s="10"/>
      <c r="H542" s="10"/>
      <c r="I542" s="15"/>
      <c r="J542" s="14"/>
      <c r="K542" s="14"/>
    </row>
    <row r="543" spans="1:12" ht="14.15" customHeight="1">
      <c r="B543" s="22"/>
      <c r="E543" s="190"/>
      <c r="F543" s="190"/>
      <c r="G543" s="10"/>
      <c r="H543" s="10"/>
      <c r="I543" s="182"/>
      <c r="J543" s="14"/>
      <c r="K543" s="14"/>
    </row>
    <row r="544" spans="1:12" ht="14.15" customHeight="1">
      <c r="B544" s="22"/>
      <c r="E544" s="189"/>
      <c r="F544" s="189"/>
      <c r="G544" s="10"/>
      <c r="H544" s="10"/>
      <c r="I544" s="182"/>
      <c r="J544" s="14"/>
      <c r="K544" s="14"/>
    </row>
    <row r="545" spans="2:11" ht="14.15" customHeight="1">
      <c r="B545" s="22"/>
      <c r="E545" s="189"/>
      <c r="F545" s="189"/>
      <c r="G545" s="10"/>
      <c r="H545" s="10"/>
      <c r="I545" s="182"/>
      <c r="J545" s="14"/>
      <c r="K545" s="14"/>
    </row>
    <row r="546" spans="2:11" ht="14.15" customHeight="1">
      <c r="B546" s="22"/>
      <c r="E546" s="191"/>
      <c r="F546" s="191"/>
      <c r="G546" s="10"/>
      <c r="H546" s="10"/>
      <c r="I546" s="182"/>
      <c r="J546" s="14"/>
      <c r="K546" s="14"/>
    </row>
    <row r="547" spans="2:11" ht="14.15" customHeight="1">
      <c r="B547" s="22"/>
      <c r="E547" s="189"/>
      <c r="F547" s="189"/>
      <c r="G547" s="10"/>
      <c r="H547" s="10"/>
      <c r="I547" s="182"/>
      <c r="J547" s="14"/>
      <c r="K547" s="14"/>
    </row>
    <row r="548" spans="2:11" ht="14.15" customHeight="1">
      <c r="B548" s="22"/>
      <c r="E548" s="189"/>
      <c r="F548" s="189"/>
      <c r="G548" s="10"/>
      <c r="H548" s="10"/>
      <c r="I548" s="182"/>
      <c r="J548" s="14"/>
      <c r="K548" s="14"/>
    </row>
    <row r="549" spans="2:11" ht="14.15" customHeight="1">
      <c r="B549" s="22"/>
      <c r="E549" s="189"/>
      <c r="F549" s="189"/>
      <c r="G549" s="10"/>
      <c r="H549" s="10"/>
      <c r="I549" s="182"/>
      <c r="J549" s="14"/>
      <c r="K549" s="14"/>
    </row>
    <row r="550" spans="2:11" ht="14.15" customHeight="1">
      <c r="B550" s="22"/>
      <c r="E550" s="189"/>
      <c r="F550" s="189"/>
      <c r="G550" s="10"/>
      <c r="H550" s="10"/>
      <c r="I550" s="182"/>
      <c r="J550" s="14"/>
      <c r="K550" s="14"/>
    </row>
    <row r="551" spans="2:11" ht="14.15" customHeight="1">
      <c r="B551" s="22"/>
      <c r="E551" s="189"/>
      <c r="F551" s="189"/>
      <c r="G551" s="10"/>
      <c r="H551" s="10"/>
      <c r="I551" s="182"/>
      <c r="J551" s="14"/>
      <c r="K551" s="14"/>
    </row>
    <row r="552" spans="2:11" ht="14.15" customHeight="1">
      <c r="B552" s="22"/>
      <c r="E552" s="189"/>
      <c r="F552" s="189"/>
      <c r="G552" s="10"/>
      <c r="H552" s="10"/>
      <c r="I552" s="182"/>
      <c r="J552" s="14"/>
      <c r="K552" s="14"/>
    </row>
    <row r="553" spans="2:11" ht="14.15" customHeight="1">
      <c r="B553" s="22"/>
      <c r="E553" s="189"/>
      <c r="F553" s="189"/>
      <c r="G553" s="10"/>
      <c r="H553" s="10"/>
      <c r="I553" s="182"/>
      <c r="J553" s="14"/>
      <c r="K553" s="14"/>
    </row>
    <row r="554" spans="2:11" ht="14.15" customHeight="1">
      <c r="B554" s="22"/>
      <c r="E554" s="189"/>
      <c r="F554" s="189"/>
      <c r="G554" s="10"/>
      <c r="H554" s="10"/>
      <c r="I554" s="182"/>
      <c r="J554" s="14"/>
      <c r="K554" s="14"/>
    </row>
    <row r="555" spans="2:11" ht="14.15" customHeight="1">
      <c r="B555" s="22"/>
      <c r="E555" s="189"/>
      <c r="F555" s="189"/>
      <c r="G555" s="10"/>
      <c r="H555" s="10"/>
      <c r="I555" s="182"/>
      <c r="J555" s="14"/>
      <c r="K555" s="14"/>
    </row>
    <row r="556" spans="2:11" ht="14.15" customHeight="1">
      <c r="B556" s="22"/>
      <c r="E556" s="189"/>
      <c r="F556" s="189"/>
      <c r="G556" s="10"/>
      <c r="H556" s="10"/>
      <c r="I556" s="182"/>
      <c r="J556" s="14"/>
      <c r="K556" s="14"/>
    </row>
    <row r="557" spans="2:11" ht="14.15" customHeight="1">
      <c r="B557" s="22"/>
      <c r="E557" s="189"/>
      <c r="F557" s="189"/>
      <c r="G557" s="10"/>
      <c r="H557" s="10"/>
      <c r="I557" s="182"/>
      <c r="J557" s="14"/>
      <c r="K557" s="14"/>
    </row>
    <row r="558" spans="2:11" ht="14.15" customHeight="1">
      <c r="B558" s="22"/>
      <c r="E558" s="189"/>
      <c r="F558" s="189"/>
      <c r="G558" s="10"/>
      <c r="H558" s="10"/>
      <c r="I558" s="182"/>
      <c r="J558" s="14"/>
      <c r="K558" s="14"/>
    </row>
    <row r="559" spans="2:11" ht="14.15" customHeight="1">
      <c r="B559" s="22"/>
      <c r="E559" s="189"/>
      <c r="F559" s="189"/>
      <c r="G559" s="10"/>
      <c r="H559" s="10"/>
      <c r="I559" s="182"/>
      <c r="J559" s="14"/>
      <c r="K559" s="14"/>
    </row>
    <row r="560" spans="2:11" ht="14.15" customHeight="1">
      <c r="B560" s="22"/>
      <c r="E560" s="189"/>
      <c r="F560" s="189"/>
      <c r="G560" s="10"/>
      <c r="H560" s="10"/>
      <c r="I560" s="182"/>
      <c r="J560" s="14"/>
      <c r="K560" s="14"/>
    </row>
    <row r="561" spans="2:11" ht="14.15" customHeight="1">
      <c r="B561" s="22"/>
      <c r="E561" s="189"/>
      <c r="F561" s="189"/>
      <c r="G561" s="10"/>
      <c r="H561" s="10"/>
      <c r="I561" s="182"/>
      <c r="J561" s="14"/>
      <c r="K561" s="14"/>
    </row>
    <row r="562" spans="2:11" ht="14.15" customHeight="1">
      <c r="B562" s="22"/>
      <c r="E562" s="189"/>
      <c r="F562" s="189"/>
      <c r="G562" s="10"/>
      <c r="H562" s="10"/>
      <c r="I562" s="182"/>
      <c r="J562" s="14"/>
      <c r="K562" s="14"/>
    </row>
    <row r="563" spans="2:11" ht="14.15" customHeight="1">
      <c r="B563" s="22"/>
      <c r="E563" s="189"/>
      <c r="F563" s="189"/>
      <c r="G563" s="10"/>
      <c r="H563" s="10"/>
      <c r="I563" s="182"/>
      <c r="J563" s="14"/>
      <c r="K563" s="14"/>
    </row>
    <row r="564" spans="2:11" ht="14.15" customHeight="1">
      <c r="B564" s="22"/>
      <c r="E564" s="189"/>
      <c r="F564" s="189"/>
      <c r="G564" s="10"/>
      <c r="H564" s="10"/>
      <c r="I564" s="182"/>
      <c r="J564" s="14"/>
      <c r="K564" s="14"/>
    </row>
    <row r="565" spans="2:11" ht="14.15" customHeight="1">
      <c r="B565" s="22"/>
      <c r="E565" s="189"/>
      <c r="F565" s="189"/>
      <c r="G565" s="10"/>
      <c r="H565" s="10"/>
      <c r="I565" s="182"/>
      <c r="J565" s="14"/>
      <c r="K565" s="14"/>
    </row>
    <row r="566" spans="2:11" ht="14.15" customHeight="1">
      <c r="B566" s="22"/>
      <c r="E566" s="189"/>
      <c r="F566" s="189"/>
      <c r="G566" s="10"/>
      <c r="H566" s="10"/>
      <c r="I566" s="182"/>
      <c r="J566" s="14"/>
      <c r="K566" s="14"/>
    </row>
    <row r="567" spans="2:11" ht="14.15" customHeight="1">
      <c r="B567" s="22"/>
      <c r="E567" s="189"/>
      <c r="F567" s="189"/>
      <c r="G567" s="10"/>
      <c r="H567" s="10"/>
      <c r="I567" s="182"/>
      <c r="J567" s="14"/>
      <c r="K567" s="14"/>
    </row>
    <row r="568" spans="2:11" ht="14.15" customHeight="1">
      <c r="B568" s="22"/>
      <c r="E568" s="189"/>
      <c r="F568" s="189"/>
      <c r="G568" s="10"/>
      <c r="H568" s="10"/>
      <c r="I568" s="182"/>
      <c r="J568" s="14"/>
      <c r="K568" s="14"/>
    </row>
    <row r="569" spans="2:11" ht="14.15" customHeight="1">
      <c r="B569" s="22"/>
      <c r="E569" s="189"/>
      <c r="F569" s="189"/>
      <c r="G569" s="10"/>
      <c r="H569" s="10"/>
      <c r="I569" s="182"/>
      <c r="J569" s="14"/>
      <c r="K569" s="14"/>
    </row>
    <row r="570" spans="2:11" ht="14.15" customHeight="1">
      <c r="B570" s="22"/>
      <c r="E570" s="189"/>
      <c r="F570" s="189"/>
      <c r="G570" s="10"/>
      <c r="H570" s="10"/>
      <c r="I570" s="182"/>
      <c r="J570" s="14"/>
      <c r="K570" s="14"/>
    </row>
    <row r="571" spans="2:11" ht="14.15" customHeight="1">
      <c r="B571" s="22"/>
      <c r="E571" s="189"/>
      <c r="F571" s="189"/>
      <c r="G571" s="10"/>
      <c r="H571" s="10"/>
      <c r="I571" s="182"/>
      <c r="J571" s="14"/>
      <c r="K571" s="14"/>
    </row>
    <row r="572" spans="2:11" ht="14.15" customHeight="1">
      <c r="B572" s="22"/>
      <c r="E572" s="189"/>
      <c r="F572" s="189"/>
      <c r="G572" s="10"/>
      <c r="H572" s="10"/>
      <c r="I572" s="182"/>
      <c r="J572" s="14"/>
      <c r="K572" s="14"/>
    </row>
    <row r="573" spans="2:11" ht="14.15" customHeight="1">
      <c r="B573" s="22"/>
      <c r="E573" s="189"/>
      <c r="F573" s="189"/>
      <c r="G573" s="10"/>
      <c r="H573" s="10"/>
      <c r="I573" s="182"/>
      <c r="J573" s="14"/>
      <c r="K573" s="14"/>
    </row>
    <row r="574" spans="2:11" ht="14.15" customHeight="1">
      <c r="B574" s="22"/>
      <c r="E574" s="189"/>
      <c r="F574" s="189"/>
      <c r="G574" s="10"/>
      <c r="H574" s="10"/>
      <c r="I574" s="182"/>
      <c r="J574" s="14"/>
      <c r="K574" s="14"/>
    </row>
    <row r="575" spans="2:11" ht="14.15" customHeight="1">
      <c r="B575" s="22"/>
      <c r="E575" s="189"/>
      <c r="F575" s="189"/>
      <c r="G575" s="10"/>
      <c r="H575" s="10"/>
      <c r="I575" s="182"/>
      <c r="J575" s="14"/>
      <c r="K575" s="14"/>
    </row>
    <row r="576" spans="2:11" ht="14.15" customHeight="1">
      <c r="B576" s="22"/>
      <c r="E576" s="189"/>
      <c r="F576" s="189"/>
      <c r="G576" s="10"/>
      <c r="H576" s="10"/>
      <c r="I576" s="182"/>
      <c r="J576" s="14"/>
      <c r="K576" s="14"/>
    </row>
    <row r="577" spans="2:11" ht="14.15" customHeight="1">
      <c r="B577" s="22"/>
      <c r="E577" s="189"/>
      <c r="F577" s="189"/>
      <c r="G577" s="10"/>
      <c r="H577" s="10"/>
      <c r="I577" s="182"/>
      <c r="J577" s="14"/>
      <c r="K577" s="14"/>
    </row>
    <row r="578" spans="2:11" ht="14.15" customHeight="1">
      <c r="B578" s="22"/>
      <c r="E578" s="189"/>
      <c r="F578" s="189"/>
      <c r="G578" s="10"/>
      <c r="H578" s="10"/>
      <c r="I578" s="182"/>
      <c r="J578" s="14"/>
      <c r="K578" s="14"/>
    </row>
    <row r="579" spans="2:11" ht="14.15" customHeight="1">
      <c r="B579" s="22"/>
      <c r="E579" s="189"/>
      <c r="F579" s="189"/>
      <c r="G579" s="10"/>
      <c r="H579" s="10"/>
      <c r="I579" s="182"/>
      <c r="J579" s="14"/>
      <c r="K579" s="14"/>
    </row>
    <row r="580" spans="2:11" ht="14.15" customHeight="1">
      <c r="B580" s="22"/>
      <c r="E580" s="189"/>
      <c r="F580" s="189"/>
      <c r="G580" s="10"/>
      <c r="H580" s="10"/>
      <c r="I580" s="182"/>
      <c r="J580" s="14"/>
      <c r="K580" s="14"/>
    </row>
    <row r="581" spans="2:11" ht="14.15" customHeight="1">
      <c r="B581" s="22"/>
      <c r="E581" s="189"/>
      <c r="F581" s="189"/>
      <c r="G581" s="10"/>
      <c r="H581" s="10"/>
      <c r="I581" s="182"/>
      <c r="J581" s="14"/>
      <c r="K581" s="14"/>
    </row>
    <row r="582" spans="2:11" ht="14.15" customHeight="1">
      <c r="B582" s="22"/>
      <c r="E582" s="189"/>
      <c r="F582" s="189"/>
      <c r="G582" s="10"/>
      <c r="H582" s="10"/>
      <c r="I582" s="182"/>
      <c r="J582" s="14"/>
      <c r="K582" s="14"/>
    </row>
    <row r="583" spans="2:11" ht="14.15" customHeight="1">
      <c r="B583" s="22"/>
      <c r="E583" s="189"/>
      <c r="F583" s="189"/>
      <c r="G583" s="10"/>
      <c r="H583" s="10"/>
      <c r="I583" s="182"/>
      <c r="J583" s="14"/>
      <c r="K583" s="14"/>
    </row>
    <row r="584" spans="2:11" ht="14.15" customHeight="1">
      <c r="B584" s="22"/>
      <c r="E584" s="189"/>
      <c r="F584" s="189"/>
      <c r="G584" s="10"/>
      <c r="H584" s="10"/>
      <c r="I584" s="182"/>
      <c r="J584" s="14"/>
      <c r="K584" s="14"/>
    </row>
    <row r="585" spans="2:11" ht="14.15" customHeight="1">
      <c r="B585" s="22"/>
      <c r="E585" s="189"/>
      <c r="F585" s="189"/>
      <c r="G585" s="10"/>
      <c r="H585" s="10"/>
      <c r="I585" s="182"/>
      <c r="J585" s="14"/>
      <c r="K585" s="14"/>
    </row>
    <row r="586" spans="2:11" ht="14.15" customHeight="1">
      <c r="B586" s="22"/>
      <c r="E586" s="189"/>
      <c r="F586" s="189"/>
      <c r="G586" s="10"/>
      <c r="H586" s="10"/>
      <c r="I586" s="182"/>
      <c r="J586" s="14"/>
      <c r="K586" s="14"/>
    </row>
    <row r="587" spans="2:11" ht="14.15" customHeight="1">
      <c r="B587" s="22"/>
      <c r="E587" s="189"/>
      <c r="F587" s="189"/>
      <c r="G587" s="10"/>
      <c r="H587" s="10"/>
      <c r="I587" s="182"/>
      <c r="J587" s="14"/>
      <c r="K587" s="14"/>
    </row>
    <row r="588" spans="2:11" ht="14.15" customHeight="1">
      <c r="B588" s="22"/>
      <c r="E588" s="189"/>
      <c r="F588" s="189"/>
      <c r="G588" s="10"/>
      <c r="H588" s="10"/>
      <c r="I588" s="182"/>
      <c r="J588" s="14"/>
      <c r="K588" s="14"/>
    </row>
    <row r="589" spans="2:11" ht="14.15" customHeight="1">
      <c r="B589" s="22"/>
      <c r="E589" s="189"/>
      <c r="F589" s="189"/>
      <c r="G589" s="10"/>
      <c r="H589" s="10"/>
      <c r="I589" s="182"/>
      <c r="J589" s="14"/>
      <c r="K589" s="14"/>
    </row>
    <row r="590" spans="2:11" ht="14.15" customHeight="1">
      <c r="B590" s="22"/>
      <c r="E590" s="189"/>
      <c r="F590" s="189"/>
      <c r="G590" s="10"/>
      <c r="H590" s="10"/>
      <c r="I590" s="182"/>
      <c r="J590" s="14"/>
      <c r="K590" s="14"/>
    </row>
    <row r="591" spans="2:11" ht="14.15" customHeight="1">
      <c r="B591" s="22"/>
      <c r="E591" s="189"/>
      <c r="F591" s="189"/>
      <c r="G591" s="10"/>
      <c r="H591" s="10"/>
      <c r="I591" s="182"/>
      <c r="J591" s="14"/>
      <c r="K591" s="14"/>
    </row>
    <row r="592" spans="2:11" ht="14.15" customHeight="1">
      <c r="B592" s="22"/>
      <c r="E592" s="189"/>
      <c r="F592" s="189"/>
      <c r="G592" s="10"/>
      <c r="H592" s="10"/>
      <c r="I592" s="182"/>
      <c r="J592" s="14"/>
      <c r="K592" s="14"/>
    </row>
    <row r="593" spans="2:11" ht="14.15" customHeight="1">
      <c r="B593" s="22"/>
      <c r="E593" s="189"/>
      <c r="F593" s="189"/>
      <c r="G593" s="10"/>
      <c r="H593" s="10"/>
      <c r="I593" s="182"/>
      <c r="J593" s="14"/>
      <c r="K593" s="14"/>
    </row>
    <row r="594" spans="2:11" ht="14.15" customHeight="1">
      <c r="B594" s="22"/>
      <c r="E594" s="189"/>
      <c r="F594" s="189"/>
      <c r="G594" s="10"/>
      <c r="H594" s="10"/>
      <c r="I594" s="182"/>
      <c r="J594" s="14"/>
      <c r="K594" s="14"/>
    </row>
    <row r="595" spans="2:11" ht="14.15" customHeight="1">
      <c r="B595" s="22"/>
      <c r="E595" s="189"/>
      <c r="F595" s="189"/>
      <c r="G595" s="192"/>
      <c r="H595" s="192"/>
      <c r="I595" s="189"/>
      <c r="J595" s="182"/>
      <c r="K595" s="182"/>
    </row>
    <row r="596" spans="2:11" ht="14.15" customHeight="1">
      <c r="B596" s="22"/>
      <c r="E596" s="189"/>
      <c r="F596" s="189"/>
      <c r="G596" s="192"/>
      <c r="H596" s="192"/>
      <c r="I596" s="189"/>
      <c r="J596" s="182"/>
      <c r="K596" s="182"/>
    </row>
    <row r="597" spans="2:11" ht="14.15" customHeight="1">
      <c r="B597" s="22"/>
      <c r="E597" s="189"/>
      <c r="F597" s="189"/>
      <c r="G597" s="192"/>
      <c r="H597" s="192"/>
      <c r="I597" s="189"/>
      <c r="J597" s="182"/>
      <c r="K597" s="182"/>
    </row>
    <row r="598" spans="2:11" ht="14.15" customHeight="1">
      <c r="B598" s="22"/>
      <c r="E598" s="189"/>
      <c r="F598" s="189"/>
      <c r="G598" s="192"/>
      <c r="H598" s="192"/>
      <c r="I598" s="189"/>
      <c r="J598" s="182"/>
      <c r="K598" s="182"/>
    </row>
    <row r="599" spans="2:11" ht="14.15" customHeight="1">
      <c r="B599" s="22"/>
      <c r="E599" s="189"/>
      <c r="F599" s="189"/>
      <c r="G599" s="192"/>
      <c r="H599" s="192"/>
      <c r="I599" s="189"/>
      <c r="J599" s="182"/>
      <c r="K599" s="182"/>
    </row>
    <row r="600" spans="2:11" ht="14.15" customHeight="1">
      <c r="B600" s="22"/>
      <c r="E600" s="189"/>
      <c r="F600" s="189"/>
      <c r="G600" s="192"/>
      <c r="H600" s="192"/>
      <c r="I600" s="189"/>
      <c r="J600" s="182"/>
      <c r="K600" s="182"/>
    </row>
    <row r="601" spans="2:11" ht="14.15" customHeight="1">
      <c r="B601" s="22"/>
      <c r="E601" s="189"/>
      <c r="F601" s="189"/>
      <c r="G601" s="192"/>
      <c r="H601" s="192"/>
      <c r="I601" s="189"/>
      <c r="J601" s="182"/>
      <c r="K601" s="182"/>
    </row>
    <row r="602" spans="2:11" ht="14.15" customHeight="1">
      <c r="B602" s="22"/>
      <c r="E602" s="189"/>
      <c r="F602" s="189"/>
      <c r="G602" s="192"/>
      <c r="H602" s="192"/>
      <c r="I602" s="189"/>
      <c r="J602" s="182"/>
      <c r="K602" s="182"/>
    </row>
    <row r="603" spans="2:11" ht="14.15" customHeight="1">
      <c r="B603" s="22"/>
      <c r="E603" s="189"/>
      <c r="F603" s="189"/>
      <c r="G603" s="192"/>
      <c r="H603" s="192"/>
      <c r="I603" s="189"/>
      <c r="J603" s="182"/>
      <c r="K603" s="182"/>
    </row>
    <row r="604" spans="2:11" ht="14.15" customHeight="1">
      <c r="B604" s="22"/>
      <c r="E604" s="189"/>
      <c r="F604" s="189"/>
      <c r="G604" s="192"/>
      <c r="H604" s="192"/>
      <c r="I604" s="189"/>
      <c r="J604" s="182"/>
      <c r="K604" s="182"/>
    </row>
    <row r="605" spans="2:11" ht="14.15" customHeight="1">
      <c r="B605" s="22"/>
      <c r="E605" s="189"/>
      <c r="F605" s="189"/>
      <c r="G605" s="192"/>
      <c r="H605" s="192"/>
      <c r="I605" s="189"/>
      <c r="J605" s="182"/>
      <c r="K605" s="182"/>
    </row>
    <row r="606" spans="2:11" ht="14.15" customHeight="1">
      <c r="B606" s="22"/>
      <c r="E606" s="189"/>
      <c r="F606" s="189"/>
      <c r="G606" s="192"/>
      <c r="H606" s="192"/>
      <c r="I606" s="189"/>
      <c r="J606" s="182"/>
      <c r="K606" s="182"/>
    </row>
    <row r="607" spans="2:11" ht="14.15" customHeight="1">
      <c r="B607" s="22"/>
      <c r="E607" s="189"/>
      <c r="F607" s="189"/>
      <c r="G607" s="192"/>
      <c r="H607" s="192"/>
      <c r="I607" s="189"/>
      <c r="J607" s="182"/>
      <c r="K607" s="182"/>
    </row>
    <row r="608" spans="2:11" ht="14.15" customHeight="1">
      <c r="B608" s="22"/>
      <c r="E608" s="189"/>
      <c r="F608" s="189"/>
      <c r="G608" s="192"/>
      <c r="H608" s="192"/>
      <c r="I608" s="189"/>
      <c r="J608" s="182"/>
      <c r="K608" s="182"/>
    </row>
    <row r="609" spans="2:11" ht="14.15" customHeight="1">
      <c r="B609" s="22"/>
      <c r="E609" s="189"/>
      <c r="F609" s="189"/>
      <c r="G609" s="192"/>
      <c r="H609" s="192"/>
      <c r="I609" s="189"/>
      <c r="J609" s="182"/>
      <c r="K609" s="182"/>
    </row>
    <row r="610" spans="2:11" ht="14.15" customHeight="1">
      <c r="B610" s="22"/>
      <c r="E610" s="189"/>
      <c r="F610" s="189"/>
      <c r="G610" s="192"/>
      <c r="H610" s="192"/>
      <c r="I610" s="189"/>
      <c r="J610" s="182"/>
      <c r="K610" s="182"/>
    </row>
    <row r="611" spans="2:11" ht="14.15" customHeight="1">
      <c r="B611" s="22"/>
      <c r="E611" s="189"/>
      <c r="F611" s="189"/>
      <c r="G611" s="192"/>
      <c r="H611" s="192"/>
      <c r="I611" s="189"/>
      <c r="J611" s="182"/>
      <c r="K611" s="182"/>
    </row>
    <row r="612" spans="2:11" ht="14.15" customHeight="1">
      <c r="B612" s="22"/>
      <c r="E612" s="189"/>
      <c r="F612" s="189"/>
      <c r="G612" s="192"/>
      <c r="H612" s="192"/>
      <c r="I612" s="189"/>
      <c r="J612" s="182"/>
      <c r="K612" s="182"/>
    </row>
    <row r="613" spans="2:11" ht="14.15" customHeight="1">
      <c r="B613" s="22"/>
      <c r="E613" s="189"/>
      <c r="F613" s="189"/>
      <c r="G613" s="192"/>
      <c r="H613" s="192"/>
      <c r="I613" s="189"/>
      <c r="J613" s="182"/>
      <c r="K613" s="182"/>
    </row>
    <row r="614" spans="2:11" ht="14.15" customHeight="1">
      <c r="B614" s="22"/>
      <c r="E614" s="189"/>
      <c r="F614" s="189"/>
      <c r="G614" s="192"/>
      <c r="H614" s="192"/>
      <c r="I614" s="189"/>
      <c r="J614" s="182"/>
      <c r="K614" s="182"/>
    </row>
    <row r="615" spans="2:11" ht="14.15" customHeight="1">
      <c r="B615" s="22"/>
      <c r="E615" s="189"/>
      <c r="F615" s="189"/>
      <c r="G615" s="192"/>
      <c r="H615" s="192"/>
      <c r="I615" s="189"/>
      <c r="J615" s="182"/>
      <c r="K615" s="182"/>
    </row>
    <row r="616" spans="2:11" ht="14.15" customHeight="1">
      <c r="B616" s="22"/>
      <c r="E616" s="189"/>
      <c r="F616" s="189"/>
      <c r="G616" s="192"/>
      <c r="H616" s="192"/>
      <c r="I616" s="189"/>
      <c r="J616" s="182"/>
      <c r="K616" s="182"/>
    </row>
    <row r="617" spans="2:11" ht="14.15" customHeight="1">
      <c r="B617" s="22"/>
      <c r="E617" s="189"/>
      <c r="F617" s="189"/>
      <c r="G617" s="192"/>
      <c r="H617" s="192"/>
      <c r="I617" s="189"/>
      <c r="J617" s="182"/>
      <c r="K617" s="182"/>
    </row>
    <row r="618" spans="2:11" ht="14.15" customHeight="1">
      <c r="B618" s="22"/>
      <c r="E618" s="189"/>
      <c r="F618" s="189"/>
      <c r="G618" s="192"/>
      <c r="H618" s="192"/>
      <c r="I618" s="189"/>
      <c r="J618" s="182"/>
      <c r="K618" s="182"/>
    </row>
    <row r="619" spans="2:11" ht="14.15" customHeight="1">
      <c r="B619" s="22"/>
      <c r="E619" s="189"/>
      <c r="F619" s="189"/>
      <c r="G619" s="192"/>
      <c r="H619" s="192"/>
      <c r="I619" s="189"/>
      <c r="J619" s="182"/>
      <c r="K619" s="182"/>
    </row>
    <row r="620" spans="2:11" ht="14.15" customHeight="1">
      <c r="B620" s="22"/>
      <c r="E620" s="189"/>
      <c r="F620" s="189"/>
      <c r="G620" s="192"/>
      <c r="H620" s="192"/>
      <c r="I620" s="189"/>
      <c r="J620" s="193"/>
      <c r="K620" s="193"/>
    </row>
    <row r="621" spans="2:11" ht="14.15" customHeight="1">
      <c r="B621" s="22"/>
      <c r="E621" s="189"/>
      <c r="F621" s="189"/>
      <c r="G621" s="192"/>
      <c r="H621" s="192"/>
      <c r="I621" s="189"/>
      <c r="J621" s="193"/>
      <c r="K621" s="193"/>
    </row>
    <row r="622" spans="2:11" ht="14.15" customHeight="1">
      <c r="B622" s="22"/>
      <c r="E622" s="189"/>
      <c r="F622" s="189"/>
      <c r="G622" s="192"/>
      <c r="H622" s="192"/>
      <c r="I622" s="189"/>
      <c r="J622" s="193"/>
      <c r="K622" s="193"/>
    </row>
    <row r="623" spans="2:11" ht="14.15" customHeight="1">
      <c r="B623" s="22"/>
      <c r="E623" s="189"/>
      <c r="F623" s="189"/>
      <c r="G623" s="192"/>
      <c r="H623" s="192"/>
      <c r="I623" s="189"/>
      <c r="J623" s="193"/>
      <c r="K623" s="193"/>
    </row>
    <row r="624" spans="2:11" ht="14.15" customHeight="1">
      <c r="B624" s="22"/>
      <c r="E624" s="189"/>
      <c r="F624" s="189"/>
      <c r="G624" s="192"/>
      <c r="H624" s="192"/>
      <c r="I624" s="189"/>
      <c r="J624" s="193"/>
      <c r="K624" s="193"/>
    </row>
    <row r="625" spans="2:11" ht="14.15" customHeight="1">
      <c r="B625" s="22"/>
      <c r="E625" s="189"/>
      <c r="F625" s="189"/>
      <c r="G625" s="192"/>
      <c r="H625" s="192"/>
      <c r="I625" s="189"/>
      <c r="J625" s="193"/>
      <c r="K625" s="193"/>
    </row>
    <row r="626" spans="2:11" ht="14.15" customHeight="1">
      <c r="B626" s="22"/>
      <c r="E626" s="189"/>
      <c r="F626" s="189"/>
      <c r="G626" s="192"/>
      <c r="H626" s="192"/>
      <c r="I626" s="189"/>
      <c r="J626" s="193"/>
      <c r="K626" s="193"/>
    </row>
    <row r="627" spans="2:11" ht="14.15" customHeight="1">
      <c r="B627" s="22"/>
      <c r="E627" s="189"/>
      <c r="F627" s="189"/>
      <c r="G627" s="192"/>
      <c r="H627" s="192"/>
      <c r="I627" s="189"/>
      <c r="J627" s="193"/>
      <c r="K627" s="193"/>
    </row>
    <row r="628" spans="2:11" ht="14.15" customHeight="1">
      <c r="B628" s="22"/>
      <c r="E628" s="189"/>
      <c r="F628" s="189"/>
      <c r="G628" s="192"/>
      <c r="H628" s="192"/>
      <c r="I628" s="189"/>
      <c r="J628" s="193"/>
      <c r="K628" s="193"/>
    </row>
    <row r="629" spans="2:11" ht="14.15" customHeight="1">
      <c r="B629" s="22"/>
      <c r="E629" s="189"/>
      <c r="F629" s="189"/>
      <c r="G629" s="192"/>
      <c r="H629" s="192"/>
      <c r="I629" s="189"/>
      <c r="J629" s="193"/>
      <c r="K629" s="193"/>
    </row>
    <row r="630" spans="2:11" ht="14.15" customHeight="1">
      <c r="B630" s="22"/>
      <c r="E630" s="189"/>
      <c r="F630" s="189"/>
      <c r="G630" s="192"/>
      <c r="H630" s="192"/>
      <c r="I630" s="189"/>
      <c r="J630" s="193"/>
      <c r="K630" s="193"/>
    </row>
    <row r="631" spans="2:11" ht="14.15" customHeight="1">
      <c r="B631" s="22"/>
      <c r="E631" s="189"/>
      <c r="F631" s="189"/>
      <c r="G631" s="192"/>
      <c r="H631" s="192"/>
      <c r="I631" s="189"/>
      <c r="J631" s="193"/>
      <c r="K631" s="193"/>
    </row>
    <row r="632" spans="2:11" ht="14.15" customHeight="1">
      <c r="B632" s="22"/>
      <c r="E632" s="189"/>
      <c r="F632" s="189"/>
      <c r="G632" s="192"/>
      <c r="H632" s="192"/>
      <c r="I632" s="189"/>
      <c r="J632" s="193"/>
      <c r="K632" s="193"/>
    </row>
    <row r="633" spans="2:11" ht="14.15" customHeight="1">
      <c r="B633" s="22"/>
      <c r="E633" s="189"/>
      <c r="F633" s="189"/>
      <c r="G633" s="192"/>
      <c r="H633" s="192"/>
      <c r="I633" s="189"/>
      <c r="J633" s="193"/>
      <c r="K633" s="193"/>
    </row>
    <row r="634" spans="2:11" ht="14.15" customHeight="1">
      <c r="B634" s="22"/>
      <c r="E634" s="189"/>
      <c r="F634" s="189"/>
      <c r="G634" s="192"/>
      <c r="H634" s="192"/>
      <c r="I634" s="189"/>
      <c r="J634" s="193"/>
      <c r="K634" s="193"/>
    </row>
    <row r="635" spans="2:11" ht="14.15" customHeight="1">
      <c r="B635" s="22"/>
      <c r="E635" s="189"/>
      <c r="F635" s="189"/>
      <c r="G635" s="192"/>
      <c r="H635" s="192"/>
      <c r="I635" s="189"/>
      <c r="J635" s="193"/>
      <c r="K635" s="193"/>
    </row>
    <row r="636" spans="2:11" ht="14.15" customHeight="1">
      <c r="B636" s="22"/>
      <c r="E636" s="189"/>
      <c r="F636" s="189"/>
      <c r="G636" s="192"/>
      <c r="H636" s="192"/>
      <c r="I636" s="189"/>
      <c r="J636" s="193"/>
      <c r="K636" s="193"/>
    </row>
    <row r="637" spans="2:11" ht="14.15" customHeight="1">
      <c r="B637" s="22"/>
      <c r="E637" s="189"/>
      <c r="F637" s="189"/>
      <c r="G637" s="192"/>
      <c r="H637" s="192"/>
      <c r="I637" s="189"/>
      <c r="J637" s="193"/>
      <c r="K637" s="193"/>
    </row>
    <row r="638" spans="2:11" ht="14.15" customHeight="1">
      <c r="B638" s="22"/>
      <c r="E638" s="189"/>
      <c r="F638" s="189"/>
      <c r="G638" s="192"/>
      <c r="H638" s="192"/>
      <c r="I638" s="189"/>
      <c r="J638" s="193"/>
      <c r="K638" s="193"/>
    </row>
    <row r="639" spans="2:11" ht="14.15" customHeight="1">
      <c r="B639" s="22"/>
      <c r="E639" s="189"/>
      <c r="F639" s="189"/>
      <c r="G639" s="192"/>
      <c r="H639" s="192"/>
      <c r="I639" s="189"/>
      <c r="J639" s="193"/>
      <c r="K639" s="193"/>
    </row>
    <row r="640" spans="2:11" ht="14.15" customHeight="1">
      <c r="B640" s="22"/>
      <c r="E640" s="189"/>
      <c r="F640" s="189"/>
      <c r="G640" s="192"/>
      <c r="H640" s="192"/>
      <c r="I640" s="189"/>
      <c r="J640" s="193"/>
      <c r="K640" s="193"/>
    </row>
    <row r="641" spans="2:11" ht="14.15" customHeight="1">
      <c r="B641" s="22"/>
      <c r="E641" s="189"/>
      <c r="F641" s="189"/>
      <c r="G641" s="192"/>
      <c r="H641" s="192"/>
      <c r="I641" s="189"/>
      <c r="J641" s="193"/>
      <c r="K641" s="193"/>
    </row>
    <row r="642" spans="2:11" ht="14.15" customHeight="1">
      <c r="B642" s="22"/>
      <c r="E642" s="189"/>
      <c r="F642" s="189"/>
      <c r="G642" s="192"/>
      <c r="H642" s="192"/>
      <c r="I642" s="189"/>
      <c r="J642" s="193"/>
      <c r="K642" s="193"/>
    </row>
    <row r="643" spans="2:11" ht="14.15" customHeight="1">
      <c r="B643" s="22"/>
      <c r="E643" s="189"/>
      <c r="F643" s="189"/>
      <c r="G643" s="192"/>
      <c r="H643" s="192"/>
      <c r="I643" s="189"/>
      <c r="J643" s="193"/>
      <c r="K643" s="193"/>
    </row>
    <row r="644" spans="2:11" ht="14.15" customHeight="1">
      <c r="B644" s="22"/>
      <c r="E644" s="189"/>
      <c r="F644" s="189"/>
      <c r="G644" s="192"/>
      <c r="H644" s="192"/>
      <c r="I644" s="189"/>
      <c r="J644" s="193"/>
      <c r="K644" s="193"/>
    </row>
    <row r="645" spans="2:11" ht="14.15" customHeight="1">
      <c r="B645" s="22"/>
      <c r="E645" s="189"/>
      <c r="F645" s="189"/>
      <c r="G645" s="192"/>
      <c r="H645" s="192"/>
      <c r="I645" s="189"/>
      <c r="J645" s="193"/>
      <c r="K645" s="193"/>
    </row>
    <row r="646" spans="2:11" ht="14.15" customHeight="1">
      <c r="B646" s="22"/>
      <c r="E646" s="189"/>
      <c r="F646" s="189"/>
      <c r="G646" s="192"/>
      <c r="H646" s="192"/>
      <c r="I646" s="189"/>
      <c r="J646" s="193"/>
      <c r="K646" s="193"/>
    </row>
    <row r="647" spans="2:11" ht="14.15" customHeight="1">
      <c r="B647" s="22"/>
      <c r="E647" s="189"/>
      <c r="F647" s="189"/>
      <c r="G647" s="192"/>
      <c r="H647" s="192"/>
      <c r="I647" s="189"/>
      <c r="J647" s="193"/>
      <c r="K647" s="193"/>
    </row>
    <row r="648" spans="2:11" ht="14.15" customHeight="1">
      <c r="B648" s="22"/>
      <c r="E648" s="189"/>
      <c r="F648" s="189"/>
      <c r="G648" s="192"/>
      <c r="H648" s="192"/>
      <c r="I648" s="189"/>
      <c r="J648" s="193"/>
      <c r="K648" s="193"/>
    </row>
    <row r="649" spans="2:11" ht="14.15" customHeight="1">
      <c r="E649" s="189"/>
      <c r="F649" s="189"/>
      <c r="G649" s="192"/>
      <c r="H649" s="192"/>
      <c r="I649" s="189"/>
      <c r="J649" s="193"/>
      <c r="K649" s="193"/>
    </row>
    <row r="650" spans="2:11" ht="14.15" customHeight="1">
      <c r="E650" s="189"/>
      <c r="F650" s="189"/>
      <c r="G650" s="192"/>
      <c r="H650" s="192"/>
      <c r="I650" s="189"/>
      <c r="J650" s="193"/>
      <c r="K650" s="193"/>
    </row>
    <row r="651" spans="2:11" ht="14.15" customHeight="1">
      <c r="E651" s="189"/>
      <c r="F651" s="189"/>
      <c r="G651" s="192"/>
      <c r="H651" s="192"/>
      <c r="I651" s="189"/>
      <c r="J651" s="193"/>
      <c r="K651" s="193"/>
    </row>
    <row r="652" spans="2:11" ht="14.15" customHeight="1">
      <c r="E652" s="189"/>
      <c r="F652" s="189"/>
      <c r="G652" s="192"/>
      <c r="H652" s="192"/>
      <c r="I652" s="189"/>
      <c r="J652" s="189"/>
      <c r="K652" s="189"/>
    </row>
    <row r="653" spans="2:11" ht="14.15" customHeight="1">
      <c r="E653" s="189"/>
      <c r="F653" s="189"/>
      <c r="G653" s="192"/>
      <c r="H653" s="192"/>
      <c r="I653" s="189"/>
      <c r="J653" s="189"/>
      <c r="K653" s="189"/>
    </row>
    <row r="654" spans="2:11" ht="14.15" customHeight="1">
      <c r="E654" s="189"/>
      <c r="F654" s="189"/>
      <c r="G654" s="192"/>
      <c r="H654" s="192"/>
      <c r="I654" s="189"/>
      <c r="J654" s="189"/>
      <c r="K654" s="189"/>
    </row>
    <row r="655" spans="2:11" ht="14.15" customHeight="1">
      <c r="E655" s="189"/>
      <c r="F655" s="189"/>
      <c r="G655" s="192"/>
      <c r="H655" s="192"/>
      <c r="I655" s="189"/>
      <c r="J655" s="189"/>
      <c r="K655" s="189"/>
    </row>
    <row r="656" spans="2:11" ht="14.15" customHeight="1">
      <c r="E656" s="189"/>
      <c r="F656" s="189"/>
      <c r="G656" s="192"/>
      <c r="H656" s="192"/>
      <c r="I656" s="189"/>
      <c r="J656" s="189"/>
      <c r="K656" s="189"/>
    </row>
    <row r="657" spans="5:11" ht="14.15" customHeight="1">
      <c r="E657" s="189"/>
      <c r="F657" s="189"/>
      <c r="G657" s="192"/>
      <c r="H657" s="192"/>
      <c r="I657" s="189"/>
      <c r="J657" s="189"/>
      <c r="K657" s="189"/>
    </row>
    <row r="658" spans="5:11" ht="14.15" customHeight="1">
      <c r="E658" s="189"/>
      <c r="F658" s="189"/>
      <c r="G658" s="192"/>
      <c r="H658" s="192"/>
      <c r="I658" s="189"/>
      <c r="J658" s="189"/>
      <c r="K658" s="189"/>
    </row>
    <row r="659" spans="5:11" ht="14.15" customHeight="1">
      <c r="E659" s="189"/>
      <c r="F659" s="189"/>
      <c r="G659" s="192"/>
      <c r="H659" s="192"/>
      <c r="I659" s="189"/>
      <c r="J659" s="189"/>
      <c r="K659" s="189"/>
    </row>
    <row r="660" spans="5:11" ht="14.15" customHeight="1">
      <c r="E660" s="189"/>
      <c r="F660" s="189"/>
      <c r="G660" s="192"/>
      <c r="H660" s="192"/>
      <c r="I660" s="189"/>
      <c r="J660" s="189"/>
      <c r="K660" s="189"/>
    </row>
    <row r="661" spans="5:11" ht="14.15" customHeight="1">
      <c r="E661" s="189"/>
      <c r="F661" s="189"/>
      <c r="G661" s="192"/>
      <c r="H661" s="192"/>
      <c r="I661" s="189"/>
      <c r="J661" s="189"/>
      <c r="K661" s="189"/>
    </row>
    <row r="662" spans="5:11" ht="14.15" customHeight="1">
      <c r="E662" s="189"/>
      <c r="F662" s="189"/>
      <c r="G662" s="192"/>
      <c r="H662" s="192"/>
      <c r="I662" s="189"/>
      <c r="J662" s="189"/>
      <c r="K662" s="189"/>
    </row>
    <row r="663" spans="5:11" ht="14.15" customHeight="1">
      <c r="E663" s="189"/>
      <c r="F663" s="189"/>
      <c r="G663" s="192"/>
      <c r="H663" s="192"/>
      <c r="I663" s="189"/>
      <c r="J663" s="189"/>
      <c r="K663" s="189"/>
    </row>
    <row r="664" spans="5:11" ht="14.15" customHeight="1">
      <c r="E664" s="189"/>
      <c r="F664" s="189"/>
      <c r="G664" s="192"/>
      <c r="H664" s="192"/>
      <c r="I664" s="189"/>
      <c r="J664" s="189"/>
      <c r="K664" s="189"/>
    </row>
    <row r="665" spans="5:11" ht="14.15" customHeight="1">
      <c r="E665" s="189"/>
      <c r="F665" s="189"/>
      <c r="G665" s="192"/>
      <c r="H665" s="192"/>
      <c r="I665" s="189"/>
      <c r="J665" s="189"/>
      <c r="K665" s="189"/>
    </row>
    <row r="666" spans="5:11" ht="14.15" customHeight="1">
      <c r="E666" s="189"/>
      <c r="F666" s="189"/>
      <c r="G666" s="192"/>
      <c r="H666" s="192"/>
      <c r="I666" s="189"/>
      <c r="J666" s="189"/>
      <c r="K666" s="189"/>
    </row>
    <row r="667" spans="5:11" ht="14.15" customHeight="1">
      <c r="E667" s="189"/>
      <c r="F667" s="189"/>
      <c r="G667" s="192"/>
      <c r="H667" s="192"/>
      <c r="I667" s="189"/>
      <c r="J667" s="189"/>
      <c r="K667" s="189"/>
    </row>
    <row r="668" spans="5:11" ht="14.15" customHeight="1">
      <c r="E668" s="189"/>
      <c r="F668" s="189"/>
      <c r="G668" s="192"/>
      <c r="H668" s="192"/>
      <c r="I668" s="189"/>
      <c r="J668" s="189"/>
      <c r="K668" s="189"/>
    </row>
    <row r="669" spans="5:11" ht="14.15" customHeight="1">
      <c r="E669" s="189"/>
      <c r="F669" s="189"/>
      <c r="G669" s="192"/>
      <c r="H669" s="192"/>
      <c r="I669" s="189"/>
      <c r="J669" s="189"/>
      <c r="K669" s="189"/>
    </row>
    <row r="670" spans="5:11" ht="14.15" customHeight="1">
      <c r="E670" s="189"/>
      <c r="F670" s="189"/>
      <c r="G670" s="192"/>
      <c r="H670" s="192"/>
      <c r="I670" s="189"/>
      <c r="J670" s="189"/>
      <c r="K670" s="189"/>
    </row>
    <row r="671" spans="5:11" ht="14.15" customHeight="1">
      <c r="E671" s="189"/>
      <c r="F671" s="189"/>
      <c r="G671" s="192"/>
      <c r="H671" s="192"/>
      <c r="I671" s="189"/>
      <c r="J671" s="189"/>
      <c r="K671" s="189"/>
    </row>
    <row r="672" spans="5:11" ht="14.15" customHeight="1">
      <c r="E672" s="189"/>
      <c r="F672" s="189"/>
      <c r="G672" s="192"/>
      <c r="H672" s="192"/>
      <c r="I672" s="189"/>
      <c r="J672" s="189"/>
      <c r="K672" s="189"/>
    </row>
    <row r="673" spans="1:20" ht="14.15" customHeight="1">
      <c r="E673" s="189"/>
      <c r="F673" s="189"/>
      <c r="G673" s="192"/>
      <c r="H673" s="192"/>
      <c r="I673" s="189"/>
      <c r="J673" s="189"/>
      <c r="K673" s="189"/>
    </row>
    <row r="674" spans="1:20" ht="14.15" customHeight="1">
      <c r="E674" s="189"/>
      <c r="F674" s="189"/>
      <c r="G674" s="192"/>
      <c r="H674" s="192"/>
      <c r="I674" s="189"/>
      <c r="J674" s="189"/>
      <c r="K674" s="189"/>
    </row>
    <row r="675" spans="1:20" ht="14.15" customHeight="1">
      <c r="E675" s="189"/>
      <c r="F675" s="189"/>
      <c r="G675" s="192"/>
      <c r="H675" s="192"/>
      <c r="I675" s="189"/>
      <c r="J675" s="189"/>
      <c r="K675" s="189"/>
    </row>
    <row r="676" spans="1:20" ht="14.15" customHeight="1">
      <c r="E676" s="189"/>
      <c r="F676" s="189"/>
      <c r="G676" s="192"/>
      <c r="H676" s="192"/>
      <c r="I676" s="189"/>
      <c r="J676" s="189"/>
      <c r="K676" s="189"/>
    </row>
    <row r="677" spans="1:20" ht="14.15" customHeight="1">
      <c r="E677" s="189"/>
      <c r="F677" s="189"/>
      <c r="G677" s="192"/>
      <c r="H677" s="192"/>
      <c r="I677" s="189"/>
      <c r="J677" s="189"/>
      <c r="K677" s="189"/>
    </row>
    <row r="678" spans="1:20" ht="14.15" customHeight="1">
      <c r="E678" s="189"/>
      <c r="F678" s="189"/>
      <c r="G678" s="192"/>
      <c r="H678" s="192"/>
      <c r="I678" s="189"/>
      <c r="J678" s="189"/>
      <c r="K678" s="189"/>
    </row>
    <row r="679" spans="1:20" ht="14.15" customHeight="1">
      <c r="E679" s="189"/>
      <c r="F679" s="189"/>
      <c r="G679" s="192"/>
      <c r="H679" s="192"/>
      <c r="I679" s="189"/>
      <c r="J679" s="189"/>
      <c r="K679" s="189"/>
    </row>
    <row r="680" spans="1:20" ht="14.15" customHeight="1">
      <c r="E680" s="189"/>
      <c r="F680" s="189"/>
      <c r="G680" s="192"/>
      <c r="H680" s="192"/>
      <c r="I680" s="189"/>
      <c r="J680" s="189"/>
      <c r="K680" s="189"/>
    </row>
    <row r="681" spans="1:20" ht="14.15" customHeight="1">
      <c r="E681" s="189"/>
      <c r="F681" s="189"/>
      <c r="G681" s="192"/>
      <c r="H681" s="192"/>
      <c r="I681" s="189"/>
      <c r="J681" s="189"/>
      <c r="K681" s="189"/>
    </row>
    <row r="682" spans="1:20" ht="14.15" customHeight="1">
      <c r="E682" s="189"/>
      <c r="F682" s="189"/>
      <c r="G682" s="192"/>
      <c r="H682" s="192"/>
      <c r="I682" s="189"/>
      <c r="J682" s="189"/>
      <c r="K682" s="189"/>
    </row>
    <row r="683" spans="1:20" ht="14.15" customHeight="1">
      <c r="E683" s="189"/>
      <c r="F683" s="189"/>
      <c r="G683" s="192"/>
      <c r="H683" s="192"/>
      <c r="I683" s="189"/>
      <c r="J683" s="189"/>
      <c r="K683" s="189"/>
    </row>
    <row r="684" spans="1:20" ht="14.15" customHeight="1">
      <c r="E684" s="189"/>
      <c r="F684" s="189"/>
      <c r="G684" s="192"/>
      <c r="H684" s="192"/>
      <c r="I684" s="189"/>
      <c r="J684" s="189"/>
      <c r="K684" s="189"/>
    </row>
    <row r="685" spans="1:20" s="14" customFormat="1" ht="14.15" customHeight="1">
      <c r="A685" s="436"/>
      <c r="B685" s="83"/>
      <c r="C685" s="83"/>
      <c r="D685" s="83"/>
      <c r="E685" s="189"/>
      <c r="F685" s="189"/>
      <c r="G685" s="192"/>
      <c r="H685" s="192"/>
      <c r="J685" s="83"/>
      <c r="K685" s="83"/>
      <c r="L685" s="436"/>
      <c r="M685" s="83"/>
      <c r="N685" s="83"/>
      <c r="O685" s="83"/>
      <c r="P685" s="83"/>
      <c r="Q685" s="83"/>
      <c r="R685" s="83"/>
      <c r="S685" s="83"/>
      <c r="T685" s="83"/>
    </row>
    <row r="686" spans="1:20" s="14" customFormat="1" ht="14.15" customHeight="1">
      <c r="A686" s="436"/>
      <c r="B686" s="83"/>
      <c r="C686" s="83"/>
      <c r="D686" s="83"/>
      <c r="E686" s="189"/>
      <c r="F686" s="189"/>
      <c r="G686" s="192"/>
      <c r="H686" s="192"/>
      <c r="J686" s="83"/>
      <c r="K686" s="83"/>
      <c r="L686" s="436"/>
      <c r="M686" s="83"/>
      <c r="N686" s="83"/>
      <c r="O686" s="83"/>
      <c r="P686" s="83"/>
      <c r="Q686" s="83"/>
      <c r="R686" s="83"/>
      <c r="S686" s="83"/>
      <c r="T686" s="83"/>
    </row>
    <row r="687" spans="1:20" s="14" customFormat="1" ht="14.15" customHeight="1">
      <c r="A687" s="436"/>
      <c r="B687" s="83"/>
      <c r="C687" s="83"/>
      <c r="D687" s="83"/>
      <c r="E687" s="189"/>
      <c r="F687" s="189"/>
      <c r="G687" s="192"/>
      <c r="H687" s="192"/>
      <c r="J687" s="83"/>
      <c r="K687" s="83"/>
      <c r="L687" s="436"/>
      <c r="M687" s="83"/>
      <c r="N687" s="83"/>
      <c r="O687" s="83"/>
      <c r="P687" s="83"/>
      <c r="Q687" s="83"/>
      <c r="R687" s="83"/>
      <c r="S687" s="83"/>
      <c r="T687" s="83"/>
    </row>
    <row r="688" spans="1:20" s="14" customFormat="1" ht="14.15" customHeight="1">
      <c r="A688" s="436"/>
      <c r="B688" s="83"/>
      <c r="C688" s="83"/>
      <c r="D688" s="83"/>
      <c r="E688" s="189"/>
      <c r="F688" s="189"/>
      <c r="G688" s="192"/>
      <c r="H688" s="192"/>
      <c r="J688" s="83"/>
      <c r="K688" s="83"/>
      <c r="L688" s="436"/>
      <c r="M688" s="83"/>
      <c r="N688" s="83"/>
      <c r="O688" s="83"/>
      <c r="P688" s="83"/>
      <c r="Q688" s="83"/>
      <c r="R688" s="83"/>
      <c r="S688" s="83"/>
      <c r="T688" s="83"/>
    </row>
    <row r="689" spans="1:20" s="14" customFormat="1" ht="14.15" customHeight="1">
      <c r="A689" s="436"/>
      <c r="B689" s="83"/>
      <c r="C689" s="83"/>
      <c r="D689" s="83"/>
      <c r="E689" s="189"/>
      <c r="F689" s="189"/>
      <c r="G689" s="192"/>
      <c r="H689" s="192"/>
      <c r="J689" s="83"/>
      <c r="K689" s="83"/>
      <c r="L689" s="436"/>
      <c r="M689" s="83"/>
      <c r="N689" s="83"/>
      <c r="O689" s="83"/>
      <c r="P689" s="83"/>
      <c r="Q689" s="83"/>
      <c r="R689" s="83"/>
      <c r="S689" s="83"/>
      <c r="T689" s="83"/>
    </row>
    <row r="690" spans="1:20" s="14" customFormat="1" ht="14.15" customHeight="1">
      <c r="A690" s="436"/>
      <c r="B690" s="83"/>
      <c r="C690" s="83"/>
      <c r="D690" s="83"/>
      <c r="E690" s="189"/>
      <c r="F690" s="189"/>
      <c r="G690" s="192"/>
      <c r="H690" s="192"/>
      <c r="J690" s="83"/>
      <c r="K690" s="83"/>
      <c r="L690" s="436"/>
      <c r="M690" s="83"/>
      <c r="N690" s="83"/>
      <c r="O690" s="83"/>
      <c r="P690" s="83"/>
      <c r="Q690" s="83"/>
      <c r="R690" s="83"/>
      <c r="S690" s="83"/>
      <c r="T690" s="83"/>
    </row>
    <row r="691" spans="1:20" s="14" customFormat="1" ht="14.15" customHeight="1">
      <c r="A691" s="436"/>
      <c r="B691" s="83"/>
      <c r="C691" s="83"/>
      <c r="D691" s="83"/>
      <c r="E691" s="189"/>
      <c r="F691" s="189"/>
      <c r="G691" s="192"/>
      <c r="H691" s="192"/>
      <c r="J691" s="83"/>
      <c r="K691" s="83"/>
      <c r="L691" s="436"/>
      <c r="M691" s="83"/>
      <c r="N691" s="83"/>
      <c r="O691" s="83"/>
      <c r="P691" s="83"/>
      <c r="Q691" s="83"/>
      <c r="R691" s="83"/>
      <c r="S691" s="83"/>
      <c r="T691" s="83"/>
    </row>
    <row r="692" spans="1:20" s="14" customFormat="1" ht="14.15" customHeight="1">
      <c r="A692" s="436"/>
      <c r="B692" s="83"/>
      <c r="C692" s="83"/>
      <c r="D692" s="83"/>
      <c r="E692" s="189"/>
      <c r="F692" s="189"/>
      <c r="G692" s="192"/>
      <c r="H692" s="192"/>
      <c r="J692" s="83"/>
      <c r="K692" s="83"/>
      <c r="L692" s="436"/>
      <c r="M692" s="83"/>
      <c r="N692" s="83"/>
      <c r="O692" s="83"/>
      <c r="P692" s="83"/>
      <c r="Q692" s="83"/>
      <c r="R692" s="83"/>
      <c r="S692" s="83"/>
      <c r="T692" s="83"/>
    </row>
    <row r="693" spans="1:20" s="14" customFormat="1" ht="14.15" customHeight="1">
      <c r="A693" s="436"/>
      <c r="B693" s="83"/>
      <c r="C693" s="83"/>
      <c r="D693" s="83"/>
      <c r="E693" s="189"/>
      <c r="F693" s="189"/>
      <c r="G693" s="192"/>
      <c r="H693" s="192"/>
      <c r="J693" s="83"/>
      <c r="K693" s="83"/>
      <c r="L693" s="436"/>
      <c r="M693" s="83"/>
      <c r="N693" s="83"/>
      <c r="O693" s="83"/>
      <c r="P693" s="83"/>
      <c r="Q693" s="83"/>
      <c r="R693" s="83"/>
      <c r="S693" s="83"/>
      <c r="T693" s="83"/>
    </row>
    <row r="694" spans="1:20" s="14" customFormat="1" ht="14.15" customHeight="1">
      <c r="A694" s="436"/>
      <c r="B694" s="83"/>
      <c r="C694" s="83"/>
      <c r="D694" s="83"/>
      <c r="E694" s="189"/>
      <c r="F694" s="189"/>
      <c r="G694" s="192"/>
      <c r="H694" s="192"/>
      <c r="J694" s="83"/>
      <c r="K694" s="83"/>
      <c r="L694" s="436"/>
      <c r="M694" s="83"/>
      <c r="N694" s="83"/>
      <c r="O694" s="83"/>
      <c r="P694" s="83"/>
      <c r="Q694" s="83"/>
      <c r="R694" s="83"/>
      <c r="S694" s="83"/>
      <c r="T694" s="83"/>
    </row>
    <row r="695" spans="1:20" s="14" customFormat="1" ht="14.15" customHeight="1">
      <c r="A695" s="436"/>
      <c r="B695" s="83"/>
      <c r="C695" s="83"/>
      <c r="D695" s="83"/>
      <c r="E695" s="189"/>
      <c r="F695" s="189"/>
      <c r="G695" s="192"/>
      <c r="H695" s="192"/>
      <c r="J695" s="83"/>
      <c r="K695" s="83"/>
      <c r="L695" s="436"/>
      <c r="M695" s="83"/>
      <c r="N695" s="83"/>
      <c r="O695" s="83"/>
      <c r="P695" s="83"/>
      <c r="Q695" s="83"/>
      <c r="R695" s="83"/>
      <c r="S695" s="83"/>
      <c r="T695" s="83"/>
    </row>
    <row r="696" spans="1:20" s="14" customFormat="1" ht="14.15" customHeight="1">
      <c r="A696" s="436"/>
      <c r="B696" s="83"/>
      <c r="C696" s="83"/>
      <c r="D696" s="83"/>
      <c r="E696" s="189"/>
      <c r="F696" s="189"/>
      <c r="G696" s="192"/>
      <c r="H696" s="192"/>
      <c r="J696" s="83"/>
      <c r="K696" s="83"/>
      <c r="L696" s="436"/>
      <c r="M696" s="83"/>
      <c r="N696" s="83"/>
      <c r="O696" s="83"/>
      <c r="P696" s="83"/>
      <c r="Q696" s="83"/>
      <c r="R696" s="83"/>
      <c r="S696" s="83"/>
      <c r="T696" s="83"/>
    </row>
    <row r="697" spans="1:20" s="14" customFormat="1" ht="14.15" customHeight="1">
      <c r="A697" s="436"/>
      <c r="B697" s="83"/>
      <c r="C697" s="83"/>
      <c r="D697" s="83"/>
      <c r="E697" s="189"/>
      <c r="F697" s="189"/>
      <c r="G697" s="192"/>
      <c r="H697" s="192"/>
      <c r="J697" s="83"/>
      <c r="K697" s="83"/>
      <c r="L697" s="436"/>
      <c r="M697" s="83"/>
      <c r="N697" s="83"/>
      <c r="O697" s="83"/>
      <c r="P697" s="83"/>
      <c r="Q697" s="83"/>
      <c r="R697" s="83"/>
      <c r="S697" s="83"/>
      <c r="T697" s="83"/>
    </row>
    <row r="698" spans="1:20" s="14" customFormat="1" ht="14.15" customHeight="1">
      <c r="A698" s="436"/>
      <c r="B698" s="83"/>
      <c r="C698" s="83"/>
      <c r="D698" s="83"/>
      <c r="E698" s="189"/>
      <c r="F698" s="189"/>
      <c r="G698" s="192"/>
      <c r="H698" s="192"/>
      <c r="J698" s="83"/>
      <c r="K698" s="83"/>
      <c r="L698" s="436"/>
      <c r="M698" s="83"/>
      <c r="N698" s="83"/>
      <c r="O698" s="83"/>
      <c r="P698" s="83"/>
      <c r="Q698" s="83"/>
      <c r="R698" s="83"/>
      <c r="S698" s="83"/>
      <c r="T698" s="83"/>
    </row>
    <row r="699" spans="1:20" s="14" customFormat="1" ht="14.15" customHeight="1">
      <c r="A699" s="436"/>
      <c r="B699" s="83"/>
      <c r="C699" s="83"/>
      <c r="D699" s="83"/>
      <c r="E699" s="189"/>
      <c r="F699" s="189"/>
      <c r="G699" s="192"/>
      <c r="H699" s="192"/>
      <c r="J699" s="83"/>
      <c r="K699" s="83"/>
      <c r="L699" s="436"/>
      <c r="M699" s="83"/>
      <c r="N699" s="83"/>
      <c r="O699" s="83"/>
      <c r="P699" s="83"/>
      <c r="Q699" s="83"/>
      <c r="R699" s="83"/>
      <c r="S699" s="83"/>
      <c r="T699" s="83"/>
    </row>
    <row r="700" spans="1:20" s="14" customFormat="1" ht="14.15" customHeight="1">
      <c r="A700" s="436"/>
      <c r="B700" s="83"/>
      <c r="C700" s="83"/>
      <c r="D700" s="83"/>
      <c r="E700" s="189"/>
      <c r="F700" s="189"/>
      <c r="G700" s="192"/>
      <c r="H700" s="192"/>
      <c r="J700" s="83"/>
      <c r="K700" s="83"/>
      <c r="L700" s="436"/>
      <c r="M700" s="83"/>
      <c r="N700" s="83"/>
      <c r="O700" s="83"/>
      <c r="P700" s="83"/>
      <c r="Q700" s="83"/>
      <c r="R700" s="83"/>
      <c r="S700" s="83"/>
      <c r="T700" s="83"/>
    </row>
    <row r="701" spans="1:20" s="14" customFormat="1" ht="14.15" customHeight="1">
      <c r="A701" s="436"/>
      <c r="B701" s="83"/>
      <c r="C701" s="83"/>
      <c r="D701" s="83"/>
      <c r="E701" s="189"/>
      <c r="F701" s="189"/>
      <c r="G701" s="192"/>
      <c r="H701" s="192"/>
      <c r="J701" s="83"/>
      <c r="K701" s="83"/>
      <c r="L701" s="436"/>
      <c r="M701" s="83"/>
      <c r="N701" s="83"/>
      <c r="O701" s="83"/>
      <c r="P701" s="83"/>
      <c r="Q701" s="83"/>
      <c r="R701" s="83"/>
      <c r="S701" s="83"/>
      <c r="T701" s="83"/>
    </row>
    <row r="702" spans="1:20" s="14" customFormat="1" ht="14.15" customHeight="1">
      <c r="A702" s="436"/>
      <c r="B702" s="83"/>
      <c r="C702" s="83"/>
      <c r="D702" s="83"/>
      <c r="E702" s="189"/>
      <c r="F702" s="189"/>
      <c r="G702" s="192"/>
      <c r="H702" s="192"/>
      <c r="J702" s="83"/>
      <c r="K702" s="83"/>
      <c r="L702" s="436"/>
      <c r="M702" s="83"/>
      <c r="N702" s="83"/>
      <c r="O702" s="83"/>
      <c r="P702" s="83"/>
      <c r="Q702" s="83"/>
      <c r="R702" s="83"/>
      <c r="S702" s="83"/>
      <c r="T702" s="83"/>
    </row>
    <row r="703" spans="1:20" s="14" customFormat="1" ht="14.15" customHeight="1">
      <c r="A703" s="436"/>
      <c r="B703" s="83"/>
      <c r="C703" s="83"/>
      <c r="D703" s="83"/>
      <c r="E703" s="189"/>
      <c r="F703" s="189"/>
      <c r="G703" s="192"/>
      <c r="H703" s="192"/>
      <c r="J703" s="83"/>
      <c r="K703" s="83"/>
      <c r="L703" s="436"/>
      <c r="M703" s="83"/>
      <c r="N703" s="83"/>
      <c r="O703" s="83"/>
      <c r="P703" s="83"/>
      <c r="Q703" s="83"/>
      <c r="R703" s="83"/>
      <c r="S703" s="83"/>
      <c r="T703" s="83"/>
    </row>
    <row r="704" spans="1:20" s="14" customFormat="1" ht="14.15" customHeight="1">
      <c r="A704" s="436"/>
      <c r="B704" s="83"/>
      <c r="C704" s="83"/>
      <c r="D704" s="83"/>
      <c r="E704" s="189"/>
      <c r="F704" s="189"/>
      <c r="G704" s="192"/>
      <c r="H704" s="192"/>
      <c r="J704" s="83"/>
      <c r="K704" s="83"/>
      <c r="L704" s="436"/>
      <c r="M704" s="83"/>
      <c r="N704" s="83"/>
      <c r="O704" s="83"/>
      <c r="P704" s="83"/>
      <c r="Q704" s="83"/>
      <c r="R704" s="83"/>
      <c r="S704" s="83"/>
      <c r="T704" s="83"/>
    </row>
    <row r="705" spans="1:20" s="14" customFormat="1" ht="14.15" customHeight="1">
      <c r="A705" s="436"/>
      <c r="B705" s="83"/>
      <c r="C705" s="83"/>
      <c r="D705" s="83"/>
      <c r="E705" s="189"/>
      <c r="F705" s="189"/>
      <c r="G705" s="192"/>
      <c r="H705" s="192"/>
      <c r="J705" s="83"/>
      <c r="K705" s="83"/>
      <c r="L705" s="436"/>
      <c r="M705" s="83"/>
      <c r="N705" s="83"/>
      <c r="O705" s="83"/>
      <c r="P705" s="83"/>
      <c r="Q705" s="83"/>
      <c r="R705" s="83"/>
      <c r="S705" s="83"/>
      <c r="T705" s="83"/>
    </row>
    <row r="706" spans="1:20" s="14" customFormat="1" ht="14.15" customHeight="1">
      <c r="A706" s="436"/>
      <c r="B706" s="83"/>
      <c r="C706" s="83"/>
      <c r="D706" s="83"/>
      <c r="E706" s="189"/>
      <c r="F706" s="189"/>
      <c r="G706" s="192"/>
      <c r="H706" s="192"/>
      <c r="J706" s="83"/>
      <c r="K706" s="83"/>
      <c r="L706" s="436"/>
      <c r="M706" s="83"/>
      <c r="N706" s="83"/>
      <c r="O706" s="83"/>
      <c r="P706" s="83"/>
      <c r="Q706" s="83"/>
      <c r="R706" s="83"/>
      <c r="S706" s="83"/>
      <c r="T706" s="83"/>
    </row>
    <row r="707" spans="1:20" s="14" customFormat="1" ht="14.15" customHeight="1">
      <c r="A707" s="436"/>
      <c r="B707" s="83"/>
      <c r="C707" s="83"/>
      <c r="D707" s="83"/>
      <c r="E707" s="189"/>
      <c r="F707" s="189"/>
      <c r="G707" s="192"/>
      <c r="H707" s="192"/>
      <c r="J707" s="83"/>
      <c r="K707" s="83"/>
      <c r="L707" s="436"/>
      <c r="M707" s="83"/>
      <c r="N707" s="83"/>
      <c r="O707" s="83"/>
      <c r="P707" s="83"/>
      <c r="Q707" s="83"/>
      <c r="R707" s="83"/>
      <c r="S707" s="83"/>
      <c r="T707" s="83"/>
    </row>
    <row r="708" spans="1:20" s="14" customFormat="1" ht="14.15" customHeight="1">
      <c r="A708" s="436"/>
      <c r="B708" s="83"/>
      <c r="C708" s="83"/>
      <c r="D708" s="83"/>
      <c r="E708" s="189"/>
      <c r="F708" s="189"/>
      <c r="G708" s="192"/>
      <c r="H708" s="192"/>
      <c r="J708" s="83"/>
      <c r="K708" s="83"/>
      <c r="L708" s="436"/>
      <c r="M708" s="83"/>
      <c r="N708" s="83"/>
      <c r="O708" s="83"/>
      <c r="P708" s="83"/>
      <c r="Q708" s="83"/>
      <c r="R708" s="83"/>
      <c r="S708" s="83"/>
      <c r="T708" s="83"/>
    </row>
    <row r="709" spans="1:20" s="14" customFormat="1" ht="14.15" customHeight="1">
      <c r="A709" s="436"/>
      <c r="B709" s="83"/>
      <c r="C709" s="83"/>
      <c r="D709" s="83"/>
      <c r="E709" s="189"/>
      <c r="F709" s="189"/>
      <c r="G709" s="192"/>
      <c r="H709" s="192"/>
      <c r="J709" s="83"/>
      <c r="K709" s="83"/>
      <c r="L709" s="436"/>
      <c r="M709" s="83"/>
      <c r="N709" s="83"/>
      <c r="O709" s="83"/>
      <c r="P709" s="83"/>
      <c r="Q709" s="83"/>
      <c r="R709" s="83"/>
      <c r="S709" s="83"/>
      <c r="T709" s="83"/>
    </row>
    <row r="710" spans="1:20" s="14" customFormat="1" ht="14.15" customHeight="1">
      <c r="A710" s="436"/>
      <c r="B710" s="83"/>
      <c r="C710" s="83"/>
      <c r="D710" s="83"/>
      <c r="E710" s="189"/>
      <c r="F710" s="189"/>
      <c r="G710" s="192"/>
      <c r="H710" s="192"/>
      <c r="J710" s="83"/>
      <c r="K710" s="83"/>
      <c r="L710" s="436"/>
      <c r="M710" s="83"/>
      <c r="N710" s="83"/>
      <c r="O710" s="83"/>
      <c r="P710" s="83"/>
      <c r="Q710" s="83"/>
      <c r="R710" s="83"/>
      <c r="S710" s="83"/>
      <c r="T710" s="83"/>
    </row>
    <row r="711" spans="1:20" s="14" customFormat="1" ht="14.15" customHeight="1">
      <c r="A711" s="436"/>
      <c r="B711" s="83"/>
      <c r="C711" s="83"/>
      <c r="D711" s="83"/>
      <c r="E711" s="189"/>
      <c r="F711" s="189"/>
      <c r="G711" s="192"/>
      <c r="H711" s="192"/>
      <c r="J711" s="83"/>
      <c r="K711" s="83"/>
      <c r="L711" s="436"/>
      <c r="M711" s="83"/>
      <c r="N711" s="83"/>
      <c r="O711" s="83"/>
      <c r="P711" s="83"/>
      <c r="Q711" s="83"/>
      <c r="R711" s="83"/>
      <c r="S711" s="83"/>
      <c r="T711" s="83"/>
    </row>
    <row r="712" spans="1:20" s="14" customFormat="1" ht="14.15" customHeight="1">
      <c r="A712" s="436"/>
      <c r="B712" s="83"/>
      <c r="C712" s="83"/>
      <c r="D712" s="83"/>
      <c r="E712" s="189"/>
      <c r="F712" s="189"/>
      <c r="G712" s="192"/>
      <c r="H712" s="192"/>
      <c r="J712" s="83"/>
      <c r="K712" s="83"/>
      <c r="L712" s="436"/>
      <c r="M712" s="83"/>
      <c r="N712" s="83"/>
      <c r="O712" s="83"/>
      <c r="P712" s="83"/>
      <c r="Q712" s="83"/>
      <c r="R712" s="83"/>
      <c r="S712" s="83"/>
      <c r="T712" s="83"/>
    </row>
    <row r="713" spans="1:20" s="14" customFormat="1" ht="14.15" customHeight="1">
      <c r="A713" s="436"/>
      <c r="B713" s="83"/>
      <c r="C713" s="83"/>
      <c r="D713" s="83"/>
      <c r="E713" s="189"/>
      <c r="F713" s="189"/>
      <c r="G713" s="192"/>
      <c r="H713" s="192"/>
      <c r="J713" s="83"/>
      <c r="K713" s="83"/>
      <c r="L713" s="436"/>
      <c r="M713" s="83"/>
      <c r="N713" s="83"/>
      <c r="O713" s="83"/>
      <c r="P713" s="83"/>
      <c r="Q713" s="83"/>
      <c r="R713" s="83"/>
      <c r="S713" s="83"/>
      <c r="T713" s="83"/>
    </row>
    <row r="714" spans="1:20" s="14" customFormat="1" ht="14.15" customHeight="1">
      <c r="A714" s="436"/>
      <c r="B714" s="83"/>
      <c r="C714" s="83"/>
      <c r="D714" s="83"/>
      <c r="E714" s="189"/>
      <c r="F714" s="189"/>
      <c r="G714" s="192"/>
      <c r="H714" s="192"/>
      <c r="J714" s="83"/>
      <c r="K714" s="83"/>
      <c r="L714" s="436"/>
      <c r="M714" s="83"/>
      <c r="N714" s="83"/>
      <c r="O714" s="83"/>
      <c r="P714" s="83"/>
      <c r="Q714" s="83"/>
      <c r="R714" s="83"/>
      <c r="S714" s="83"/>
      <c r="T714" s="83"/>
    </row>
    <row r="715" spans="1:20" s="14" customFormat="1" ht="14.15" customHeight="1">
      <c r="A715" s="436"/>
      <c r="B715" s="83"/>
      <c r="C715" s="83"/>
      <c r="D715" s="83"/>
      <c r="E715" s="189"/>
      <c r="F715" s="189"/>
      <c r="G715" s="192"/>
      <c r="H715" s="192"/>
      <c r="J715" s="83"/>
      <c r="K715" s="83"/>
      <c r="L715" s="436"/>
      <c r="M715" s="83"/>
      <c r="N715" s="83"/>
      <c r="O715" s="83"/>
      <c r="P715" s="83"/>
      <c r="Q715" s="83"/>
      <c r="R715" s="83"/>
      <c r="S715" s="83"/>
      <c r="T715" s="83"/>
    </row>
    <row r="716" spans="1:20" s="14" customFormat="1" ht="14.15" customHeight="1">
      <c r="A716" s="436"/>
      <c r="B716" s="83"/>
      <c r="C716" s="83"/>
      <c r="D716" s="83"/>
      <c r="E716" s="189"/>
      <c r="F716" s="189"/>
      <c r="G716" s="192"/>
      <c r="H716" s="192"/>
      <c r="J716" s="83"/>
      <c r="K716" s="83"/>
      <c r="L716" s="436"/>
      <c r="M716" s="83"/>
      <c r="N716" s="83"/>
      <c r="O716" s="83"/>
      <c r="P716" s="83"/>
      <c r="Q716" s="83"/>
      <c r="R716" s="83"/>
      <c r="S716" s="83"/>
      <c r="T716" s="83"/>
    </row>
    <row r="717" spans="1:20" s="14" customFormat="1" ht="14.15" customHeight="1">
      <c r="A717" s="436"/>
      <c r="B717" s="83"/>
      <c r="C717" s="83"/>
      <c r="D717" s="83"/>
      <c r="E717" s="189"/>
      <c r="F717" s="189"/>
      <c r="G717" s="192"/>
      <c r="H717" s="192"/>
      <c r="J717" s="83"/>
      <c r="K717" s="83"/>
      <c r="L717" s="436"/>
      <c r="M717" s="83"/>
      <c r="N717" s="83"/>
      <c r="O717" s="83"/>
      <c r="P717" s="83"/>
      <c r="Q717" s="83"/>
      <c r="R717" s="83"/>
      <c r="S717" s="83"/>
      <c r="T717" s="83"/>
    </row>
    <row r="718" spans="1:20" s="14" customFormat="1" ht="14.15" customHeight="1">
      <c r="A718" s="436"/>
      <c r="B718" s="83"/>
      <c r="C718" s="83"/>
      <c r="D718" s="83"/>
      <c r="E718" s="189"/>
      <c r="F718" s="189"/>
      <c r="G718" s="192"/>
      <c r="H718" s="192"/>
      <c r="J718" s="83"/>
      <c r="K718" s="83"/>
      <c r="L718" s="436"/>
      <c r="M718" s="83"/>
      <c r="N718" s="83"/>
      <c r="O718" s="83"/>
      <c r="P718" s="83"/>
      <c r="Q718" s="83"/>
      <c r="R718" s="83"/>
      <c r="S718" s="83"/>
      <c r="T718" s="83"/>
    </row>
    <row r="719" spans="1:20" s="14" customFormat="1" ht="14.15" customHeight="1">
      <c r="A719" s="436"/>
      <c r="B719" s="83"/>
      <c r="C719" s="83"/>
      <c r="D719" s="83"/>
      <c r="E719" s="189"/>
      <c r="F719" s="189"/>
      <c r="G719" s="192"/>
      <c r="H719" s="192"/>
      <c r="J719" s="83"/>
      <c r="K719" s="83"/>
      <c r="L719" s="436"/>
      <c r="M719" s="83"/>
      <c r="N719" s="83"/>
      <c r="O719" s="83"/>
      <c r="P719" s="83"/>
      <c r="Q719" s="83"/>
      <c r="R719" s="83"/>
      <c r="S719" s="83"/>
      <c r="T719" s="83"/>
    </row>
    <row r="720" spans="1:20" s="14" customFormat="1" ht="14.15" customHeight="1">
      <c r="A720" s="436"/>
      <c r="B720" s="83"/>
      <c r="C720" s="83"/>
      <c r="D720" s="83"/>
      <c r="E720" s="189"/>
      <c r="F720" s="189"/>
      <c r="G720" s="192"/>
      <c r="H720" s="192"/>
      <c r="J720" s="83"/>
      <c r="K720" s="83"/>
      <c r="L720" s="436"/>
      <c r="M720" s="83"/>
      <c r="N720" s="83"/>
      <c r="O720" s="83"/>
      <c r="P720" s="83"/>
      <c r="Q720" s="83"/>
      <c r="R720" s="83"/>
      <c r="S720" s="83"/>
      <c r="T720" s="83"/>
    </row>
    <row r="721" spans="1:20" s="14" customFormat="1" ht="14.15" customHeight="1">
      <c r="A721" s="436"/>
      <c r="B721" s="83"/>
      <c r="C721" s="83"/>
      <c r="D721" s="83"/>
      <c r="E721" s="189"/>
      <c r="F721" s="189"/>
      <c r="G721" s="192"/>
      <c r="H721" s="192"/>
      <c r="J721" s="83"/>
      <c r="K721" s="83"/>
      <c r="L721" s="436"/>
      <c r="M721" s="83"/>
      <c r="N721" s="83"/>
      <c r="O721" s="83"/>
      <c r="P721" s="83"/>
      <c r="Q721" s="83"/>
      <c r="R721" s="83"/>
      <c r="S721" s="83"/>
      <c r="T721" s="83"/>
    </row>
    <row r="722" spans="1:20" s="14" customFormat="1" ht="14.15" customHeight="1">
      <c r="A722" s="436"/>
      <c r="B722" s="83"/>
      <c r="C722" s="83"/>
      <c r="D722" s="83"/>
      <c r="E722" s="189"/>
      <c r="F722" s="189"/>
      <c r="G722" s="192"/>
      <c r="H722" s="192"/>
      <c r="J722" s="83"/>
      <c r="K722" s="83"/>
      <c r="L722" s="436"/>
      <c r="M722" s="83"/>
      <c r="N722" s="83"/>
      <c r="O722" s="83"/>
      <c r="P722" s="83"/>
      <c r="Q722" s="83"/>
      <c r="R722" s="83"/>
      <c r="S722" s="83"/>
      <c r="T722" s="83"/>
    </row>
    <row r="723" spans="1:20" s="14" customFormat="1" ht="14.15" customHeight="1">
      <c r="A723" s="436"/>
      <c r="B723" s="83"/>
      <c r="C723" s="83"/>
      <c r="D723" s="83"/>
      <c r="E723" s="189"/>
      <c r="F723" s="189"/>
      <c r="G723" s="192"/>
      <c r="H723" s="192"/>
      <c r="J723" s="83"/>
      <c r="K723" s="83"/>
      <c r="L723" s="436"/>
      <c r="M723" s="83"/>
      <c r="N723" s="83"/>
      <c r="O723" s="83"/>
      <c r="P723" s="83"/>
      <c r="Q723" s="83"/>
      <c r="R723" s="83"/>
      <c r="S723" s="83"/>
      <c r="T723" s="83"/>
    </row>
    <row r="724" spans="1:20" s="14" customFormat="1" ht="14.15" customHeight="1">
      <c r="A724" s="436"/>
      <c r="B724" s="83"/>
      <c r="C724" s="83"/>
      <c r="D724" s="83"/>
      <c r="E724" s="189"/>
      <c r="F724" s="189"/>
      <c r="G724" s="192"/>
      <c r="H724" s="192"/>
      <c r="J724" s="83"/>
      <c r="K724" s="83"/>
      <c r="L724" s="436"/>
      <c r="M724" s="83"/>
      <c r="N724" s="83"/>
      <c r="O724" s="83"/>
      <c r="P724" s="83"/>
      <c r="Q724" s="83"/>
      <c r="R724" s="83"/>
      <c r="S724" s="83"/>
      <c r="T724" s="83"/>
    </row>
    <row r="725" spans="1:20" s="14" customFormat="1" ht="14.15" customHeight="1">
      <c r="A725" s="436"/>
      <c r="B725" s="83"/>
      <c r="C725" s="83"/>
      <c r="D725" s="83"/>
      <c r="E725" s="189"/>
      <c r="F725" s="189"/>
      <c r="G725" s="192"/>
      <c r="H725" s="192"/>
      <c r="J725" s="83"/>
      <c r="K725" s="83"/>
      <c r="L725" s="436"/>
      <c r="M725" s="83"/>
      <c r="N725" s="83"/>
      <c r="O725" s="83"/>
      <c r="P725" s="83"/>
      <c r="Q725" s="83"/>
      <c r="R725" s="83"/>
      <c r="S725" s="83"/>
      <c r="T725" s="83"/>
    </row>
    <row r="726" spans="1:20" s="14" customFormat="1" ht="14.15" customHeight="1">
      <c r="A726" s="436"/>
      <c r="B726" s="83"/>
      <c r="C726" s="83"/>
      <c r="D726" s="83"/>
      <c r="E726" s="189"/>
      <c r="F726" s="189"/>
      <c r="G726" s="192"/>
      <c r="H726" s="192"/>
      <c r="J726" s="83"/>
      <c r="K726" s="83"/>
      <c r="L726" s="436"/>
      <c r="M726" s="83"/>
      <c r="N726" s="83"/>
      <c r="O726" s="83"/>
      <c r="P726" s="83"/>
      <c r="Q726" s="83"/>
      <c r="R726" s="83"/>
      <c r="S726" s="83"/>
      <c r="T726" s="83"/>
    </row>
    <row r="727" spans="1:20" s="14" customFormat="1" ht="14.15" customHeight="1">
      <c r="A727" s="436"/>
      <c r="B727" s="83"/>
      <c r="C727" s="83"/>
      <c r="D727" s="83"/>
      <c r="E727" s="189"/>
      <c r="F727" s="189"/>
      <c r="G727" s="192"/>
      <c r="H727" s="192"/>
      <c r="J727" s="83"/>
      <c r="K727" s="83"/>
      <c r="L727" s="436"/>
      <c r="M727" s="83"/>
      <c r="N727" s="83"/>
      <c r="O727" s="83"/>
      <c r="P727" s="83"/>
      <c r="Q727" s="83"/>
      <c r="R727" s="83"/>
      <c r="S727" s="83"/>
      <c r="T727" s="83"/>
    </row>
    <row r="728" spans="1:20" s="14" customFormat="1" ht="14.15" customHeight="1">
      <c r="A728" s="436"/>
      <c r="B728" s="83"/>
      <c r="C728" s="83"/>
      <c r="D728" s="83"/>
      <c r="E728" s="189"/>
      <c r="F728" s="189"/>
      <c r="G728" s="192"/>
      <c r="H728" s="192"/>
      <c r="J728" s="83"/>
      <c r="K728" s="83"/>
      <c r="L728" s="436"/>
      <c r="M728" s="83"/>
      <c r="N728" s="83"/>
      <c r="O728" s="83"/>
      <c r="P728" s="83"/>
      <c r="Q728" s="83"/>
      <c r="R728" s="83"/>
      <c r="S728" s="83"/>
      <c r="T728" s="83"/>
    </row>
    <row r="729" spans="1:20" s="14" customFormat="1" ht="14.15" customHeight="1">
      <c r="A729" s="436"/>
      <c r="B729" s="83"/>
      <c r="C729" s="83"/>
      <c r="D729" s="83"/>
      <c r="E729" s="189"/>
      <c r="F729" s="189"/>
      <c r="G729" s="192"/>
      <c r="H729" s="192"/>
      <c r="J729" s="83"/>
      <c r="K729" s="83"/>
      <c r="L729" s="436"/>
      <c r="M729" s="83"/>
      <c r="N729" s="83"/>
      <c r="O729" s="83"/>
      <c r="P729" s="83"/>
      <c r="Q729" s="83"/>
      <c r="R729" s="83"/>
      <c r="S729" s="83"/>
      <c r="T729" s="83"/>
    </row>
    <row r="730" spans="1:20" s="14" customFormat="1" ht="14.15" customHeight="1">
      <c r="A730" s="436"/>
      <c r="B730" s="83"/>
      <c r="C730" s="83"/>
      <c r="D730" s="83"/>
      <c r="E730" s="189"/>
      <c r="F730" s="189"/>
      <c r="G730" s="192"/>
      <c r="H730" s="192"/>
      <c r="J730" s="83"/>
      <c r="K730" s="83"/>
      <c r="L730" s="436"/>
      <c r="M730" s="83"/>
      <c r="N730" s="83"/>
      <c r="O730" s="83"/>
      <c r="P730" s="83"/>
      <c r="Q730" s="83"/>
      <c r="R730" s="83"/>
      <c r="S730" s="83"/>
      <c r="T730" s="83"/>
    </row>
    <row r="731" spans="1:20" s="14" customFormat="1" ht="14.15" customHeight="1">
      <c r="A731" s="436"/>
      <c r="B731" s="83"/>
      <c r="C731" s="83"/>
      <c r="D731" s="83"/>
      <c r="E731" s="189"/>
      <c r="F731" s="189"/>
      <c r="G731" s="192"/>
      <c r="H731" s="192"/>
      <c r="J731" s="83"/>
      <c r="K731" s="83"/>
      <c r="L731" s="436"/>
      <c r="M731" s="83"/>
      <c r="N731" s="83"/>
      <c r="O731" s="83"/>
      <c r="P731" s="83"/>
      <c r="Q731" s="83"/>
      <c r="R731" s="83"/>
      <c r="S731" s="83"/>
      <c r="T731" s="83"/>
    </row>
    <row r="732" spans="1:20" s="14" customFormat="1" ht="14.15" customHeight="1">
      <c r="A732" s="436"/>
      <c r="B732" s="83"/>
      <c r="C732" s="83"/>
      <c r="D732" s="83"/>
      <c r="E732" s="189"/>
      <c r="F732" s="189"/>
      <c r="G732" s="192"/>
      <c r="H732" s="192"/>
      <c r="J732" s="83"/>
      <c r="K732" s="83"/>
      <c r="L732" s="436"/>
      <c r="M732" s="83"/>
      <c r="N732" s="83"/>
      <c r="O732" s="83"/>
      <c r="P732" s="83"/>
      <c r="Q732" s="83"/>
      <c r="R732" s="83"/>
      <c r="S732" s="83"/>
      <c r="T732" s="83"/>
    </row>
    <row r="733" spans="1:20" s="14" customFormat="1" ht="14.15" customHeight="1">
      <c r="A733" s="436"/>
      <c r="B733" s="83"/>
      <c r="C733" s="83"/>
      <c r="D733" s="83"/>
      <c r="E733" s="189"/>
      <c r="F733" s="189"/>
      <c r="G733" s="192"/>
      <c r="H733" s="192"/>
      <c r="J733" s="83"/>
      <c r="K733" s="83"/>
      <c r="L733" s="436"/>
      <c r="M733" s="83"/>
      <c r="N733" s="83"/>
      <c r="O733" s="83"/>
      <c r="P733" s="83"/>
      <c r="Q733" s="83"/>
      <c r="R733" s="83"/>
      <c r="S733" s="83"/>
      <c r="T733" s="83"/>
    </row>
    <row r="734" spans="1:20" s="14" customFormat="1" ht="14.15" customHeight="1">
      <c r="A734" s="436"/>
      <c r="B734" s="83"/>
      <c r="C734" s="83"/>
      <c r="D734" s="83"/>
      <c r="E734" s="189"/>
      <c r="F734" s="189"/>
      <c r="G734" s="192"/>
      <c r="H734" s="192"/>
      <c r="J734" s="83"/>
      <c r="K734" s="83"/>
      <c r="L734" s="436"/>
      <c r="M734" s="83"/>
      <c r="N734" s="83"/>
      <c r="O734" s="83"/>
      <c r="P734" s="83"/>
      <c r="Q734" s="83"/>
      <c r="R734" s="83"/>
      <c r="S734" s="83"/>
      <c r="T734" s="83"/>
    </row>
    <row r="735" spans="1:20" s="14" customFormat="1" ht="14.15" customHeight="1">
      <c r="A735" s="436"/>
      <c r="B735" s="83"/>
      <c r="C735" s="83"/>
      <c r="D735" s="83"/>
      <c r="E735" s="189"/>
      <c r="F735" s="189"/>
      <c r="G735" s="192"/>
      <c r="H735" s="192"/>
      <c r="J735" s="83"/>
      <c r="K735" s="83"/>
      <c r="L735" s="436"/>
      <c r="M735" s="83"/>
      <c r="N735" s="83"/>
      <c r="O735" s="83"/>
      <c r="P735" s="83"/>
      <c r="Q735" s="83"/>
      <c r="R735" s="83"/>
      <c r="S735" s="83"/>
      <c r="T735" s="83"/>
    </row>
    <row r="736" spans="1:20" s="14" customFormat="1" ht="14.15" customHeight="1">
      <c r="A736" s="436"/>
      <c r="B736" s="83"/>
      <c r="C736" s="83"/>
      <c r="D736" s="83"/>
      <c r="E736" s="189"/>
      <c r="F736" s="189"/>
      <c r="G736" s="192"/>
      <c r="H736" s="192"/>
      <c r="J736" s="83"/>
      <c r="K736" s="83"/>
      <c r="L736" s="436"/>
      <c r="M736" s="83"/>
      <c r="N736" s="83"/>
      <c r="O736" s="83"/>
      <c r="P736" s="83"/>
      <c r="Q736" s="83"/>
      <c r="R736" s="83"/>
      <c r="S736" s="83"/>
      <c r="T736" s="83"/>
    </row>
    <row r="737" spans="1:20" s="14" customFormat="1" ht="14.15" customHeight="1">
      <c r="A737" s="436"/>
      <c r="B737" s="83"/>
      <c r="C737" s="83"/>
      <c r="D737" s="83"/>
      <c r="E737" s="189"/>
      <c r="F737" s="189"/>
      <c r="G737" s="192"/>
      <c r="H737" s="192"/>
      <c r="J737" s="83"/>
      <c r="K737" s="83"/>
      <c r="L737" s="436"/>
      <c r="M737" s="83"/>
      <c r="N737" s="83"/>
      <c r="O737" s="83"/>
      <c r="P737" s="83"/>
      <c r="Q737" s="83"/>
      <c r="R737" s="83"/>
      <c r="S737" s="83"/>
      <c r="T737" s="83"/>
    </row>
    <row r="738" spans="1:20" s="14" customFormat="1" ht="14.15" customHeight="1">
      <c r="A738" s="436"/>
      <c r="B738" s="83"/>
      <c r="C738" s="83"/>
      <c r="D738" s="83"/>
      <c r="E738" s="189"/>
      <c r="F738" s="189"/>
      <c r="G738" s="192"/>
      <c r="H738" s="192"/>
      <c r="J738" s="83"/>
      <c r="K738" s="83"/>
      <c r="L738" s="436"/>
      <c r="M738" s="83"/>
      <c r="N738" s="83"/>
      <c r="O738" s="83"/>
      <c r="P738" s="83"/>
      <c r="Q738" s="83"/>
      <c r="R738" s="83"/>
      <c r="S738" s="83"/>
      <c r="T738" s="83"/>
    </row>
    <row r="739" spans="1:20" s="14" customFormat="1" ht="14.15" customHeight="1">
      <c r="A739" s="436"/>
      <c r="B739" s="83"/>
      <c r="C739" s="83"/>
      <c r="D739" s="83"/>
      <c r="E739" s="189"/>
      <c r="F739" s="189"/>
      <c r="G739" s="192"/>
      <c r="H739" s="192"/>
      <c r="J739" s="83"/>
      <c r="K739" s="83"/>
      <c r="L739" s="436"/>
      <c r="M739" s="83"/>
      <c r="N739" s="83"/>
      <c r="O739" s="83"/>
      <c r="P739" s="83"/>
      <c r="Q739" s="83"/>
      <c r="R739" s="83"/>
      <c r="S739" s="83"/>
      <c r="T739" s="83"/>
    </row>
    <row r="740" spans="1:20" s="14" customFormat="1" ht="14.15" customHeight="1">
      <c r="A740" s="436"/>
      <c r="B740" s="83"/>
      <c r="C740" s="83"/>
      <c r="D740" s="83"/>
      <c r="E740" s="189"/>
      <c r="F740" s="189"/>
      <c r="G740" s="192"/>
      <c r="H740" s="192"/>
      <c r="J740" s="83"/>
      <c r="K740" s="83"/>
      <c r="L740" s="436"/>
      <c r="M740" s="83"/>
      <c r="N740" s="83"/>
      <c r="O740" s="83"/>
      <c r="P740" s="83"/>
      <c r="Q740" s="83"/>
      <c r="R740" s="83"/>
      <c r="S740" s="83"/>
      <c r="T740" s="83"/>
    </row>
    <row r="741" spans="1:20" s="14" customFormat="1" ht="14.15" customHeight="1">
      <c r="A741" s="436"/>
      <c r="B741" s="83"/>
      <c r="C741" s="83"/>
      <c r="D741" s="83"/>
      <c r="E741" s="189"/>
      <c r="F741" s="189"/>
      <c r="G741" s="192"/>
      <c r="H741" s="192"/>
      <c r="J741" s="83"/>
      <c r="K741" s="83"/>
      <c r="L741" s="436"/>
      <c r="M741" s="83"/>
      <c r="N741" s="83"/>
      <c r="O741" s="83"/>
      <c r="P741" s="83"/>
      <c r="Q741" s="83"/>
      <c r="R741" s="83"/>
      <c r="S741" s="83"/>
      <c r="T741" s="83"/>
    </row>
    <row r="742" spans="1:20" s="14" customFormat="1" ht="14.15" customHeight="1">
      <c r="A742" s="436"/>
      <c r="B742" s="83"/>
      <c r="C742" s="83"/>
      <c r="D742" s="83"/>
      <c r="E742" s="189"/>
      <c r="F742" s="189"/>
      <c r="G742" s="192"/>
      <c r="H742" s="192"/>
      <c r="J742" s="83"/>
      <c r="K742" s="83"/>
      <c r="L742" s="436"/>
      <c r="M742" s="83"/>
      <c r="N742" s="83"/>
      <c r="O742" s="83"/>
      <c r="P742" s="83"/>
      <c r="Q742" s="83"/>
      <c r="R742" s="83"/>
      <c r="S742" s="83"/>
      <c r="T742" s="83"/>
    </row>
    <row r="743" spans="1:20" s="14" customFormat="1" ht="14.15" customHeight="1">
      <c r="A743" s="436"/>
      <c r="B743" s="83"/>
      <c r="C743" s="83"/>
      <c r="D743" s="83"/>
      <c r="E743" s="189"/>
      <c r="F743" s="189"/>
      <c r="G743" s="192"/>
      <c r="H743" s="192"/>
      <c r="J743" s="83"/>
      <c r="K743" s="83"/>
      <c r="L743" s="436"/>
      <c r="M743" s="83"/>
      <c r="N743" s="83"/>
      <c r="O743" s="83"/>
      <c r="P743" s="83"/>
      <c r="Q743" s="83"/>
      <c r="R743" s="83"/>
      <c r="S743" s="83"/>
      <c r="T743" s="83"/>
    </row>
    <row r="744" spans="1:20" s="14" customFormat="1" ht="14.15" customHeight="1">
      <c r="A744" s="436"/>
      <c r="B744" s="83"/>
      <c r="C744" s="83"/>
      <c r="D744" s="83"/>
      <c r="E744" s="189"/>
      <c r="F744" s="189"/>
      <c r="G744" s="192"/>
      <c r="H744" s="192"/>
      <c r="J744" s="83"/>
      <c r="K744" s="83"/>
      <c r="L744" s="436"/>
      <c r="M744" s="83"/>
      <c r="N744" s="83"/>
      <c r="O744" s="83"/>
      <c r="P744" s="83"/>
      <c r="Q744" s="83"/>
      <c r="R744" s="83"/>
      <c r="S744" s="83"/>
      <c r="T744" s="83"/>
    </row>
    <row r="745" spans="1:20" s="14" customFormat="1" ht="14.15" customHeight="1">
      <c r="A745" s="436"/>
      <c r="B745" s="83"/>
      <c r="C745" s="83"/>
      <c r="D745" s="83"/>
      <c r="E745" s="189"/>
      <c r="F745" s="189"/>
      <c r="G745" s="192"/>
      <c r="H745" s="192"/>
      <c r="J745" s="83"/>
      <c r="K745" s="83"/>
      <c r="L745" s="436"/>
      <c r="M745" s="83"/>
      <c r="N745" s="83"/>
      <c r="O745" s="83"/>
      <c r="P745" s="83"/>
      <c r="Q745" s="83"/>
      <c r="R745" s="83"/>
      <c r="S745" s="83"/>
      <c r="T745" s="83"/>
    </row>
    <row r="746" spans="1:20" s="14" customFormat="1" ht="14.15" customHeight="1">
      <c r="A746" s="436"/>
      <c r="B746" s="83"/>
      <c r="C746" s="83"/>
      <c r="D746" s="83"/>
      <c r="E746" s="189"/>
      <c r="F746" s="189"/>
      <c r="G746" s="192"/>
      <c r="H746" s="192"/>
      <c r="J746" s="83"/>
      <c r="K746" s="83"/>
      <c r="L746" s="436"/>
      <c r="M746" s="83"/>
      <c r="N746" s="83"/>
      <c r="O746" s="83"/>
      <c r="P746" s="83"/>
      <c r="Q746" s="83"/>
      <c r="R746" s="83"/>
      <c r="S746" s="83"/>
      <c r="T746" s="83"/>
    </row>
    <row r="747" spans="1:20" s="14" customFormat="1" ht="14.15" customHeight="1">
      <c r="A747" s="436"/>
      <c r="B747" s="83"/>
      <c r="C747" s="83"/>
      <c r="D747" s="83"/>
      <c r="E747" s="189"/>
      <c r="F747" s="189"/>
      <c r="G747" s="192"/>
      <c r="H747" s="192"/>
      <c r="J747" s="83"/>
      <c r="K747" s="83"/>
      <c r="L747" s="436"/>
      <c r="M747" s="83"/>
      <c r="N747" s="83"/>
      <c r="O747" s="83"/>
      <c r="P747" s="83"/>
      <c r="Q747" s="83"/>
      <c r="R747" s="83"/>
      <c r="S747" s="83"/>
      <c r="T747" s="83"/>
    </row>
    <row r="748" spans="1:20" s="14" customFormat="1" ht="14.15" customHeight="1">
      <c r="A748" s="436"/>
      <c r="B748" s="83"/>
      <c r="C748" s="83"/>
      <c r="D748" s="83"/>
      <c r="E748" s="189"/>
      <c r="F748" s="189"/>
      <c r="G748" s="192"/>
      <c r="H748" s="189"/>
      <c r="J748" s="83"/>
      <c r="K748" s="83"/>
      <c r="L748" s="436"/>
      <c r="M748" s="83"/>
      <c r="N748" s="83"/>
      <c r="O748" s="83"/>
      <c r="P748" s="83"/>
      <c r="Q748" s="83"/>
      <c r="R748" s="83"/>
      <c r="S748" s="83"/>
      <c r="T748" s="83"/>
    </row>
    <row r="749" spans="1:20" s="14" customFormat="1" ht="14.15" customHeight="1">
      <c r="A749" s="436"/>
      <c r="B749" s="83"/>
      <c r="C749" s="83"/>
      <c r="D749" s="83"/>
      <c r="E749" s="189"/>
      <c r="F749" s="189"/>
      <c r="G749" s="192"/>
      <c r="H749" s="189"/>
      <c r="J749" s="83"/>
      <c r="K749" s="83"/>
      <c r="L749" s="436"/>
      <c r="M749" s="83"/>
      <c r="N749" s="83"/>
      <c r="O749" s="83"/>
      <c r="P749" s="83"/>
      <c r="Q749" s="83"/>
      <c r="R749" s="83"/>
      <c r="S749" s="83"/>
      <c r="T749" s="83"/>
    </row>
    <row r="750" spans="1:20" s="14" customFormat="1" ht="14.15" customHeight="1">
      <c r="A750" s="436"/>
      <c r="B750" s="83"/>
      <c r="C750" s="83"/>
      <c r="D750" s="83"/>
      <c r="E750" s="189"/>
      <c r="F750" s="189"/>
      <c r="G750" s="192"/>
      <c r="H750" s="189"/>
      <c r="J750" s="83"/>
      <c r="K750" s="83"/>
      <c r="L750" s="436"/>
      <c r="M750" s="83"/>
      <c r="N750" s="83"/>
      <c r="O750" s="83"/>
      <c r="P750" s="83"/>
      <c r="Q750" s="83"/>
      <c r="R750" s="83"/>
      <c r="S750" s="83"/>
      <c r="T750" s="83"/>
    </row>
    <row r="751" spans="1:20" s="14" customFormat="1" ht="14.15" customHeight="1">
      <c r="A751" s="436"/>
      <c r="B751" s="83"/>
      <c r="C751" s="83"/>
      <c r="D751" s="83"/>
      <c r="E751" s="189"/>
      <c r="F751" s="189"/>
      <c r="G751" s="192"/>
      <c r="H751" s="189"/>
      <c r="J751" s="83"/>
      <c r="K751" s="83"/>
      <c r="L751" s="436"/>
      <c r="M751" s="83"/>
      <c r="N751" s="83"/>
      <c r="O751" s="83"/>
      <c r="P751" s="83"/>
      <c r="Q751" s="83"/>
      <c r="R751" s="83"/>
      <c r="S751" s="83"/>
      <c r="T751" s="83"/>
    </row>
    <row r="752" spans="1:20" s="14" customFormat="1" ht="14.15" customHeight="1">
      <c r="A752" s="436"/>
      <c r="B752" s="83"/>
      <c r="C752" s="83"/>
      <c r="D752" s="83"/>
      <c r="E752" s="189"/>
      <c r="F752" s="189"/>
      <c r="G752" s="192"/>
      <c r="H752" s="189"/>
      <c r="J752" s="83"/>
      <c r="K752" s="83"/>
      <c r="L752" s="436"/>
      <c r="M752" s="83"/>
      <c r="N752" s="83"/>
      <c r="O752" s="83"/>
      <c r="P752" s="83"/>
      <c r="Q752" s="83"/>
      <c r="R752" s="83"/>
      <c r="S752" s="83"/>
      <c r="T752" s="83"/>
    </row>
    <row r="753" spans="1:20" s="14" customFormat="1" ht="14.15" customHeight="1">
      <c r="A753" s="436"/>
      <c r="B753" s="83"/>
      <c r="C753" s="83"/>
      <c r="D753" s="83"/>
      <c r="E753" s="189"/>
      <c r="F753" s="189"/>
      <c r="G753" s="192"/>
      <c r="H753" s="189"/>
      <c r="J753" s="83"/>
      <c r="K753" s="83"/>
      <c r="L753" s="436"/>
      <c r="M753" s="83"/>
      <c r="N753" s="83"/>
      <c r="O753" s="83"/>
      <c r="P753" s="83"/>
      <c r="Q753" s="83"/>
      <c r="R753" s="83"/>
      <c r="S753" s="83"/>
      <c r="T753" s="83"/>
    </row>
    <row r="754" spans="1:20" s="14" customFormat="1" ht="14.15" customHeight="1">
      <c r="A754" s="436"/>
      <c r="B754" s="83"/>
      <c r="C754" s="83"/>
      <c r="D754" s="83"/>
      <c r="E754" s="189"/>
      <c r="F754" s="189"/>
      <c r="G754" s="192"/>
      <c r="H754" s="189"/>
      <c r="J754" s="83"/>
      <c r="K754" s="83"/>
      <c r="L754" s="436"/>
      <c r="M754" s="83"/>
      <c r="N754" s="83"/>
      <c r="O754" s="83"/>
      <c r="P754" s="83"/>
      <c r="Q754" s="83"/>
      <c r="R754" s="83"/>
      <c r="S754" s="83"/>
      <c r="T754" s="83"/>
    </row>
    <row r="755" spans="1:20" s="14" customFormat="1" ht="14.15" customHeight="1">
      <c r="A755" s="436"/>
      <c r="B755" s="83"/>
      <c r="C755" s="83"/>
      <c r="D755" s="83"/>
      <c r="E755" s="189"/>
      <c r="F755" s="189"/>
      <c r="G755" s="192"/>
      <c r="H755" s="189"/>
      <c r="J755" s="83"/>
      <c r="K755" s="83"/>
      <c r="L755" s="436"/>
      <c r="M755" s="83"/>
      <c r="N755" s="83"/>
      <c r="O755" s="83"/>
      <c r="P755" s="83"/>
      <c r="Q755" s="83"/>
      <c r="R755" s="83"/>
      <c r="S755" s="83"/>
      <c r="T755" s="83"/>
    </row>
    <row r="756" spans="1:20" s="14" customFormat="1" ht="14.15" customHeight="1">
      <c r="A756" s="436"/>
      <c r="B756" s="83"/>
      <c r="C756" s="83"/>
      <c r="D756" s="83"/>
      <c r="E756" s="189"/>
      <c r="F756" s="189"/>
      <c r="G756" s="192"/>
      <c r="H756" s="189"/>
      <c r="J756" s="83"/>
      <c r="K756" s="83"/>
      <c r="L756" s="436"/>
      <c r="M756" s="83"/>
      <c r="N756" s="83"/>
      <c r="O756" s="83"/>
      <c r="P756" s="83"/>
      <c r="Q756" s="83"/>
      <c r="R756" s="83"/>
      <c r="S756" s="83"/>
      <c r="T756" s="83"/>
    </row>
    <row r="757" spans="1:20" s="14" customFormat="1" ht="14.15" customHeight="1">
      <c r="A757" s="436"/>
      <c r="B757" s="83"/>
      <c r="C757" s="83"/>
      <c r="D757" s="83"/>
      <c r="E757" s="189"/>
      <c r="F757" s="189"/>
      <c r="G757" s="192"/>
      <c r="H757" s="189"/>
      <c r="J757" s="83"/>
      <c r="K757" s="83"/>
      <c r="L757" s="436"/>
      <c r="M757" s="83"/>
      <c r="N757" s="83"/>
      <c r="O757" s="83"/>
      <c r="P757" s="83"/>
      <c r="Q757" s="83"/>
      <c r="R757" s="83"/>
      <c r="S757" s="83"/>
      <c r="T757" s="83"/>
    </row>
    <row r="758" spans="1:20" s="14" customFormat="1" ht="14.15" customHeight="1">
      <c r="A758" s="436"/>
      <c r="B758" s="83"/>
      <c r="C758" s="83"/>
      <c r="D758" s="83"/>
      <c r="E758" s="189"/>
      <c r="F758" s="189"/>
      <c r="G758" s="192"/>
      <c r="H758" s="189"/>
      <c r="J758" s="83"/>
      <c r="K758" s="83"/>
      <c r="L758" s="436"/>
      <c r="M758" s="83"/>
      <c r="N758" s="83"/>
      <c r="O758" s="83"/>
      <c r="P758" s="83"/>
      <c r="Q758" s="83"/>
      <c r="R758" s="83"/>
      <c r="S758" s="83"/>
      <c r="T758" s="83"/>
    </row>
    <row r="759" spans="1:20" s="14" customFormat="1" ht="14.15" customHeight="1">
      <c r="A759" s="436"/>
      <c r="B759" s="83"/>
      <c r="C759" s="83"/>
      <c r="D759" s="83"/>
      <c r="E759" s="189"/>
      <c r="F759" s="189"/>
      <c r="G759" s="192"/>
      <c r="H759" s="189"/>
      <c r="J759" s="83"/>
      <c r="K759" s="83"/>
      <c r="L759" s="436"/>
      <c r="M759" s="83"/>
      <c r="N759" s="83"/>
      <c r="O759" s="83"/>
      <c r="P759" s="83"/>
      <c r="Q759" s="83"/>
      <c r="R759" s="83"/>
      <c r="S759" s="83"/>
      <c r="T759" s="83"/>
    </row>
    <row r="760" spans="1:20" s="14" customFormat="1" ht="14.15" customHeight="1">
      <c r="A760" s="436"/>
      <c r="B760" s="83"/>
      <c r="C760" s="83"/>
      <c r="D760" s="83"/>
      <c r="E760" s="189"/>
      <c r="F760" s="189"/>
      <c r="G760" s="192"/>
      <c r="H760" s="189"/>
      <c r="J760" s="83"/>
      <c r="K760" s="83"/>
      <c r="L760" s="436"/>
      <c r="M760" s="83"/>
      <c r="N760" s="83"/>
      <c r="O760" s="83"/>
      <c r="P760" s="83"/>
      <c r="Q760" s="83"/>
      <c r="R760" s="83"/>
      <c r="S760" s="83"/>
      <c r="T760" s="83"/>
    </row>
    <row r="761" spans="1:20" s="14" customFormat="1" ht="14.15" customHeight="1">
      <c r="A761" s="436"/>
      <c r="B761" s="83"/>
      <c r="C761" s="83"/>
      <c r="D761" s="83"/>
      <c r="E761" s="189"/>
      <c r="F761" s="189"/>
      <c r="G761" s="192"/>
      <c r="H761" s="189"/>
      <c r="J761" s="83"/>
      <c r="K761" s="83"/>
      <c r="L761" s="436"/>
      <c r="M761" s="83"/>
      <c r="N761" s="83"/>
      <c r="O761" s="83"/>
      <c r="P761" s="83"/>
      <c r="Q761" s="83"/>
      <c r="R761" s="83"/>
      <c r="S761" s="83"/>
      <c r="T761" s="83"/>
    </row>
    <row r="762" spans="1:20" s="14" customFormat="1" ht="14.15" customHeight="1">
      <c r="A762" s="436"/>
      <c r="B762" s="83"/>
      <c r="C762" s="83"/>
      <c r="D762" s="83"/>
      <c r="E762" s="189"/>
      <c r="F762" s="189"/>
      <c r="G762" s="192"/>
      <c r="H762" s="189"/>
      <c r="J762" s="83"/>
      <c r="K762" s="83"/>
      <c r="L762" s="436"/>
      <c r="M762" s="83"/>
      <c r="N762" s="83"/>
      <c r="O762" s="83"/>
      <c r="P762" s="83"/>
      <c r="Q762" s="83"/>
      <c r="R762" s="83"/>
      <c r="S762" s="83"/>
      <c r="T762" s="83"/>
    </row>
    <row r="763" spans="1:20" s="14" customFormat="1" ht="14.15" customHeight="1">
      <c r="A763" s="436"/>
      <c r="B763" s="83"/>
      <c r="C763" s="83"/>
      <c r="D763" s="83"/>
      <c r="E763" s="189"/>
      <c r="F763" s="189"/>
      <c r="G763" s="192"/>
      <c r="H763" s="189"/>
      <c r="J763" s="83"/>
      <c r="K763" s="83"/>
      <c r="L763" s="436"/>
      <c r="M763" s="83"/>
      <c r="N763" s="83"/>
      <c r="O763" s="83"/>
      <c r="P763" s="83"/>
      <c r="Q763" s="83"/>
      <c r="R763" s="83"/>
      <c r="S763" s="83"/>
      <c r="T763" s="83"/>
    </row>
    <row r="764" spans="1:20" s="14" customFormat="1" ht="14.15" customHeight="1">
      <c r="A764" s="436"/>
      <c r="B764" s="83"/>
      <c r="C764" s="83"/>
      <c r="D764" s="83"/>
      <c r="E764" s="189"/>
      <c r="F764" s="189"/>
      <c r="G764" s="192"/>
      <c r="H764" s="189"/>
      <c r="J764" s="83"/>
      <c r="K764" s="83"/>
      <c r="L764" s="436"/>
      <c r="M764" s="83"/>
      <c r="N764" s="83"/>
      <c r="O764" s="83"/>
      <c r="P764" s="83"/>
      <c r="Q764" s="83"/>
      <c r="R764" s="83"/>
      <c r="S764" s="83"/>
      <c r="T764" s="83"/>
    </row>
    <row r="765" spans="1:20" s="14" customFormat="1" ht="14.15" customHeight="1">
      <c r="A765" s="436"/>
      <c r="B765" s="83"/>
      <c r="C765" s="83"/>
      <c r="D765" s="83"/>
      <c r="E765" s="189"/>
      <c r="F765" s="189"/>
      <c r="G765" s="192"/>
      <c r="H765" s="189"/>
      <c r="J765" s="83"/>
      <c r="K765" s="83"/>
      <c r="L765" s="436"/>
      <c r="M765" s="83"/>
      <c r="N765" s="83"/>
      <c r="O765" s="83"/>
      <c r="P765" s="83"/>
      <c r="Q765" s="83"/>
      <c r="R765" s="83"/>
      <c r="S765" s="83"/>
      <c r="T765" s="83"/>
    </row>
    <row r="766" spans="1:20" s="14" customFormat="1" ht="14.15" customHeight="1">
      <c r="A766" s="436"/>
      <c r="B766" s="83"/>
      <c r="C766" s="83"/>
      <c r="D766" s="83"/>
      <c r="E766" s="189"/>
      <c r="F766" s="189"/>
      <c r="G766" s="192"/>
      <c r="H766" s="189"/>
      <c r="J766" s="83"/>
      <c r="K766" s="83"/>
      <c r="L766" s="436"/>
      <c r="M766" s="83"/>
      <c r="N766" s="83"/>
      <c r="O766" s="83"/>
      <c r="P766" s="83"/>
      <c r="Q766" s="83"/>
      <c r="R766" s="83"/>
      <c r="S766" s="83"/>
      <c r="T766" s="83"/>
    </row>
    <row r="767" spans="1:20" s="14" customFormat="1" ht="14.15" customHeight="1">
      <c r="A767" s="436"/>
      <c r="B767" s="83"/>
      <c r="C767" s="83"/>
      <c r="D767" s="83"/>
      <c r="E767" s="189"/>
      <c r="F767" s="189"/>
      <c r="G767" s="192"/>
      <c r="H767" s="189"/>
      <c r="J767" s="83"/>
      <c r="K767" s="83"/>
      <c r="L767" s="436"/>
      <c r="M767" s="83"/>
      <c r="N767" s="83"/>
      <c r="O767" s="83"/>
      <c r="P767" s="83"/>
      <c r="Q767" s="83"/>
      <c r="R767" s="83"/>
      <c r="S767" s="83"/>
      <c r="T767" s="83"/>
    </row>
    <row r="768" spans="1:20" s="14" customFormat="1" ht="14.15" customHeight="1">
      <c r="A768" s="436"/>
      <c r="B768" s="83"/>
      <c r="C768" s="83"/>
      <c r="D768" s="83"/>
      <c r="E768" s="189"/>
      <c r="F768" s="189"/>
      <c r="G768" s="192"/>
      <c r="H768" s="189"/>
      <c r="J768" s="83"/>
      <c r="K768" s="83"/>
      <c r="L768" s="436"/>
      <c r="M768" s="83"/>
      <c r="N768" s="83"/>
      <c r="O768" s="83"/>
      <c r="P768" s="83"/>
      <c r="Q768" s="83"/>
      <c r="R768" s="83"/>
      <c r="S768" s="83"/>
      <c r="T768" s="83"/>
    </row>
    <row r="769" spans="1:20" s="14" customFormat="1" ht="14.15" customHeight="1">
      <c r="A769" s="436"/>
      <c r="B769" s="83"/>
      <c r="C769" s="83"/>
      <c r="D769" s="83"/>
      <c r="E769" s="189"/>
      <c r="F769" s="189"/>
      <c r="G769" s="192"/>
      <c r="H769" s="189"/>
      <c r="J769" s="83"/>
      <c r="K769" s="83"/>
      <c r="L769" s="436"/>
      <c r="M769" s="83"/>
      <c r="N769" s="83"/>
      <c r="O769" s="83"/>
      <c r="P769" s="83"/>
      <c r="Q769" s="83"/>
      <c r="R769" s="83"/>
      <c r="S769" s="83"/>
      <c r="T769" s="83"/>
    </row>
    <row r="770" spans="1:20" s="14" customFormat="1" ht="14.15" customHeight="1">
      <c r="A770" s="436"/>
      <c r="B770" s="83"/>
      <c r="C770" s="83"/>
      <c r="D770" s="83"/>
      <c r="E770" s="189"/>
      <c r="F770" s="189"/>
      <c r="G770" s="192"/>
      <c r="H770" s="189"/>
      <c r="J770" s="83"/>
      <c r="K770" s="83"/>
      <c r="L770" s="436"/>
      <c r="M770" s="83"/>
      <c r="N770" s="83"/>
      <c r="O770" s="83"/>
      <c r="P770" s="83"/>
      <c r="Q770" s="83"/>
      <c r="R770" s="83"/>
      <c r="S770" s="83"/>
      <c r="T770" s="83"/>
    </row>
    <row r="771" spans="1:20" s="14" customFormat="1" ht="14.15" customHeight="1">
      <c r="A771" s="436"/>
      <c r="B771" s="83"/>
      <c r="C771" s="83"/>
      <c r="D771" s="83"/>
      <c r="E771" s="189"/>
      <c r="F771" s="189"/>
      <c r="G771" s="192"/>
      <c r="H771" s="189"/>
      <c r="J771" s="83"/>
      <c r="K771" s="83"/>
      <c r="L771" s="436"/>
      <c r="M771" s="83"/>
      <c r="N771" s="83"/>
      <c r="O771" s="83"/>
      <c r="P771" s="83"/>
      <c r="Q771" s="83"/>
      <c r="R771" s="83"/>
      <c r="S771" s="83"/>
      <c r="T771" s="83"/>
    </row>
    <row r="772" spans="1:20" s="14" customFormat="1" ht="14.15" customHeight="1">
      <c r="A772" s="436"/>
      <c r="B772" s="83"/>
      <c r="C772" s="83"/>
      <c r="D772" s="83"/>
      <c r="E772" s="189"/>
      <c r="F772" s="189"/>
      <c r="G772" s="192"/>
      <c r="H772" s="189"/>
      <c r="J772" s="83"/>
      <c r="K772" s="83"/>
      <c r="L772" s="436"/>
      <c r="M772" s="83"/>
      <c r="N772" s="83"/>
      <c r="O772" s="83"/>
      <c r="P772" s="83"/>
      <c r="Q772" s="83"/>
      <c r="R772" s="83"/>
      <c r="S772" s="83"/>
      <c r="T772" s="83"/>
    </row>
    <row r="773" spans="1:20" s="14" customFormat="1" ht="14.15" customHeight="1">
      <c r="A773" s="436"/>
      <c r="B773" s="83"/>
      <c r="C773" s="83"/>
      <c r="D773" s="83"/>
      <c r="E773" s="189"/>
      <c r="F773" s="189"/>
      <c r="G773" s="192"/>
      <c r="H773" s="189"/>
      <c r="J773" s="83"/>
      <c r="K773" s="83"/>
      <c r="L773" s="436"/>
      <c r="M773" s="83"/>
      <c r="N773" s="83"/>
      <c r="O773" s="83"/>
      <c r="P773" s="83"/>
      <c r="Q773" s="83"/>
      <c r="R773" s="83"/>
      <c r="S773" s="83"/>
      <c r="T773" s="83"/>
    </row>
    <row r="774" spans="1:20" s="14" customFormat="1" ht="14.15" customHeight="1">
      <c r="A774" s="436"/>
      <c r="B774" s="83"/>
      <c r="C774" s="83"/>
      <c r="D774" s="83"/>
      <c r="E774" s="189"/>
      <c r="F774" s="189"/>
      <c r="G774" s="192"/>
      <c r="H774" s="189"/>
      <c r="J774" s="83"/>
      <c r="K774" s="83"/>
      <c r="L774" s="436"/>
      <c r="M774" s="83"/>
      <c r="N774" s="83"/>
      <c r="O774" s="83"/>
      <c r="P774" s="83"/>
      <c r="Q774" s="83"/>
      <c r="R774" s="83"/>
      <c r="S774" s="83"/>
      <c r="T774" s="83"/>
    </row>
    <row r="775" spans="1:20" s="14" customFormat="1" ht="14.15" customHeight="1">
      <c r="A775" s="436"/>
      <c r="B775" s="83"/>
      <c r="C775" s="83"/>
      <c r="D775" s="83"/>
      <c r="E775" s="189"/>
      <c r="F775" s="189"/>
      <c r="G775" s="192"/>
      <c r="H775" s="189"/>
      <c r="J775" s="83"/>
      <c r="K775" s="83"/>
      <c r="L775" s="436"/>
      <c r="M775" s="83"/>
      <c r="N775" s="83"/>
      <c r="O775" s="83"/>
      <c r="P775" s="83"/>
      <c r="Q775" s="83"/>
      <c r="R775" s="83"/>
      <c r="S775" s="83"/>
      <c r="T775" s="83"/>
    </row>
    <row r="776" spans="1:20" s="14" customFormat="1" ht="14.15" customHeight="1">
      <c r="A776" s="436"/>
      <c r="B776" s="83"/>
      <c r="C776" s="83"/>
      <c r="D776" s="83"/>
      <c r="E776" s="189"/>
      <c r="F776" s="189"/>
      <c r="G776" s="192"/>
      <c r="H776" s="189"/>
      <c r="J776" s="83"/>
      <c r="K776" s="83"/>
      <c r="L776" s="436"/>
      <c r="M776" s="83"/>
      <c r="N776" s="83"/>
      <c r="O776" s="83"/>
      <c r="P776" s="83"/>
      <c r="Q776" s="83"/>
      <c r="R776" s="83"/>
      <c r="S776" s="83"/>
      <c r="T776" s="83"/>
    </row>
    <row r="777" spans="1:20" s="14" customFormat="1" ht="14.15" customHeight="1">
      <c r="A777" s="436"/>
      <c r="B777" s="83"/>
      <c r="C777" s="83"/>
      <c r="D777" s="83"/>
      <c r="E777" s="189"/>
      <c r="F777" s="189"/>
      <c r="G777" s="192"/>
      <c r="H777" s="189"/>
      <c r="J777" s="83"/>
      <c r="K777" s="83"/>
      <c r="L777" s="436"/>
      <c r="M777" s="83"/>
      <c r="N777" s="83"/>
      <c r="O777" s="83"/>
      <c r="P777" s="83"/>
      <c r="Q777" s="83"/>
      <c r="R777" s="83"/>
      <c r="S777" s="83"/>
      <c r="T777" s="83"/>
    </row>
    <row r="778" spans="1:20" s="14" customFormat="1" ht="14.15" customHeight="1">
      <c r="A778" s="436"/>
      <c r="B778" s="83"/>
      <c r="C778" s="83"/>
      <c r="D778" s="83"/>
      <c r="E778" s="189"/>
      <c r="F778" s="189"/>
      <c r="G778" s="189"/>
      <c r="H778" s="189"/>
      <c r="J778" s="83"/>
      <c r="K778" s="83"/>
      <c r="L778" s="436"/>
      <c r="M778" s="83"/>
      <c r="N778" s="83"/>
      <c r="O778" s="83"/>
      <c r="P778" s="83"/>
      <c r="Q778" s="83"/>
      <c r="R778" s="83"/>
      <c r="S778" s="83"/>
      <c r="T778" s="83"/>
    </row>
    <row r="779" spans="1:20" s="14" customFormat="1" ht="14.15" customHeight="1">
      <c r="A779" s="436"/>
      <c r="B779" s="83"/>
      <c r="C779" s="83"/>
      <c r="D779" s="83"/>
      <c r="E779" s="189"/>
      <c r="F779" s="189"/>
      <c r="G779" s="189"/>
      <c r="H779" s="189"/>
      <c r="J779" s="83"/>
      <c r="K779" s="83"/>
      <c r="L779" s="436"/>
      <c r="M779" s="83"/>
      <c r="N779" s="83"/>
      <c r="O779" s="83"/>
      <c r="P779" s="83"/>
      <c r="Q779" s="83"/>
      <c r="R779" s="83"/>
      <c r="S779" s="83"/>
      <c r="T779" s="83"/>
    </row>
    <row r="780" spans="1:20" s="14" customFormat="1" ht="14.15" customHeight="1">
      <c r="A780" s="436"/>
      <c r="B780" s="83"/>
      <c r="C780" s="83"/>
      <c r="D780" s="83"/>
      <c r="E780" s="189"/>
      <c r="F780" s="189"/>
      <c r="G780" s="189"/>
      <c r="H780" s="189"/>
      <c r="J780" s="83"/>
      <c r="K780" s="83"/>
      <c r="L780" s="436"/>
      <c r="M780" s="83"/>
      <c r="N780" s="83"/>
      <c r="O780" s="83"/>
      <c r="P780" s="83"/>
      <c r="Q780" s="83"/>
      <c r="R780" s="83"/>
      <c r="S780" s="83"/>
      <c r="T780" s="83"/>
    </row>
    <row r="781" spans="1:20" s="14" customFormat="1" ht="14.15" customHeight="1">
      <c r="A781" s="436"/>
      <c r="B781" s="83"/>
      <c r="C781" s="83"/>
      <c r="D781" s="83"/>
      <c r="E781" s="189"/>
      <c r="F781" s="189"/>
      <c r="G781" s="189"/>
      <c r="H781" s="189"/>
      <c r="J781" s="83"/>
      <c r="K781" s="83"/>
      <c r="L781" s="436"/>
      <c r="M781" s="83"/>
      <c r="N781" s="83"/>
      <c r="O781" s="83"/>
      <c r="P781" s="83"/>
      <c r="Q781" s="83"/>
      <c r="R781" s="83"/>
      <c r="S781" s="83"/>
      <c r="T781" s="83"/>
    </row>
    <row r="782" spans="1:20" s="14" customFormat="1" ht="14.15" customHeight="1">
      <c r="A782" s="436"/>
      <c r="B782" s="83"/>
      <c r="C782" s="83"/>
      <c r="D782" s="83"/>
      <c r="E782" s="189"/>
      <c r="F782" s="189"/>
      <c r="G782" s="189"/>
      <c r="H782" s="189"/>
      <c r="J782" s="83"/>
      <c r="K782" s="83"/>
      <c r="L782" s="436"/>
      <c r="M782" s="83"/>
      <c r="N782" s="83"/>
      <c r="O782" s="83"/>
      <c r="P782" s="83"/>
      <c r="Q782" s="83"/>
      <c r="R782" s="83"/>
      <c r="S782" s="83"/>
      <c r="T782" s="83"/>
    </row>
    <row r="783" spans="1:20" s="14" customFormat="1" ht="14.15" customHeight="1">
      <c r="A783" s="436"/>
      <c r="B783" s="83"/>
      <c r="C783" s="83"/>
      <c r="D783" s="83"/>
      <c r="E783" s="189"/>
      <c r="F783" s="189"/>
      <c r="G783" s="189"/>
      <c r="H783" s="189"/>
      <c r="J783" s="83"/>
      <c r="K783" s="83"/>
      <c r="L783" s="436"/>
      <c r="M783" s="83"/>
      <c r="N783" s="83"/>
      <c r="O783" s="83"/>
      <c r="P783" s="83"/>
      <c r="Q783" s="83"/>
      <c r="R783" s="83"/>
      <c r="S783" s="83"/>
      <c r="T783" s="83"/>
    </row>
    <row r="784" spans="1:20" s="14" customFormat="1" ht="14.15" customHeight="1">
      <c r="A784" s="436"/>
      <c r="B784" s="83"/>
      <c r="C784" s="83"/>
      <c r="D784" s="83"/>
      <c r="E784" s="189"/>
      <c r="F784" s="189"/>
      <c r="G784" s="189"/>
      <c r="H784" s="189"/>
      <c r="J784" s="83"/>
      <c r="K784" s="83"/>
      <c r="L784" s="436"/>
      <c r="M784" s="83"/>
      <c r="N784" s="83"/>
      <c r="O784" s="83"/>
      <c r="P784" s="83"/>
      <c r="Q784" s="83"/>
      <c r="R784" s="83"/>
      <c r="S784" s="83"/>
      <c r="T784" s="83"/>
    </row>
    <row r="785" spans="1:20" s="14" customFormat="1" ht="14.15" customHeight="1">
      <c r="A785" s="436"/>
      <c r="B785" s="83"/>
      <c r="C785" s="83"/>
      <c r="D785" s="83"/>
      <c r="E785" s="189"/>
      <c r="F785" s="189"/>
      <c r="G785" s="189"/>
      <c r="H785" s="189"/>
      <c r="J785" s="83"/>
      <c r="K785" s="83"/>
      <c r="L785" s="436"/>
      <c r="M785" s="83"/>
      <c r="N785" s="83"/>
      <c r="O785" s="83"/>
      <c r="P785" s="83"/>
      <c r="Q785" s="83"/>
      <c r="R785" s="83"/>
      <c r="S785" s="83"/>
      <c r="T785" s="83"/>
    </row>
    <row r="786" spans="1:20" s="14" customFormat="1" ht="14.15" customHeight="1">
      <c r="A786" s="436"/>
      <c r="B786" s="83"/>
      <c r="C786" s="83"/>
      <c r="D786" s="83"/>
      <c r="E786" s="189"/>
      <c r="F786" s="189"/>
      <c r="G786" s="189"/>
      <c r="H786" s="189"/>
      <c r="J786" s="83"/>
      <c r="K786" s="83"/>
      <c r="L786" s="436"/>
      <c r="M786" s="83"/>
      <c r="N786" s="83"/>
      <c r="O786" s="83"/>
      <c r="P786" s="83"/>
      <c r="Q786" s="83"/>
      <c r="R786" s="83"/>
      <c r="S786" s="83"/>
      <c r="T786" s="83"/>
    </row>
    <row r="787" spans="1:20" s="14" customFormat="1" ht="14.15" customHeight="1">
      <c r="A787" s="436"/>
      <c r="B787" s="83"/>
      <c r="C787" s="83"/>
      <c r="D787" s="83"/>
      <c r="E787" s="189"/>
      <c r="F787" s="189"/>
      <c r="G787" s="189"/>
      <c r="H787" s="189"/>
      <c r="J787" s="83"/>
      <c r="K787" s="83"/>
      <c r="L787" s="436"/>
      <c r="M787" s="83"/>
      <c r="N787" s="83"/>
      <c r="O787" s="83"/>
      <c r="P787" s="83"/>
      <c r="Q787" s="83"/>
      <c r="R787" s="83"/>
      <c r="S787" s="83"/>
      <c r="T787" s="83"/>
    </row>
    <row r="788" spans="1:20" s="14" customFormat="1" ht="14.15" customHeight="1">
      <c r="A788" s="436"/>
      <c r="B788" s="83"/>
      <c r="C788" s="83"/>
      <c r="D788" s="83"/>
      <c r="E788" s="189"/>
      <c r="F788" s="189"/>
      <c r="G788" s="189"/>
      <c r="H788" s="189"/>
      <c r="J788" s="83"/>
      <c r="K788" s="83"/>
      <c r="L788" s="436"/>
      <c r="M788" s="83"/>
      <c r="N788" s="83"/>
      <c r="O788" s="83"/>
      <c r="P788" s="83"/>
      <c r="Q788" s="83"/>
      <c r="R788" s="83"/>
      <c r="S788" s="83"/>
      <c r="T788" s="83"/>
    </row>
    <row r="789" spans="1:20" s="14" customFormat="1" ht="14.15" customHeight="1">
      <c r="A789" s="436"/>
      <c r="B789" s="83"/>
      <c r="C789" s="83"/>
      <c r="D789" s="83"/>
      <c r="E789" s="189"/>
      <c r="F789" s="189"/>
      <c r="G789" s="189"/>
      <c r="H789" s="189"/>
      <c r="J789" s="83"/>
      <c r="K789" s="83"/>
      <c r="L789" s="436"/>
      <c r="M789" s="83"/>
      <c r="N789" s="83"/>
      <c r="O789" s="83"/>
      <c r="P789" s="83"/>
      <c r="Q789" s="83"/>
      <c r="R789" s="83"/>
      <c r="S789" s="83"/>
      <c r="T789" s="83"/>
    </row>
    <row r="790" spans="1:20" s="14" customFormat="1" ht="14.15" customHeight="1">
      <c r="A790" s="436"/>
      <c r="B790" s="83"/>
      <c r="C790" s="83"/>
      <c r="D790" s="83"/>
      <c r="E790" s="189"/>
      <c r="F790" s="189"/>
      <c r="G790" s="189"/>
      <c r="H790" s="189"/>
      <c r="J790" s="83"/>
      <c r="K790" s="83"/>
      <c r="L790" s="436"/>
      <c r="M790" s="83"/>
      <c r="N790" s="83"/>
      <c r="O790" s="83"/>
      <c r="P790" s="83"/>
      <c r="Q790" s="83"/>
      <c r="R790" s="83"/>
      <c r="S790" s="83"/>
      <c r="T790" s="83"/>
    </row>
    <row r="791" spans="1:20" s="14" customFormat="1" ht="14.15" customHeight="1">
      <c r="A791" s="436"/>
      <c r="B791" s="83"/>
      <c r="C791" s="83"/>
      <c r="D791" s="83"/>
      <c r="E791" s="189"/>
      <c r="F791" s="189"/>
      <c r="G791" s="189"/>
      <c r="H791" s="189"/>
      <c r="J791" s="83"/>
      <c r="K791" s="83"/>
      <c r="L791" s="436"/>
      <c r="M791" s="83"/>
      <c r="N791" s="83"/>
      <c r="O791" s="83"/>
      <c r="P791" s="83"/>
      <c r="Q791" s="83"/>
      <c r="R791" s="83"/>
      <c r="S791" s="83"/>
      <c r="T791" s="83"/>
    </row>
    <row r="792" spans="1:20" s="14" customFormat="1" ht="14.15" customHeight="1">
      <c r="A792" s="436"/>
      <c r="B792" s="83"/>
      <c r="C792" s="83"/>
      <c r="D792" s="83"/>
      <c r="E792" s="189"/>
      <c r="F792" s="189"/>
      <c r="G792" s="189"/>
      <c r="H792" s="189"/>
      <c r="J792" s="83"/>
      <c r="K792" s="83"/>
      <c r="L792" s="436"/>
      <c r="M792" s="83"/>
      <c r="N792" s="83"/>
      <c r="O792" s="83"/>
      <c r="P792" s="83"/>
      <c r="Q792" s="83"/>
      <c r="R792" s="83"/>
      <c r="S792" s="83"/>
      <c r="T792" s="83"/>
    </row>
    <row r="793" spans="1:20" s="14" customFormat="1" ht="14.15" customHeight="1">
      <c r="A793" s="436"/>
      <c r="B793" s="83"/>
      <c r="C793" s="83"/>
      <c r="D793" s="83"/>
      <c r="E793" s="189"/>
      <c r="F793" s="189"/>
      <c r="G793" s="189"/>
      <c r="H793" s="189"/>
      <c r="J793" s="83"/>
      <c r="K793" s="83"/>
      <c r="L793" s="436"/>
      <c r="M793" s="83"/>
      <c r="N793" s="83"/>
      <c r="O793" s="83"/>
      <c r="P793" s="83"/>
      <c r="Q793" s="83"/>
      <c r="R793" s="83"/>
      <c r="S793" s="83"/>
      <c r="T793" s="83"/>
    </row>
    <row r="794" spans="1:20" s="14" customFormat="1" ht="14.15" customHeight="1">
      <c r="A794" s="436"/>
      <c r="B794" s="83"/>
      <c r="C794" s="83"/>
      <c r="D794" s="83"/>
      <c r="E794" s="189"/>
      <c r="F794" s="189"/>
      <c r="G794" s="189"/>
      <c r="H794" s="189"/>
      <c r="J794" s="83"/>
      <c r="K794" s="83"/>
      <c r="L794" s="436"/>
      <c r="M794" s="83"/>
      <c r="N794" s="83"/>
      <c r="O794" s="83"/>
      <c r="P794" s="83"/>
      <c r="Q794" s="83"/>
      <c r="R794" s="83"/>
      <c r="S794" s="83"/>
      <c r="T794" s="83"/>
    </row>
    <row r="795" spans="1:20" s="14" customFormat="1" ht="14.15" customHeight="1">
      <c r="A795" s="436"/>
      <c r="B795" s="83"/>
      <c r="C795" s="83"/>
      <c r="D795" s="83"/>
      <c r="E795" s="189"/>
      <c r="F795" s="189"/>
      <c r="G795" s="189"/>
      <c r="H795" s="189"/>
      <c r="J795" s="83"/>
      <c r="K795" s="83"/>
      <c r="L795" s="436"/>
      <c r="M795" s="83"/>
      <c r="N795" s="83"/>
      <c r="O795" s="83"/>
      <c r="P795" s="83"/>
      <c r="Q795" s="83"/>
      <c r="R795" s="83"/>
      <c r="S795" s="83"/>
      <c r="T795" s="83"/>
    </row>
    <row r="796" spans="1:20" s="14" customFormat="1" ht="14.15" customHeight="1">
      <c r="A796" s="436"/>
      <c r="B796" s="83"/>
      <c r="C796" s="83"/>
      <c r="D796" s="83"/>
      <c r="E796" s="189"/>
      <c r="F796" s="189"/>
      <c r="G796" s="189"/>
      <c r="H796" s="189"/>
      <c r="J796" s="83"/>
      <c r="K796" s="83"/>
      <c r="L796" s="436"/>
      <c r="M796" s="83"/>
      <c r="N796" s="83"/>
      <c r="O796" s="83"/>
      <c r="P796" s="83"/>
      <c r="Q796" s="83"/>
      <c r="R796" s="83"/>
      <c r="S796" s="83"/>
      <c r="T796" s="83"/>
    </row>
    <row r="797" spans="1:20" s="14" customFormat="1" ht="14.15" customHeight="1">
      <c r="A797" s="436"/>
      <c r="B797" s="83"/>
      <c r="C797" s="83"/>
      <c r="D797" s="83"/>
      <c r="E797" s="189"/>
      <c r="F797" s="189"/>
      <c r="G797" s="189"/>
      <c r="H797" s="189"/>
      <c r="J797" s="83"/>
      <c r="K797" s="83"/>
      <c r="L797" s="436"/>
      <c r="M797" s="83"/>
      <c r="N797" s="83"/>
      <c r="O797" s="83"/>
      <c r="P797" s="83"/>
      <c r="Q797" s="83"/>
      <c r="R797" s="83"/>
      <c r="S797" s="83"/>
      <c r="T797" s="83"/>
    </row>
    <row r="798" spans="1:20" s="14" customFormat="1" ht="14.15" customHeight="1">
      <c r="A798" s="436"/>
      <c r="B798" s="83"/>
      <c r="C798" s="83"/>
      <c r="D798" s="83"/>
      <c r="E798" s="189"/>
      <c r="F798" s="189"/>
      <c r="G798" s="189"/>
      <c r="H798" s="189"/>
      <c r="J798" s="83"/>
      <c r="K798" s="83"/>
      <c r="L798" s="436"/>
      <c r="M798" s="83"/>
      <c r="N798" s="83"/>
      <c r="O798" s="83"/>
      <c r="P798" s="83"/>
      <c r="Q798" s="83"/>
      <c r="R798" s="83"/>
      <c r="S798" s="83"/>
      <c r="T798" s="83"/>
    </row>
    <row r="799" spans="1:20" s="14" customFormat="1" ht="14.15" customHeight="1">
      <c r="A799" s="436"/>
      <c r="B799" s="83"/>
      <c r="C799" s="83"/>
      <c r="D799" s="83"/>
      <c r="E799" s="189"/>
      <c r="F799" s="189"/>
      <c r="G799" s="189"/>
      <c r="H799" s="189"/>
      <c r="J799" s="83"/>
      <c r="K799" s="83"/>
      <c r="L799" s="436"/>
      <c r="M799" s="83"/>
      <c r="N799" s="83"/>
      <c r="O799" s="83"/>
      <c r="P799" s="83"/>
      <c r="Q799" s="83"/>
      <c r="R799" s="83"/>
      <c r="S799" s="83"/>
      <c r="T799" s="83"/>
    </row>
    <row r="800" spans="1:20" s="14" customFormat="1" ht="14.15" customHeight="1">
      <c r="A800" s="436"/>
      <c r="B800" s="83"/>
      <c r="C800" s="83"/>
      <c r="D800" s="83"/>
      <c r="E800" s="189"/>
      <c r="F800" s="189"/>
      <c r="G800" s="189"/>
      <c r="H800" s="189"/>
      <c r="J800" s="83"/>
      <c r="K800" s="83"/>
      <c r="L800" s="436"/>
      <c r="M800" s="83"/>
      <c r="N800" s="83"/>
      <c r="O800" s="83"/>
      <c r="P800" s="83"/>
      <c r="Q800" s="83"/>
      <c r="R800" s="83"/>
      <c r="S800" s="83"/>
      <c r="T800" s="83"/>
    </row>
    <row r="801" spans="1:20" s="14" customFormat="1" ht="14.15" customHeight="1">
      <c r="A801" s="436"/>
      <c r="B801" s="83"/>
      <c r="C801" s="83"/>
      <c r="D801" s="83"/>
      <c r="E801" s="189"/>
      <c r="F801" s="189"/>
      <c r="G801" s="189"/>
      <c r="H801" s="189"/>
      <c r="J801" s="83"/>
      <c r="K801" s="83"/>
      <c r="L801" s="436"/>
      <c r="M801" s="83"/>
      <c r="N801" s="83"/>
      <c r="O801" s="83"/>
      <c r="P801" s="83"/>
      <c r="Q801" s="83"/>
      <c r="R801" s="83"/>
      <c r="S801" s="83"/>
      <c r="T801" s="83"/>
    </row>
    <row r="802" spans="1:20" s="14" customFormat="1" ht="14.15" customHeight="1">
      <c r="A802" s="436"/>
      <c r="B802" s="83"/>
      <c r="C802" s="83"/>
      <c r="D802" s="83"/>
      <c r="E802" s="189"/>
      <c r="F802" s="189"/>
      <c r="G802" s="189"/>
      <c r="H802" s="189"/>
      <c r="J802" s="83"/>
      <c r="K802" s="83"/>
      <c r="L802" s="436"/>
      <c r="M802" s="83"/>
      <c r="N802" s="83"/>
      <c r="O802" s="83"/>
      <c r="P802" s="83"/>
      <c r="Q802" s="83"/>
      <c r="R802" s="83"/>
      <c r="S802" s="83"/>
      <c r="T802" s="83"/>
    </row>
    <row r="803" spans="1:20" s="14" customFormat="1" ht="14.15" customHeight="1">
      <c r="A803" s="436"/>
      <c r="B803" s="83"/>
      <c r="C803" s="83"/>
      <c r="D803" s="83"/>
      <c r="E803" s="189"/>
      <c r="F803" s="189"/>
      <c r="G803" s="189"/>
      <c r="H803" s="189"/>
      <c r="J803" s="83"/>
      <c r="K803" s="83"/>
      <c r="L803" s="436"/>
      <c r="M803" s="83"/>
      <c r="N803" s="83"/>
      <c r="O803" s="83"/>
      <c r="P803" s="83"/>
      <c r="Q803" s="83"/>
      <c r="R803" s="83"/>
      <c r="S803" s="83"/>
      <c r="T803" s="83"/>
    </row>
    <row r="804" spans="1:20" s="14" customFormat="1" ht="14.15" customHeight="1">
      <c r="A804" s="436"/>
      <c r="B804" s="83"/>
      <c r="C804" s="83"/>
      <c r="D804" s="83"/>
      <c r="E804" s="189"/>
      <c r="F804" s="189"/>
      <c r="G804" s="189"/>
      <c r="H804" s="189"/>
      <c r="J804" s="83"/>
      <c r="K804" s="83"/>
      <c r="L804" s="436"/>
      <c r="M804" s="83"/>
      <c r="N804" s="83"/>
      <c r="O804" s="83"/>
      <c r="P804" s="83"/>
      <c r="Q804" s="83"/>
      <c r="R804" s="83"/>
      <c r="S804" s="83"/>
      <c r="T804" s="83"/>
    </row>
    <row r="805" spans="1:20" s="14" customFormat="1" ht="14.15" customHeight="1">
      <c r="A805" s="436"/>
      <c r="B805" s="83"/>
      <c r="C805" s="83"/>
      <c r="D805" s="83"/>
      <c r="E805" s="189"/>
      <c r="F805" s="189"/>
      <c r="G805" s="189"/>
      <c r="H805" s="189"/>
      <c r="J805" s="83"/>
      <c r="K805" s="83"/>
      <c r="L805" s="436"/>
      <c r="M805" s="83"/>
      <c r="N805" s="83"/>
      <c r="O805" s="83"/>
      <c r="P805" s="83"/>
      <c r="Q805" s="83"/>
      <c r="R805" s="83"/>
      <c r="S805" s="83"/>
      <c r="T805" s="83"/>
    </row>
    <row r="806" spans="1:20" s="14" customFormat="1" ht="14.15" customHeight="1">
      <c r="A806" s="436"/>
      <c r="B806" s="83"/>
      <c r="C806" s="83"/>
      <c r="D806" s="83"/>
      <c r="E806" s="189"/>
      <c r="F806" s="189"/>
      <c r="G806" s="189"/>
      <c r="H806" s="189"/>
      <c r="J806" s="83"/>
      <c r="K806" s="83"/>
      <c r="L806" s="436"/>
      <c r="M806" s="83"/>
      <c r="N806" s="83"/>
      <c r="O806" s="83"/>
      <c r="P806" s="83"/>
      <c r="Q806" s="83"/>
      <c r="R806" s="83"/>
      <c r="S806" s="83"/>
      <c r="T806" s="83"/>
    </row>
    <row r="807" spans="1:20" s="14" customFormat="1" ht="14.15" customHeight="1">
      <c r="A807" s="436"/>
      <c r="B807" s="83"/>
      <c r="C807" s="83"/>
      <c r="D807" s="83"/>
      <c r="E807" s="189"/>
      <c r="F807" s="189"/>
      <c r="G807" s="189"/>
      <c r="H807" s="189"/>
      <c r="J807" s="83"/>
      <c r="K807" s="83"/>
      <c r="L807" s="436"/>
      <c r="M807" s="83"/>
      <c r="N807" s="83"/>
      <c r="O807" s="83"/>
      <c r="P807" s="83"/>
      <c r="Q807" s="83"/>
      <c r="R807" s="83"/>
      <c r="S807" s="83"/>
      <c r="T807" s="83"/>
    </row>
    <row r="808" spans="1:20" s="14" customFormat="1" ht="14.15" customHeight="1">
      <c r="A808" s="436"/>
      <c r="B808" s="83"/>
      <c r="C808" s="83"/>
      <c r="D808" s="83"/>
      <c r="E808" s="189"/>
      <c r="F808" s="189"/>
      <c r="G808" s="189"/>
      <c r="H808" s="189"/>
      <c r="J808" s="83"/>
      <c r="K808" s="83"/>
      <c r="L808" s="436"/>
      <c r="M808" s="83"/>
      <c r="N808" s="83"/>
      <c r="O808" s="83"/>
      <c r="P808" s="83"/>
      <c r="Q808" s="83"/>
      <c r="R808" s="83"/>
      <c r="S808" s="83"/>
      <c r="T808" s="83"/>
    </row>
    <row r="809" spans="1:20" s="14" customFormat="1" ht="14.15" customHeight="1">
      <c r="A809" s="436"/>
      <c r="B809" s="83"/>
      <c r="C809" s="83"/>
      <c r="D809" s="83"/>
      <c r="E809" s="189"/>
      <c r="F809" s="189"/>
      <c r="G809" s="189"/>
      <c r="H809" s="189"/>
      <c r="J809" s="83"/>
      <c r="K809" s="83"/>
      <c r="L809" s="436"/>
      <c r="M809" s="83"/>
      <c r="N809" s="83"/>
      <c r="O809" s="83"/>
      <c r="P809" s="83"/>
      <c r="Q809" s="83"/>
      <c r="R809" s="83"/>
      <c r="S809" s="83"/>
      <c r="T809" s="83"/>
    </row>
    <row r="810" spans="1:20" s="14" customFormat="1" ht="14.15" customHeight="1">
      <c r="A810" s="436"/>
      <c r="B810" s="83"/>
      <c r="C810" s="83"/>
      <c r="D810" s="83"/>
      <c r="E810" s="189"/>
      <c r="F810" s="189"/>
      <c r="G810" s="189"/>
      <c r="H810" s="189"/>
      <c r="J810" s="83"/>
      <c r="K810" s="83"/>
      <c r="L810" s="436"/>
      <c r="M810" s="83"/>
      <c r="N810" s="83"/>
      <c r="O810" s="83"/>
      <c r="P810" s="83"/>
      <c r="Q810" s="83"/>
      <c r="R810" s="83"/>
      <c r="S810" s="83"/>
      <c r="T810" s="83"/>
    </row>
    <row r="811" spans="1:20" s="14" customFormat="1" ht="14.15" customHeight="1">
      <c r="A811" s="436"/>
      <c r="B811" s="83"/>
      <c r="C811" s="83"/>
      <c r="D811" s="83"/>
      <c r="E811" s="189"/>
      <c r="F811" s="189"/>
      <c r="G811" s="189"/>
      <c r="H811" s="189"/>
      <c r="J811" s="83"/>
      <c r="K811" s="83"/>
      <c r="L811" s="436"/>
      <c r="M811" s="83"/>
      <c r="N811" s="83"/>
      <c r="O811" s="83"/>
      <c r="P811" s="83"/>
      <c r="Q811" s="83"/>
      <c r="R811" s="83"/>
      <c r="S811" s="83"/>
      <c r="T811" s="83"/>
    </row>
    <row r="812" spans="1:20" s="14" customFormat="1" ht="14.15" customHeight="1">
      <c r="A812" s="436"/>
      <c r="B812" s="83"/>
      <c r="C812" s="83"/>
      <c r="D812" s="83"/>
      <c r="E812" s="189"/>
      <c r="F812" s="189"/>
      <c r="G812" s="189"/>
      <c r="H812" s="189"/>
      <c r="J812" s="83"/>
      <c r="K812" s="83"/>
      <c r="L812" s="436"/>
      <c r="M812" s="83"/>
      <c r="N812" s="83"/>
      <c r="O812" s="83"/>
      <c r="P812" s="83"/>
      <c r="Q812" s="83"/>
      <c r="R812" s="83"/>
      <c r="S812" s="83"/>
      <c r="T812" s="83"/>
    </row>
    <row r="813" spans="1:20" s="14" customFormat="1" ht="14.15" customHeight="1">
      <c r="A813" s="436"/>
      <c r="B813" s="83"/>
      <c r="C813" s="83"/>
      <c r="D813" s="83"/>
      <c r="E813" s="189"/>
      <c r="F813" s="189"/>
      <c r="G813" s="189"/>
      <c r="H813" s="189"/>
      <c r="J813" s="83"/>
      <c r="K813" s="83"/>
      <c r="L813" s="436"/>
      <c r="M813" s="83"/>
      <c r="N813" s="83"/>
      <c r="O813" s="83"/>
      <c r="P813" s="83"/>
      <c r="Q813" s="83"/>
      <c r="R813" s="83"/>
      <c r="S813" s="83"/>
      <c r="T813" s="83"/>
    </row>
    <row r="814" spans="1:20" s="14" customFormat="1" ht="14.15" customHeight="1">
      <c r="A814" s="436"/>
      <c r="B814" s="83"/>
      <c r="C814" s="83"/>
      <c r="D814" s="83"/>
      <c r="E814" s="189"/>
      <c r="F814" s="189"/>
      <c r="G814" s="189"/>
      <c r="H814" s="189"/>
      <c r="J814" s="83"/>
      <c r="K814" s="83"/>
      <c r="L814" s="436"/>
      <c r="M814" s="83"/>
      <c r="N814" s="83"/>
      <c r="O814" s="83"/>
      <c r="P814" s="83"/>
      <c r="Q814" s="83"/>
      <c r="R814" s="83"/>
      <c r="S814" s="83"/>
      <c r="T814" s="83"/>
    </row>
    <row r="815" spans="1:20" s="14" customFormat="1" ht="14.15" customHeight="1">
      <c r="A815" s="436"/>
      <c r="B815" s="83"/>
      <c r="C815" s="83"/>
      <c r="D815" s="83"/>
      <c r="E815" s="189"/>
      <c r="F815" s="189"/>
      <c r="G815" s="189"/>
      <c r="H815" s="189"/>
      <c r="J815" s="83"/>
      <c r="K815" s="83"/>
      <c r="L815" s="436"/>
      <c r="M815" s="83"/>
      <c r="N815" s="83"/>
      <c r="O815" s="83"/>
      <c r="P815" s="83"/>
      <c r="Q815" s="83"/>
      <c r="R815" s="83"/>
      <c r="S815" s="83"/>
      <c r="T815" s="83"/>
    </row>
    <row r="816" spans="1:20" s="14" customFormat="1" ht="14.15" customHeight="1">
      <c r="A816" s="436"/>
      <c r="B816" s="83"/>
      <c r="C816" s="83"/>
      <c r="D816" s="83"/>
      <c r="E816" s="189"/>
      <c r="F816" s="189"/>
      <c r="G816" s="189"/>
      <c r="H816" s="189"/>
      <c r="J816" s="83"/>
      <c r="K816" s="83"/>
      <c r="L816" s="436"/>
      <c r="M816" s="83"/>
      <c r="N816" s="83"/>
      <c r="O816" s="83"/>
      <c r="P816" s="83"/>
      <c r="Q816" s="83"/>
      <c r="R816" s="83"/>
      <c r="S816" s="83"/>
      <c r="T816" s="83"/>
    </row>
    <row r="817" spans="1:20" s="14" customFormat="1" ht="14.15" customHeight="1">
      <c r="A817" s="436"/>
      <c r="B817" s="83"/>
      <c r="C817" s="83"/>
      <c r="D817" s="83"/>
      <c r="E817" s="189"/>
      <c r="F817" s="189"/>
      <c r="G817" s="189"/>
      <c r="H817" s="189"/>
      <c r="J817" s="83"/>
      <c r="K817" s="83"/>
      <c r="L817" s="436"/>
      <c r="M817" s="83"/>
      <c r="N817" s="83"/>
      <c r="O817" s="83"/>
      <c r="P817" s="83"/>
      <c r="Q817" s="83"/>
      <c r="R817" s="83"/>
      <c r="S817" s="83"/>
      <c r="T817" s="83"/>
    </row>
    <row r="818" spans="1:20" s="14" customFormat="1" ht="14.15" customHeight="1">
      <c r="A818" s="436"/>
      <c r="B818" s="83"/>
      <c r="C818" s="83"/>
      <c r="D818" s="83"/>
      <c r="E818" s="189"/>
      <c r="F818" s="189"/>
      <c r="G818" s="189"/>
      <c r="H818" s="189"/>
      <c r="J818" s="83"/>
      <c r="K818" s="83"/>
      <c r="L818" s="436"/>
      <c r="M818" s="83"/>
      <c r="N818" s="83"/>
      <c r="O818" s="83"/>
      <c r="P818" s="83"/>
      <c r="Q818" s="83"/>
      <c r="R818" s="83"/>
      <c r="S818" s="83"/>
      <c r="T818" s="83"/>
    </row>
    <row r="819" spans="1:20" s="14" customFormat="1" ht="14.15" customHeight="1">
      <c r="A819" s="436"/>
      <c r="B819" s="83"/>
      <c r="C819" s="83"/>
      <c r="D819" s="83"/>
      <c r="E819" s="189"/>
      <c r="F819" s="189"/>
      <c r="G819" s="189"/>
      <c r="H819" s="189"/>
      <c r="J819" s="83"/>
      <c r="K819" s="83"/>
      <c r="L819" s="436"/>
      <c r="M819" s="83"/>
      <c r="N819" s="83"/>
      <c r="O819" s="83"/>
      <c r="P819" s="83"/>
      <c r="Q819" s="83"/>
      <c r="R819" s="83"/>
      <c r="S819" s="83"/>
      <c r="T819" s="83"/>
    </row>
    <row r="820" spans="1:20" s="14" customFormat="1" ht="14.15" customHeight="1">
      <c r="A820" s="436"/>
      <c r="B820" s="83"/>
      <c r="C820" s="83"/>
      <c r="D820" s="83"/>
      <c r="E820" s="189"/>
      <c r="F820" s="189"/>
      <c r="G820" s="189"/>
      <c r="H820" s="189"/>
      <c r="J820" s="83"/>
      <c r="K820" s="83"/>
      <c r="L820" s="436"/>
      <c r="M820" s="83"/>
      <c r="N820" s="83"/>
      <c r="O820" s="83"/>
      <c r="P820" s="83"/>
      <c r="Q820" s="83"/>
      <c r="R820" s="83"/>
      <c r="S820" s="83"/>
      <c r="T820" s="83"/>
    </row>
    <row r="821" spans="1:20" s="14" customFormat="1" ht="14.15" customHeight="1">
      <c r="A821" s="436"/>
      <c r="B821" s="83"/>
      <c r="C821" s="83"/>
      <c r="D821" s="83"/>
      <c r="E821" s="189"/>
      <c r="F821" s="189"/>
      <c r="G821" s="189"/>
      <c r="H821" s="189"/>
      <c r="J821" s="83"/>
      <c r="K821" s="83"/>
      <c r="L821" s="436"/>
      <c r="M821" s="83"/>
      <c r="N821" s="83"/>
      <c r="O821" s="83"/>
      <c r="P821" s="83"/>
      <c r="Q821" s="83"/>
      <c r="R821" s="83"/>
      <c r="S821" s="83"/>
      <c r="T821" s="83"/>
    </row>
    <row r="822" spans="1:20" s="14" customFormat="1" ht="14.15" customHeight="1">
      <c r="A822" s="436"/>
      <c r="B822" s="83"/>
      <c r="C822" s="83"/>
      <c r="D822" s="83"/>
      <c r="E822" s="189"/>
      <c r="F822" s="189"/>
      <c r="G822" s="189"/>
      <c r="H822" s="189"/>
      <c r="J822" s="83"/>
      <c r="K822" s="83"/>
      <c r="L822" s="436"/>
      <c r="M822" s="83"/>
      <c r="N822" s="83"/>
      <c r="O822" s="83"/>
      <c r="P822" s="83"/>
      <c r="Q822" s="83"/>
      <c r="R822" s="83"/>
      <c r="S822" s="83"/>
      <c r="T822" s="83"/>
    </row>
    <row r="823" spans="1:20" s="14" customFormat="1" ht="14.15" customHeight="1">
      <c r="A823" s="436"/>
      <c r="B823" s="83"/>
      <c r="C823" s="83"/>
      <c r="D823" s="83"/>
      <c r="E823" s="189"/>
      <c r="F823" s="189"/>
      <c r="G823" s="189"/>
      <c r="H823" s="189"/>
      <c r="J823" s="83"/>
      <c r="K823" s="83"/>
      <c r="L823" s="436"/>
      <c r="M823" s="83"/>
      <c r="N823" s="83"/>
      <c r="O823" s="83"/>
      <c r="P823" s="83"/>
      <c r="Q823" s="83"/>
      <c r="R823" s="83"/>
      <c r="S823" s="83"/>
      <c r="T823" s="83"/>
    </row>
    <row r="824" spans="1:20" s="14" customFormat="1" ht="14.15" customHeight="1">
      <c r="A824" s="436"/>
      <c r="B824" s="83"/>
      <c r="C824" s="83"/>
      <c r="D824" s="83"/>
      <c r="E824" s="189"/>
      <c r="F824" s="189"/>
      <c r="G824" s="189"/>
      <c r="H824" s="189"/>
      <c r="J824" s="83"/>
      <c r="K824" s="83"/>
      <c r="L824" s="436"/>
      <c r="M824" s="83"/>
      <c r="N824" s="83"/>
      <c r="O824" s="83"/>
      <c r="P824" s="83"/>
      <c r="Q824" s="83"/>
      <c r="R824" s="83"/>
      <c r="S824" s="83"/>
      <c r="T824" s="83"/>
    </row>
    <row r="825" spans="1:20" s="14" customFormat="1" ht="14.15" customHeight="1">
      <c r="A825" s="436"/>
      <c r="B825" s="83"/>
      <c r="C825" s="83"/>
      <c r="D825" s="83"/>
      <c r="E825" s="189"/>
      <c r="F825" s="189"/>
      <c r="G825" s="189"/>
      <c r="H825" s="189"/>
      <c r="J825" s="83"/>
      <c r="K825" s="83"/>
      <c r="L825" s="436"/>
      <c r="M825" s="83"/>
      <c r="N825" s="83"/>
      <c r="O825" s="83"/>
      <c r="P825" s="83"/>
      <c r="Q825" s="83"/>
      <c r="R825" s="83"/>
      <c r="S825" s="83"/>
      <c r="T825" s="83"/>
    </row>
    <row r="826" spans="1:20" s="14" customFormat="1" ht="14.15" customHeight="1">
      <c r="A826" s="436"/>
      <c r="B826" s="83"/>
      <c r="C826" s="83"/>
      <c r="D826" s="83"/>
      <c r="E826" s="189"/>
      <c r="F826" s="189"/>
      <c r="G826" s="189"/>
      <c r="H826" s="189"/>
      <c r="J826" s="83"/>
      <c r="K826" s="83"/>
      <c r="L826" s="436"/>
      <c r="M826" s="83"/>
      <c r="N826" s="83"/>
      <c r="O826" s="83"/>
      <c r="P826" s="83"/>
      <c r="Q826" s="83"/>
      <c r="R826" s="83"/>
      <c r="S826" s="83"/>
      <c r="T826" s="83"/>
    </row>
    <row r="827" spans="1:20" s="14" customFormat="1" ht="14.15" customHeight="1">
      <c r="A827" s="436"/>
      <c r="B827" s="83"/>
      <c r="C827" s="83"/>
      <c r="D827" s="83"/>
      <c r="E827" s="189"/>
      <c r="F827" s="189"/>
      <c r="G827" s="189"/>
      <c r="H827" s="189"/>
      <c r="J827" s="83"/>
      <c r="K827" s="83"/>
      <c r="L827" s="436"/>
      <c r="M827" s="83"/>
      <c r="N827" s="83"/>
      <c r="O827" s="83"/>
      <c r="P827" s="83"/>
      <c r="Q827" s="83"/>
      <c r="R827" s="83"/>
      <c r="S827" s="83"/>
      <c r="T827" s="83"/>
    </row>
    <row r="828" spans="1:20" s="14" customFormat="1" ht="14.15" customHeight="1">
      <c r="A828" s="436"/>
      <c r="B828" s="83"/>
      <c r="C828" s="83"/>
      <c r="D828" s="83"/>
      <c r="E828" s="189"/>
      <c r="F828" s="189"/>
      <c r="G828" s="189"/>
      <c r="H828" s="189"/>
      <c r="J828" s="83"/>
      <c r="K828" s="83"/>
      <c r="L828" s="436"/>
      <c r="M828" s="83"/>
      <c r="N828" s="83"/>
      <c r="O828" s="83"/>
      <c r="P828" s="83"/>
      <c r="Q828" s="83"/>
      <c r="R828" s="83"/>
      <c r="S828" s="83"/>
      <c r="T828" s="83"/>
    </row>
    <row r="829" spans="1:20" s="14" customFormat="1" ht="14.15" customHeight="1">
      <c r="A829" s="436"/>
      <c r="B829" s="83"/>
      <c r="C829" s="83"/>
      <c r="D829" s="83"/>
      <c r="E829" s="189"/>
      <c r="F829" s="189"/>
      <c r="G829" s="189"/>
      <c r="H829" s="189"/>
      <c r="J829" s="83"/>
      <c r="K829" s="83"/>
      <c r="L829" s="436"/>
      <c r="M829" s="83"/>
      <c r="N829" s="83"/>
      <c r="O829" s="83"/>
      <c r="P829" s="83"/>
      <c r="Q829" s="83"/>
      <c r="R829" s="83"/>
      <c r="S829" s="83"/>
      <c r="T829" s="83"/>
    </row>
    <row r="830" spans="1:20" s="14" customFormat="1" ht="14.15" customHeight="1">
      <c r="A830" s="436"/>
      <c r="B830" s="83"/>
      <c r="C830" s="83"/>
      <c r="D830" s="83"/>
      <c r="E830" s="189"/>
      <c r="F830" s="189"/>
      <c r="G830" s="189"/>
      <c r="H830" s="189"/>
      <c r="J830" s="83"/>
      <c r="K830" s="83"/>
      <c r="L830" s="436"/>
      <c r="M830" s="83"/>
      <c r="N830" s="83"/>
      <c r="O830" s="83"/>
      <c r="P830" s="83"/>
      <c r="Q830" s="83"/>
      <c r="R830" s="83"/>
      <c r="S830" s="83"/>
      <c r="T830" s="83"/>
    </row>
    <row r="831" spans="1:20" s="14" customFormat="1" ht="14.15" customHeight="1">
      <c r="A831" s="436"/>
      <c r="B831" s="83"/>
      <c r="C831" s="83"/>
      <c r="D831" s="83"/>
      <c r="E831" s="189"/>
      <c r="F831" s="189"/>
      <c r="G831" s="189"/>
      <c r="H831" s="189"/>
      <c r="J831" s="83"/>
      <c r="K831" s="83"/>
      <c r="L831" s="436"/>
      <c r="M831" s="83"/>
      <c r="N831" s="83"/>
      <c r="O831" s="83"/>
      <c r="P831" s="83"/>
      <c r="Q831" s="83"/>
      <c r="R831" s="83"/>
      <c r="S831" s="83"/>
      <c r="T831" s="83"/>
    </row>
    <row r="832" spans="1:20" s="14" customFormat="1" ht="14.15" customHeight="1">
      <c r="A832" s="436"/>
      <c r="B832" s="83"/>
      <c r="C832" s="83"/>
      <c r="D832" s="83"/>
      <c r="E832" s="189"/>
      <c r="F832" s="189"/>
      <c r="G832" s="189"/>
      <c r="H832" s="189"/>
      <c r="J832" s="83"/>
      <c r="K832" s="83"/>
      <c r="L832" s="436"/>
      <c r="M832" s="83"/>
      <c r="N832" s="83"/>
      <c r="O832" s="83"/>
      <c r="P832" s="83"/>
      <c r="Q832" s="83"/>
      <c r="R832" s="83"/>
      <c r="S832" s="83"/>
      <c r="T832" s="83"/>
    </row>
    <row r="833" spans="1:20" s="14" customFormat="1" ht="14.15" customHeight="1">
      <c r="A833" s="436"/>
      <c r="B833" s="83"/>
      <c r="C833" s="83"/>
      <c r="D833" s="83"/>
      <c r="E833" s="189"/>
      <c r="F833" s="189"/>
      <c r="G833" s="189"/>
      <c r="H833" s="189"/>
      <c r="J833" s="83"/>
      <c r="K833" s="83"/>
      <c r="L833" s="436"/>
      <c r="M833" s="83"/>
      <c r="N833" s="83"/>
      <c r="O833" s="83"/>
      <c r="P833" s="83"/>
      <c r="Q833" s="83"/>
      <c r="R833" s="83"/>
      <c r="S833" s="83"/>
      <c r="T833" s="83"/>
    </row>
    <row r="834" spans="1:20" s="14" customFormat="1" ht="14.15" customHeight="1">
      <c r="A834" s="436"/>
      <c r="B834" s="83"/>
      <c r="C834" s="83"/>
      <c r="D834" s="83"/>
      <c r="E834" s="189"/>
      <c r="F834" s="189"/>
      <c r="G834" s="189"/>
      <c r="H834" s="189"/>
      <c r="J834" s="83"/>
      <c r="K834" s="83"/>
      <c r="L834" s="436"/>
      <c r="M834" s="83"/>
      <c r="N834" s="83"/>
      <c r="O834" s="83"/>
      <c r="P834" s="83"/>
      <c r="Q834" s="83"/>
      <c r="R834" s="83"/>
      <c r="S834" s="83"/>
      <c r="T834" s="83"/>
    </row>
    <row r="835" spans="1:20" s="14" customFormat="1" ht="14.15" customHeight="1">
      <c r="A835" s="436"/>
      <c r="B835" s="83"/>
      <c r="C835" s="83"/>
      <c r="D835" s="83"/>
      <c r="E835" s="189"/>
      <c r="F835" s="189"/>
      <c r="G835" s="189"/>
      <c r="H835" s="189"/>
      <c r="J835" s="83"/>
      <c r="K835" s="83"/>
      <c r="L835" s="436"/>
      <c r="M835" s="83"/>
      <c r="N835" s="83"/>
      <c r="O835" s="83"/>
      <c r="P835" s="83"/>
      <c r="Q835" s="83"/>
      <c r="R835" s="83"/>
      <c r="S835" s="83"/>
      <c r="T835" s="83"/>
    </row>
    <row r="836" spans="1:20" s="14" customFormat="1" ht="14.15" customHeight="1">
      <c r="A836" s="436"/>
      <c r="B836" s="83"/>
      <c r="C836" s="83"/>
      <c r="D836" s="83"/>
      <c r="E836" s="189"/>
      <c r="F836" s="189"/>
      <c r="G836" s="189"/>
      <c r="H836" s="189"/>
      <c r="J836" s="83"/>
      <c r="K836" s="83"/>
      <c r="L836" s="436"/>
      <c r="M836" s="83"/>
      <c r="N836" s="83"/>
      <c r="O836" s="83"/>
      <c r="P836" s="83"/>
      <c r="Q836" s="83"/>
      <c r="R836" s="83"/>
      <c r="S836" s="83"/>
      <c r="T836" s="83"/>
    </row>
    <row r="837" spans="1:20" s="14" customFormat="1" ht="14.15" customHeight="1">
      <c r="A837" s="436"/>
      <c r="B837" s="83"/>
      <c r="C837" s="83"/>
      <c r="D837" s="83"/>
      <c r="E837" s="189"/>
      <c r="F837" s="189"/>
      <c r="G837" s="189"/>
      <c r="H837" s="189"/>
      <c r="J837" s="83"/>
      <c r="K837" s="83"/>
      <c r="L837" s="436"/>
      <c r="M837" s="83"/>
      <c r="N837" s="83"/>
      <c r="O837" s="83"/>
      <c r="P837" s="83"/>
      <c r="Q837" s="83"/>
      <c r="R837" s="83"/>
      <c r="S837" s="83"/>
      <c r="T837" s="83"/>
    </row>
    <row r="838" spans="1:20" s="14" customFormat="1" ht="14.15" customHeight="1">
      <c r="A838" s="436"/>
      <c r="B838" s="83"/>
      <c r="C838" s="83"/>
      <c r="D838" s="83"/>
      <c r="E838" s="189"/>
      <c r="F838" s="189"/>
      <c r="G838" s="189"/>
      <c r="H838" s="189"/>
      <c r="J838" s="83"/>
      <c r="K838" s="83"/>
      <c r="L838" s="436"/>
      <c r="M838" s="83"/>
      <c r="N838" s="83"/>
      <c r="O838" s="83"/>
      <c r="P838" s="83"/>
      <c r="Q838" s="83"/>
      <c r="R838" s="83"/>
      <c r="S838" s="83"/>
      <c r="T838" s="83"/>
    </row>
    <row r="839" spans="1:20" s="14" customFormat="1" ht="14.15" customHeight="1">
      <c r="A839" s="436"/>
      <c r="B839" s="83"/>
      <c r="C839" s="83"/>
      <c r="D839" s="83"/>
      <c r="E839" s="189"/>
      <c r="F839" s="189"/>
      <c r="G839" s="189"/>
      <c r="H839" s="189"/>
      <c r="J839" s="83"/>
      <c r="K839" s="83"/>
      <c r="L839" s="436"/>
      <c r="M839" s="83"/>
      <c r="N839" s="83"/>
      <c r="O839" s="83"/>
      <c r="P839" s="83"/>
      <c r="Q839" s="83"/>
      <c r="R839" s="83"/>
      <c r="S839" s="83"/>
      <c r="T839" s="83"/>
    </row>
    <row r="840" spans="1:20" s="14" customFormat="1" ht="14.15" customHeight="1">
      <c r="A840" s="436"/>
      <c r="B840" s="83"/>
      <c r="C840" s="83"/>
      <c r="D840" s="83"/>
      <c r="E840" s="189"/>
      <c r="F840" s="189"/>
      <c r="G840" s="189"/>
      <c r="H840" s="189"/>
      <c r="J840" s="83"/>
      <c r="K840" s="83"/>
      <c r="L840" s="436"/>
      <c r="M840" s="83"/>
      <c r="N840" s="83"/>
      <c r="O840" s="83"/>
      <c r="P840" s="83"/>
      <c r="Q840" s="83"/>
      <c r="R840" s="83"/>
      <c r="S840" s="83"/>
      <c r="T840" s="83"/>
    </row>
    <row r="841" spans="1:20" s="14" customFormat="1" ht="14.15" customHeight="1">
      <c r="A841" s="436"/>
      <c r="B841" s="83"/>
      <c r="C841" s="83"/>
      <c r="D841" s="83"/>
      <c r="E841" s="189"/>
      <c r="F841" s="189"/>
      <c r="G841" s="189"/>
      <c r="H841" s="189"/>
      <c r="J841" s="83"/>
      <c r="K841" s="83"/>
      <c r="L841" s="436"/>
      <c r="M841" s="83"/>
      <c r="N841" s="83"/>
      <c r="O841" s="83"/>
      <c r="P841" s="83"/>
      <c r="Q841" s="83"/>
      <c r="R841" s="83"/>
      <c r="S841" s="83"/>
      <c r="T841" s="83"/>
    </row>
    <row r="842" spans="1:20" s="14" customFormat="1" ht="14.15" customHeight="1">
      <c r="A842" s="436"/>
      <c r="B842" s="83"/>
      <c r="C842" s="83"/>
      <c r="D842" s="83"/>
      <c r="E842" s="189"/>
      <c r="F842" s="189"/>
      <c r="G842" s="189"/>
      <c r="H842" s="189"/>
      <c r="J842" s="83"/>
      <c r="K842" s="83"/>
      <c r="L842" s="436"/>
      <c r="M842" s="83"/>
      <c r="N842" s="83"/>
      <c r="O842" s="83"/>
      <c r="P842" s="83"/>
      <c r="Q842" s="83"/>
      <c r="R842" s="83"/>
      <c r="S842" s="83"/>
      <c r="T842" s="83"/>
    </row>
    <row r="843" spans="1:20" s="14" customFormat="1" ht="14.15" customHeight="1">
      <c r="A843" s="436"/>
      <c r="B843" s="83"/>
      <c r="C843" s="83"/>
      <c r="D843" s="83"/>
      <c r="E843" s="189"/>
      <c r="F843" s="189"/>
      <c r="G843" s="189"/>
      <c r="H843" s="189"/>
      <c r="J843" s="83"/>
      <c r="K843" s="83"/>
      <c r="L843" s="436"/>
      <c r="M843" s="83"/>
      <c r="N843" s="83"/>
      <c r="O843" s="83"/>
      <c r="P843" s="83"/>
      <c r="Q843" s="83"/>
      <c r="R843" s="83"/>
      <c r="S843" s="83"/>
      <c r="T843" s="83"/>
    </row>
    <row r="844" spans="1:20" s="14" customFormat="1" ht="14.15" customHeight="1">
      <c r="A844" s="436"/>
      <c r="B844" s="83"/>
      <c r="C844" s="83"/>
      <c r="D844" s="83"/>
      <c r="E844" s="189"/>
      <c r="F844" s="189"/>
      <c r="G844" s="189"/>
      <c r="H844" s="189"/>
      <c r="J844" s="83"/>
      <c r="K844" s="83"/>
      <c r="L844" s="436"/>
      <c r="M844" s="83"/>
      <c r="N844" s="83"/>
      <c r="O844" s="83"/>
      <c r="P844" s="83"/>
      <c r="Q844" s="83"/>
      <c r="R844" s="83"/>
      <c r="S844" s="83"/>
      <c r="T844" s="83"/>
    </row>
    <row r="845" spans="1:20" s="14" customFormat="1" ht="14.15" customHeight="1">
      <c r="A845" s="436"/>
      <c r="B845" s="83"/>
      <c r="C845" s="83"/>
      <c r="D845" s="83"/>
      <c r="E845" s="189"/>
      <c r="F845" s="189"/>
      <c r="G845" s="189"/>
      <c r="H845" s="189"/>
      <c r="J845" s="83"/>
      <c r="K845" s="83"/>
      <c r="L845" s="436"/>
      <c r="M845" s="83"/>
      <c r="N845" s="83"/>
      <c r="O845" s="83"/>
      <c r="P845" s="83"/>
      <c r="Q845" s="83"/>
      <c r="R845" s="83"/>
      <c r="S845" s="83"/>
      <c r="T845" s="83"/>
    </row>
    <row r="846" spans="1:20" s="14" customFormat="1" ht="14.15" customHeight="1">
      <c r="A846" s="436"/>
      <c r="B846" s="83"/>
      <c r="C846" s="83"/>
      <c r="D846" s="83"/>
      <c r="E846" s="189"/>
      <c r="F846" s="189"/>
      <c r="G846" s="189"/>
      <c r="H846" s="189"/>
      <c r="J846" s="83"/>
      <c r="K846" s="83"/>
      <c r="L846" s="436"/>
      <c r="M846" s="83"/>
      <c r="N846" s="83"/>
      <c r="O846" s="83"/>
      <c r="P846" s="83"/>
      <c r="Q846" s="83"/>
      <c r="R846" s="83"/>
      <c r="S846" s="83"/>
      <c r="T846" s="83"/>
    </row>
    <row r="847" spans="1:20" s="14" customFormat="1" ht="14.15" customHeight="1">
      <c r="A847" s="436"/>
      <c r="B847" s="83"/>
      <c r="C847" s="83"/>
      <c r="D847" s="83"/>
      <c r="E847" s="189"/>
      <c r="F847" s="189"/>
      <c r="G847" s="189"/>
      <c r="H847" s="189"/>
      <c r="J847" s="83"/>
      <c r="K847" s="83"/>
      <c r="L847" s="436"/>
      <c r="M847" s="83"/>
      <c r="N847" s="83"/>
      <c r="O847" s="83"/>
      <c r="P847" s="83"/>
      <c r="Q847" s="83"/>
      <c r="R847" s="83"/>
      <c r="S847" s="83"/>
      <c r="T847" s="83"/>
    </row>
    <row r="848" spans="1:20" s="14" customFormat="1" ht="14.15" customHeight="1">
      <c r="A848" s="436"/>
      <c r="B848" s="83"/>
      <c r="C848" s="83"/>
      <c r="D848" s="83"/>
      <c r="E848" s="189"/>
      <c r="F848" s="189"/>
      <c r="G848" s="189"/>
      <c r="H848" s="189"/>
      <c r="J848" s="83"/>
      <c r="K848" s="83"/>
      <c r="L848" s="436"/>
      <c r="M848" s="83"/>
      <c r="N848" s="83"/>
      <c r="O848" s="83"/>
      <c r="P848" s="83"/>
      <c r="Q848" s="83"/>
      <c r="R848" s="83"/>
      <c r="S848" s="83"/>
      <c r="T848" s="83"/>
    </row>
    <row r="849" spans="1:20" s="14" customFormat="1" ht="14.15" customHeight="1">
      <c r="A849" s="436"/>
      <c r="B849" s="83"/>
      <c r="C849" s="83"/>
      <c r="D849" s="83"/>
      <c r="E849" s="189"/>
      <c r="F849" s="189"/>
      <c r="G849" s="189"/>
      <c r="H849" s="189"/>
      <c r="J849" s="83"/>
      <c r="K849" s="83"/>
      <c r="L849" s="436"/>
      <c r="M849" s="83"/>
      <c r="N849" s="83"/>
      <c r="O849" s="83"/>
      <c r="P849" s="83"/>
      <c r="Q849" s="83"/>
      <c r="R849" s="83"/>
      <c r="S849" s="83"/>
      <c r="T849" s="83"/>
    </row>
    <row r="850" spans="1:20" s="14" customFormat="1" ht="14.15" customHeight="1">
      <c r="A850" s="436"/>
      <c r="B850" s="83"/>
      <c r="C850" s="83"/>
      <c r="D850" s="83"/>
      <c r="E850" s="189"/>
      <c r="F850" s="189"/>
      <c r="G850" s="189"/>
      <c r="H850" s="189"/>
      <c r="J850" s="83"/>
      <c r="K850" s="83"/>
      <c r="L850" s="436"/>
      <c r="M850" s="83"/>
      <c r="N850" s="83"/>
      <c r="O850" s="83"/>
      <c r="P850" s="83"/>
      <c r="Q850" s="83"/>
      <c r="R850" s="83"/>
      <c r="S850" s="83"/>
      <c r="T850" s="83"/>
    </row>
    <row r="851" spans="1:20" s="14" customFormat="1" ht="14.15" customHeight="1">
      <c r="A851" s="436"/>
      <c r="B851" s="83"/>
      <c r="C851" s="83"/>
      <c r="D851" s="83"/>
      <c r="E851" s="189"/>
      <c r="F851" s="189"/>
      <c r="G851" s="189"/>
      <c r="H851" s="189"/>
      <c r="J851" s="83"/>
      <c r="K851" s="83"/>
      <c r="L851" s="436"/>
      <c r="M851" s="83"/>
      <c r="N851" s="83"/>
      <c r="O851" s="83"/>
      <c r="P851" s="83"/>
      <c r="Q851" s="83"/>
      <c r="R851" s="83"/>
      <c r="S851" s="83"/>
      <c r="T851" s="83"/>
    </row>
    <row r="852" spans="1:20" s="14" customFormat="1" ht="14.15" customHeight="1">
      <c r="A852" s="436"/>
      <c r="B852" s="83"/>
      <c r="C852" s="83"/>
      <c r="D852" s="83"/>
      <c r="E852" s="189"/>
      <c r="F852" s="189"/>
      <c r="G852" s="189"/>
      <c r="H852" s="189"/>
      <c r="J852" s="83"/>
      <c r="K852" s="83"/>
      <c r="L852" s="436"/>
      <c r="M852" s="83"/>
      <c r="N852" s="83"/>
      <c r="O852" s="83"/>
      <c r="P852" s="83"/>
      <c r="Q852" s="83"/>
      <c r="R852" s="83"/>
      <c r="S852" s="83"/>
      <c r="T852" s="83"/>
    </row>
    <row r="853" spans="1:20" s="14" customFormat="1" ht="14.15" customHeight="1">
      <c r="A853" s="436"/>
      <c r="B853" s="83"/>
      <c r="C853" s="83"/>
      <c r="D853" s="83"/>
      <c r="E853" s="189"/>
      <c r="F853" s="189"/>
      <c r="G853" s="189"/>
      <c r="H853" s="189"/>
      <c r="J853" s="83"/>
      <c r="K853" s="83"/>
      <c r="L853" s="436"/>
      <c r="M853" s="83"/>
      <c r="N853" s="83"/>
      <c r="O853" s="83"/>
      <c r="P853" s="83"/>
      <c r="Q853" s="83"/>
      <c r="R853" s="83"/>
      <c r="S853" s="83"/>
      <c r="T853" s="83"/>
    </row>
    <row r="854" spans="1:20" s="14" customFormat="1" ht="14.15" customHeight="1">
      <c r="A854" s="436"/>
      <c r="B854" s="83"/>
      <c r="C854" s="83"/>
      <c r="D854" s="83"/>
      <c r="E854" s="189"/>
      <c r="F854" s="189"/>
      <c r="G854" s="189"/>
      <c r="H854" s="189"/>
      <c r="J854" s="83"/>
      <c r="K854" s="83"/>
      <c r="L854" s="436"/>
      <c r="M854" s="83"/>
      <c r="N854" s="83"/>
      <c r="O854" s="83"/>
      <c r="P854" s="83"/>
      <c r="Q854" s="83"/>
      <c r="R854" s="83"/>
      <c r="S854" s="83"/>
      <c r="T854" s="83"/>
    </row>
    <row r="855" spans="1:20" s="14" customFormat="1" ht="14.15" customHeight="1">
      <c r="A855" s="436"/>
      <c r="B855" s="83"/>
      <c r="C855" s="83"/>
      <c r="D855" s="83"/>
      <c r="E855" s="189"/>
      <c r="F855" s="189"/>
      <c r="G855" s="189"/>
      <c r="H855" s="189"/>
      <c r="J855" s="83"/>
      <c r="K855" s="83"/>
      <c r="L855" s="436"/>
      <c r="M855" s="83"/>
      <c r="N855" s="83"/>
      <c r="O855" s="83"/>
      <c r="P855" s="83"/>
      <c r="Q855" s="83"/>
      <c r="R855" s="83"/>
      <c r="S855" s="83"/>
      <c r="T855" s="83"/>
    </row>
    <row r="856" spans="1:20" s="14" customFormat="1" ht="14.15" customHeight="1">
      <c r="A856" s="436"/>
      <c r="B856" s="83"/>
      <c r="C856" s="83"/>
      <c r="D856" s="83"/>
      <c r="E856" s="189"/>
      <c r="F856" s="189"/>
      <c r="G856" s="189"/>
      <c r="H856" s="189"/>
      <c r="J856" s="83"/>
      <c r="K856" s="83"/>
      <c r="L856" s="436"/>
      <c r="M856" s="83"/>
      <c r="N856" s="83"/>
      <c r="O856" s="83"/>
      <c r="P856" s="83"/>
      <c r="Q856" s="83"/>
      <c r="R856" s="83"/>
      <c r="S856" s="83"/>
      <c r="T856" s="83"/>
    </row>
    <row r="857" spans="1:20" s="14" customFormat="1" ht="14.15" customHeight="1">
      <c r="A857" s="436"/>
      <c r="B857" s="83"/>
      <c r="C857" s="83"/>
      <c r="D857" s="83"/>
      <c r="E857" s="189"/>
      <c r="F857" s="189"/>
      <c r="G857" s="189"/>
      <c r="H857" s="189"/>
      <c r="J857" s="83"/>
      <c r="K857" s="83"/>
      <c r="L857" s="436"/>
      <c r="M857" s="83"/>
      <c r="N857" s="83"/>
      <c r="O857" s="83"/>
      <c r="P857" s="83"/>
      <c r="Q857" s="83"/>
      <c r="R857" s="83"/>
      <c r="S857" s="83"/>
      <c r="T857" s="83"/>
    </row>
    <row r="858" spans="1:20" s="14" customFormat="1" ht="14.15" customHeight="1">
      <c r="A858" s="436"/>
      <c r="B858" s="83"/>
      <c r="C858" s="83"/>
      <c r="D858" s="83"/>
      <c r="E858" s="189"/>
      <c r="F858" s="189"/>
      <c r="G858" s="189"/>
      <c r="H858" s="189"/>
      <c r="J858" s="83"/>
      <c r="K858" s="83"/>
      <c r="L858" s="436"/>
      <c r="M858" s="83"/>
      <c r="N858" s="83"/>
      <c r="O858" s="83"/>
      <c r="P858" s="83"/>
      <c r="Q858" s="83"/>
      <c r="R858" s="83"/>
      <c r="S858" s="83"/>
      <c r="T858" s="83"/>
    </row>
    <row r="859" spans="1:20" s="14" customFormat="1" ht="14.15" customHeight="1">
      <c r="A859" s="436"/>
      <c r="B859" s="83"/>
      <c r="C859" s="83"/>
      <c r="D859" s="83"/>
      <c r="E859" s="189"/>
      <c r="F859" s="189"/>
      <c r="G859" s="189"/>
      <c r="H859" s="189"/>
      <c r="J859" s="83"/>
      <c r="K859" s="83"/>
      <c r="L859" s="436"/>
      <c r="M859" s="83"/>
      <c r="N859" s="83"/>
      <c r="O859" s="83"/>
      <c r="P859" s="83"/>
      <c r="Q859" s="83"/>
      <c r="R859" s="83"/>
      <c r="S859" s="83"/>
      <c r="T859" s="83"/>
    </row>
    <row r="860" spans="1:20" s="14" customFormat="1" ht="14.15" customHeight="1">
      <c r="A860" s="436"/>
      <c r="B860" s="83"/>
      <c r="C860" s="83"/>
      <c r="D860" s="83"/>
      <c r="E860" s="189"/>
      <c r="F860" s="189"/>
      <c r="G860" s="189"/>
      <c r="H860" s="189"/>
      <c r="J860" s="83"/>
      <c r="K860" s="83"/>
      <c r="L860" s="436"/>
      <c r="M860" s="83"/>
      <c r="N860" s="83"/>
      <c r="O860" s="83"/>
      <c r="P860" s="83"/>
      <c r="Q860" s="83"/>
      <c r="R860" s="83"/>
      <c r="S860" s="83"/>
      <c r="T860" s="83"/>
    </row>
    <row r="861" spans="1:20" s="14" customFormat="1" ht="14.15" customHeight="1">
      <c r="A861" s="436"/>
      <c r="B861" s="83"/>
      <c r="C861" s="83"/>
      <c r="D861" s="83"/>
      <c r="E861" s="189"/>
      <c r="F861" s="189"/>
      <c r="G861" s="189"/>
      <c r="H861" s="189"/>
      <c r="J861" s="83"/>
      <c r="K861" s="83"/>
      <c r="L861" s="436"/>
      <c r="M861" s="83"/>
      <c r="N861" s="83"/>
      <c r="O861" s="83"/>
      <c r="P861" s="83"/>
      <c r="Q861" s="83"/>
      <c r="R861" s="83"/>
      <c r="S861" s="83"/>
      <c r="T861" s="83"/>
    </row>
    <row r="862" spans="1:20" s="14" customFormat="1" ht="14.15" customHeight="1">
      <c r="A862" s="436"/>
      <c r="B862" s="83"/>
      <c r="C862" s="83"/>
      <c r="D862" s="83"/>
      <c r="E862" s="189"/>
      <c r="F862" s="189"/>
      <c r="G862" s="189"/>
      <c r="H862" s="189"/>
      <c r="J862" s="83"/>
      <c r="K862" s="83"/>
      <c r="L862" s="436"/>
      <c r="M862" s="83"/>
      <c r="N862" s="83"/>
      <c r="O862" s="83"/>
      <c r="P862" s="83"/>
      <c r="Q862" s="83"/>
      <c r="R862" s="83"/>
      <c r="S862" s="83"/>
      <c r="T862" s="83"/>
    </row>
    <row r="863" spans="1:20" s="14" customFormat="1" ht="14.15" customHeight="1">
      <c r="A863" s="436"/>
      <c r="B863" s="83"/>
      <c r="C863" s="83"/>
      <c r="D863" s="83"/>
      <c r="E863" s="189"/>
      <c r="F863" s="189"/>
      <c r="G863" s="189"/>
      <c r="H863" s="189"/>
      <c r="J863" s="83"/>
      <c r="K863" s="83"/>
      <c r="L863" s="436"/>
      <c r="M863" s="83"/>
      <c r="N863" s="83"/>
      <c r="O863" s="83"/>
      <c r="P863" s="83"/>
      <c r="Q863" s="83"/>
      <c r="R863" s="83"/>
      <c r="S863" s="83"/>
      <c r="T863" s="83"/>
    </row>
    <row r="864" spans="1:20" s="14" customFormat="1" ht="14.15" customHeight="1">
      <c r="A864" s="436"/>
      <c r="B864" s="83"/>
      <c r="C864" s="83"/>
      <c r="D864" s="83"/>
      <c r="E864" s="189"/>
      <c r="F864" s="189"/>
      <c r="G864" s="189"/>
      <c r="H864" s="189"/>
      <c r="J864" s="83"/>
      <c r="K864" s="83"/>
      <c r="L864" s="436"/>
      <c r="M864" s="83"/>
      <c r="N864" s="83"/>
      <c r="O864" s="83"/>
      <c r="P864" s="83"/>
      <c r="Q864" s="83"/>
      <c r="R864" s="83"/>
      <c r="S864" s="83"/>
      <c r="T864" s="83"/>
    </row>
    <row r="865" spans="1:20" s="14" customFormat="1" ht="14.15" customHeight="1">
      <c r="A865" s="436"/>
      <c r="B865" s="83"/>
      <c r="C865" s="83"/>
      <c r="D865" s="83"/>
      <c r="E865" s="189"/>
      <c r="F865" s="189"/>
      <c r="G865" s="189"/>
      <c r="H865" s="189"/>
      <c r="J865" s="83"/>
      <c r="K865" s="83"/>
      <c r="L865" s="436"/>
      <c r="M865" s="83"/>
      <c r="N865" s="83"/>
      <c r="O865" s="83"/>
      <c r="P865" s="83"/>
      <c r="Q865" s="83"/>
      <c r="R865" s="83"/>
      <c r="S865" s="83"/>
      <c r="T865" s="83"/>
    </row>
    <row r="866" spans="1:20" s="14" customFormat="1" ht="14.15" customHeight="1">
      <c r="A866" s="436"/>
      <c r="B866" s="83"/>
      <c r="C866" s="83"/>
      <c r="D866" s="83"/>
      <c r="E866" s="189"/>
      <c r="F866" s="189"/>
      <c r="G866" s="189"/>
      <c r="H866" s="189"/>
      <c r="J866" s="83"/>
      <c r="K866" s="83"/>
      <c r="L866" s="436"/>
      <c r="M866" s="83"/>
      <c r="N866" s="83"/>
      <c r="O866" s="83"/>
      <c r="P866" s="83"/>
      <c r="Q866" s="83"/>
      <c r="R866" s="83"/>
      <c r="S866" s="83"/>
      <c r="T866" s="83"/>
    </row>
    <row r="867" spans="1:20" s="14" customFormat="1" ht="14.15" customHeight="1">
      <c r="A867" s="436"/>
      <c r="B867" s="83"/>
      <c r="C867" s="83"/>
      <c r="D867" s="83"/>
      <c r="E867" s="189"/>
      <c r="F867" s="189"/>
      <c r="G867" s="189"/>
      <c r="H867" s="189"/>
      <c r="J867" s="83"/>
      <c r="K867" s="83"/>
      <c r="L867" s="436"/>
      <c r="M867" s="83"/>
      <c r="N867" s="83"/>
      <c r="O867" s="83"/>
      <c r="P867" s="83"/>
      <c r="Q867" s="83"/>
      <c r="R867" s="83"/>
      <c r="S867" s="83"/>
      <c r="T867" s="83"/>
    </row>
    <row r="868" spans="1:20" s="14" customFormat="1" ht="14.15" customHeight="1">
      <c r="A868" s="436"/>
      <c r="B868" s="83"/>
      <c r="C868" s="83"/>
      <c r="D868" s="83"/>
      <c r="E868" s="189"/>
      <c r="F868" s="189"/>
      <c r="G868" s="189"/>
      <c r="H868" s="189"/>
      <c r="J868" s="83"/>
      <c r="K868" s="83"/>
      <c r="L868" s="436"/>
      <c r="M868" s="83"/>
      <c r="N868" s="83"/>
      <c r="O868" s="83"/>
      <c r="P868" s="83"/>
      <c r="Q868" s="83"/>
      <c r="R868" s="83"/>
      <c r="S868" s="83"/>
      <c r="T868" s="83"/>
    </row>
    <row r="869" spans="1:20" s="14" customFormat="1" ht="14.15" customHeight="1">
      <c r="A869" s="436"/>
      <c r="B869" s="83"/>
      <c r="C869" s="83"/>
      <c r="D869" s="83"/>
      <c r="E869" s="189"/>
      <c r="F869" s="189"/>
      <c r="G869" s="189"/>
      <c r="H869" s="189"/>
      <c r="J869" s="83"/>
      <c r="K869" s="83"/>
      <c r="L869" s="436"/>
      <c r="M869" s="83"/>
      <c r="N869" s="83"/>
      <c r="O869" s="83"/>
      <c r="P869" s="83"/>
      <c r="Q869" s="83"/>
      <c r="R869" s="83"/>
      <c r="S869" s="83"/>
      <c r="T869" s="83"/>
    </row>
    <row r="870" spans="1:20" s="14" customFormat="1" ht="14.15" customHeight="1">
      <c r="A870" s="436"/>
      <c r="B870" s="83"/>
      <c r="C870" s="83"/>
      <c r="D870" s="83"/>
      <c r="E870" s="189"/>
      <c r="F870" s="189"/>
      <c r="G870" s="189"/>
      <c r="H870" s="189"/>
      <c r="J870" s="83"/>
      <c r="K870" s="83"/>
      <c r="L870" s="436"/>
      <c r="M870" s="83"/>
      <c r="N870" s="83"/>
      <c r="O870" s="83"/>
      <c r="P870" s="83"/>
      <c r="Q870" s="83"/>
      <c r="R870" s="83"/>
      <c r="S870" s="83"/>
      <c r="T870" s="83"/>
    </row>
    <row r="871" spans="1:20" s="14" customFormat="1" ht="14.15" customHeight="1">
      <c r="A871" s="436"/>
      <c r="B871" s="83"/>
      <c r="C871" s="83"/>
      <c r="D871" s="83"/>
      <c r="E871" s="189"/>
      <c r="F871" s="189"/>
      <c r="G871" s="189"/>
      <c r="H871" s="189"/>
      <c r="J871" s="83"/>
      <c r="K871" s="83"/>
      <c r="L871" s="436"/>
      <c r="M871" s="83"/>
      <c r="N871" s="83"/>
      <c r="O871" s="83"/>
      <c r="P871" s="83"/>
      <c r="Q871" s="83"/>
      <c r="R871" s="83"/>
      <c r="S871" s="83"/>
      <c r="T871" s="83"/>
    </row>
    <row r="872" spans="1:20" s="14" customFormat="1" ht="14.15" customHeight="1">
      <c r="A872" s="436"/>
      <c r="B872" s="83"/>
      <c r="C872" s="83"/>
      <c r="D872" s="83"/>
      <c r="E872" s="189"/>
      <c r="F872" s="189"/>
      <c r="G872" s="189"/>
      <c r="H872" s="189"/>
      <c r="J872" s="83"/>
      <c r="K872" s="83"/>
      <c r="L872" s="436"/>
      <c r="M872" s="83"/>
      <c r="N872" s="83"/>
      <c r="O872" s="83"/>
      <c r="P872" s="83"/>
      <c r="Q872" s="83"/>
      <c r="R872" s="83"/>
      <c r="S872" s="83"/>
      <c r="T872" s="83"/>
    </row>
    <row r="873" spans="1:20" s="14" customFormat="1" ht="14.15" customHeight="1">
      <c r="A873" s="436"/>
      <c r="B873" s="83"/>
      <c r="C873" s="83"/>
      <c r="D873" s="83"/>
      <c r="E873" s="189"/>
      <c r="F873" s="189"/>
      <c r="G873" s="189"/>
      <c r="H873" s="189"/>
      <c r="J873" s="83"/>
      <c r="K873" s="83"/>
      <c r="L873" s="436"/>
      <c r="M873" s="83"/>
      <c r="N873" s="83"/>
      <c r="O873" s="83"/>
      <c r="P873" s="83"/>
      <c r="Q873" s="83"/>
      <c r="R873" s="83"/>
      <c r="S873" s="83"/>
      <c r="T873" s="83"/>
    </row>
    <row r="874" spans="1:20" s="14" customFormat="1" ht="14.15" customHeight="1">
      <c r="A874" s="436"/>
      <c r="B874" s="83"/>
      <c r="C874" s="83"/>
      <c r="D874" s="83"/>
      <c r="E874" s="189"/>
      <c r="F874" s="189"/>
      <c r="G874" s="189"/>
      <c r="H874" s="189"/>
      <c r="J874" s="83"/>
      <c r="K874" s="83"/>
      <c r="L874" s="436"/>
      <c r="M874" s="83"/>
      <c r="N874" s="83"/>
      <c r="O874" s="83"/>
      <c r="P874" s="83"/>
      <c r="Q874" s="83"/>
      <c r="R874" s="83"/>
      <c r="S874" s="83"/>
      <c r="T874" s="83"/>
    </row>
    <row r="875" spans="1:20" s="14" customFormat="1" ht="14.15" customHeight="1">
      <c r="A875" s="436"/>
      <c r="B875" s="83"/>
      <c r="C875" s="83"/>
      <c r="D875" s="83"/>
      <c r="E875" s="189"/>
      <c r="F875" s="189"/>
      <c r="G875" s="189"/>
      <c r="H875" s="189"/>
      <c r="J875" s="83"/>
      <c r="K875" s="83"/>
      <c r="L875" s="436"/>
      <c r="M875" s="83"/>
      <c r="N875" s="83"/>
      <c r="O875" s="83"/>
      <c r="P875" s="83"/>
      <c r="Q875" s="83"/>
      <c r="R875" s="83"/>
      <c r="S875" s="83"/>
      <c r="T875" s="83"/>
    </row>
    <row r="876" spans="1:20" s="14" customFormat="1" ht="14.15" customHeight="1">
      <c r="A876" s="436"/>
      <c r="B876" s="83"/>
      <c r="C876" s="83"/>
      <c r="D876" s="83"/>
      <c r="E876" s="189"/>
      <c r="F876" s="189"/>
      <c r="G876" s="189"/>
      <c r="H876" s="189"/>
      <c r="J876" s="83"/>
      <c r="K876" s="83"/>
      <c r="L876" s="436"/>
      <c r="M876" s="83"/>
      <c r="N876" s="83"/>
      <c r="O876" s="83"/>
      <c r="P876" s="83"/>
      <c r="Q876" s="83"/>
      <c r="R876" s="83"/>
      <c r="S876" s="83"/>
      <c r="T876" s="83"/>
    </row>
    <row r="877" spans="1:20" s="14" customFormat="1" ht="14.15" customHeight="1">
      <c r="A877" s="436"/>
      <c r="B877" s="83"/>
      <c r="C877" s="83"/>
      <c r="D877" s="83"/>
      <c r="E877" s="189"/>
      <c r="F877" s="189"/>
      <c r="G877" s="189"/>
      <c r="H877" s="189"/>
      <c r="J877" s="83"/>
      <c r="K877" s="83"/>
      <c r="L877" s="436"/>
      <c r="M877" s="83"/>
      <c r="N877" s="83"/>
      <c r="O877" s="83"/>
      <c r="P877" s="83"/>
      <c r="Q877" s="83"/>
      <c r="R877" s="83"/>
      <c r="S877" s="83"/>
      <c r="T877" s="83"/>
    </row>
    <row r="878" spans="1:20" s="14" customFormat="1" ht="14.15" customHeight="1">
      <c r="A878" s="436"/>
      <c r="B878" s="83"/>
      <c r="C878" s="83"/>
      <c r="D878" s="83"/>
      <c r="E878" s="189"/>
      <c r="F878" s="189"/>
      <c r="G878" s="189"/>
      <c r="H878" s="189"/>
      <c r="J878" s="83"/>
      <c r="K878" s="83"/>
      <c r="L878" s="436"/>
      <c r="M878" s="83"/>
      <c r="N878" s="83"/>
      <c r="O878" s="83"/>
      <c r="P878" s="83"/>
      <c r="Q878" s="83"/>
      <c r="R878" s="83"/>
      <c r="S878" s="83"/>
      <c r="T878" s="83"/>
    </row>
    <row r="879" spans="1:20" s="14" customFormat="1" ht="14.15" customHeight="1">
      <c r="A879" s="436"/>
      <c r="B879" s="83"/>
      <c r="C879" s="83"/>
      <c r="D879" s="83"/>
      <c r="E879" s="189"/>
      <c r="F879" s="189"/>
      <c r="G879" s="189"/>
      <c r="H879" s="189"/>
      <c r="J879" s="83"/>
      <c r="K879" s="83"/>
      <c r="L879" s="436"/>
      <c r="M879" s="83"/>
      <c r="N879" s="83"/>
      <c r="O879" s="83"/>
      <c r="P879" s="83"/>
      <c r="Q879" s="83"/>
      <c r="R879" s="83"/>
      <c r="S879" s="83"/>
      <c r="T879" s="83"/>
    </row>
    <row r="880" spans="1:20" s="14" customFormat="1" ht="14.15" customHeight="1">
      <c r="A880" s="436"/>
      <c r="B880" s="83"/>
      <c r="C880" s="83"/>
      <c r="D880" s="83"/>
      <c r="E880" s="189"/>
      <c r="F880" s="189"/>
      <c r="G880" s="189"/>
      <c r="H880" s="189"/>
      <c r="J880" s="83"/>
      <c r="K880" s="83"/>
      <c r="L880" s="436"/>
      <c r="M880" s="83"/>
      <c r="N880" s="83"/>
      <c r="O880" s="83"/>
      <c r="P880" s="83"/>
      <c r="Q880" s="83"/>
      <c r="R880" s="83"/>
      <c r="S880" s="83"/>
      <c r="T880" s="83"/>
    </row>
    <row r="881" spans="1:20" s="14" customFormat="1" ht="14.15" customHeight="1">
      <c r="A881" s="436"/>
      <c r="B881" s="83"/>
      <c r="C881" s="83"/>
      <c r="D881" s="83"/>
      <c r="E881" s="189"/>
      <c r="F881" s="189"/>
      <c r="G881" s="189"/>
      <c r="H881" s="189"/>
      <c r="J881" s="83"/>
      <c r="K881" s="83"/>
      <c r="L881" s="436"/>
      <c r="M881" s="83"/>
      <c r="N881" s="83"/>
      <c r="O881" s="83"/>
      <c r="P881" s="83"/>
      <c r="Q881" s="83"/>
      <c r="R881" s="83"/>
      <c r="S881" s="83"/>
      <c r="T881" s="83"/>
    </row>
    <row r="882" spans="1:20" s="14" customFormat="1" ht="14.15" customHeight="1">
      <c r="A882" s="436"/>
      <c r="B882" s="83"/>
      <c r="C882" s="83"/>
      <c r="D882" s="83"/>
      <c r="E882" s="189"/>
      <c r="F882" s="189"/>
      <c r="G882" s="189"/>
      <c r="H882" s="189"/>
      <c r="J882" s="83"/>
      <c r="K882" s="83"/>
      <c r="L882" s="436"/>
      <c r="M882" s="83"/>
      <c r="N882" s="83"/>
      <c r="O882" s="83"/>
      <c r="P882" s="83"/>
      <c r="Q882" s="83"/>
      <c r="R882" s="83"/>
      <c r="S882" s="83"/>
      <c r="T882" s="83"/>
    </row>
    <row r="883" spans="1:20" s="14" customFormat="1" ht="14.15" customHeight="1">
      <c r="A883" s="436"/>
      <c r="B883" s="83"/>
      <c r="C883" s="83"/>
      <c r="D883" s="83"/>
      <c r="E883" s="189"/>
      <c r="F883" s="189"/>
      <c r="G883" s="189"/>
      <c r="H883" s="189"/>
      <c r="J883" s="83"/>
      <c r="K883" s="83"/>
      <c r="L883" s="436"/>
      <c r="M883" s="83"/>
      <c r="N883" s="83"/>
      <c r="O883" s="83"/>
      <c r="P883" s="83"/>
      <c r="Q883" s="83"/>
      <c r="R883" s="83"/>
      <c r="S883" s="83"/>
      <c r="T883" s="83"/>
    </row>
    <row r="884" spans="1:20" s="14" customFormat="1" ht="14.15" customHeight="1">
      <c r="A884" s="436"/>
      <c r="B884" s="83"/>
      <c r="C884" s="83"/>
      <c r="D884" s="83"/>
      <c r="E884" s="189"/>
      <c r="F884" s="189"/>
      <c r="G884" s="189"/>
      <c r="H884" s="189"/>
      <c r="J884" s="83"/>
      <c r="K884" s="83"/>
      <c r="L884" s="436"/>
      <c r="M884" s="83"/>
      <c r="N884" s="83"/>
      <c r="O884" s="83"/>
      <c r="P884" s="83"/>
      <c r="Q884" s="83"/>
      <c r="R884" s="83"/>
      <c r="S884" s="83"/>
      <c r="T884" s="83"/>
    </row>
    <row r="885" spans="1:20" s="14" customFormat="1" ht="14.15" customHeight="1">
      <c r="A885" s="436"/>
      <c r="B885" s="83"/>
      <c r="C885" s="83"/>
      <c r="D885" s="83"/>
      <c r="E885" s="189"/>
      <c r="F885" s="189"/>
      <c r="G885" s="189"/>
      <c r="H885" s="189"/>
      <c r="J885" s="83"/>
      <c r="K885" s="83"/>
      <c r="L885" s="436"/>
      <c r="M885" s="83"/>
      <c r="N885" s="83"/>
      <c r="O885" s="83"/>
      <c r="P885" s="83"/>
      <c r="Q885" s="83"/>
      <c r="R885" s="83"/>
      <c r="S885" s="83"/>
      <c r="T885" s="83"/>
    </row>
    <row r="886" spans="1:20" s="14" customFormat="1" ht="14.15" customHeight="1">
      <c r="A886" s="436"/>
      <c r="B886" s="83"/>
      <c r="C886" s="83"/>
      <c r="D886" s="83"/>
      <c r="E886" s="189"/>
      <c r="F886" s="189"/>
      <c r="G886" s="189"/>
      <c r="H886" s="189"/>
      <c r="J886" s="83"/>
      <c r="K886" s="83"/>
      <c r="L886" s="436"/>
      <c r="M886" s="83"/>
      <c r="N886" s="83"/>
      <c r="O886" s="83"/>
      <c r="P886" s="83"/>
      <c r="Q886" s="83"/>
      <c r="R886" s="83"/>
      <c r="S886" s="83"/>
      <c r="T886" s="83"/>
    </row>
    <row r="887" spans="1:20" s="14" customFormat="1" ht="14.15" customHeight="1">
      <c r="A887" s="436"/>
      <c r="B887" s="83"/>
      <c r="C887" s="83"/>
      <c r="D887" s="83"/>
      <c r="E887" s="189"/>
      <c r="F887" s="189"/>
      <c r="G887" s="189"/>
      <c r="H887" s="189"/>
      <c r="J887" s="83"/>
      <c r="K887" s="83"/>
      <c r="L887" s="436"/>
      <c r="M887" s="83"/>
      <c r="N887" s="83"/>
      <c r="O887" s="83"/>
      <c r="P887" s="83"/>
      <c r="Q887" s="83"/>
      <c r="R887" s="83"/>
      <c r="S887" s="83"/>
      <c r="T887" s="83"/>
    </row>
    <row r="888" spans="1:20" s="14" customFormat="1" ht="14.15" customHeight="1">
      <c r="A888" s="436"/>
      <c r="B888" s="83"/>
      <c r="C888" s="83"/>
      <c r="D888" s="83"/>
      <c r="E888" s="189"/>
      <c r="F888" s="189"/>
      <c r="G888" s="189"/>
      <c r="H888" s="189"/>
      <c r="J888" s="83"/>
      <c r="K888" s="83"/>
      <c r="L888" s="436"/>
      <c r="M888" s="83"/>
      <c r="N888" s="83"/>
      <c r="O888" s="83"/>
      <c r="P888" s="83"/>
      <c r="Q888" s="83"/>
      <c r="R888" s="83"/>
      <c r="S888" s="83"/>
      <c r="T888" s="83"/>
    </row>
    <row r="889" spans="1:20" s="14" customFormat="1" ht="14.15" customHeight="1">
      <c r="A889" s="436"/>
      <c r="B889" s="83"/>
      <c r="C889" s="83"/>
      <c r="D889" s="83"/>
      <c r="E889" s="189"/>
      <c r="F889" s="189"/>
      <c r="G889" s="189"/>
      <c r="H889" s="189"/>
      <c r="J889" s="83"/>
      <c r="K889" s="83"/>
      <c r="L889" s="436"/>
      <c r="M889" s="83"/>
      <c r="N889" s="83"/>
      <c r="O889" s="83"/>
      <c r="P889" s="83"/>
      <c r="Q889" s="83"/>
      <c r="R889" s="83"/>
      <c r="S889" s="83"/>
      <c r="T889" s="83"/>
    </row>
    <row r="890" spans="1:20" s="14" customFormat="1" ht="14.15" customHeight="1">
      <c r="A890" s="436"/>
      <c r="B890" s="83"/>
      <c r="C890" s="83"/>
      <c r="D890" s="83"/>
      <c r="E890" s="189"/>
      <c r="F890" s="189"/>
      <c r="G890" s="189"/>
      <c r="H890" s="189"/>
      <c r="J890" s="83"/>
      <c r="K890" s="83"/>
      <c r="L890" s="436"/>
      <c r="M890" s="83"/>
      <c r="N890" s="83"/>
      <c r="O890" s="83"/>
      <c r="P890" s="83"/>
      <c r="Q890" s="83"/>
      <c r="R890" s="83"/>
      <c r="S890" s="83"/>
      <c r="T890" s="83"/>
    </row>
    <row r="891" spans="1:20" s="14" customFormat="1" ht="14.15" customHeight="1">
      <c r="A891" s="436"/>
      <c r="B891" s="83"/>
      <c r="C891" s="83"/>
      <c r="D891" s="83"/>
      <c r="E891" s="189"/>
      <c r="F891" s="189"/>
      <c r="G891" s="189"/>
      <c r="H891" s="189"/>
      <c r="J891" s="83"/>
      <c r="K891" s="83"/>
      <c r="L891" s="436"/>
      <c r="M891" s="83"/>
      <c r="N891" s="83"/>
      <c r="O891" s="83"/>
      <c r="P891" s="83"/>
      <c r="Q891" s="83"/>
      <c r="R891" s="83"/>
      <c r="S891" s="83"/>
      <c r="T891" s="83"/>
    </row>
    <row r="892" spans="1:20" s="14" customFormat="1" ht="14.15" customHeight="1">
      <c r="A892" s="436"/>
      <c r="B892" s="83"/>
      <c r="C892" s="83"/>
      <c r="D892" s="83"/>
      <c r="E892" s="189"/>
      <c r="F892" s="189"/>
      <c r="G892" s="189"/>
      <c r="H892" s="189"/>
      <c r="J892" s="83"/>
      <c r="K892" s="83"/>
      <c r="L892" s="436"/>
      <c r="M892" s="83"/>
      <c r="N892" s="83"/>
      <c r="O892" s="83"/>
      <c r="P892" s="83"/>
      <c r="Q892" s="83"/>
      <c r="R892" s="83"/>
      <c r="S892" s="83"/>
      <c r="T892" s="83"/>
    </row>
    <row r="893" spans="1:20" s="14" customFormat="1" ht="14.15" customHeight="1">
      <c r="A893" s="436"/>
      <c r="B893" s="83"/>
      <c r="C893" s="83"/>
      <c r="D893" s="83"/>
      <c r="E893" s="189"/>
      <c r="F893" s="189"/>
      <c r="G893" s="189"/>
      <c r="H893" s="189"/>
      <c r="J893" s="83"/>
      <c r="K893" s="83"/>
      <c r="L893" s="436"/>
      <c r="M893" s="83"/>
      <c r="N893" s="83"/>
      <c r="O893" s="83"/>
      <c r="P893" s="83"/>
      <c r="Q893" s="83"/>
      <c r="R893" s="83"/>
      <c r="S893" s="83"/>
      <c r="T893" s="83"/>
    </row>
    <row r="894" spans="1:20" s="14" customFormat="1" ht="14.15" customHeight="1">
      <c r="A894" s="436"/>
      <c r="B894" s="83"/>
      <c r="C894" s="83"/>
      <c r="D894" s="83"/>
      <c r="E894" s="189"/>
      <c r="F894" s="189"/>
      <c r="G894" s="189"/>
      <c r="H894" s="189"/>
      <c r="J894" s="83"/>
      <c r="K894" s="83"/>
      <c r="L894" s="436"/>
      <c r="M894" s="83"/>
      <c r="N894" s="83"/>
      <c r="O894" s="83"/>
      <c r="P894" s="83"/>
      <c r="Q894" s="83"/>
      <c r="R894" s="83"/>
      <c r="S894" s="83"/>
      <c r="T894" s="83"/>
    </row>
    <row r="895" spans="1:20" s="14" customFormat="1" ht="14.15" customHeight="1">
      <c r="A895" s="436"/>
      <c r="B895" s="83"/>
      <c r="C895" s="83"/>
      <c r="D895" s="83"/>
      <c r="E895" s="189"/>
      <c r="F895" s="189"/>
      <c r="G895" s="189"/>
      <c r="H895" s="189"/>
      <c r="J895" s="83"/>
      <c r="K895" s="83"/>
      <c r="L895" s="436"/>
      <c r="M895" s="83"/>
      <c r="N895" s="83"/>
      <c r="O895" s="83"/>
      <c r="P895" s="83"/>
      <c r="Q895" s="83"/>
      <c r="R895" s="83"/>
      <c r="S895" s="83"/>
      <c r="T895" s="83"/>
    </row>
    <row r="896" spans="1:20" s="14" customFormat="1" ht="14.15" customHeight="1">
      <c r="A896" s="436"/>
      <c r="B896" s="83"/>
      <c r="C896" s="83"/>
      <c r="D896" s="83"/>
      <c r="E896" s="189"/>
      <c r="F896" s="189"/>
      <c r="G896" s="189"/>
      <c r="H896" s="189"/>
      <c r="J896" s="83"/>
      <c r="K896" s="83"/>
      <c r="L896" s="436"/>
      <c r="M896" s="83"/>
      <c r="N896" s="83"/>
      <c r="O896" s="83"/>
      <c r="P896" s="83"/>
      <c r="Q896" s="83"/>
      <c r="R896" s="83"/>
      <c r="S896" s="83"/>
      <c r="T896" s="83"/>
    </row>
    <row r="897" spans="1:20" s="14" customFormat="1" ht="14.15" customHeight="1">
      <c r="A897" s="436"/>
      <c r="B897" s="83"/>
      <c r="C897" s="83"/>
      <c r="D897" s="83"/>
      <c r="E897" s="189"/>
      <c r="F897" s="189"/>
      <c r="G897" s="189"/>
      <c r="H897" s="189"/>
      <c r="J897" s="83"/>
      <c r="K897" s="83"/>
      <c r="L897" s="436"/>
      <c r="M897" s="83"/>
      <c r="N897" s="83"/>
      <c r="O897" s="83"/>
      <c r="P897" s="83"/>
      <c r="Q897" s="83"/>
      <c r="R897" s="83"/>
      <c r="S897" s="83"/>
      <c r="T897" s="83"/>
    </row>
    <row r="898" spans="1:20" s="14" customFormat="1" ht="14.15" customHeight="1">
      <c r="A898" s="436"/>
      <c r="B898" s="83"/>
      <c r="C898" s="83"/>
      <c r="D898" s="83"/>
      <c r="E898" s="189"/>
      <c r="F898" s="189"/>
      <c r="G898" s="189"/>
      <c r="H898" s="189"/>
      <c r="J898" s="83"/>
      <c r="K898" s="83"/>
      <c r="L898" s="436"/>
      <c r="M898" s="83"/>
      <c r="N898" s="83"/>
      <c r="O898" s="83"/>
      <c r="P898" s="83"/>
      <c r="Q898" s="83"/>
      <c r="R898" s="83"/>
      <c r="S898" s="83"/>
      <c r="T898" s="83"/>
    </row>
    <row r="899" spans="1:20" s="14" customFormat="1" ht="14.15" customHeight="1">
      <c r="A899" s="436"/>
      <c r="B899" s="83"/>
      <c r="C899" s="83"/>
      <c r="D899" s="83"/>
      <c r="E899" s="189"/>
      <c r="F899" s="189"/>
      <c r="G899" s="189"/>
      <c r="H899" s="189"/>
      <c r="J899" s="83"/>
      <c r="K899" s="83"/>
      <c r="L899" s="436"/>
      <c r="M899" s="83"/>
      <c r="N899" s="83"/>
      <c r="O899" s="83"/>
      <c r="P899" s="83"/>
      <c r="Q899" s="83"/>
      <c r="R899" s="83"/>
      <c r="S899" s="83"/>
      <c r="T899" s="83"/>
    </row>
    <row r="900" spans="1:20" s="14" customFormat="1" ht="14.15" customHeight="1">
      <c r="A900" s="436"/>
      <c r="B900" s="83"/>
      <c r="C900" s="83"/>
      <c r="D900" s="83"/>
      <c r="E900" s="189"/>
      <c r="F900" s="189"/>
      <c r="G900" s="189"/>
      <c r="H900" s="189"/>
      <c r="J900" s="83"/>
      <c r="K900" s="83"/>
      <c r="L900" s="436"/>
      <c r="M900" s="83"/>
      <c r="N900" s="83"/>
      <c r="O900" s="83"/>
      <c r="P900" s="83"/>
      <c r="Q900" s="83"/>
      <c r="R900" s="83"/>
      <c r="S900" s="83"/>
      <c r="T900" s="83"/>
    </row>
    <row r="901" spans="1:20" s="14" customFormat="1" ht="14.15" customHeight="1">
      <c r="A901" s="436"/>
      <c r="B901" s="83"/>
      <c r="C901" s="83"/>
      <c r="D901" s="83"/>
      <c r="E901" s="189"/>
      <c r="F901" s="189"/>
      <c r="G901" s="189"/>
      <c r="H901" s="189"/>
      <c r="J901" s="83"/>
      <c r="K901" s="83"/>
      <c r="L901" s="436"/>
      <c r="M901" s="83"/>
      <c r="N901" s="83"/>
      <c r="O901" s="83"/>
      <c r="P901" s="83"/>
      <c r="Q901" s="83"/>
      <c r="R901" s="83"/>
      <c r="S901" s="83"/>
      <c r="T901" s="83"/>
    </row>
    <row r="902" spans="1:20" s="14" customFormat="1" ht="14.15" customHeight="1">
      <c r="A902" s="436"/>
      <c r="B902" s="83"/>
      <c r="C902" s="83"/>
      <c r="D902" s="83"/>
      <c r="E902" s="189"/>
      <c r="F902" s="189"/>
      <c r="G902" s="189"/>
      <c r="H902" s="189"/>
      <c r="J902" s="83"/>
      <c r="K902" s="83"/>
      <c r="L902" s="436"/>
      <c r="M902" s="83"/>
      <c r="N902" s="83"/>
      <c r="O902" s="83"/>
      <c r="P902" s="83"/>
      <c r="Q902" s="83"/>
      <c r="R902" s="83"/>
      <c r="S902" s="83"/>
      <c r="T902" s="83"/>
    </row>
    <row r="903" spans="1:20" s="14" customFormat="1" ht="14.15" customHeight="1">
      <c r="A903" s="436"/>
      <c r="B903" s="83"/>
      <c r="C903" s="83"/>
      <c r="D903" s="83"/>
      <c r="E903" s="189"/>
      <c r="F903" s="189"/>
      <c r="G903" s="189"/>
      <c r="H903" s="189"/>
      <c r="J903" s="83"/>
      <c r="K903" s="83"/>
      <c r="L903" s="436"/>
      <c r="M903" s="83"/>
      <c r="N903" s="83"/>
      <c r="O903" s="83"/>
      <c r="P903" s="83"/>
      <c r="Q903" s="83"/>
      <c r="R903" s="83"/>
      <c r="S903" s="83"/>
      <c r="T903" s="83"/>
    </row>
    <row r="904" spans="1:20" s="14" customFormat="1" ht="14.15" customHeight="1">
      <c r="A904" s="436"/>
      <c r="B904" s="83"/>
      <c r="C904" s="83"/>
      <c r="D904" s="83"/>
      <c r="E904" s="189"/>
      <c r="F904" s="189"/>
      <c r="G904" s="189"/>
      <c r="H904" s="189"/>
      <c r="J904" s="83"/>
      <c r="K904" s="83"/>
      <c r="L904" s="436"/>
      <c r="M904" s="83"/>
      <c r="N904" s="83"/>
      <c r="O904" s="83"/>
      <c r="P904" s="83"/>
      <c r="Q904" s="83"/>
      <c r="R904" s="83"/>
      <c r="S904" s="83"/>
      <c r="T904" s="83"/>
    </row>
    <row r="905" spans="1:20" s="14" customFormat="1" ht="14.15" customHeight="1">
      <c r="A905" s="436"/>
      <c r="B905" s="83"/>
      <c r="C905" s="83"/>
      <c r="D905" s="83"/>
      <c r="E905" s="189"/>
      <c r="F905" s="189"/>
      <c r="G905" s="189"/>
      <c r="H905" s="189"/>
      <c r="J905" s="83"/>
      <c r="K905" s="83"/>
      <c r="L905" s="436"/>
      <c r="M905" s="83"/>
      <c r="N905" s="83"/>
      <c r="O905" s="83"/>
      <c r="P905" s="83"/>
      <c r="Q905" s="83"/>
      <c r="R905" s="83"/>
      <c r="S905" s="83"/>
      <c r="T905" s="83"/>
    </row>
    <row r="906" spans="1:20" s="14" customFormat="1" ht="14.15" customHeight="1">
      <c r="A906" s="436"/>
      <c r="B906" s="83"/>
      <c r="C906" s="83"/>
      <c r="D906" s="83"/>
      <c r="E906" s="189"/>
      <c r="F906" s="189"/>
      <c r="G906" s="189"/>
      <c r="H906" s="189"/>
      <c r="J906" s="83"/>
      <c r="K906" s="83"/>
      <c r="L906" s="436"/>
      <c r="M906" s="83"/>
      <c r="N906" s="83"/>
      <c r="O906" s="83"/>
      <c r="P906" s="83"/>
      <c r="Q906" s="83"/>
      <c r="R906" s="83"/>
      <c r="S906" s="83"/>
      <c r="T906" s="83"/>
    </row>
    <row r="907" spans="1:20" s="14" customFormat="1" ht="14.15" customHeight="1">
      <c r="A907" s="436"/>
      <c r="B907" s="83"/>
      <c r="C907" s="83"/>
      <c r="D907" s="83"/>
      <c r="E907" s="189"/>
      <c r="F907" s="189"/>
      <c r="G907" s="189"/>
      <c r="H907" s="189"/>
      <c r="J907" s="83"/>
      <c r="K907" s="83"/>
      <c r="L907" s="436"/>
      <c r="M907" s="83"/>
      <c r="N907" s="83"/>
      <c r="O907" s="83"/>
      <c r="P907" s="83"/>
      <c r="Q907" s="83"/>
      <c r="R907" s="83"/>
      <c r="S907" s="83"/>
      <c r="T907" s="83"/>
    </row>
    <row r="908" spans="1:20" s="14" customFormat="1" ht="14.15" customHeight="1">
      <c r="A908" s="436"/>
      <c r="B908" s="83"/>
      <c r="C908" s="83"/>
      <c r="D908" s="83"/>
      <c r="E908" s="189"/>
      <c r="F908" s="189"/>
      <c r="G908" s="189"/>
      <c r="H908" s="189"/>
      <c r="J908" s="83"/>
      <c r="K908" s="83"/>
      <c r="L908" s="436"/>
      <c r="M908" s="83"/>
      <c r="N908" s="83"/>
      <c r="O908" s="83"/>
      <c r="P908" s="83"/>
      <c r="Q908" s="83"/>
      <c r="R908" s="83"/>
      <c r="S908" s="83"/>
      <c r="T908" s="83"/>
    </row>
    <row r="909" spans="1:20" s="14" customFormat="1" ht="14.15" customHeight="1">
      <c r="A909" s="436"/>
      <c r="B909" s="83"/>
      <c r="C909" s="83"/>
      <c r="D909" s="83"/>
      <c r="E909" s="189"/>
      <c r="F909" s="189"/>
      <c r="G909" s="189"/>
      <c r="H909" s="189"/>
      <c r="J909" s="83"/>
      <c r="K909" s="83"/>
      <c r="L909" s="436"/>
      <c r="M909" s="83"/>
      <c r="N909" s="83"/>
      <c r="O909" s="83"/>
      <c r="P909" s="83"/>
      <c r="Q909" s="83"/>
      <c r="R909" s="83"/>
      <c r="S909" s="83"/>
      <c r="T909" s="83"/>
    </row>
    <row r="910" spans="1:20" s="14" customFormat="1" ht="14.15" customHeight="1">
      <c r="A910" s="436"/>
      <c r="B910" s="83"/>
      <c r="C910" s="83"/>
      <c r="D910" s="83"/>
      <c r="E910" s="189"/>
      <c r="F910" s="189"/>
      <c r="G910" s="189"/>
      <c r="H910" s="189"/>
      <c r="J910" s="83"/>
      <c r="K910" s="83"/>
      <c r="L910" s="436"/>
      <c r="M910" s="83"/>
      <c r="N910" s="83"/>
      <c r="O910" s="83"/>
      <c r="P910" s="83"/>
      <c r="Q910" s="83"/>
      <c r="R910" s="83"/>
      <c r="S910" s="83"/>
      <c r="T910" s="83"/>
    </row>
    <row r="911" spans="1:20" s="14" customFormat="1" ht="14.15" customHeight="1">
      <c r="A911" s="436"/>
      <c r="B911" s="83"/>
      <c r="C911" s="83"/>
      <c r="D911" s="83"/>
      <c r="E911" s="189"/>
      <c r="F911" s="189"/>
      <c r="G911" s="189"/>
      <c r="H911" s="189"/>
      <c r="J911" s="83"/>
      <c r="K911" s="83"/>
      <c r="L911" s="436"/>
      <c r="M911" s="83"/>
      <c r="N911" s="83"/>
      <c r="O911" s="83"/>
      <c r="P911" s="83"/>
      <c r="Q911" s="83"/>
      <c r="R911" s="83"/>
      <c r="S911" s="83"/>
      <c r="T911" s="83"/>
    </row>
    <row r="912" spans="1:20" s="14" customFormat="1" ht="14.15" customHeight="1">
      <c r="A912" s="436"/>
      <c r="B912" s="83"/>
      <c r="C912" s="83"/>
      <c r="D912" s="83"/>
      <c r="E912" s="189"/>
      <c r="F912" s="189"/>
      <c r="G912" s="189"/>
      <c r="H912" s="189"/>
      <c r="J912" s="83"/>
      <c r="K912" s="83"/>
      <c r="L912" s="436"/>
      <c r="M912" s="83"/>
      <c r="N912" s="83"/>
      <c r="O912" s="83"/>
      <c r="P912" s="83"/>
      <c r="Q912" s="83"/>
      <c r="R912" s="83"/>
      <c r="S912" s="83"/>
      <c r="T912" s="83"/>
    </row>
    <row r="913" spans="1:20" s="14" customFormat="1" ht="14.15" customHeight="1">
      <c r="A913" s="436"/>
      <c r="B913" s="83"/>
      <c r="C913" s="83"/>
      <c r="D913" s="83"/>
      <c r="E913" s="189"/>
      <c r="F913" s="189"/>
      <c r="G913" s="189"/>
      <c r="H913" s="189"/>
      <c r="J913" s="83"/>
      <c r="K913" s="83"/>
      <c r="L913" s="436"/>
      <c r="M913" s="83"/>
      <c r="N913" s="83"/>
      <c r="O913" s="83"/>
      <c r="P913" s="83"/>
      <c r="Q913" s="83"/>
      <c r="R913" s="83"/>
      <c r="S913" s="83"/>
      <c r="T913" s="83"/>
    </row>
    <row r="914" spans="1:20" s="14" customFormat="1" ht="14.15" customHeight="1">
      <c r="A914" s="436"/>
      <c r="B914" s="83"/>
      <c r="C914" s="83"/>
      <c r="D914" s="83"/>
      <c r="E914" s="189"/>
      <c r="F914" s="189"/>
      <c r="G914" s="189"/>
      <c r="H914" s="189"/>
      <c r="J914" s="83"/>
      <c r="K914" s="83"/>
      <c r="L914" s="436"/>
      <c r="M914" s="83"/>
      <c r="N914" s="83"/>
      <c r="O914" s="83"/>
      <c r="P914" s="83"/>
      <c r="Q914" s="83"/>
      <c r="R914" s="83"/>
      <c r="S914" s="83"/>
      <c r="T914" s="83"/>
    </row>
    <row r="915" spans="1:20" s="14" customFormat="1" ht="14.15" customHeight="1">
      <c r="A915" s="436"/>
      <c r="B915" s="83"/>
      <c r="C915" s="83"/>
      <c r="D915" s="83"/>
      <c r="E915" s="189"/>
      <c r="F915" s="189"/>
      <c r="G915" s="189"/>
      <c r="H915" s="189"/>
      <c r="J915" s="83"/>
      <c r="K915" s="83"/>
      <c r="L915" s="436"/>
      <c r="M915" s="83"/>
      <c r="N915" s="83"/>
      <c r="O915" s="83"/>
      <c r="P915" s="83"/>
      <c r="Q915" s="83"/>
      <c r="R915" s="83"/>
      <c r="S915" s="83"/>
      <c r="T915" s="83"/>
    </row>
    <row r="916" spans="1:20" s="14" customFormat="1" ht="14.15" customHeight="1">
      <c r="A916" s="436"/>
      <c r="B916" s="83"/>
      <c r="C916" s="83"/>
      <c r="D916" s="83"/>
      <c r="E916" s="189"/>
      <c r="F916" s="189"/>
      <c r="G916" s="189"/>
      <c r="H916" s="189"/>
      <c r="J916" s="83"/>
      <c r="K916" s="83"/>
      <c r="L916" s="436"/>
      <c r="M916" s="83"/>
      <c r="N916" s="83"/>
      <c r="O916" s="83"/>
      <c r="P916" s="83"/>
      <c r="Q916" s="83"/>
      <c r="R916" s="83"/>
      <c r="S916" s="83"/>
      <c r="T916" s="83"/>
    </row>
    <row r="917" spans="1:20" s="14" customFormat="1" ht="14.15" customHeight="1">
      <c r="A917" s="436"/>
      <c r="B917" s="83"/>
      <c r="C917" s="83"/>
      <c r="D917" s="83"/>
      <c r="E917" s="189"/>
      <c r="F917" s="189"/>
      <c r="G917" s="189"/>
      <c r="H917" s="189"/>
      <c r="J917" s="83"/>
      <c r="K917" s="83"/>
      <c r="L917" s="436"/>
      <c r="M917" s="83"/>
      <c r="N917" s="83"/>
      <c r="O917" s="83"/>
      <c r="P917" s="83"/>
      <c r="Q917" s="83"/>
      <c r="R917" s="83"/>
      <c r="S917" s="83"/>
      <c r="T917" s="83"/>
    </row>
    <row r="918" spans="1:20" s="14" customFormat="1" ht="14.15" customHeight="1">
      <c r="A918" s="436"/>
      <c r="B918" s="83"/>
      <c r="C918" s="83"/>
      <c r="D918" s="83"/>
      <c r="E918" s="189"/>
      <c r="F918" s="189"/>
      <c r="G918" s="189"/>
      <c r="H918" s="189"/>
      <c r="J918" s="83"/>
      <c r="K918" s="83"/>
      <c r="L918" s="436"/>
      <c r="M918" s="83"/>
      <c r="N918" s="83"/>
      <c r="O918" s="83"/>
      <c r="P918" s="83"/>
      <c r="Q918" s="83"/>
      <c r="R918" s="83"/>
      <c r="S918" s="83"/>
      <c r="T918" s="83"/>
    </row>
    <row r="919" spans="1:20" s="14" customFormat="1" ht="14.15" customHeight="1">
      <c r="A919" s="436"/>
      <c r="B919" s="83"/>
      <c r="C919" s="83"/>
      <c r="D919" s="83"/>
      <c r="E919" s="189"/>
      <c r="F919" s="189"/>
      <c r="G919" s="189"/>
      <c r="H919" s="189"/>
      <c r="J919" s="83"/>
      <c r="K919" s="83"/>
      <c r="L919" s="436"/>
      <c r="M919" s="83"/>
      <c r="N919" s="83"/>
      <c r="O919" s="83"/>
      <c r="P919" s="83"/>
      <c r="Q919" s="83"/>
      <c r="R919" s="83"/>
      <c r="S919" s="83"/>
      <c r="T919" s="83"/>
    </row>
    <row r="920" spans="1:20" s="14" customFormat="1" ht="14.15" customHeight="1">
      <c r="A920" s="436"/>
      <c r="B920" s="83"/>
      <c r="C920" s="83"/>
      <c r="D920" s="83"/>
      <c r="E920" s="189"/>
      <c r="F920" s="189"/>
      <c r="G920" s="189"/>
      <c r="H920" s="189"/>
      <c r="J920" s="83"/>
      <c r="K920" s="83"/>
      <c r="L920" s="436"/>
      <c r="M920" s="83"/>
      <c r="N920" s="83"/>
      <c r="O920" s="83"/>
      <c r="P920" s="83"/>
      <c r="Q920" s="83"/>
      <c r="R920" s="83"/>
      <c r="S920" s="83"/>
      <c r="T920" s="83"/>
    </row>
    <row r="921" spans="1:20" s="14" customFormat="1" ht="14.15" customHeight="1">
      <c r="A921" s="436"/>
      <c r="B921" s="83"/>
      <c r="C921" s="83"/>
      <c r="D921" s="83"/>
      <c r="E921" s="189"/>
      <c r="F921" s="189"/>
      <c r="G921" s="189"/>
      <c r="H921" s="189"/>
      <c r="J921" s="83"/>
      <c r="K921" s="83"/>
      <c r="L921" s="436"/>
      <c r="M921" s="83"/>
      <c r="N921" s="83"/>
      <c r="O921" s="83"/>
      <c r="P921" s="83"/>
      <c r="Q921" s="83"/>
      <c r="R921" s="83"/>
      <c r="S921" s="83"/>
      <c r="T921" s="83"/>
    </row>
    <row r="922" spans="1:20" s="14" customFormat="1" ht="14.15" customHeight="1">
      <c r="A922" s="436"/>
      <c r="B922" s="83"/>
      <c r="C922" s="83"/>
      <c r="D922" s="83"/>
      <c r="E922" s="189"/>
      <c r="F922" s="189"/>
      <c r="G922" s="189"/>
      <c r="H922" s="189"/>
      <c r="J922" s="83"/>
      <c r="K922" s="83"/>
      <c r="L922" s="436"/>
      <c r="M922" s="83"/>
      <c r="N922" s="83"/>
      <c r="O922" s="83"/>
      <c r="P922" s="83"/>
      <c r="Q922" s="83"/>
      <c r="R922" s="83"/>
      <c r="S922" s="83"/>
      <c r="T922" s="83"/>
    </row>
    <row r="923" spans="1:20" s="14" customFormat="1" ht="14.15" customHeight="1">
      <c r="A923" s="436"/>
      <c r="B923" s="83"/>
      <c r="C923" s="83"/>
      <c r="D923" s="83"/>
      <c r="E923" s="189"/>
      <c r="F923" s="189"/>
      <c r="G923" s="189"/>
      <c r="H923" s="189"/>
      <c r="J923" s="83"/>
      <c r="K923" s="83"/>
      <c r="L923" s="436"/>
      <c r="M923" s="83"/>
      <c r="N923" s="83"/>
      <c r="O923" s="83"/>
      <c r="P923" s="83"/>
      <c r="Q923" s="83"/>
      <c r="R923" s="83"/>
      <c r="S923" s="83"/>
      <c r="T923" s="83"/>
    </row>
    <row r="924" spans="1:20" s="14" customFormat="1" ht="14.15" customHeight="1">
      <c r="A924" s="436"/>
      <c r="B924" s="83"/>
      <c r="C924" s="83"/>
      <c r="D924" s="83"/>
      <c r="E924" s="189"/>
      <c r="F924" s="189"/>
      <c r="G924" s="189"/>
      <c r="H924" s="189"/>
      <c r="J924" s="83"/>
      <c r="K924" s="83"/>
      <c r="L924" s="436"/>
      <c r="M924" s="83"/>
      <c r="N924" s="83"/>
      <c r="O924" s="83"/>
      <c r="P924" s="83"/>
      <c r="Q924" s="83"/>
      <c r="R924" s="83"/>
      <c r="S924" s="83"/>
      <c r="T924" s="83"/>
    </row>
    <row r="925" spans="1:20" s="14" customFormat="1" ht="14.15" customHeight="1">
      <c r="A925" s="436"/>
      <c r="B925" s="83"/>
      <c r="C925" s="83"/>
      <c r="D925" s="83"/>
      <c r="E925" s="189"/>
      <c r="F925" s="189"/>
      <c r="G925" s="189"/>
      <c r="H925" s="189"/>
      <c r="J925" s="83"/>
      <c r="K925" s="83"/>
      <c r="L925" s="436"/>
      <c r="M925" s="83"/>
      <c r="N925" s="83"/>
      <c r="O925" s="83"/>
      <c r="P925" s="83"/>
      <c r="Q925" s="83"/>
      <c r="R925" s="83"/>
      <c r="S925" s="83"/>
      <c r="T925" s="83"/>
    </row>
    <row r="926" spans="1:20" s="14" customFormat="1" ht="14.15" customHeight="1">
      <c r="A926" s="436"/>
      <c r="B926" s="83"/>
      <c r="C926" s="83"/>
      <c r="D926" s="83"/>
      <c r="E926" s="189"/>
      <c r="F926" s="189"/>
      <c r="G926" s="189"/>
      <c r="H926" s="189"/>
      <c r="J926" s="83"/>
      <c r="K926" s="83"/>
      <c r="L926" s="436"/>
      <c r="M926" s="83"/>
      <c r="N926" s="83"/>
      <c r="O926" s="83"/>
      <c r="P926" s="83"/>
      <c r="Q926" s="83"/>
      <c r="R926" s="83"/>
      <c r="S926" s="83"/>
      <c r="T926" s="83"/>
    </row>
    <row r="927" spans="1:20" s="14" customFormat="1" ht="14.15" customHeight="1">
      <c r="A927" s="436"/>
      <c r="B927" s="83"/>
      <c r="C927" s="83"/>
      <c r="D927" s="83"/>
      <c r="E927" s="189"/>
      <c r="F927" s="189"/>
      <c r="G927" s="189"/>
      <c r="H927" s="189"/>
      <c r="J927" s="83"/>
      <c r="K927" s="83"/>
      <c r="L927" s="436"/>
      <c r="M927" s="83"/>
      <c r="N927" s="83"/>
      <c r="O927" s="83"/>
      <c r="P927" s="83"/>
      <c r="Q927" s="83"/>
      <c r="R927" s="83"/>
      <c r="S927" s="83"/>
      <c r="T927" s="83"/>
    </row>
    <row r="928" spans="1:20" s="14" customFormat="1" ht="14.15" customHeight="1">
      <c r="A928" s="436"/>
      <c r="B928" s="83"/>
      <c r="C928" s="83"/>
      <c r="D928" s="83"/>
      <c r="E928" s="189"/>
      <c r="F928" s="189"/>
      <c r="G928" s="189"/>
      <c r="H928" s="189"/>
      <c r="J928" s="83"/>
      <c r="K928" s="83"/>
      <c r="L928" s="436"/>
      <c r="M928" s="83"/>
      <c r="N928" s="83"/>
      <c r="O928" s="83"/>
      <c r="P928" s="83"/>
      <c r="Q928" s="83"/>
      <c r="R928" s="83"/>
      <c r="S928" s="83"/>
      <c r="T928" s="83"/>
    </row>
    <row r="929" spans="1:20" s="14" customFormat="1" ht="14.15" customHeight="1">
      <c r="A929" s="436"/>
      <c r="B929" s="83"/>
      <c r="C929" s="83"/>
      <c r="D929" s="83"/>
      <c r="E929" s="189"/>
      <c r="F929" s="189"/>
      <c r="G929" s="189"/>
      <c r="H929" s="189"/>
      <c r="J929" s="83"/>
      <c r="K929" s="83"/>
      <c r="L929" s="436"/>
      <c r="M929" s="83"/>
      <c r="N929" s="83"/>
      <c r="O929" s="83"/>
      <c r="P929" s="83"/>
      <c r="Q929" s="83"/>
      <c r="R929" s="83"/>
      <c r="S929" s="83"/>
      <c r="T929" s="83"/>
    </row>
    <row r="930" spans="1:20" s="14" customFormat="1" ht="14.15" customHeight="1">
      <c r="A930" s="436"/>
      <c r="B930" s="83"/>
      <c r="C930" s="83"/>
      <c r="D930" s="83"/>
      <c r="E930" s="189"/>
      <c r="F930" s="189"/>
      <c r="G930" s="189"/>
      <c r="H930" s="189"/>
      <c r="J930" s="83"/>
      <c r="K930" s="83"/>
      <c r="L930" s="436"/>
      <c r="M930" s="83"/>
      <c r="N930" s="83"/>
      <c r="O930" s="83"/>
      <c r="P930" s="83"/>
      <c r="Q930" s="83"/>
      <c r="R930" s="83"/>
      <c r="S930" s="83"/>
      <c r="T930" s="83"/>
    </row>
    <row r="931" spans="1:20" s="14" customFormat="1" ht="14.15" customHeight="1">
      <c r="A931" s="436"/>
      <c r="B931" s="83"/>
      <c r="C931" s="83"/>
      <c r="D931" s="83"/>
      <c r="E931" s="189"/>
      <c r="F931" s="189"/>
      <c r="G931" s="189"/>
      <c r="H931" s="189"/>
      <c r="J931" s="83"/>
      <c r="K931" s="83"/>
      <c r="L931" s="436"/>
      <c r="M931" s="83"/>
      <c r="N931" s="83"/>
      <c r="O931" s="83"/>
      <c r="P931" s="83"/>
      <c r="Q931" s="83"/>
      <c r="R931" s="83"/>
      <c r="S931" s="83"/>
      <c r="T931" s="83"/>
    </row>
    <row r="932" spans="1:20" s="14" customFormat="1" ht="14.15" customHeight="1">
      <c r="A932" s="436"/>
      <c r="B932" s="83"/>
      <c r="C932" s="83"/>
      <c r="D932" s="83"/>
      <c r="E932" s="189"/>
      <c r="F932" s="189"/>
      <c r="G932" s="189"/>
      <c r="H932" s="189"/>
      <c r="J932" s="83"/>
      <c r="K932" s="83"/>
      <c r="L932" s="436"/>
      <c r="M932" s="83"/>
      <c r="N932" s="83"/>
      <c r="O932" s="83"/>
      <c r="P932" s="83"/>
      <c r="Q932" s="83"/>
      <c r="R932" s="83"/>
      <c r="S932" s="83"/>
      <c r="T932" s="83"/>
    </row>
    <row r="933" spans="1:20" s="14" customFormat="1" ht="14.15" customHeight="1">
      <c r="A933" s="436"/>
      <c r="B933" s="83"/>
      <c r="C933" s="83"/>
      <c r="D933" s="83"/>
      <c r="E933" s="189"/>
      <c r="F933" s="189"/>
      <c r="G933" s="189"/>
      <c r="H933" s="189"/>
      <c r="J933" s="83"/>
      <c r="K933" s="83"/>
      <c r="L933" s="436"/>
      <c r="M933" s="83"/>
      <c r="N933" s="83"/>
      <c r="O933" s="83"/>
      <c r="P933" s="83"/>
      <c r="Q933" s="83"/>
      <c r="R933" s="83"/>
      <c r="S933" s="83"/>
      <c r="T933" s="83"/>
    </row>
    <row r="934" spans="1:20" s="14" customFormat="1" ht="14.15" customHeight="1">
      <c r="A934" s="436"/>
      <c r="B934" s="83"/>
      <c r="C934" s="83"/>
      <c r="D934" s="83"/>
      <c r="E934" s="189"/>
      <c r="F934" s="189"/>
      <c r="G934" s="189"/>
      <c r="H934" s="189"/>
      <c r="J934" s="83"/>
      <c r="K934" s="83"/>
      <c r="L934" s="436"/>
      <c r="M934" s="83"/>
      <c r="N934" s="83"/>
      <c r="O934" s="83"/>
      <c r="P934" s="83"/>
      <c r="Q934" s="83"/>
      <c r="R934" s="83"/>
      <c r="S934" s="83"/>
      <c r="T934" s="83"/>
    </row>
    <row r="935" spans="1:20" s="14" customFormat="1" ht="14.15" customHeight="1">
      <c r="A935" s="436"/>
      <c r="B935" s="83"/>
      <c r="C935" s="83"/>
      <c r="D935" s="83"/>
      <c r="E935" s="189"/>
      <c r="F935" s="189"/>
      <c r="G935" s="189"/>
      <c r="H935" s="189"/>
      <c r="J935" s="83"/>
      <c r="K935" s="83"/>
      <c r="L935" s="436"/>
      <c r="M935" s="83"/>
      <c r="N935" s="83"/>
      <c r="O935" s="83"/>
      <c r="P935" s="83"/>
      <c r="Q935" s="83"/>
      <c r="R935" s="83"/>
      <c r="S935" s="83"/>
      <c r="T935" s="83"/>
    </row>
    <row r="936" spans="1:20" s="14" customFormat="1" ht="14.15" customHeight="1">
      <c r="A936" s="436"/>
      <c r="B936" s="83"/>
      <c r="C936" s="83"/>
      <c r="D936" s="83"/>
      <c r="E936" s="189"/>
      <c r="F936" s="189"/>
      <c r="G936" s="189"/>
      <c r="H936" s="189"/>
      <c r="J936" s="83"/>
      <c r="K936" s="83"/>
      <c r="L936" s="436"/>
      <c r="M936" s="83"/>
      <c r="N936" s="83"/>
      <c r="O936" s="83"/>
      <c r="P936" s="83"/>
      <c r="Q936" s="83"/>
      <c r="R936" s="83"/>
      <c r="S936" s="83"/>
      <c r="T936" s="83"/>
    </row>
    <row r="937" spans="1:20" s="14" customFormat="1" ht="14.15" customHeight="1">
      <c r="A937" s="436"/>
      <c r="B937" s="83"/>
      <c r="C937" s="83"/>
      <c r="D937" s="83"/>
      <c r="E937" s="189"/>
      <c r="F937" s="189"/>
      <c r="G937" s="189"/>
      <c r="H937" s="189"/>
      <c r="J937" s="83"/>
      <c r="K937" s="83"/>
      <c r="L937" s="436"/>
      <c r="M937" s="83"/>
      <c r="N937" s="83"/>
      <c r="O937" s="83"/>
      <c r="P937" s="83"/>
      <c r="Q937" s="83"/>
      <c r="R937" s="83"/>
      <c r="S937" s="83"/>
      <c r="T937" s="83"/>
    </row>
    <row r="938" spans="1:20" s="14" customFormat="1" ht="14.15" customHeight="1">
      <c r="A938" s="436"/>
      <c r="B938" s="83"/>
      <c r="C938" s="83"/>
      <c r="D938" s="83"/>
      <c r="E938" s="189"/>
      <c r="F938" s="189"/>
      <c r="G938" s="189"/>
      <c r="H938" s="189"/>
      <c r="J938" s="83"/>
      <c r="K938" s="83"/>
      <c r="L938" s="436"/>
      <c r="M938" s="83"/>
      <c r="N938" s="83"/>
      <c r="O938" s="83"/>
      <c r="P938" s="83"/>
      <c r="Q938" s="83"/>
      <c r="R938" s="83"/>
      <c r="S938" s="83"/>
      <c r="T938" s="83"/>
    </row>
    <row r="939" spans="1:20" s="14" customFormat="1" ht="14.15" customHeight="1">
      <c r="A939" s="436"/>
      <c r="B939" s="83"/>
      <c r="C939" s="83"/>
      <c r="D939" s="83"/>
      <c r="E939" s="189"/>
      <c r="F939" s="189"/>
      <c r="G939" s="189"/>
      <c r="H939" s="189"/>
      <c r="J939" s="83"/>
      <c r="K939" s="83"/>
      <c r="L939" s="436"/>
      <c r="M939" s="83"/>
      <c r="N939" s="83"/>
      <c r="O939" s="83"/>
      <c r="P939" s="83"/>
      <c r="Q939" s="83"/>
      <c r="R939" s="83"/>
      <c r="S939" s="83"/>
      <c r="T939" s="83"/>
    </row>
  </sheetData>
  <phoneticPr fontId="22" type="noConversion"/>
  <pageMargins left="0.2" right="0.2" top="0.76" bottom="0.38" header="0.5" footer="0.22"/>
  <pageSetup scale="65" fitToHeight="13" orientation="landscape" r:id="rId1"/>
  <headerFooter alignWithMargins="0">
    <oddHeader xml:space="preserve">&amp;C&amp;12KENTUCKY POWER COMPANY
JURISDICTIONAL COST OF SERVICE 
TEST YEAR ENDED MARCH 31, 2023&amp;R&amp;12SECTION V
SCHEDULE 4
</oddHeader>
  </headerFooter>
  <rowBreaks count="1" manualBreakCount="1">
    <brk id="5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906"/>
  <sheetViews>
    <sheetView showGridLines="0" zoomScale="120" zoomScaleNormal="120" zoomScaleSheetLayoutView="70" workbookViewId="0">
      <pane xSplit="2" ySplit="3" topLeftCell="C4" activePane="bottomRight" state="frozen"/>
      <selection activeCell="G26" sqref="G26"/>
      <selection pane="topRight" activeCell="G26" sqref="G26"/>
      <selection pane="bottomLeft" activeCell="G26" sqref="G26"/>
      <selection pane="bottomRight" activeCell="F13" sqref="F13"/>
    </sheetView>
  </sheetViews>
  <sheetFormatPr defaultColWidth="9.1796875" defaultRowHeight="14.15" customHeight="1"/>
  <cols>
    <col min="1" max="1" width="4.7265625" style="436" bestFit="1" customWidth="1"/>
    <col min="2" max="2" width="46" style="83" customWidth="1"/>
    <col min="3" max="3" width="16.7265625" style="83" customWidth="1"/>
    <col min="4" max="4" width="15.7265625" style="83" customWidth="1"/>
    <col min="5" max="5" width="17.453125" style="83" customWidth="1"/>
    <col min="6" max="6" width="14" style="83" customWidth="1"/>
    <col min="7" max="7" width="19.7265625" style="83" customWidth="1"/>
    <col min="8" max="8" width="24.81640625" style="83" customWidth="1"/>
    <col min="9" max="9" width="13.7265625" style="83" customWidth="1"/>
    <col min="10" max="12" width="14" style="83" customWidth="1"/>
    <col min="13" max="13" width="13.453125" style="83" customWidth="1"/>
    <col min="14" max="14" width="12" style="83" customWidth="1"/>
    <col min="15" max="15" width="16.1796875" style="83" customWidth="1"/>
    <col min="16" max="16" width="13" style="83" customWidth="1"/>
    <col min="17" max="17" width="12.81640625" style="83" customWidth="1"/>
    <col min="18" max="18" width="15.453125" style="83" customWidth="1"/>
    <col min="19" max="19" width="14.453125" style="83" customWidth="1"/>
    <col min="20" max="20" width="13" style="83" customWidth="1"/>
    <col min="21" max="21" width="16.453125" style="83" customWidth="1"/>
    <col min="22" max="22" width="12.54296875" style="83" customWidth="1"/>
    <col min="23" max="23" width="13.81640625" style="83" customWidth="1"/>
    <col min="24" max="24" width="16.1796875" style="83" customWidth="1"/>
    <col min="25" max="25" width="14" style="83" customWidth="1"/>
    <col min="26" max="26" width="12.54296875" style="83" customWidth="1"/>
    <col min="27" max="27" width="14.453125" style="83" customWidth="1"/>
    <col min="28" max="29" width="16.1796875" style="83" customWidth="1"/>
    <col min="30" max="30" width="17.453125" style="83" customWidth="1"/>
    <col min="31" max="31" width="14.26953125" style="83" customWidth="1"/>
    <col min="32" max="32" width="19.54296875" style="83" customWidth="1"/>
    <col min="33" max="33" width="15.1796875" style="83" customWidth="1"/>
    <col min="34" max="34" width="14.453125" style="83" customWidth="1"/>
    <col min="35" max="35" width="14.26953125" style="83" customWidth="1"/>
    <col min="36" max="37" width="14.453125" style="83" customWidth="1"/>
    <col min="38" max="38" width="20.453125" style="83" customWidth="1"/>
    <col min="39" max="39" width="14.1796875" style="83" customWidth="1"/>
    <col min="40" max="40" width="16.1796875" style="83" customWidth="1"/>
    <col min="41" max="46" width="14.26953125" style="83" customWidth="1"/>
    <col min="47" max="47" width="13.81640625" style="83" customWidth="1"/>
    <col min="48" max="48" width="10.81640625" style="83" customWidth="1"/>
    <col min="49" max="49" width="14.7265625" style="83" customWidth="1"/>
    <col min="50" max="50" width="15.54296875" style="83" customWidth="1"/>
    <col min="51" max="54" width="14.26953125" style="83" customWidth="1"/>
    <col min="55" max="56" width="14.81640625" style="83" customWidth="1"/>
    <col min="57" max="63" width="14.26953125" style="83" customWidth="1"/>
    <col min="64" max="64" width="11.54296875" style="83" bestFit="1" customWidth="1"/>
    <col min="65" max="65" width="13.54296875" style="83" customWidth="1"/>
    <col min="66" max="16384" width="9.1796875" style="83"/>
  </cols>
  <sheetData>
    <row r="1" spans="1:65" ht="14.15" customHeight="1">
      <c r="N1" s="197"/>
      <c r="P1" s="38"/>
      <c r="Q1" s="38"/>
      <c r="AA1" s="197"/>
      <c r="AK1" s="197"/>
    </row>
    <row r="2" spans="1:65" ht="14.15" customHeight="1">
      <c r="A2" s="436" t="s">
        <v>2</v>
      </c>
      <c r="D2" s="436">
        <f>C2+1</f>
        <v>1</v>
      </c>
      <c r="E2" s="436">
        <f>D2+1</f>
        <v>2</v>
      </c>
      <c r="F2" s="436">
        <f>E2+1</f>
        <v>3</v>
      </c>
      <c r="G2" s="436">
        <f t="shared" ref="G2:H2" si="0">F2+1</f>
        <v>4</v>
      </c>
      <c r="H2" s="436">
        <f t="shared" si="0"/>
        <v>5</v>
      </c>
      <c r="I2" s="436">
        <f t="shared" ref="I2" si="1">H2+1</f>
        <v>6</v>
      </c>
      <c r="J2" s="436">
        <f t="shared" ref="J2:L2" si="2">I2+1</f>
        <v>7</v>
      </c>
      <c r="K2" s="436">
        <f t="shared" si="2"/>
        <v>8</v>
      </c>
      <c r="L2" s="436">
        <f t="shared" si="2"/>
        <v>9</v>
      </c>
      <c r="M2" s="436">
        <f t="shared" ref="M2" si="3">L2+1</f>
        <v>10</v>
      </c>
      <c r="N2" s="436">
        <f t="shared" ref="N2:P2" si="4">M2+1</f>
        <v>11</v>
      </c>
      <c r="O2" s="436">
        <f t="shared" ref="O2" si="5">N2+1</f>
        <v>12</v>
      </c>
      <c r="P2" s="436">
        <f t="shared" si="4"/>
        <v>13</v>
      </c>
      <c r="Q2" s="436">
        <f t="shared" ref="Q2" si="6">P2+1</f>
        <v>14</v>
      </c>
      <c r="R2" s="436">
        <f t="shared" ref="R2" si="7">Q2+1</f>
        <v>15</v>
      </c>
      <c r="S2" s="436">
        <f t="shared" ref="S2" si="8">R2+1</f>
        <v>16</v>
      </c>
      <c r="T2" s="436">
        <f t="shared" ref="T2" si="9">S2+1</f>
        <v>17</v>
      </c>
      <c r="U2" s="436">
        <f t="shared" ref="U2" si="10">T2+1</f>
        <v>18</v>
      </c>
      <c r="V2" s="436">
        <f t="shared" ref="V2" si="11">U2+1</f>
        <v>19</v>
      </c>
      <c r="W2" s="436">
        <f t="shared" ref="W2" si="12">V2+1</f>
        <v>20</v>
      </c>
      <c r="X2" s="436">
        <f t="shared" ref="X2" si="13">W2+1</f>
        <v>21</v>
      </c>
      <c r="Y2" s="436">
        <f t="shared" ref="Y2:AA2" si="14">X2+1</f>
        <v>22</v>
      </c>
      <c r="Z2" s="436">
        <f t="shared" ref="Z2" si="15">Y2+1</f>
        <v>23</v>
      </c>
      <c r="AA2" s="436">
        <f t="shared" si="14"/>
        <v>24</v>
      </c>
      <c r="AB2" s="436">
        <f t="shared" ref="AB2:AC2" si="16">AA2+1</f>
        <v>25</v>
      </c>
      <c r="AC2" s="436">
        <f t="shared" si="16"/>
        <v>26</v>
      </c>
      <c r="AD2" s="436" t="s">
        <v>1169</v>
      </c>
      <c r="AE2" s="436">
        <v>33</v>
      </c>
      <c r="AF2" s="436">
        <f>AE2+1</f>
        <v>34</v>
      </c>
      <c r="AG2" s="436">
        <f>AF2+1</f>
        <v>35</v>
      </c>
      <c r="AH2" s="436">
        <f t="shared" ref="AH2" si="17">AG2+1</f>
        <v>36</v>
      </c>
      <c r="AI2" s="436">
        <f t="shared" ref="AI2" si="18">AH2+1</f>
        <v>37</v>
      </c>
      <c r="AJ2" s="436">
        <v>38</v>
      </c>
      <c r="AK2" s="436">
        <f>AJ2+1</f>
        <v>39</v>
      </c>
      <c r="AL2" s="436">
        <f>AK2+1</f>
        <v>40</v>
      </c>
      <c r="AM2" s="436">
        <f>AL2+1</f>
        <v>41</v>
      </c>
      <c r="AN2" s="436">
        <f t="shared" ref="AN2" si="19">AM2+1</f>
        <v>42</v>
      </c>
      <c r="AO2" s="436">
        <f t="shared" ref="AO2" si="20">AN2+1</f>
        <v>43</v>
      </c>
      <c r="AP2" s="436">
        <v>44</v>
      </c>
      <c r="AQ2" s="436">
        <f>AP2+1</f>
        <v>45</v>
      </c>
      <c r="AR2" s="436">
        <f t="shared" ref="AR2:AV2" si="21">AQ2+1</f>
        <v>46</v>
      </c>
      <c r="AS2" s="436">
        <f t="shared" si="21"/>
        <v>47</v>
      </c>
      <c r="AT2" s="436">
        <f t="shared" si="21"/>
        <v>48</v>
      </c>
      <c r="AU2" s="436">
        <f t="shared" si="21"/>
        <v>49</v>
      </c>
      <c r="AV2" s="436">
        <f t="shared" si="21"/>
        <v>50</v>
      </c>
      <c r="AW2" s="436">
        <f>AV2+1</f>
        <v>51</v>
      </c>
      <c r="AX2" s="436">
        <v>52</v>
      </c>
      <c r="AY2" s="436">
        <v>53</v>
      </c>
      <c r="AZ2" s="436">
        <v>54</v>
      </c>
      <c r="BA2" s="436">
        <f>AZ2+1</f>
        <v>55</v>
      </c>
      <c r="BB2" s="436">
        <v>56</v>
      </c>
      <c r="BC2" s="436">
        <v>57</v>
      </c>
      <c r="BD2" s="436">
        <v>58</v>
      </c>
      <c r="BE2" s="436">
        <v>59</v>
      </c>
      <c r="BF2" s="436">
        <v>60</v>
      </c>
      <c r="BG2" s="436">
        <v>61</v>
      </c>
      <c r="BH2" s="436">
        <v>62</v>
      </c>
      <c r="BI2" s="436">
        <v>63</v>
      </c>
      <c r="BJ2" s="436"/>
      <c r="BK2" s="436"/>
      <c r="BL2" s="436"/>
      <c r="BM2" s="18"/>
    </row>
    <row r="3" spans="1:65" s="3" customFormat="1" ht="79.150000000000006" customHeight="1">
      <c r="A3" s="322" t="s">
        <v>6</v>
      </c>
      <c r="B3" s="322" t="s">
        <v>7</v>
      </c>
      <c r="C3" s="322"/>
      <c r="D3" s="403" t="s">
        <v>1199</v>
      </c>
      <c r="E3" s="403" t="s">
        <v>891</v>
      </c>
      <c r="F3" s="403" t="s">
        <v>889</v>
      </c>
      <c r="G3" s="403" t="s">
        <v>893</v>
      </c>
      <c r="H3" s="403" t="s">
        <v>894</v>
      </c>
      <c r="I3" s="403" t="s">
        <v>882</v>
      </c>
      <c r="J3" s="403" t="s">
        <v>886</v>
      </c>
      <c r="K3" s="403" t="s">
        <v>1155</v>
      </c>
      <c r="L3" s="403" t="s">
        <v>976</v>
      </c>
      <c r="M3" s="429" t="s">
        <v>875</v>
      </c>
      <c r="N3" s="403" t="s">
        <v>1156</v>
      </c>
      <c r="O3" s="403" t="s">
        <v>876</v>
      </c>
      <c r="P3" s="429" t="s">
        <v>390</v>
      </c>
      <c r="Q3" s="403" t="s">
        <v>791</v>
      </c>
      <c r="R3" s="403" t="s">
        <v>883</v>
      </c>
      <c r="S3" s="403" t="s">
        <v>1200</v>
      </c>
      <c r="T3" s="403" t="s">
        <v>957</v>
      </c>
      <c r="U3" s="429" t="s">
        <v>388</v>
      </c>
      <c r="V3" s="429" t="s">
        <v>1168</v>
      </c>
      <c r="W3" s="429" t="s">
        <v>789</v>
      </c>
      <c r="X3" s="403" t="s">
        <v>877</v>
      </c>
      <c r="Y3" s="403" t="s">
        <v>878</v>
      </c>
      <c r="Z3" s="429" t="s">
        <v>885</v>
      </c>
      <c r="AA3" s="429" t="s">
        <v>887</v>
      </c>
      <c r="AB3" s="403" t="s">
        <v>879</v>
      </c>
      <c r="AC3" s="403" t="s">
        <v>1157</v>
      </c>
      <c r="AD3" s="403" t="s">
        <v>880</v>
      </c>
      <c r="AE3" s="403" t="s">
        <v>884</v>
      </c>
      <c r="AF3" s="403" t="s">
        <v>890</v>
      </c>
      <c r="AG3" s="403" t="s">
        <v>881</v>
      </c>
      <c r="AH3" s="403" t="s">
        <v>790</v>
      </c>
      <c r="AI3" s="403" t="s">
        <v>385</v>
      </c>
      <c r="AJ3" s="403" t="s">
        <v>395</v>
      </c>
      <c r="AK3" s="429" t="s">
        <v>396</v>
      </c>
      <c r="AL3" s="403" t="s">
        <v>1201</v>
      </c>
      <c r="AM3" s="403" t="s">
        <v>899</v>
      </c>
      <c r="AN3" s="403" t="s">
        <v>975</v>
      </c>
      <c r="AO3" s="403" t="s">
        <v>1163</v>
      </c>
      <c r="AP3" s="403" t="s">
        <v>964</v>
      </c>
      <c r="AQ3" s="403" t="s">
        <v>965</v>
      </c>
      <c r="AR3" s="403" t="s">
        <v>966</v>
      </c>
      <c r="AS3" s="403" t="s">
        <v>1158</v>
      </c>
      <c r="AT3" s="403" t="s">
        <v>967</v>
      </c>
      <c r="AU3" s="403" t="s">
        <v>910</v>
      </c>
      <c r="AV3" s="403" t="s">
        <v>959</v>
      </c>
      <c r="AW3" s="403" t="s">
        <v>960</v>
      </c>
      <c r="AX3" s="403" t="s">
        <v>974</v>
      </c>
      <c r="AY3" s="403" t="s">
        <v>968</v>
      </c>
      <c r="AZ3" s="403" t="s">
        <v>1188</v>
      </c>
      <c r="BA3" s="403" t="s">
        <v>1172</v>
      </c>
      <c r="BB3" s="403" t="s">
        <v>1164</v>
      </c>
      <c r="BC3" s="429" t="s">
        <v>1167</v>
      </c>
      <c r="BD3" s="429" t="s">
        <v>1166</v>
      </c>
      <c r="BE3" s="403" t="s">
        <v>995</v>
      </c>
      <c r="BF3" s="403" t="s">
        <v>969</v>
      </c>
      <c r="BG3" s="403" t="s">
        <v>375</v>
      </c>
      <c r="BH3" s="403" t="s">
        <v>1185</v>
      </c>
      <c r="BI3" s="403" t="s">
        <v>1205</v>
      </c>
      <c r="BJ3" s="403" t="s">
        <v>1204</v>
      </c>
      <c r="BK3" s="403" t="s">
        <v>1206</v>
      </c>
      <c r="BL3" s="394"/>
      <c r="BM3" s="394"/>
    </row>
    <row r="4" spans="1:65" s="436" customFormat="1" ht="14.1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</row>
    <row r="5" spans="1:65" s="436" customFormat="1" ht="14.15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</row>
    <row r="6" spans="1:65" ht="13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5" ht="14.15" customHeight="1">
      <c r="A7" s="436">
        <v>1</v>
      </c>
      <c r="B7" s="83" t="s">
        <v>319</v>
      </c>
      <c r="C7" s="38">
        <f>SUM(D7:BM7)</f>
        <v>-188883578.01999998</v>
      </c>
      <c r="D7" s="10">
        <f t="shared" ref="D7:E9" si="22">D253</f>
        <v>-4242329</v>
      </c>
      <c r="E7" s="10">
        <f t="shared" si="22"/>
        <v>-28713724</v>
      </c>
      <c r="F7" s="10">
        <f t="shared" ref="F7:H9" si="23">F253</f>
        <v>0</v>
      </c>
      <c r="G7" s="10">
        <f t="shared" si="23"/>
        <v>0</v>
      </c>
      <c r="H7" s="243">
        <f t="shared" ref="H7:J9" si="24">H253</f>
        <v>-46964573</v>
      </c>
      <c r="I7" s="243">
        <f t="shared" si="24"/>
        <v>-142562415</v>
      </c>
      <c r="J7" s="10">
        <f t="shared" si="24"/>
        <v>3497570.8</v>
      </c>
      <c r="K7" s="10">
        <f t="shared" ref="K7" si="25">K253</f>
        <v>0</v>
      </c>
      <c r="L7" s="10">
        <f>L253</f>
        <v>-21021955</v>
      </c>
      <c r="M7" s="10">
        <f t="shared" ref="M7:Y7" si="26">M253</f>
        <v>0</v>
      </c>
      <c r="N7" s="10">
        <f t="shared" si="26"/>
        <v>-476213</v>
      </c>
      <c r="O7" s="10">
        <f t="shared" si="26"/>
        <v>-372763</v>
      </c>
      <c r="P7" s="10">
        <f t="shared" si="26"/>
        <v>1882916</v>
      </c>
      <c r="Q7" s="10">
        <f t="shared" si="26"/>
        <v>12333767</v>
      </c>
      <c r="R7" s="10">
        <f t="shared" si="26"/>
        <v>0</v>
      </c>
      <c r="S7" s="10">
        <f t="shared" si="26"/>
        <v>0</v>
      </c>
      <c r="T7" s="10">
        <f>T253</f>
        <v>0</v>
      </c>
      <c r="U7" s="10">
        <f t="shared" si="26"/>
        <v>0</v>
      </c>
      <c r="V7" s="10">
        <f t="shared" si="26"/>
        <v>0</v>
      </c>
      <c r="W7" s="10">
        <f t="shared" si="26"/>
        <v>0</v>
      </c>
      <c r="X7" s="10">
        <f t="shared" si="26"/>
        <v>0</v>
      </c>
      <c r="Y7" s="10">
        <f t="shared" si="26"/>
        <v>0</v>
      </c>
      <c r="Z7" s="10">
        <f t="shared" ref="Z7:Z9" si="27">Z253</f>
        <v>0</v>
      </c>
      <c r="AA7" s="10">
        <f t="shared" ref="AA7:AA9" si="28">AA253</f>
        <v>0</v>
      </c>
      <c r="AB7" s="10">
        <f t="shared" ref="AB7:AD9" si="29">AB253</f>
        <v>0</v>
      </c>
      <c r="AC7" s="10">
        <f t="shared" ref="AC7" si="30">AC253</f>
        <v>0</v>
      </c>
      <c r="AD7" s="10">
        <f t="shared" si="29"/>
        <v>0</v>
      </c>
      <c r="AE7" s="10">
        <f>AE253</f>
        <v>0</v>
      </c>
      <c r="AF7" s="10">
        <f t="shared" ref="AF7:AI7" si="31">AF253</f>
        <v>0</v>
      </c>
      <c r="AG7" s="10">
        <f t="shared" si="31"/>
        <v>0</v>
      </c>
      <c r="AH7" s="10">
        <f t="shared" si="31"/>
        <v>0</v>
      </c>
      <c r="AI7" s="10">
        <f t="shared" si="31"/>
        <v>0</v>
      </c>
      <c r="AJ7" s="10">
        <f t="shared" ref="AJ7:AK9" si="32">AJ253</f>
        <v>0</v>
      </c>
      <c r="AK7" s="10">
        <f t="shared" si="32"/>
        <v>0</v>
      </c>
      <c r="AL7" s="10">
        <f t="shared" ref="AL7:AL9" si="33">AL253</f>
        <v>0</v>
      </c>
      <c r="AM7" s="10">
        <f>AM253</f>
        <v>-364641</v>
      </c>
      <c r="AN7" s="10">
        <f>AN253</f>
        <v>-732523</v>
      </c>
      <c r="AO7" s="10">
        <f t="shared" ref="AO7" si="34">AO253</f>
        <v>0</v>
      </c>
      <c r="AP7" s="10">
        <f>AP253</f>
        <v>0</v>
      </c>
      <c r="AQ7" s="10">
        <f t="shared" ref="AQ7:AT7" si="35">AQ253</f>
        <v>0</v>
      </c>
      <c r="AR7" s="10">
        <f t="shared" si="35"/>
        <v>0</v>
      </c>
      <c r="AS7" s="10">
        <f t="shared" si="35"/>
        <v>0</v>
      </c>
      <c r="AT7" s="10">
        <f t="shared" si="35"/>
        <v>0</v>
      </c>
      <c r="AU7" s="10">
        <f>AU253</f>
        <v>0</v>
      </c>
      <c r="AV7" s="10">
        <f t="shared" ref="AV7:AW9" si="36">AV253</f>
        <v>0</v>
      </c>
      <c r="AW7" s="10">
        <f t="shared" si="36"/>
        <v>0</v>
      </c>
      <c r="AX7" s="10">
        <f t="shared" ref="AX7:AY9" si="37">AX253</f>
        <v>38853304.18</v>
      </c>
      <c r="AY7" s="10">
        <f t="shared" si="37"/>
        <v>0</v>
      </c>
      <c r="AZ7" s="10">
        <f t="shared" ref="AZ7:BA7" si="38">AZ253</f>
        <v>0</v>
      </c>
      <c r="BA7" s="10">
        <f t="shared" si="38"/>
        <v>0</v>
      </c>
      <c r="BB7" s="10">
        <f t="shared" ref="BB7:BC9" si="39">BB253</f>
        <v>0</v>
      </c>
      <c r="BC7" s="10">
        <f t="shared" si="39"/>
        <v>0</v>
      </c>
      <c r="BD7" s="10">
        <f t="shared" ref="BD7" si="40">BD253</f>
        <v>0</v>
      </c>
      <c r="BE7" s="10">
        <f t="shared" ref="BE7:BG9" si="41">BE253</f>
        <v>0</v>
      </c>
      <c r="BF7" s="10">
        <f t="shared" si="41"/>
        <v>0</v>
      </c>
      <c r="BG7" s="10">
        <f t="shared" si="41"/>
        <v>0</v>
      </c>
      <c r="BH7" s="10">
        <f t="shared" ref="BH7:BH9" si="42">BH253</f>
        <v>0</v>
      </c>
      <c r="BI7" s="10">
        <f t="shared" ref="BI7" si="43">BI253</f>
        <v>0</v>
      </c>
      <c r="BJ7" s="10">
        <f t="shared" ref="BJ7:BL7" si="44">BJ253</f>
        <v>0</v>
      </c>
      <c r="BK7" s="10">
        <f t="shared" si="44"/>
        <v>0</v>
      </c>
      <c r="BL7" s="10">
        <f t="shared" si="44"/>
        <v>0</v>
      </c>
      <c r="BM7" s="10">
        <f t="shared" ref="BM7" si="45">BM253</f>
        <v>0</v>
      </c>
    </row>
    <row r="8" spans="1:65" ht="14.15" customHeight="1">
      <c r="A8" s="436">
        <f>A7+1</f>
        <v>2</v>
      </c>
      <c r="B8" s="124" t="s">
        <v>14</v>
      </c>
      <c r="C8" s="38">
        <f>SUM(D8:BM8)</f>
        <v>0</v>
      </c>
      <c r="D8" s="10">
        <f t="shared" si="22"/>
        <v>0</v>
      </c>
      <c r="E8" s="10">
        <f t="shared" si="22"/>
        <v>0</v>
      </c>
      <c r="F8" s="10">
        <f t="shared" si="23"/>
        <v>0</v>
      </c>
      <c r="G8" s="10">
        <f t="shared" si="23"/>
        <v>0</v>
      </c>
      <c r="H8" s="10">
        <f t="shared" si="23"/>
        <v>0</v>
      </c>
      <c r="I8" s="10">
        <f t="shared" si="24"/>
        <v>0</v>
      </c>
      <c r="J8" s="10">
        <f t="shared" si="24"/>
        <v>0</v>
      </c>
      <c r="K8" s="10">
        <f t="shared" ref="K8" si="46">K254</f>
        <v>0</v>
      </c>
      <c r="L8" s="10">
        <f>L254</f>
        <v>0</v>
      </c>
      <c r="M8" s="10">
        <f t="shared" ref="M8:Y8" si="47">M254</f>
        <v>0</v>
      </c>
      <c r="N8" s="10">
        <f t="shared" si="47"/>
        <v>0</v>
      </c>
      <c r="O8" s="10">
        <f t="shared" si="47"/>
        <v>0</v>
      </c>
      <c r="P8" s="10">
        <f t="shared" si="47"/>
        <v>0</v>
      </c>
      <c r="Q8" s="10">
        <f t="shared" si="47"/>
        <v>0</v>
      </c>
      <c r="R8" s="10">
        <f t="shared" si="47"/>
        <v>0</v>
      </c>
      <c r="S8" s="10">
        <f t="shared" si="47"/>
        <v>0</v>
      </c>
      <c r="T8" s="10">
        <f>T254</f>
        <v>0</v>
      </c>
      <c r="U8" s="10">
        <f t="shared" si="47"/>
        <v>0</v>
      </c>
      <c r="V8" s="10">
        <f t="shared" si="47"/>
        <v>0</v>
      </c>
      <c r="W8" s="10">
        <f t="shared" si="47"/>
        <v>0</v>
      </c>
      <c r="X8" s="10">
        <f t="shared" si="47"/>
        <v>0</v>
      </c>
      <c r="Y8" s="10">
        <f t="shared" si="47"/>
        <v>0</v>
      </c>
      <c r="Z8" s="10">
        <f t="shared" si="27"/>
        <v>0</v>
      </c>
      <c r="AA8" s="10">
        <f t="shared" si="28"/>
        <v>0</v>
      </c>
      <c r="AB8" s="10">
        <f t="shared" si="29"/>
        <v>0</v>
      </c>
      <c r="AC8" s="10">
        <f t="shared" ref="AC8" si="48">AC254</f>
        <v>0</v>
      </c>
      <c r="AD8" s="10">
        <f t="shared" si="29"/>
        <v>0</v>
      </c>
      <c r="AE8" s="10">
        <f>AE254</f>
        <v>0</v>
      </c>
      <c r="AF8" s="10">
        <f t="shared" ref="AF8:AI8" si="49">AF254</f>
        <v>0</v>
      </c>
      <c r="AG8" s="10">
        <f t="shared" si="49"/>
        <v>0</v>
      </c>
      <c r="AH8" s="10">
        <f t="shared" si="49"/>
        <v>0</v>
      </c>
      <c r="AI8" s="10">
        <f t="shared" si="49"/>
        <v>0</v>
      </c>
      <c r="AJ8" s="10">
        <f t="shared" si="32"/>
        <v>0</v>
      </c>
      <c r="AK8" s="10">
        <f t="shared" si="32"/>
        <v>0</v>
      </c>
      <c r="AL8" s="10">
        <f t="shared" si="33"/>
        <v>0</v>
      </c>
      <c r="AM8" s="10">
        <f t="shared" ref="AM8:AO9" si="50">AM254</f>
        <v>0</v>
      </c>
      <c r="AN8" s="10">
        <f t="shared" si="50"/>
        <v>0</v>
      </c>
      <c r="AO8" s="10">
        <f t="shared" si="50"/>
        <v>0</v>
      </c>
      <c r="AP8" s="10">
        <f>AP254</f>
        <v>0</v>
      </c>
      <c r="AQ8" s="10">
        <f t="shared" ref="AQ8:AT8" si="51">AQ254</f>
        <v>0</v>
      </c>
      <c r="AR8" s="10">
        <f t="shared" si="51"/>
        <v>0</v>
      </c>
      <c r="AS8" s="10">
        <f t="shared" si="51"/>
        <v>0</v>
      </c>
      <c r="AT8" s="10">
        <f t="shared" si="51"/>
        <v>0</v>
      </c>
      <c r="AU8" s="10">
        <f>AU254</f>
        <v>0</v>
      </c>
      <c r="AV8" s="10">
        <f t="shared" si="36"/>
        <v>0</v>
      </c>
      <c r="AW8" s="10">
        <f t="shared" si="36"/>
        <v>0</v>
      </c>
      <c r="AX8" s="10">
        <f t="shared" si="37"/>
        <v>0</v>
      </c>
      <c r="AY8" s="10">
        <f t="shared" si="37"/>
        <v>0</v>
      </c>
      <c r="AZ8" s="10">
        <f t="shared" ref="AZ8:BA8" si="52">AZ254</f>
        <v>0</v>
      </c>
      <c r="BA8" s="10">
        <f t="shared" si="52"/>
        <v>0</v>
      </c>
      <c r="BB8" s="10">
        <f t="shared" si="39"/>
        <v>0</v>
      </c>
      <c r="BC8" s="10">
        <f t="shared" si="39"/>
        <v>0</v>
      </c>
      <c r="BD8" s="10">
        <f t="shared" ref="BD8" si="53">BD254</f>
        <v>0</v>
      </c>
      <c r="BE8" s="10">
        <f t="shared" si="41"/>
        <v>0</v>
      </c>
      <c r="BF8" s="10">
        <f t="shared" si="41"/>
        <v>0</v>
      </c>
      <c r="BG8" s="10">
        <f t="shared" si="41"/>
        <v>0</v>
      </c>
      <c r="BH8" s="10">
        <f t="shared" si="42"/>
        <v>0</v>
      </c>
      <c r="BI8" s="10">
        <f t="shared" ref="BI8" si="54">BI254</f>
        <v>0</v>
      </c>
      <c r="BJ8" s="10">
        <f t="shared" ref="BJ8:BL8" si="55">BJ254</f>
        <v>0</v>
      </c>
      <c r="BK8" s="10">
        <f t="shared" si="55"/>
        <v>0</v>
      </c>
      <c r="BL8" s="10">
        <f t="shared" si="55"/>
        <v>0</v>
      </c>
      <c r="BM8" s="10">
        <f t="shared" ref="BM8" si="56">BM254</f>
        <v>0</v>
      </c>
    </row>
    <row r="9" spans="1:65" ht="14.15" customHeight="1">
      <c r="A9" s="436">
        <f>A8+1</f>
        <v>3</v>
      </c>
      <c r="B9" s="83" t="s">
        <v>15</v>
      </c>
      <c r="C9" s="38">
        <f>SUM(D9:BM9)</f>
        <v>0</v>
      </c>
      <c r="D9" s="10">
        <f t="shared" si="22"/>
        <v>0</v>
      </c>
      <c r="E9" s="10">
        <f t="shared" si="22"/>
        <v>0</v>
      </c>
      <c r="F9" s="10">
        <f t="shared" si="23"/>
        <v>0</v>
      </c>
      <c r="G9" s="10">
        <f t="shared" si="23"/>
        <v>0</v>
      </c>
      <c r="H9" s="10">
        <f t="shared" si="23"/>
        <v>0</v>
      </c>
      <c r="I9" s="10">
        <f t="shared" si="24"/>
        <v>0</v>
      </c>
      <c r="J9" s="10">
        <f t="shared" si="24"/>
        <v>0</v>
      </c>
      <c r="K9" s="10">
        <f t="shared" ref="K9" si="57">K255</f>
        <v>0</v>
      </c>
      <c r="L9" s="10">
        <f>L255</f>
        <v>0</v>
      </c>
      <c r="M9" s="10">
        <f t="shared" ref="M9:Y9" si="58">M255</f>
        <v>0</v>
      </c>
      <c r="N9" s="10">
        <f t="shared" si="58"/>
        <v>0</v>
      </c>
      <c r="O9" s="10">
        <f t="shared" si="58"/>
        <v>0</v>
      </c>
      <c r="P9" s="10">
        <f t="shared" si="58"/>
        <v>0</v>
      </c>
      <c r="Q9" s="10">
        <f t="shared" si="58"/>
        <v>0</v>
      </c>
      <c r="R9" s="10">
        <f t="shared" si="58"/>
        <v>0</v>
      </c>
      <c r="S9" s="10">
        <f t="shared" si="58"/>
        <v>0</v>
      </c>
      <c r="T9" s="10">
        <f>T255</f>
        <v>0</v>
      </c>
      <c r="U9" s="10">
        <f t="shared" si="58"/>
        <v>0</v>
      </c>
      <c r="V9" s="10">
        <f t="shared" si="58"/>
        <v>0</v>
      </c>
      <c r="W9" s="10">
        <f t="shared" si="58"/>
        <v>0</v>
      </c>
      <c r="X9" s="10">
        <f t="shared" si="58"/>
        <v>0</v>
      </c>
      <c r="Y9" s="10">
        <f t="shared" si="58"/>
        <v>0</v>
      </c>
      <c r="Z9" s="10">
        <f t="shared" si="27"/>
        <v>0</v>
      </c>
      <c r="AA9" s="10">
        <f t="shared" si="28"/>
        <v>0</v>
      </c>
      <c r="AB9" s="10">
        <f t="shared" si="29"/>
        <v>0</v>
      </c>
      <c r="AC9" s="10">
        <f t="shared" ref="AC9" si="59">AC255</f>
        <v>0</v>
      </c>
      <c r="AD9" s="10">
        <f t="shared" si="29"/>
        <v>0</v>
      </c>
      <c r="AE9" s="10">
        <f>AE255</f>
        <v>0</v>
      </c>
      <c r="AF9" s="10">
        <f t="shared" ref="AF9:AI9" si="60">AF255</f>
        <v>0</v>
      </c>
      <c r="AG9" s="10">
        <f t="shared" si="60"/>
        <v>0</v>
      </c>
      <c r="AH9" s="10">
        <f t="shared" si="60"/>
        <v>0</v>
      </c>
      <c r="AI9" s="10">
        <f t="shared" si="60"/>
        <v>0</v>
      </c>
      <c r="AJ9" s="10">
        <f t="shared" si="32"/>
        <v>0</v>
      </c>
      <c r="AK9" s="10">
        <f t="shared" si="32"/>
        <v>0</v>
      </c>
      <c r="AL9" s="10">
        <f t="shared" si="33"/>
        <v>0</v>
      </c>
      <c r="AM9" s="10">
        <f t="shared" si="50"/>
        <v>0</v>
      </c>
      <c r="AN9" s="10">
        <f t="shared" si="50"/>
        <v>0</v>
      </c>
      <c r="AO9" s="10">
        <f t="shared" si="50"/>
        <v>0</v>
      </c>
      <c r="AP9" s="10">
        <f>AP255</f>
        <v>0</v>
      </c>
      <c r="AQ9" s="10">
        <f t="shared" ref="AQ9:AT9" si="61">AQ255</f>
        <v>0</v>
      </c>
      <c r="AR9" s="10">
        <f t="shared" si="61"/>
        <v>0</v>
      </c>
      <c r="AS9" s="10">
        <f t="shared" si="61"/>
        <v>0</v>
      </c>
      <c r="AT9" s="10">
        <f t="shared" si="61"/>
        <v>0</v>
      </c>
      <c r="AU9" s="10">
        <f>AU255</f>
        <v>0</v>
      </c>
      <c r="AV9" s="10">
        <f t="shared" si="36"/>
        <v>0</v>
      </c>
      <c r="AW9" s="10">
        <f t="shared" si="36"/>
        <v>0</v>
      </c>
      <c r="AX9" s="10">
        <f t="shared" si="37"/>
        <v>0</v>
      </c>
      <c r="AY9" s="10">
        <f t="shared" si="37"/>
        <v>0</v>
      </c>
      <c r="AZ9" s="10">
        <f t="shared" ref="AZ9:BA9" si="62">AZ255</f>
        <v>0</v>
      </c>
      <c r="BA9" s="10">
        <f t="shared" si="62"/>
        <v>0</v>
      </c>
      <c r="BB9" s="10">
        <f t="shared" si="39"/>
        <v>0</v>
      </c>
      <c r="BC9" s="10">
        <f t="shared" si="39"/>
        <v>0</v>
      </c>
      <c r="BD9" s="10">
        <f t="shared" ref="BD9" si="63">BD255</f>
        <v>0</v>
      </c>
      <c r="BE9" s="10">
        <f t="shared" si="41"/>
        <v>0</v>
      </c>
      <c r="BF9" s="10">
        <f t="shared" si="41"/>
        <v>0</v>
      </c>
      <c r="BG9" s="10">
        <f t="shared" si="41"/>
        <v>0</v>
      </c>
      <c r="BH9" s="10">
        <f t="shared" si="42"/>
        <v>0</v>
      </c>
      <c r="BI9" s="10">
        <f t="shared" ref="BI9" si="64">BI255</f>
        <v>0</v>
      </c>
      <c r="BJ9" s="10">
        <f t="shared" ref="BJ9:BL9" si="65">BJ255</f>
        <v>0</v>
      </c>
      <c r="BK9" s="10">
        <f t="shared" si="65"/>
        <v>0</v>
      </c>
      <c r="BL9" s="10">
        <f t="shared" si="65"/>
        <v>0</v>
      </c>
      <c r="BM9" s="10">
        <f t="shared" ref="BM9" si="66">BM255</f>
        <v>0</v>
      </c>
    </row>
    <row r="10" spans="1:65" ht="14.15" customHeight="1">
      <c r="A10" s="436">
        <f>+A9+1</f>
        <v>4</v>
      </c>
      <c r="B10" s="83" t="s">
        <v>16</v>
      </c>
      <c r="C10" s="38">
        <f>SUM(D10:BM10)</f>
        <v>-6624594</v>
      </c>
      <c r="D10" s="10">
        <f t="shared" ref="D10:L10" si="67">D290</f>
        <v>0</v>
      </c>
      <c r="E10" s="10">
        <f t="shared" si="67"/>
        <v>0</v>
      </c>
      <c r="F10" s="10">
        <f t="shared" si="67"/>
        <v>0</v>
      </c>
      <c r="G10" s="10">
        <f t="shared" si="67"/>
        <v>0</v>
      </c>
      <c r="H10" s="10">
        <f t="shared" si="67"/>
        <v>0</v>
      </c>
      <c r="I10" s="10">
        <f t="shared" si="67"/>
        <v>0</v>
      </c>
      <c r="J10" s="10">
        <f t="shared" si="67"/>
        <v>0</v>
      </c>
      <c r="K10" s="10">
        <f t="shared" ref="K10" si="68">K290</f>
        <v>0</v>
      </c>
      <c r="L10" s="10">
        <f t="shared" si="67"/>
        <v>0</v>
      </c>
      <c r="M10" s="10">
        <f t="shared" ref="M10:Y10" si="69">M290</f>
        <v>-307780</v>
      </c>
      <c r="N10" s="10">
        <f t="shared" si="69"/>
        <v>0</v>
      </c>
      <c r="O10" s="10">
        <f t="shared" si="69"/>
        <v>0</v>
      </c>
      <c r="P10" s="10">
        <f t="shared" si="69"/>
        <v>0</v>
      </c>
      <c r="Q10" s="10">
        <f t="shared" si="69"/>
        <v>0</v>
      </c>
      <c r="R10" s="10">
        <f t="shared" si="69"/>
        <v>0</v>
      </c>
      <c r="S10" s="10">
        <f t="shared" si="69"/>
        <v>0</v>
      </c>
      <c r="T10" s="10">
        <f>T290</f>
        <v>0</v>
      </c>
      <c r="U10" s="10">
        <f t="shared" si="69"/>
        <v>0</v>
      </c>
      <c r="V10" s="10">
        <f t="shared" si="69"/>
        <v>0</v>
      </c>
      <c r="W10" s="10">
        <f t="shared" si="69"/>
        <v>0</v>
      </c>
      <c r="X10" s="10">
        <f t="shared" si="69"/>
        <v>0</v>
      </c>
      <c r="Y10" s="10">
        <f t="shared" si="69"/>
        <v>0</v>
      </c>
      <c r="Z10" s="10">
        <f t="shared" ref="Z10:AE10" si="70">Z290</f>
        <v>-6321080</v>
      </c>
      <c r="AA10" s="10">
        <f t="shared" si="70"/>
        <v>0</v>
      </c>
      <c r="AB10" s="10">
        <f t="shared" si="70"/>
        <v>0</v>
      </c>
      <c r="AC10" s="10">
        <f t="shared" ref="AC10" si="71">AC290</f>
        <v>0</v>
      </c>
      <c r="AD10" s="10">
        <f t="shared" si="70"/>
        <v>0</v>
      </c>
      <c r="AE10" s="10">
        <f t="shared" si="70"/>
        <v>0</v>
      </c>
      <c r="AF10" s="10">
        <f t="shared" ref="AF10:AI10" si="72">AF290</f>
        <v>0</v>
      </c>
      <c r="AG10" s="10">
        <f t="shared" si="72"/>
        <v>0</v>
      </c>
      <c r="AH10" s="10">
        <f t="shared" si="72"/>
        <v>0</v>
      </c>
      <c r="AI10" s="10">
        <f t="shared" si="72"/>
        <v>0</v>
      </c>
      <c r="AJ10" s="10">
        <f>AJ290</f>
        <v>0</v>
      </c>
      <c r="AK10" s="10">
        <f>AK290</f>
        <v>0</v>
      </c>
      <c r="AL10" s="10">
        <f>AL290</f>
        <v>0</v>
      </c>
      <c r="AM10" s="10">
        <f t="shared" ref="AM10:AW10" si="73">AM290</f>
        <v>0</v>
      </c>
      <c r="AN10" s="10">
        <f t="shared" si="73"/>
        <v>0</v>
      </c>
      <c r="AO10" s="10">
        <f t="shared" si="73"/>
        <v>0</v>
      </c>
      <c r="AP10" s="10">
        <f>AP290</f>
        <v>4266</v>
      </c>
      <c r="AQ10" s="10">
        <f t="shared" ref="AQ10:AT10" si="74">AQ290</f>
        <v>0</v>
      </c>
      <c r="AR10" s="10">
        <f t="shared" si="74"/>
        <v>0</v>
      </c>
      <c r="AS10" s="10">
        <f t="shared" si="74"/>
        <v>0</v>
      </c>
      <c r="AT10" s="10">
        <f t="shared" si="74"/>
        <v>0</v>
      </c>
      <c r="AU10" s="10">
        <f>AU290</f>
        <v>0</v>
      </c>
      <c r="AV10" s="10">
        <f t="shared" si="73"/>
        <v>0</v>
      </c>
      <c r="AW10" s="10">
        <f t="shared" si="73"/>
        <v>0</v>
      </c>
      <c r="AX10" s="10">
        <f>AX290</f>
        <v>0</v>
      </c>
      <c r="AY10" s="10">
        <f>AY290</f>
        <v>0</v>
      </c>
      <c r="AZ10" s="10">
        <f t="shared" ref="AZ10:BA10" si="75">AZ290</f>
        <v>0</v>
      </c>
      <c r="BA10" s="10">
        <f t="shared" si="75"/>
        <v>0</v>
      </c>
      <c r="BB10" s="10">
        <f>BB290</f>
        <v>0</v>
      </c>
      <c r="BC10" s="10">
        <f>BC290</f>
        <v>0</v>
      </c>
      <c r="BD10" s="10">
        <f t="shared" ref="BD10" si="76">BD290</f>
        <v>0</v>
      </c>
      <c r="BE10" s="10">
        <f>BE290</f>
        <v>0</v>
      </c>
      <c r="BF10" s="10">
        <f>BF290</f>
        <v>0</v>
      </c>
      <c r="BG10" s="10">
        <f>BG290</f>
        <v>0</v>
      </c>
      <c r="BH10" s="10">
        <f>BH290</f>
        <v>0</v>
      </c>
      <c r="BI10" s="10">
        <f t="shared" ref="BI10" si="77">BI290</f>
        <v>0</v>
      </c>
      <c r="BJ10" s="10">
        <f t="shared" ref="BJ10:BL10" si="78">BJ290</f>
        <v>0</v>
      </c>
      <c r="BK10" s="10">
        <f t="shared" si="78"/>
        <v>0</v>
      </c>
      <c r="BL10" s="10">
        <f t="shared" si="78"/>
        <v>0</v>
      </c>
      <c r="BM10" s="10">
        <f t="shared" ref="BM10" si="79">BM290</f>
        <v>0</v>
      </c>
    </row>
    <row r="11" spans="1:65" ht="14.15" customHeight="1">
      <c r="A11" s="436">
        <f t="shared" ref="A11:A74" si="80">+A10+1</f>
        <v>5</v>
      </c>
      <c r="B11" s="56" t="s">
        <v>17</v>
      </c>
      <c r="C11" s="198">
        <f>SUM(D11:BM11)</f>
        <v>-9021444</v>
      </c>
      <c r="D11" s="64">
        <f t="shared" ref="D11:L11" si="81">D261</f>
        <v>0</v>
      </c>
      <c r="E11" s="64">
        <f t="shared" si="81"/>
        <v>0</v>
      </c>
      <c r="F11" s="64">
        <f t="shared" si="81"/>
        <v>0</v>
      </c>
      <c r="G11" s="64">
        <f t="shared" si="81"/>
        <v>0</v>
      </c>
      <c r="H11" s="64">
        <f t="shared" si="81"/>
        <v>0</v>
      </c>
      <c r="I11" s="64">
        <f t="shared" si="81"/>
        <v>0</v>
      </c>
      <c r="J11" s="64">
        <f t="shared" si="81"/>
        <v>0</v>
      </c>
      <c r="K11" s="64">
        <f t="shared" ref="K11" si="82">K261</f>
        <v>-9021444</v>
      </c>
      <c r="L11" s="64">
        <f t="shared" si="81"/>
        <v>0</v>
      </c>
      <c r="M11" s="64">
        <f t="shared" ref="M11:Y11" si="83">M261</f>
        <v>0</v>
      </c>
      <c r="N11" s="64">
        <f t="shared" si="83"/>
        <v>0</v>
      </c>
      <c r="O11" s="64">
        <f t="shared" si="83"/>
        <v>0</v>
      </c>
      <c r="P11" s="64">
        <f t="shared" si="83"/>
        <v>0</v>
      </c>
      <c r="Q11" s="64">
        <f t="shared" si="83"/>
        <v>0</v>
      </c>
      <c r="R11" s="64">
        <f t="shared" si="83"/>
        <v>0</v>
      </c>
      <c r="S11" s="64">
        <f t="shared" si="83"/>
        <v>0</v>
      </c>
      <c r="T11" s="64">
        <f>T261</f>
        <v>0</v>
      </c>
      <c r="U11" s="64">
        <f t="shared" si="83"/>
        <v>0</v>
      </c>
      <c r="V11" s="64">
        <f t="shared" si="83"/>
        <v>0</v>
      </c>
      <c r="W11" s="64">
        <f t="shared" si="83"/>
        <v>0</v>
      </c>
      <c r="X11" s="64">
        <f t="shared" si="83"/>
        <v>0</v>
      </c>
      <c r="Y11" s="64">
        <f t="shared" si="83"/>
        <v>0</v>
      </c>
      <c r="Z11" s="64">
        <f t="shared" ref="Z11:AE11" si="84">Z261</f>
        <v>0</v>
      </c>
      <c r="AA11" s="64">
        <f t="shared" si="84"/>
        <v>0</v>
      </c>
      <c r="AB11" s="64">
        <f t="shared" si="84"/>
        <v>0</v>
      </c>
      <c r="AC11" s="64">
        <f t="shared" ref="AC11" si="85">AC261</f>
        <v>0</v>
      </c>
      <c r="AD11" s="64">
        <f t="shared" si="84"/>
        <v>0</v>
      </c>
      <c r="AE11" s="64">
        <f t="shared" si="84"/>
        <v>0</v>
      </c>
      <c r="AF11" s="64">
        <f t="shared" ref="AF11:AI11" si="86">AF261</f>
        <v>0</v>
      </c>
      <c r="AG11" s="64">
        <f t="shared" si="86"/>
        <v>0</v>
      </c>
      <c r="AH11" s="64">
        <f t="shared" si="86"/>
        <v>0</v>
      </c>
      <c r="AI11" s="64">
        <f t="shared" si="86"/>
        <v>0</v>
      </c>
      <c r="AJ11" s="64">
        <f>AJ261</f>
        <v>0</v>
      </c>
      <c r="AK11" s="64">
        <f>AK261</f>
        <v>0</v>
      </c>
      <c r="AL11" s="64">
        <f>AL261</f>
        <v>0</v>
      </c>
      <c r="AM11" s="64">
        <f t="shared" ref="AM11:AW11" si="87">AM261</f>
        <v>0</v>
      </c>
      <c r="AN11" s="64">
        <f t="shared" si="87"/>
        <v>0</v>
      </c>
      <c r="AO11" s="64">
        <f t="shared" si="87"/>
        <v>0</v>
      </c>
      <c r="AP11" s="64">
        <f>AP261</f>
        <v>0</v>
      </c>
      <c r="AQ11" s="64">
        <f t="shared" ref="AQ11:AT11" si="88">AQ261</f>
        <v>0</v>
      </c>
      <c r="AR11" s="64">
        <f t="shared" si="88"/>
        <v>0</v>
      </c>
      <c r="AS11" s="64">
        <f t="shared" si="88"/>
        <v>0</v>
      </c>
      <c r="AT11" s="64">
        <f t="shared" si="88"/>
        <v>0</v>
      </c>
      <c r="AU11" s="64">
        <f>AU261</f>
        <v>0</v>
      </c>
      <c r="AV11" s="64">
        <f t="shared" si="87"/>
        <v>0</v>
      </c>
      <c r="AW11" s="64">
        <f t="shared" si="87"/>
        <v>0</v>
      </c>
      <c r="AX11" s="64">
        <f>AX261</f>
        <v>0</v>
      </c>
      <c r="AY11" s="64">
        <f>AY261</f>
        <v>0</v>
      </c>
      <c r="AZ11" s="64">
        <f t="shared" ref="AZ11:BA11" si="89">AZ261</f>
        <v>0</v>
      </c>
      <c r="BA11" s="64">
        <f t="shared" si="89"/>
        <v>0</v>
      </c>
      <c r="BB11" s="64">
        <f>BB261</f>
        <v>0</v>
      </c>
      <c r="BC11" s="64">
        <f>BC261</f>
        <v>0</v>
      </c>
      <c r="BD11" s="64">
        <f t="shared" ref="BD11" si="90">BD261</f>
        <v>0</v>
      </c>
      <c r="BE11" s="64">
        <f>BE261</f>
        <v>0</v>
      </c>
      <c r="BF11" s="64">
        <f>BF261</f>
        <v>0</v>
      </c>
      <c r="BG11" s="64">
        <f>BG261</f>
        <v>0</v>
      </c>
      <c r="BH11" s="64">
        <f>BH261</f>
        <v>0</v>
      </c>
      <c r="BI11" s="64">
        <f t="shared" ref="BI11" si="91">BI261</f>
        <v>0</v>
      </c>
      <c r="BJ11" s="64">
        <f t="shared" ref="BJ11:BL11" si="92">BJ261</f>
        <v>0</v>
      </c>
      <c r="BK11" s="64">
        <f t="shared" si="92"/>
        <v>0</v>
      </c>
      <c r="BL11" s="64">
        <f t="shared" si="92"/>
        <v>0</v>
      </c>
      <c r="BM11" s="64">
        <f t="shared" ref="BM11" si="93">BM261</f>
        <v>0</v>
      </c>
    </row>
    <row r="12" spans="1:65" s="18" customFormat="1" ht="14.15" customHeight="1">
      <c r="A12" s="436">
        <f t="shared" si="80"/>
        <v>6</v>
      </c>
      <c r="B12" s="2" t="s">
        <v>18</v>
      </c>
      <c r="C12" s="16">
        <f t="shared" ref="C12:L12" si="94">SUM(C7:C11)</f>
        <v>-204529616.01999998</v>
      </c>
      <c r="D12" s="16">
        <f t="shared" si="94"/>
        <v>-4242329</v>
      </c>
      <c r="E12" s="16">
        <f t="shared" si="94"/>
        <v>-28713724</v>
      </c>
      <c r="F12" s="16">
        <f t="shared" si="94"/>
        <v>0</v>
      </c>
      <c r="G12" s="16">
        <f t="shared" si="94"/>
        <v>0</v>
      </c>
      <c r="H12" s="16">
        <f t="shared" si="94"/>
        <v>-46964573</v>
      </c>
      <c r="I12" s="16">
        <f t="shared" si="94"/>
        <v>-142562415</v>
      </c>
      <c r="J12" s="16">
        <f t="shared" si="94"/>
        <v>3497570.8</v>
      </c>
      <c r="K12" s="16">
        <f t="shared" ref="K12" si="95">SUM(K7:K11)</f>
        <v>-9021444</v>
      </c>
      <c r="L12" s="16">
        <f t="shared" si="94"/>
        <v>-21021955</v>
      </c>
      <c r="M12" s="16">
        <f t="shared" ref="M12:Y12" si="96">SUM(M7:M11)</f>
        <v>-307780</v>
      </c>
      <c r="N12" s="16">
        <f t="shared" si="96"/>
        <v>-476213</v>
      </c>
      <c r="O12" s="16">
        <f t="shared" si="96"/>
        <v>-372763</v>
      </c>
      <c r="P12" s="16">
        <f t="shared" si="96"/>
        <v>1882916</v>
      </c>
      <c r="Q12" s="16">
        <f t="shared" si="96"/>
        <v>12333767</v>
      </c>
      <c r="R12" s="16">
        <f t="shared" si="96"/>
        <v>0</v>
      </c>
      <c r="S12" s="16">
        <f t="shared" si="96"/>
        <v>0</v>
      </c>
      <c r="T12" s="16">
        <f>SUM(T7:T11)</f>
        <v>0</v>
      </c>
      <c r="U12" s="16">
        <f t="shared" si="96"/>
        <v>0</v>
      </c>
      <c r="V12" s="16">
        <f t="shared" si="96"/>
        <v>0</v>
      </c>
      <c r="W12" s="16">
        <f t="shared" si="96"/>
        <v>0</v>
      </c>
      <c r="X12" s="16">
        <f t="shared" si="96"/>
        <v>0</v>
      </c>
      <c r="Y12" s="16">
        <f t="shared" si="96"/>
        <v>0</v>
      </c>
      <c r="Z12" s="16">
        <f t="shared" ref="Z12:AE12" si="97">SUM(Z7:Z11)</f>
        <v>-6321080</v>
      </c>
      <c r="AA12" s="16">
        <f t="shared" si="97"/>
        <v>0</v>
      </c>
      <c r="AB12" s="16">
        <f t="shared" si="97"/>
        <v>0</v>
      </c>
      <c r="AC12" s="16">
        <f t="shared" ref="AC12" si="98">SUM(AC7:AC11)</f>
        <v>0</v>
      </c>
      <c r="AD12" s="16">
        <f t="shared" si="97"/>
        <v>0</v>
      </c>
      <c r="AE12" s="16">
        <f t="shared" si="97"/>
        <v>0</v>
      </c>
      <c r="AF12" s="16">
        <f t="shared" ref="AF12:AI12" si="99">SUM(AF7:AF11)</f>
        <v>0</v>
      </c>
      <c r="AG12" s="16">
        <f t="shared" si="99"/>
        <v>0</v>
      </c>
      <c r="AH12" s="16">
        <f t="shared" si="99"/>
        <v>0</v>
      </c>
      <c r="AI12" s="16">
        <f t="shared" si="99"/>
        <v>0</v>
      </c>
      <c r="AJ12" s="16">
        <f>SUM(AJ7:AJ11)</f>
        <v>0</v>
      </c>
      <c r="AK12" s="16">
        <f>SUM(AK7:AK11)</f>
        <v>0</v>
      </c>
      <c r="AL12" s="16">
        <f>SUM(AL7:AL11)</f>
        <v>0</v>
      </c>
      <c r="AM12" s="16">
        <f t="shared" ref="AM12:AW12" si="100">SUM(AM7:AM11)</f>
        <v>-364641</v>
      </c>
      <c r="AN12" s="16">
        <f t="shared" si="100"/>
        <v>-732523</v>
      </c>
      <c r="AO12" s="16">
        <f t="shared" si="100"/>
        <v>0</v>
      </c>
      <c r="AP12" s="16">
        <f>SUM(AP7:AP11)</f>
        <v>4266</v>
      </c>
      <c r="AQ12" s="16">
        <f t="shared" ref="AQ12:AT12" si="101">SUM(AQ7:AQ11)</f>
        <v>0</v>
      </c>
      <c r="AR12" s="16">
        <f t="shared" si="101"/>
        <v>0</v>
      </c>
      <c r="AS12" s="16">
        <f t="shared" si="101"/>
        <v>0</v>
      </c>
      <c r="AT12" s="16">
        <f t="shared" si="101"/>
        <v>0</v>
      </c>
      <c r="AU12" s="16">
        <f>SUM(AU7:AU11)</f>
        <v>0</v>
      </c>
      <c r="AV12" s="16">
        <f t="shared" si="100"/>
        <v>0</v>
      </c>
      <c r="AW12" s="16">
        <f t="shared" si="100"/>
        <v>0</v>
      </c>
      <c r="AX12" s="16">
        <f>SUM(AX7:AX11)</f>
        <v>38853304.18</v>
      </c>
      <c r="AY12" s="16">
        <f>SUM(AY7:AY11)</f>
        <v>0</v>
      </c>
      <c r="AZ12" s="16">
        <f t="shared" ref="AZ12:BA12" si="102">SUM(AZ7:AZ11)</f>
        <v>0</v>
      </c>
      <c r="BA12" s="16">
        <f t="shared" si="102"/>
        <v>0</v>
      </c>
      <c r="BB12" s="16">
        <f>SUM(BB7:BB11)</f>
        <v>0</v>
      </c>
      <c r="BC12" s="16">
        <f>SUM(BC7:BC11)</f>
        <v>0</v>
      </c>
      <c r="BD12" s="16">
        <f t="shared" ref="BD12" si="103">SUM(BD7:BD11)</f>
        <v>0</v>
      </c>
      <c r="BE12" s="16">
        <f>SUM(BE7:BE11)</f>
        <v>0</v>
      </c>
      <c r="BF12" s="16">
        <f>SUM(BF7:BF11)</f>
        <v>0</v>
      </c>
      <c r="BG12" s="16">
        <f>SUM(BG7:BG11)</f>
        <v>0</v>
      </c>
      <c r="BH12" s="16">
        <f>SUM(BH7:BH11)</f>
        <v>0</v>
      </c>
      <c r="BI12" s="16">
        <f t="shared" ref="BI12" si="104">SUM(BI7:BI11)</f>
        <v>0</v>
      </c>
      <c r="BJ12" s="16">
        <f t="shared" ref="BJ12:BL12" si="105">SUM(BJ7:BJ11)</f>
        <v>0</v>
      </c>
      <c r="BK12" s="16">
        <f t="shared" si="105"/>
        <v>0</v>
      </c>
      <c r="BL12" s="16">
        <f t="shared" si="105"/>
        <v>0</v>
      </c>
      <c r="BM12" s="16">
        <f t="shared" ref="BM12" si="106">SUM(BM7:BM11)</f>
        <v>0</v>
      </c>
    </row>
    <row r="13" spans="1:65" s="18" customFormat="1" ht="14.15" customHeight="1">
      <c r="A13" s="436">
        <f t="shared" si="80"/>
        <v>7</v>
      </c>
      <c r="B13" s="6"/>
      <c r="C13" s="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4.15" customHeight="1">
      <c r="A14" s="436">
        <f t="shared" si="80"/>
        <v>8</v>
      </c>
      <c r="B14" s="3" t="s">
        <v>19</v>
      </c>
      <c r="C14" s="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4.15" customHeight="1">
      <c r="A15" s="436">
        <f t="shared" si="80"/>
        <v>9</v>
      </c>
      <c r="B15" s="83" t="s">
        <v>20</v>
      </c>
      <c r="C15" s="38">
        <f t="shared" ref="C15:C22" si="107">SUM(D15:BM15)</f>
        <v>-194558860.3123318</v>
      </c>
      <c r="D15" s="10">
        <f t="shared" ref="D15:L15" si="108">D328</f>
        <v>0</v>
      </c>
      <c r="E15" s="10">
        <f t="shared" si="108"/>
        <v>2022</v>
      </c>
      <c r="F15" s="10">
        <f t="shared" si="108"/>
        <v>-2957290</v>
      </c>
      <c r="G15" s="10">
        <f t="shared" si="108"/>
        <v>0</v>
      </c>
      <c r="H15" s="10">
        <f t="shared" si="108"/>
        <v>0</v>
      </c>
      <c r="I15" s="10">
        <f t="shared" si="108"/>
        <v>-141738721</v>
      </c>
      <c r="J15" s="10">
        <f t="shared" si="108"/>
        <v>0</v>
      </c>
      <c r="K15" s="10">
        <f t="shared" ref="K15" si="109">K328</f>
        <v>0</v>
      </c>
      <c r="L15" s="10">
        <f t="shared" si="108"/>
        <v>-6621120</v>
      </c>
      <c r="M15" s="10">
        <f t="shared" ref="M15:Y15" si="110">M328</f>
        <v>0</v>
      </c>
      <c r="N15" s="10">
        <f t="shared" si="110"/>
        <v>0</v>
      </c>
      <c r="O15" s="10">
        <f t="shared" si="110"/>
        <v>0</v>
      </c>
      <c r="P15" s="10">
        <f t="shared" si="110"/>
        <v>885912</v>
      </c>
      <c r="Q15" s="10">
        <f t="shared" si="110"/>
        <v>5803037</v>
      </c>
      <c r="R15" s="10">
        <f t="shared" si="110"/>
        <v>0</v>
      </c>
      <c r="S15" s="10">
        <f t="shared" si="110"/>
        <v>0</v>
      </c>
      <c r="T15" s="10">
        <f>T328</f>
        <v>0</v>
      </c>
      <c r="U15" s="10">
        <f t="shared" si="110"/>
        <v>0</v>
      </c>
      <c r="V15" s="10">
        <f t="shared" si="110"/>
        <v>0</v>
      </c>
      <c r="W15" s="10">
        <f t="shared" si="110"/>
        <v>-26326.45</v>
      </c>
      <c r="X15" s="10">
        <f t="shared" si="110"/>
        <v>0</v>
      </c>
      <c r="Y15" s="10">
        <f t="shared" si="110"/>
        <v>0</v>
      </c>
      <c r="Z15" s="10">
        <f t="shared" ref="Z15:AE15" si="111">Z328</f>
        <v>0</v>
      </c>
      <c r="AA15" s="10">
        <f t="shared" si="111"/>
        <v>0</v>
      </c>
      <c r="AB15" s="10">
        <f t="shared" si="111"/>
        <v>0</v>
      </c>
      <c r="AC15" s="10">
        <f t="shared" ref="AC15" si="112">AC328</f>
        <v>0</v>
      </c>
      <c r="AD15" s="10">
        <f t="shared" si="111"/>
        <v>437458.82538619975</v>
      </c>
      <c r="AE15" s="10">
        <f t="shared" si="111"/>
        <v>0</v>
      </c>
      <c r="AF15" s="10">
        <f t="shared" ref="AF15:AI15" si="113">AF328</f>
        <v>0</v>
      </c>
      <c r="AG15" s="10">
        <f t="shared" si="113"/>
        <v>0</v>
      </c>
      <c r="AH15" s="10">
        <f t="shared" si="113"/>
        <v>0</v>
      </c>
      <c r="AI15" s="10">
        <f t="shared" si="113"/>
        <v>0</v>
      </c>
      <c r="AJ15" s="10">
        <f>AJ328</f>
        <v>0</v>
      </c>
      <c r="AK15" s="10">
        <f>AK328</f>
        <v>0</v>
      </c>
      <c r="AL15" s="10">
        <f>AL328</f>
        <v>0</v>
      </c>
      <c r="AM15" s="10">
        <f t="shared" ref="AM15:AW15" si="114">AM328</f>
        <v>0</v>
      </c>
      <c r="AN15" s="10">
        <f t="shared" si="114"/>
        <v>0</v>
      </c>
      <c r="AO15" s="10">
        <f t="shared" si="114"/>
        <v>0</v>
      </c>
      <c r="AP15" s="10">
        <f>AP328</f>
        <v>0</v>
      </c>
      <c r="AQ15" s="10">
        <f t="shared" ref="AQ15:AT15" si="115">AQ328</f>
        <v>-2714</v>
      </c>
      <c r="AR15" s="10">
        <f t="shared" si="115"/>
        <v>50544</v>
      </c>
      <c r="AS15" s="10">
        <f t="shared" si="115"/>
        <v>-35713370</v>
      </c>
      <c r="AT15" s="10">
        <f t="shared" si="115"/>
        <v>-931318</v>
      </c>
      <c r="AU15" s="10">
        <f>AU328</f>
        <v>0</v>
      </c>
      <c r="AV15" s="10">
        <f t="shared" si="114"/>
        <v>0</v>
      </c>
      <c r="AW15" s="10">
        <f t="shared" si="114"/>
        <v>0</v>
      </c>
      <c r="AX15" s="10">
        <f>AX328</f>
        <v>0</v>
      </c>
      <c r="AY15" s="10">
        <f>AY328</f>
        <v>0</v>
      </c>
      <c r="AZ15" s="10">
        <f t="shared" ref="AZ15:BA15" si="116">AZ328</f>
        <v>0</v>
      </c>
      <c r="BA15" s="10">
        <f t="shared" si="116"/>
        <v>0</v>
      </c>
      <c r="BB15" s="10">
        <f>BB328</f>
        <v>413681.04072000011</v>
      </c>
      <c r="BC15" s="10">
        <f>BC328</f>
        <v>-13068150</v>
      </c>
      <c r="BD15" s="10">
        <f t="shared" ref="BD15" si="117">BD328</f>
        <v>0</v>
      </c>
      <c r="BE15" s="10">
        <f>BE328</f>
        <v>-663208</v>
      </c>
      <c r="BF15" s="10">
        <f>BF328</f>
        <v>0</v>
      </c>
      <c r="BG15" s="10">
        <f>BG328</f>
        <v>0</v>
      </c>
      <c r="BH15" s="10">
        <f>BH328</f>
        <v>0</v>
      </c>
      <c r="BI15" s="10">
        <f t="shared" ref="BI15" si="118">BI328</f>
        <v>0</v>
      </c>
      <c r="BJ15" s="10">
        <f t="shared" ref="BJ15:BL15" si="119">BJ328</f>
        <v>0</v>
      </c>
      <c r="BK15" s="10">
        <f t="shared" si="119"/>
        <v>-429297.72843799996</v>
      </c>
      <c r="BL15" s="10">
        <f t="shared" si="119"/>
        <v>0</v>
      </c>
      <c r="BM15" s="10">
        <f t="shared" ref="BM15" si="120">BM328</f>
        <v>0</v>
      </c>
    </row>
    <row r="16" spans="1:65" ht="14.15" customHeight="1">
      <c r="A16" s="436">
        <f t="shared" si="80"/>
        <v>10</v>
      </c>
      <c r="B16" s="83" t="s">
        <v>21</v>
      </c>
      <c r="C16" s="38">
        <f t="shared" si="107"/>
        <v>14394212.9</v>
      </c>
      <c r="D16" s="10">
        <f t="shared" ref="D16:L16" si="121">D355</f>
        <v>0</v>
      </c>
      <c r="E16" s="10">
        <f t="shared" si="121"/>
        <v>0</v>
      </c>
      <c r="F16" s="10">
        <f t="shared" si="121"/>
        <v>0</v>
      </c>
      <c r="G16" s="10">
        <f t="shared" si="121"/>
        <v>0</v>
      </c>
      <c r="H16" s="10">
        <f t="shared" si="121"/>
        <v>0</v>
      </c>
      <c r="I16" s="10">
        <f t="shared" si="121"/>
        <v>0</v>
      </c>
      <c r="J16" s="10">
        <f t="shared" si="121"/>
        <v>0</v>
      </c>
      <c r="K16" s="10">
        <f t="shared" ref="K16" si="122">K355</f>
        <v>0</v>
      </c>
      <c r="L16" s="10">
        <f t="shared" si="121"/>
        <v>6727358</v>
      </c>
      <c r="M16" s="10">
        <f t="shared" ref="M16:Y16" si="123">M355</f>
        <v>0</v>
      </c>
      <c r="N16" s="10">
        <f t="shared" si="123"/>
        <v>0</v>
      </c>
      <c r="O16" s="10">
        <f t="shared" si="123"/>
        <v>0</v>
      </c>
      <c r="P16" s="10">
        <f t="shared" si="123"/>
        <v>0</v>
      </c>
      <c r="Q16" s="10">
        <f t="shared" si="123"/>
        <v>0</v>
      </c>
      <c r="R16" s="10">
        <f t="shared" si="123"/>
        <v>0</v>
      </c>
      <c r="S16" s="10">
        <f t="shared" si="123"/>
        <v>0</v>
      </c>
      <c r="T16" s="10">
        <f>T355</f>
        <v>0</v>
      </c>
      <c r="U16" s="10">
        <f t="shared" si="123"/>
        <v>0</v>
      </c>
      <c r="V16" s="10">
        <f t="shared" si="123"/>
        <v>0</v>
      </c>
      <c r="W16" s="10">
        <f t="shared" si="123"/>
        <v>-445.1</v>
      </c>
      <c r="X16" s="10">
        <f t="shared" si="123"/>
        <v>0</v>
      </c>
      <c r="Y16" s="10">
        <f t="shared" si="123"/>
        <v>0</v>
      </c>
      <c r="Z16" s="10">
        <f t="shared" ref="Z16:AE16" si="124">Z355</f>
        <v>7893781</v>
      </c>
      <c r="AA16" s="10">
        <f t="shared" si="124"/>
        <v>0</v>
      </c>
      <c r="AB16" s="10">
        <f t="shared" si="124"/>
        <v>0</v>
      </c>
      <c r="AC16" s="10">
        <f t="shared" ref="AC16" si="125">AC355</f>
        <v>0</v>
      </c>
      <c r="AD16" s="10">
        <f t="shared" si="124"/>
        <v>-46037</v>
      </c>
      <c r="AE16" s="10">
        <f t="shared" si="124"/>
        <v>0</v>
      </c>
      <c r="AF16" s="10">
        <f t="shared" ref="AF16:AI16" si="126">AF355</f>
        <v>0</v>
      </c>
      <c r="AG16" s="10">
        <f t="shared" si="126"/>
        <v>0</v>
      </c>
      <c r="AH16" s="10">
        <f t="shared" si="126"/>
        <v>0</v>
      </c>
      <c r="AI16" s="10">
        <f t="shared" si="126"/>
        <v>0</v>
      </c>
      <c r="AJ16" s="10">
        <f>AJ355</f>
        <v>0</v>
      </c>
      <c r="AK16" s="10">
        <f>AK355</f>
        <v>0</v>
      </c>
      <c r="AL16" s="10">
        <f>AL355</f>
        <v>0</v>
      </c>
      <c r="AM16" s="10">
        <f t="shared" ref="AM16:AW16" si="127">AM355</f>
        <v>0</v>
      </c>
      <c r="AN16" s="10">
        <f t="shared" si="127"/>
        <v>0</v>
      </c>
      <c r="AO16" s="10">
        <f t="shared" si="127"/>
        <v>0</v>
      </c>
      <c r="AP16" s="10">
        <f>AP355</f>
        <v>0</v>
      </c>
      <c r="AQ16" s="10">
        <f t="shared" ref="AQ16:AT16" si="128">AQ355</f>
        <v>0</v>
      </c>
      <c r="AR16" s="10">
        <f t="shared" si="128"/>
        <v>0</v>
      </c>
      <c r="AS16" s="10">
        <f t="shared" si="128"/>
        <v>0</v>
      </c>
      <c r="AT16" s="10">
        <f t="shared" si="128"/>
        <v>0</v>
      </c>
      <c r="AU16" s="10">
        <f>AU355</f>
        <v>0</v>
      </c>
      <c r="AV16" s="10">
        <f t="shared" si="127"/>
        <v>0</v>
      </c>
      <c r="AW16" s="10">
        <f t="shared" si="127"/>
        <v>0</v>
      </c>
      <c r="AX16" s="10">
        <f>AX355</f>
        <v>0</v>
      </c>
      <c r="AY16" s="10">
        <f>AY355</f>
        <v>0</v>
      </c>
      <c r="AZ16" s="10">
        <f t="shared" ref="AZ16:BA16" si="129">AZ355</f>
        <v>0</v>
      </c>
      <c r="BA16" s="10">
        <f t="shared" si="129"/>
        <v>0</v>
      </c>
      <c r="BB16" s="10">
        <f>BB355</f>
        <v>0</v>
      </c>
      <c r="BC16" s="10">
        <f>BC355</f>
        <v>0</v>
      </c>
      <c r="BD16" s="10">
        <f t="shared" ref="BD16" si="130">BD355</f>
        <v>0</v>
      </c>
      <c r="BE16" s="10">
        <f>BE355</f>
        <v>-117604</v>
      </c>
      <c r="BF16" s="10">
        <f>BF355</f>
        <v>0</v>
      </c>
      <c r="BG16" s="10">
        <f>BG355</f>
        <v>0</v>
      </c>
      <c r="BH16" s="10">
        <f>BH355</f>
        <v>0</v>
      </c>
      <c r="BI16" s="10">
        <f t="shared" ref="BI16" si="131">BI355</f>
        <v>0</v>
      </c>
      <c r="BJ16" s="10">
        <f t="shared" ref="BJ16:BL16" si="132">BJ355</f>
        <v>0</v>
      </c>
      <c r="BK16" s="10">
        <f t="shared" si="132"/>
        <v>-62840</v>
      </c>
      <c r="BL16" s="10">
        <f t="shared" si="132"/>
        <v>0</v>
      </c>
      <c r="BM16" s="10">
        <f t="shared" ref="BM16" si="133">BM355</f>
        <v>0</v>
      </c>
    </row>
    <row r="17" spans="1:65" ht="14.15" customHeight="1">
      <c r="A17" s="436">
        <f t="shared" si="80"/>
        <v>11</v>
      </c>
      <c r="B17" s="83" t="s">
        <v>22</v>
      </c>
      <c r="C17" s="38">
        <f t="shared" si="107"/>
        <v>-8012097.8136804579</v>
      </c>
      <c r="D17" s="10">
        <f t="shared" ref="D17:L17" si="134">D383</f>
        <v>0</v>
      </c>
      <c r="E17" s="10">
        <f t="shared" si="134"/>
        <v>0</v>
      </c>
      <c r="F17" s="10">
        <f t="shared" si="134"/>
        <v>0</v>
      </c>
      <c r="G17" s="10">
        <f t="shared" si="134"/>
        <v>0</v>
      </c>
      <c r="H17" s="10">
        <f t="shared" si="134"/>
        <v>0</v>
      </c>
      <c r="I17" s="10">
        <f t="shared" si="134"/>
        <v>0</v>
      </c>
      <c r="J17" s="10">
        <f t="shared" si="134"/>
        <v>0</v>
      </c>
      <c r="K17" s="10">
        <f t="shared" ref="K17" si="135">K383</f>
        <v>0</v>
      </c>
      <c r="L17" s="10">
        <f t="shared" si="134"/>
        <v>0</v>
      </c>
      <c r="M17" s="10">
        <f t="shared" ref="M17:Y17" si="136">M383</f>
        <v>0</v>
      </c>
      <c r="N17" s="10">
        <f t="shared" si="136"/>
        <v>0</v>
      </c>
      <c r="O17" s="10">
        <f t="shared" si="136"/>
        <v>0</v>
      </c>
      <c r="P17" s="10">
        <f t="shared" si="136"/>
        <v>0</v>
      </c>
      <c r="Q17" s="10">
        <f t="shared" si="136"/>
        <v>0</v>
      </c>
      <c r="R17" s="10">
        <f t="shared" si="136"/>
        <v>0</v>
      </c>
      <c r="S17" s="10">
        <f t="shared" si="136"/>
        <v>-6313675.0049999999</v>
      </c>
      <c r="T17" s="10">
        <f>T383</f>
        <v>0</v>
      </c>
      <c r="U17" s="10">
        <f t="shared" si="136"/>
        <v>0</v>
      </c>
      <c r="V17" s="10">
        <f t="shared" si="136"/>
        <v>0</v>
      </c>
      <c r="W17" s="10">
        <f t="shared" si="136"/>
        <v>-174602.37</v>
      </c>
      <c r="X17" s="10">
        <f t="shared" si="136"/>
        <v>0</v>
      </c>
      <c r="Y17" s="10">
        <f t="shared" si="136"/>
        <v>0</v>
      </c>
      <c r="Z17" s="10">
        <f t="shared" ref="Z17:AE17" si="137">Z383</f>
        <v>0</v>
      </c>
      <c r="AA17" s="10">
        <f t="shared" si="137"/>
        <v>0</v>
      </c>
      <c r="AB17" s="10">
        <f t="shared" si="137"/>
        <v>0</v>
      </c>
      <c r="AC17" s="10">
        <f t="shared" ref="AC17" si="138">AC383</f>
        <v>0</v>
      </c>
      <c r="AD17" s="10">
        <f t="shared" si="137"/>
        <v>568507.26378954179</v>
      </c>
      <c r="AE17" s="10">
        <f t="shared" si="137"/>
        <v>-3199</v>
      </c>
      <c r="AF17" s="10">
        <f t="shared" ref="AF17:AI17" si="139">AF383</f>
        <v>0</v>
      </c>
      <c r="AG17" s="10">
        <f t="shared" si="139"/>
        <v>0</v>
      </c>
      <c r="AH17" s="10">
        <f t="shared" si="139"/>
        <v>0</v>
      </c>
      <c r="AI17" s="10">
        <f t="shared" si="139"/>
        <v>0</v>
      </c>
      <c r="AJ17" s="10">
        <f>AJ383</f>
        <v>0</v>
      </c>
      <c r="AK17" s="10">
        <f>AK383</f>
        <v>0</v>
      </c>
      <c r="AL17" s="10">
        <f>AL383</f>
        <v>0</v>
      </c>
      <c r="AM17" s="10">
        <f t="shared" ref="AM17:AW17" si="140">AM383</f>
        <v>0</v>
      </c>
      <c r="AN17" s="10">
        <f t="shared" si="140"/>
        <v>0</v>
      </c>
      <c r="AO17" s="10">
        <f t="shared" si="140"/>
        <v>0</v>
      </c>
      <c r="AP17" s="10">
        <f>AP383</f>
        <v>9065</v>
      </c>
      <c r="AQ17" s="10">
        <f t="shared" ref="AQ17:AT17" si="141">AQ383</f>
        <v>-7999.5099999999993</v>
      </c>
      <c r="AR17" s="10">
        <f t="shared" si="141"/>
        <v>0</v>
      </c>
      <c r="AS17" s="10">
        <f t="shared" si="141"/>
        <v>0</v>
      </c>
      <c r="AT17" s="10">
        <f t="shared" si="141"/>
        <v>0</v>
      </c>
      <c r="AU17" s="10">
        <f>AU383</f>
        <v>0</v>
      </c>
      <c r="AV17" s="10">
        <f t="shared" si="140"/>
        <v>0</v>
      </c>
      <c r="AW17" s="10">
        <f t="shared" si="140"/>
        <v>0</v>
      </c>
      <c r="AX17" s="10">
        <f>AX383</f>
        <v>0</v>
      </c>
      <c r="AY17" s="10">
        <f>AY383</f>
        <v>0</v>
      </c>
      <c r="AZ17" s="10">
        <f t="shared" ref="AZ17:BA17" si="142">AZ383</f>
        <v>0</v>
      </c>
      <c r="BA17" s="10">
        <f t="shared" si="142"/>
        <v>0</v>
      </c>
      <c r="BB17" s="10">
        <f>BB383</f>
        <v>0</v>
      </c>
      <c r="BC17" s="10">
        <f>BC383</f>
        <v>0</v>
      </c>
      <c r="BD17" s="10">
        <f t="shared" ref="BD17" si="143">BD383</f>
        <v>0</v>
      </c>
      <c r="BE17" s="10">
        <f>BE383</f>
        <v>-1649913.72</v>
      </c>
      <c r="BF17" s="10">
        <f>BF383</f>
        <v>0</v>
      </c>
      <c r="BG17" s="10">
        <f>BG383</f>
        <v>0</v>
      </c>
      <c r="BH17" s="10">
        <f>BH383</f>
        <v>0</v>
      </c>
      <c r="BI17" s="10">
        <f t="shared" ref="BI17" si="144">BI383</f>
        <v>0</v>
      </c>
      <c r="BJ17" s="10">
        <f t="shared" ref="BJ17:BL17" si="145">BJ383</f>
        <v>0</v>
      </c>
      <c r="BK17" s="10">
        <f t="shared" si="145"/>
        <v>-440280.47246999998</v>
      </c>
      <c r="BL17" s="10">
        <f t="shared" si="145"/>
        <v>0</v>
      </c>
      <c r="BM17" s="10">
        <f t="shared" ref="BM17" si="146">BM383</f>
        <v>0</v>
      </c>
    </row>
    <row r="18" spans="1:65" ht="14.15" customHeight="1">
      <c r="A18" s="436">
        <f t="shared" si="80"/>
        <v>12</v>
      </c>
      <c r="B18" s="83" t="s">
        <v>23</v>
      </c>
      <c r="C18" s="38">
        <f t="shared" si="107"/>
        <v>-81900.235335513484</v>
      </c>
      <c r="D18" s="10">
        <f t="shared" ref="D18:L18" si="147">D392</f>
        <v>0</v>
      </c>
      <c r="E18" s="10">
        <f t="shared" si="147"/>
        <v>0</v>
      </c>
      <c r="F18" s="10">
        <f t="shared" si="147"/>
        <v>0</v>
      </c>
      <c r="G18" s="10">
        <f t="shared" si="147"/>
        <v>0</v>
      </c>
      <c r="H18" s="10">
        <f t="shared" si="147"/>
        <v>0</v>
      </c>
      <c r="I18" s="10">
        <f t="shared" si="147"/>
        <v>0</v>
      </c>
      <c r="J18" s="10">
        <f t="shared" si="147"/>
        <v>0</v>
      </c>
      <c r="K18" s="10">
        <f t="shared" ref="K18" si="148">K392</f>
        <v>0</v>
      </c>
      <c r="L18" s="10">
        <f t="shared" si="147"/>
        <v>0</v>
      </c>
      <c r="M18" s="10">
        <f t="shared" ref="M18:Y18" si="149">M392</f>
        <v>0</v>
      </c>
      <c r="N18" s="10">
        <f t="shared" si="149"/>
        <v>0</v>
      </c>
      <c r="O18" s="10">
        <f t="shared" si="149"/>
        <v>0</v>
      </c>
      <c r="P18" s="10">
        <f t="shared" si="149"/>
        <v>0</v>
      </c>
      <c r="Q18" s="10">
        <f t="shared" si="149"/>
        <v>0</v>
      </c>
      <c r="R18" s="10">
        <f t="shared" si="149"/>
        <v>0</v>
      </c>
      <c r="S18" s="10">
        <f t="shared" si="149"/>
        <v>0</v>
      </c>
      <c r="T18" s="10">
        <f>T392</f>
        <v>0</v>
      </c>
      <c r="U18" s="10">
        <f t="shared" si="149"/>
        <v>0</v>
      </c>
      <c r="V18" s="10">
        <f t="shared" si="149"/>
        <v>0</v>
      </c>
      <c r="W18" s="10">
        <f t="shared" si="149"/>
        <v>-21810</v>
      </c>
      <c r="X18" s="10">
        <f t="shared" si="149"/>
        <v>0</v>
      </c>
      <c r="Y18" s="10">
        <f t="shared" si="149"/>
        <v>0</v>
      </c>
      <c r="Z18" s="10">
        <f t="shared" ref="Z18:AE18" si="150">Z392</f>
        <v>0</v>
      </c>
      <c r="AA18" s="10">
        <f t="shared" si="150"/>
        <v>0</v>
      </c>
      <c r="AB18" s="10">
        <f t="shared" si="150"/>
        <v>0</v>
      </c>
      <c r="AC18" s="10">
        <f t="shared" ref="AC18" si="151">AC392</f>
        <v>-84408</v>
      </c>
      <c r="AD18" s="10">
        <f t="shared" si="150"/>
        <v>70385.035886486512</v>
      </c>
      <c r="AE18" s="10">
        <f t="shared" si="150"/>
        <v>0</v>
      </c>
      <c r="AF18" s="10">
        <f t="shared" ref="AF18:AI18" si="152">AF392</f>
        <v>0</v>
      </c>
      <c r="AG18" s="10">
        <f t="shared" si="152"/>
        <v>0</v>
      </c>
      <c r="AH18" s="10">
        <f t="shared" si="152"/>
        <v>0</v>
      </c>
      <c r="AI18" s="10">
        <f t="shared" si="152"/>
        <v>0</v>
      </c>
      <c r="AJ18" s="10">
        <f>AJ392</f>
        <v>0</v>
      </c>
      <c r="AK18" s="10">
        <f>AK392</f>
        <v>0</v>
      </c>
      <c r="AL18" s="10">
        <f>AL392</f>
        <v>0</v>
      </c>
      <c r="AM18" s="10">
        <f t="shared" ref="AM18:AW18" si="153">AM392</f>
        <v>0</v>
      </c>
      <c r="AN18" s="10">
        <f t="shared" si="153"/>
        <v>0</v>
      </c>
      <c r="AO18" s="10">
        <f t="shared" si="153"/>
        <v>0</v>
      </c>
      <c r="AP18" s="10">
        <f>AP392</f>
        <v>0</v>
      </c>
      <c r="AQ18" s="10">
        <f t="shared" ref="AQ18:AT18" si="154">AQ392</f>
        <v>0</v>
      </c>
      <c r="AR18" s="10">
        <f t="shared" si="154"/>
        <v>0</v>
      </c>
      <c r="AS18" s="10">
        <f t="shared" si="154"/>
        <v>0</v>
      </c>
      <c r="AT18" s="10">
        <f t="shared" si="154"/>
        <v>0</v>
      </c>
      <c r="AU18" s="10">
        <f>AU392</f>
        <v>0</v>
      </c>
      <c r="AV18" s="10">
        <f t="shared" si="153"/>
        <v>0</v>
      </c>
      <c r="AW18" s="10">
        <f t="shared" si="153"/>
        <v>0</v>
      </c>
      <c r="AX18" s="10">
        <f>AX392</f>
        <v>0</v>
      </c>
      <c r="AY18" s="10">
        <f>AY392</f>
        <v>0</v>
      </c>
      <c r="AZ18" s="10">
        <f t="shared" ref="AZ18:BA18" si="155">AZ392</f>
        <v>0</v>
      </c>
      <c r="BA18" s="10">
        <f t="shared" si="155"/>
        <v>0</v>
      </c>
      <c r="BB18" s="10">
        <f>BB392</f>
        <v>0</v>
      </c>
      <c r="BC18" s="10">
        <f>BC392</f>
        <v>0</v>
      </c>
      <c r="BD18" s="10">
        <f t="shared" ref="BD18" si="156">BD392</f>
        <v>0</v>
      </c>
      <c r="BE18" s="10">
        <f>BE392</f>
        <v>0</v>
      </c>
      <c r="BF18" s="10">
        <f>BF392</f>
        <v>0</v>
      </c>
      <c r="BG18" s="10">
        <f>BG392</f>
        <v>0</v>
      </c>
      <c r="BH18" s="10">
        <f>BH392</f>
        <v>0</v>
      </c>
      <c r="BI18" s="10">
        <f t="shared" ref="BI18" si="157">BI392</f>
        <v>0</v>
      </c>
      <c r="BJ18" s="10">
        <f t="shared" ref="BJ18:BL18" si="158">BJ392</f>
        <v>0</v>
      </c>
      <c r="BK18" s="10">
        <f t="shared" si="158"/>
        <v>-46067.271221999996</v>
      </c>
      <c r="BL18" s="10">
        <f t="shared" si="158"/>
        <v>0</v>
      </c>
      <c r="BM18" s="10">
        <f t="shared" ref="BM18" si="159">BM392</f>
        <v>0</v>
      </c>
    </row>
    <row r="19" spans="1:65" ht="14.15" customHeight="1">
      <c r="A19" s="436">
        <f t="shared" si="80"/>
        <v>13</v>
      </c>
      <c r="B19" s="83" t="s">
        <v>24</v>
      </c>
      <c r="C19" s="38">
        <f t="shared" si="107"/>
        <v>0</v>
      </c>
      <c r="D19" s="10">
        <f t="shared" ref="D19:L19" si="160">D406</f>
        <v>0</v>
      </c>
      <c r="E19" s="10">
        <f t="shared" si="160"/>
        <v>0</v>
      </c>
      <c r="F19" s="10">
        <f t="shared" si="160"/>
        <v>0</v>
      </c>
      <c r="G19" s="10">
        <f t="shared" si="160"/>
        <v>0</v>
      </c>
      <c r="H19" s="10">
        <f t="shared" si="160"/>
        <v>0</v>
      </c>
      <c r="I19" s="10">
        <f t="shared" si="160"/>
        <v>0</v>
      </c>
      <c r="J19" s="10">
        <f t="shared" si="160"/>
        <v>0</v>
      </c>
      <c r="K19" s="10">
        <f t="shared" ref="K19" si="161">K406</f>
        <v>0</v>
      </c>
      <c r="L19" s="10">
        <f t="shared" si="160"/>
        <v>0</v>
      </c>
      <c r="M19" s="10">
        <f t="shared" ref="M19:Y19" si="162">M406</f>
        <v>0</v>
      </c>
      <c r="N19" s="10">
        <f t="shared" si="162"/>
        <v>0</v>
      </c>
      <c r="O19" s="10">
        <f t="shared" si="162"/>
        <v>0</v>
      </c>
      <c r="P19" s="10">
        <f t="shared" si="162"/>
        <v>0</v>
      </c>
      <c r="Q19" s="10">
        <f t="shared" si="162"/>
        <v>0</v>
      </c>
      <c r="R19" s="10">
        <f t="shared" si="162"/>
        <v>0</v>
      </c>
      <c r="S19" s="10">
        <f t="shared" si="162"/>
        <v>0</v>
      </c>
      <c r="T19" s="10">
        <f>T406</f>
        <v>0</v>
      </c>
      <c r="U19" s="10">
        <f t="shared" si="162"/>
        <v>0</v>
      </c>
      <c r="V19" s="10">
        <f t="shared" si="162"/>
        <v>0</v>
      </c>
      <c r="W19" s="10">
        <f t="shared" si="162"/>
        <v>0</v>
      </c>
      <c r="X19" s="10">
        <f t="shared" si="162"/>
        <v>0</v>
      </c>
      <c r="Y19" s="10">
        <f t="shared" si="162"/>
        <v>0</v>
      </c>
      <c r="Z19" s="10">
        <f t="shared" ref="Z19:AE19" si="163">Z406</f>
        <v>0</v>
      </c>
      <c r="AA19" s="10">
        <f t="shared" si="163"/>
        <v>0</v>
      </c>
      <c r="AB19" s="10">
        <f t="shared" si="163"/>
        <v>0</v>
      </c>
      <c r="AC19" s="10">
        <f t="shared" ref="AC19" si="164">AC406</f>
        <v>0</v>
      </c>
      <c r="AD19" s="10">
        <f t="shared" si="163"/>
        <v>0</v>
      </c>
      <c r="AE19" s="10">
        <f t="shared" si="163"/>
        <v>0</v>
      </c>
      <c r="AF19" s="10">
        <f t="shared" ref="AF19:AI19" si="165">AF406</f>
        <v>0</v>
      </c>
      <c r="AG19" s="10">
        <f t="shared" si="165"/>
        <v>0</v>
      </c>
      <c r="AH19" s="10">
        <f t="shared" si="165"/>
        <v>0</v>
      </c>
      <c r="AI19" s="10">
        <f t="shared" si="165"/>
        <v>0</v>
      </c>
      <c r="AJ19" s="10">
        <f>AJ406</f>
        <v>0</v>
      </c>
      <c r="AK19" s="10">
        <f>AK406</f>
        <v>0</v>
      </c>
      <c r="AL19" s="10">
        <f>AL406</f>
        <v>0</v>
      </c>
      <c r="AM19" s="10">
        <f t="shared" ref="AM19:AW19" si="166">AM406</f>
        <v>0</v>
      </c>
      <c r="AN19" s="10">
        <f t="shared" si="166"/>
        <v>0</v>
      </c>
      <c r="AO19" s="10">
        <f t="shared" si="166"/>
        <v>0</v>
      </c>
      <c r="AP19" s="10">
        <f>AP406</f>
        <v>0</v>
      </c>
      <c r="AQ19" s="10">
        <f t="shared" ref="AQ19:AT19" si="167">AQ406</f>
        <v>0</v>
      </c>
      <c r="AR19" s="10">
        <f t="shared" si="167"/>
        <v>0</v>
      </c>
      <c r="AS19" s="10">
        <f t="shared" si="167"/>
        <v>0</v>
      </c>
      <c r="AT19" s="10">
        <f t="shared" si="167"/>
        <v>0</v>
      </c>
      <c r="AU19" s="10">
        <f>AU406</f>
        <v>0</v>
      </c>
      <c r="AV19" s="10">
        <f t="shared" si="166"/>
        <v>0</v>
      </c>
      <c r="AW19" s="10">
        <f t="shared" si="166"/>
        <v>0</v>
      </c>
      <c r="AX19" s="10">
        <f>AX406</f>
        <v>0</v>
      </c>
      <c r="AY19" s="10">
        <f>AY406</f>
        <v>0</v>
      </c>
      <c r="AZ19" s="10">
        <f t="shared" ref="AZ19:BA19" si="168">AZ406</f>
        <v>0</v>
      </c>
      <c r="BA19" s="10">
        <f t="shared" si="168"/>
        <v>0</v>
      </c>
      <c r="BB19" s="10">
        <f>BB406</f>
        <v>0</v>
      </c>
      <c r="BC19" s="10">
        <f>BC406</f>
        <v>0</v>
      </c>
      <c r="BD19" s="10">
        <f t="shared" ref="BD19" si="169">BD406</f>
        <v>0</v>
      </c>
      <c r="BE19" s="10">
        <f>BE406</f>
        <v>0</v>
      </c>
      <c r="BF19" s="10">
        <f>BF406</f>
        <v>0</v>
      </c>
      <c r="BG19" s="10">
        <f>BG406</f>
        <v>0</v>
      </c>
      <c r="BH19" s="10">
        <f>BH406</f>
        <v>0</v>
      </c>
      <c r="BI19" s="10">
        <f t="shared" ref="BI19" si="170">BI406</f>
        <v>0</v>
      </c>
      <c r="BJ19" s="10">
        <f t="shared" ref="BJ19:BL19" si="171">BJ406</f>
        <v>0</v>
      </c>
      <c r="BK19" s="10">
        <f t="shared" si="171"/>
        <v>0</v>
      </c>
      <c r="BL19" s="10">
        <f t="shared" si="171"/>
        <v>0</v>
      </c>
      <c r="BM19" s="10">
        <f t="shared" ref="BM19" si="172">BM406</f>
        <v>0</v>
      </c>
    </row>
    <row r="20" spans="1:65" ht="14.15" customHeight="1">
      <c r="A20" s="436">
        <f t="shared" si="80"/>
        <v>14</v>
      </c>
      <c r="B20" s="83" t="s">
        <v>25</v>
      </c>
      <c r="C20" s="38">
        <f t="shared" si="107"/>
        <v>-1250301.29</v>
      </c>
      <c r="D20" s="10">
        <f t="shared" ref="D20:L20" si="173">D399</f>
        <v>0</v>
      </c>
      <c r="E20" s="10">
        <f t="shared" si="173"/>
        <v>0</v>
      </c>
      <c r="F20" s="10">
        <f t="shared" si="173"/>
        <v>0</v>
      </c>
      <c r="G20" s="10">
        <f t="shared" si="173"/>
        <v>0</v>
      </c>
      <c r="H20" s="10">
        <f t="shared" si="173"/>
        <v>0</v>
      </c>
      <c r="I20" s="10">
        <f t="shared" si="173"/>
        <v>0</v>
      </c>
      <c r="J20" s="10">
        <f t="shared" si="173"/>
        <v>0</v>
      </c>
      <c r="K20" s="10">
        <f t="shared" ref="K20" si="174">K399</f>
        <v>0</v>
      </c>
      <c r="L20" s="10">
        <f t="shared" si="173"/>
        <v>0</v>
      </c>
      <c r="M20" s="10">
        <f t="shared" ref="M20:Y20" si="175">M399</f>
        <v>-289397</v>
      </c>
      <c r="N20" s="10">
        <f t="shared" si="175"/>
        <v>-476213</v>
      </c>
      <c r="O20" s="10">
        <f t="shared" si="175"/>
        <v>-372763</v>
      </c>
      <c r="P20" s="10">
        <f t="shared" si="175"/>
        <v>0</v>
      </c>
      <c r="Q20" s="10">
        <f t="shared" si="175"/>
        <v>0</v>
      </c>
      <c r="R20" s="10">
        <f t="shared" si="175"/>
        <v>0</v>
      </c>
      <c r="S20" s="10">
        <f t="shared" si="175"/>
        <v>0</v>
      </c>
      <c r="T20" s="10">
        <f>T399</f>
        <v>0</v>
      </c>
      <c r="U20" s="10">
        <f t="shared" si="175"/>
        <v>0</v>
      </c>
      <c r="V20" s="10">
        <f t="shared" si="175"/>
        <v>-116530.22</v>
      </c>
      <c r="W20" s="10">
        <f t="shared" si="175"/>
        <v>-333.07</v>
      </c>
      <c r="X20" s="10">
        <f t="shared" si="175"/>
        <v>0</v>
      </c>
      <c r="Y20" s="10">
        <f t="shared" si="175"/>
        <v>0</v>
      </c>
      <c r="Z20" s="10">
        <f t="shared" ref="Z20:AE20" si="176">Z399</f>
        <v>0</v>
      </c>
      <c r="AA20" s="10">
        <f t="shared" si="176"/>
        <v>0</v>
      </c>
      <c r="AB20" s="10">
        <f t="shared" si="176"/>
        <v>0</v>
      </c>
      <c r="AC20" s="10">
        <f t="shared" ref="AC20" si="177">AC399</f>
        <v>0</v>
      </c>
      <c r="AD20" s="10">
        <f t="shared" si="176"/>
        <v>12320</v>
      </c>
      <c r="AE20" s="10">
        <f t="shared" si="176"/>
        <v>0</v>
      </c>
      <c r="AF20" s="10">
        <f t="shared" ref="AF20:AI20" si="178">AF399</f>
        <v>0</v>
      </c>
      <c r="AG20" s="10">
        <f t="shared" si="178"/>
        <v>0</v>
      </c>
      <c r="AH20" s="10">
        <f t="shared" si="178"/>
        <v>0</v>
      </c>
      <c r="AI20" s="10">
        <f t="shared" si="178"/>
        <v>0</v>
      </c>
      <c r="AJ20" s="10">
        <f>AJ399</f>
        <v>0</v>
      </c>
      <c r="AK20" s="10">
        <f>AK399</f>
        <v>0</v>
      </c>
      <c r="AL20" s="10">
        <f>AL399</f>
        <v>0</v>
      </c>
      <c r="AM20" s="10">
        <f t="shared" ref="AM20:AW20" si="179">AM399</f>
        <v>0</v>
      </c>
      <c r="AN20" s="10">
        <f t="shared" si="179"/>
        <v>0</v>
      </c>
      <c r="AO20" s="10">
        <f t="shared" si="179"/>
        <v>0</v>
      </c>
      <c r="AP20" s="10">
        <f>AP399</f>
        <v>0</v>
      </c>
      <c r="AQ20" s="10">
        <f t="shared" ref="AQ20:AT20" si="180">AQ399</f>
        <v>0</v>
      </c>
      <c r="AR20" s="10">
        <f t="shared" si="180"/>
        <v>0</v>
      </c>
      <c r="AS20" s="10">
        <f t="shared" si="180"/>
        <v>0</v>
      </c>
      <c r="AT20" s="10">
        <f t="shared" si="180"/>
        <v>0</v>
      </c>
      <c r="AU20" s="10">
        <f>AU399</f>
        <v>0</v>
      </c>
      <c r="AV20" s="10">
        <f t="shared" si="179"/>
        <v>0</v>
      </c>
      <c r="AW20" s="10">
        <f t="shared" si="179"/>
        <v>0</v>
      </c>
      <c r="AX20" s="10">
        <f>AX399</f>
        <v>0</v>
      </c>
      <c r="AY20" s="10">
        <f>AY399</f>
        <v>0</v>
      </c>
      <c r="AZ20" s="10">
        <f t="shared" ref="AZ20:BA20" si="181">AZ399</f>
        <v>0</v>
      </c>
      <c r="BA20" s="10">
        <f t="shared" si="181"/>
        <v>0</v>
      </c>
      <c r="BB20" s="10">
        <f>BB399</f>
        <v>0</v>
      </c>
      <c r="BC20" s="10">
        <f>BC399</f>
        <v>0</v>
      </c>
      <c r="BD20" s="10">
        <f t="shared" ref="BD20" si="182">BD399</f>
        <v>0</v>
      </c>
      <c r="BE20" s="10">
        <f>BE399</f>
        <v>0</v>
      </c>
      <c r="BF20" s="10">
        <f>BF399</f>
        <v>0</v>
      </c>
      <c r="BG20" s="10">
        <f>BG399</f>
        <v>0</v>
      </c>
      <c r="BH20" s="10">
        <f>BH399</f>
        <v>0</v>
      </c>
      <c r="BI20" s="10">
        <f t="shared" ref="BI20" si="183">BI399</f>
        <v>0</v>
      </c>
      <c r="BJ20" s="10">
        <f t="shared" ref="BJ20:BL20" si="184">BJ399</f>
        <v>0</v>
      </c>
      <c r="BK20" s="10">
        <f t="shared" si="184"/>
        <v>-7385</v>
      </c>
      <c r="BL20" s="10">
        <f t="shared" si="184"/>
        <v>0</v>
      </c>
      <c r="BM20" s="10">
        <f t="shared" ref="BM20" si="185">BM399</f>
        <v>0</v>
      </c>
    </row>
    <row r="21" spans="1:65" ht="14.15" customHeight="1">
      <c r="A21" s="436">
        <f t="shared" si="80"/>
        <v>15</v>
      </c>
      <c r="B21" s="83" t="s">
        <v>26</v>
      </c>
      <c r="C21" s="38">
        <f t="shared" si="107"/>
        <v>-3004253.1805291162</v>
      </c>
      <c r="D21" s="10">
        <f t="shared" ref="D21:L21" si="186">D427</f>
        <v>0</v>
      </c>
      <c r="E21" s="10">
        <f t="shared" si="186"/>
        <v>-2022</v>
      </c>
      <c r="F21" s="10">
        <f t="shared" si="186"/>
        <v>0</v>
      </c>
      <c r="G21" s="10">
        <f t="shared" si="186"/>
        <v>0</v>
      </c>
      <c r="H21" s="10">
        <f t="shared" si="186"/>
        <v>0</v>
      </c>
      <c r="I21" s="10">
        <f t="shared" si="186"/>
        <v>0</v>
      </c>
      <c r="J21" s="10">
        <f t="shared" si="186"/>
        <v>0</v>
      </c>
      <c r="K21" s="10">
        <f t="shared" ref="K21" si="187">K427</f>
        <v>0</v>
      </c>
      <c r="L21" s="10">
        <f t="shared" si="186"/>
        <v>0</v>
      </c>
      <c r="M21" s="10">
        <f t="shared" ref="M21:Y21" si="188">M427</f>
        <v>0</v>
      </c>
      <c r="N21" s="10">
        <f t="shared" si="188"/>
        <v>0</v>
      </c>
      <c r="O21" s="10">
        <f t="shared" si="188"/>
        <v>0</v>
      </c>
      <c r="P21" s="10">
        <f t="shared" si="188"/>
        <v>0</v>
      </c>
      <c r="Q21" s="10">
        <f t="shared" si="188"/>
        <v>0</v>
      </c>
      <c r="R21" s="10">
        <f t="shared" si="188"/>
        <v>0</v>
      </c>
      <c r="S21" s="10">
        <f t="shared" si="188"/>
        <v>0</v>
      </c>
      <c r="T21" s="10">
        <f>T427</f>
        <v>0</v>
      </c>
      <c r="U21" s="10">
        <f t="shared" si="188"/>
        <v>279410</v>
      </c>
      <c r="V21" s="10">
        <f t="shared" si="188"/>
        <v>-53319</v>
      </c>
      <c r="W21" s="10">
        <f t="shared" si="188"/>
        <v>-182980.17</v>
      </c>
      <c r="X21" s="10">
        <f t="shared" si="188"/>
        <v>-811799</v>
      </c>
      <c r="Y21" s="10">
        <f t="shared" si="188"/>
        <v>77962</v>
      </c>
      <c r="Z21" s="10">
        <f t="shared" ref="Z21:AE21" si="189">Z427</f>
        <v>0</v>
      </c>
      <c r="AA21" s="10">
        <f t="shared" si="189"/>
        <v>0</v>
      </c>
      <c r="AB21" s="10">
        <f t="shared" si="189"/>
        <v>0</v>
      </c>
      <c r="AC21" s="10">
        <f t="shared" ref="AC21" si="190">AC427</f>
        <v>0</v>
      </c>
      <c r="AD21" s="10">
        <f t="shared" si="189"/>
        <v>124803.12708288417</v>
      </c>
      <c r="AE21" s="10">
        <f t="shared" si="189"/>
        <v>-5268</v>
      </c>
      <c r="AF21" s="10">
        <f t="shared" ref="AF21:AI21" si="191">AF427</f>
        <v>0</v>
      </c>
      <c r="AG21" s="10">
        <f t="shared" si="191"/>
        <v>0</v>
      </c>
      <c r="AH21" s="10">
        <f t="shared" si="191"/>
        <v>0</v>
      </c>
      <c r="AI21" s="10">
        <f t="shared" si="191"/>
        <v>-29109.250000000233</v>
      </c>
      <c r="AJ21" s="10">
        <f>AJ427</f>
        <v>0</v>
      </c>
      <c r="AK21" s="10">
        <f>AK427</f>
        <v>0</v>
      </c>
      <c r="AL21" s="10">
        <f>AL427</f>
        <v>0</v>
      </c>
      <c r="AM21" s="10">
        <f t="shared" ref="AM21:AW21" si="192">AM427</f>
        <v>0</v>
      </c>
      <c r="AN21" s="10">
        <f t="shared" si="192"/>
        <v>0</v>
      </c>
      <c r="AO21" s="10">
        <f t="shared" si="192"/>
        <v>0</v>
      </c>
      <c r="AP21" s="10">
        <f>AP427</f>
        <v>0</v>
      </c>
      <c r="AQ21" s="10">
        <f t="shared" ref="AQ21:AT21" si="193">AQ427</f>
        <v>-72508</v>
      </c>
      <c r="AR21" s="10">
        <f t="shared" si="193"/>
        <v>0</v>
      </c>
      <c r="AS21" s="10">
        <f t="shared" si="193"/>
        <v>0</v>
      </c>
      <c r="AT21" s="10">
        <f t="shared" si="193"/>
        <v>0</v>
      </c>
      <c r="AU21" s="10">
        <f>AU427</f>
        <v>0</v>
      </c>
      <c r="AV21" s="10">
        <f t="shared" si="192"/>
        <v>0</v>
      </c>
      <c r="AW21" s="10">
        <f t="shared" si="192"/>
        <v>0</v>
      </c>
      <c r="AX21" s="10">
        <f>AX427</f>
        <v>0</v>
      </c>
      <c r="AY21" s="10">
        <f>AY427</f>
        <v>0</v>
      </c>
      <c r="AZ21" s="10">
        <f t="shared" ref="AZ21:BA21" si="194">AZ427</f>
        <v>0</v>
      </c>
      <c r="BA21" s="10">
        <f t="shared" si="194"/>
        <v>0</v>
      </c>
      <c r="BB21" s="10">
        <f>BB427</f>
        <v>0</v>
      </c>
      <c r="BC21" s="10">
        <f>BC427</f>
        <v>0</v>
      </c>
      <c r="BD21" s="10">
        <f t="shared" ref="BD21" si="195">BD427</f>
        <v>0</v>
      </c>
      <c r="BE21" s="10">
        <f>BE427</f>
        <v>-112254</v>
      </c>
      <c r="BF21" s="10">
        <f>BF427</f>
        <v>0</v>
      </c>
      <c r="BG21" s="10">
        <f>BG427</f>
        <v>0</v>
      </c>
      <c r="BH21" s="10">
        <f>BH427</f>
        <v>0</v>
      </c>
      <c r="BI21" s="10">
        <f t="shared" ref="BI21" si="196">BI427</f>
        <v>0</v>
      </c>
      <c r="BJ21" s="10">
        <f t="shared" ref="BJ21:BL21" si="197">BJ427</f>
        <v>3054678</v>
      </c>
      <c r="BK21" s="10">
        <f t="shared" si="197"/>
        <v>-5271846.8876120001</v>
      </c>
      <c r="BL21" s="10">
        <f t="shared" si="197"/>
        <v>0</v>
      </c>
      <c r="BM21" s="10">
        <f t="shared" ref="BM21" si="198">BM427</f>
        <v>0</v>
      </c>
    </row>
    <row r="22" spans="1:65" ht="14.15" customHeight="1">
      <c r="A22" s="436">
        <f t="shared" si="80"/>
        <v>16</v>
      </c>
      <c r="B22" s="56" t="s">
        <v>27</v>
      </c>
      <c r="C22" s="198">
        <f t="shared" si="107"/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</row>
    <row r="23" spans="1:65" s="18" customFormat="1" ht="14.15" customHeight="1">
      <c r="A23" s="436">
        <f t="shared" si="80"/>
        <v>17</v>
      </c>
      <c r="B23" s="2" t="s">
        <v>28</v>
      </c>
      <c r="C23" s="16">
        <f t="shared" ref="C23:L23" si="199">SUM(C15:C22)</f>
        <v>-192513199.93187687</v>
      </c>
      <c r="D23" s="16">
        <f t="shared" si="199"/>
        <v>0</v>
      </c>
      <c r="E23" s="16">
        <f t="shared" si="199"/>
        <v>0</v>
      </c>
      <c r="F23" s="16">
        <f t="shared" si="199"/>
        <v>-2957290</v>
      </c>
      <c r="G23" s="16">
        <f t="shared" si="199"/>
        <v>0</v>
      </c>
      <c r="H23" s="16">
        <f t="shared" si="199"/>
        <v>0</v>
      </c>
      <c r="I23" s="16">
        <f t="shared" si="199"/>
        <v>-141738721</v>
      </c>
      <c r="J23" s="16">
        <f t="shared" si="199"/>
        <v>0</v>
      </c>
      <c r="K23" s="16">
        <f t="shared" ref="K23" si="200">SUM(K15:K22)</f>
        <v>0</v>
      </c>
      <c r="L23" s="16">
        <f t="shared" si="199"/>
        <v>106238</v>
      </c>
      <c r="M23" s="16">
        <f t="shared" ref="M23:Y23" si="201">SUM(M15:M22)</f>
        <v>-289397</v>
      </c>
      <c r="N23" s="16">
        <f t="shared" si="201"/>
        <v>-476213</v>
      </c>
      <c r="O23" s="16">
        <f t="shared" si="201"/>
        <v>-372763</v>
      </c>
      <c r="P23" s="16">
        <f t="shared" si="201"/>
        <v>885912</v>
      </c>
      <c r="Q23" s="16">
        <f t="shared" si="201"/>
        <v>5803037</v>
      </c>
      <c r="R23" s="16">
        <f t="shared" si="201"/>
        <v>0</v>
      </c>
      <c r="S23" s="16">
        <f t="shared" si="201"/>
        <v>-6313675.0049999999</v>
      </c>
      <c r="T23" s="16">
        <f>SUM(T15:T22)</f>
        <v>0</v>
      </c>
      <c r="U23" s="16">
        <f t="shared" si="201"/>
        <v>279410</v>
      </c>
      <c r="V23" s="16">
        <f t="shared" si="201"/>
        <v>-169849.22</v>
      </c>
      <c r="W23" s="16">
        <f t="shared" si="201"/>
        <v>-406497.16000000003</v>
      </c>
      <c r="X23" s="16">
        <f t="shared" si="201"/>
        <v>-811799</v>
      </c>
      <c r="Y23" s="16">
        <f t="shared" si="201"/>
        <v>77962</v>
      </c>
      <c r="Z23" s="16">
        <f t="shared" ref="Z23:AE23" si="202">SUM(Z15:Z22)</f>
        <v>7893781</v>
      </c>
      <c r="AA23" s="16">
        <f t="shared" si="202"/>
        <v>0</v>
      </c>
      <c r="AB23" s="16">
        <f t="shared" si="202"/>
        <v>0</v>
      </c>
      <c r="AC23" s="16">
        <f t="shared" ref="AC23" si="203">SUM(AC15:AC22)</f>
        <v>-84408</v>
      </c>
      <c r="AD23" s="16">
        <f t="shared" si="202"/>
        <v>1167437.2521451123</v>
      </c>
      <c r="AE23" s="16">
        <f t="shared" si="202"/>
        <v>-8467</v>
      </c>
      <c r="AF23" s="16">
        <f t="shared" ref="AF23:AI23" si="204">SUM(AF15:AF22)</f>
        <v>0</v>
      </c>
      <c r="AG23" s="16">
        <f t="shared" si="204"/>
        <v>0</v>
      </c>
      <c r="AH23" s="16">
        <f t="shared" si="204"/>
        <v>0</v>
      </c>
      <c r="AI23" s="16">
        <f t="shared" si="204"/>
        <v>-29109.250000000233</v>
      </c>
      <c r="AJ23" s="16">
        <f>SUM(AJ15:AJ22)</f>
        <v>0</v>
      </c>
      <c r="AK23" s="16">
        <f>SUM(AK15:AK22)</f>
        <v>0</v>
      </c>
      <c r="AL23" s="16">
        <f>SUM(AL15:AL22)</f>
        <v>0</v>
      </c>
      <c r="AM23" s="16">
        <f t="shared" ref="AM23:AW23" si="205">SUM(AM15:AM22)</f>
        <v>0</v>
      </c>
      <c r="AN23" s="16">
        <f t="shared" si="205"/>
        <v>0</v>
      </c>
      <c r="AO23" s="16">
        <f t="shared" si="205"/>
        <v>0</v>
      </c>
      <c r="AP23" s="16">
        <f>SUM(AP15:AP22)</f>
        <v>9065</v>
      </c>
      <c r="AQ23" s="16">
        <f t="shared" ref="AQ23:AT23" si="206">SUM(AQ15:AQ22)</f>
        <v>-83221.509999999995</v>
      </c>
      <c r="AR23" s="16">
        <f t="shared" si="206"/>
        <v>50544</v>
      </c>
      <c r="AS23" s="16">
        <f t="shared" si="206"/>
        <v>-35713370</v>
      </c>
      <c r="AT23" s="16">
        <f t="shared" si="206"/>
        <v>-931318</v>
      </c>
      <c r="AU23" s="16">
        <f>SUM(AU15:AU22)</f>
        <v>0</v>
      </c>
      <c r="AV23" s="16">
        <f t="shared" si="205"/>
        <v>0</v>
      </c>
      <c r="AW23" s="16">
        <f t="shared" si="205"/>
        <v>0</v>
      </c>
      <c r="AX23" s="16">
        <f>SUM(AX15:AX22)</f>
        <v>0</v>
      </c>
      <c r="AY23" s="16">
        <f>SUM(AY15:AY22)</f>
        <v>0</v>
      </c>
      <c r="AZ23" s="16">
        <f t="shared" ref="AZ23:BA23" si="207">SUM(AZ15:AZ22)</f>
        <v>0</v>
      </c>
      <c r="BA23" s="16">
        <f t="shared" si="207"/>
        <v>0</v>
      </c>
      <c r="BB23" s="16">
        <f>SUM(BB15:BB22)</f>
        <v>413681.04072000011</v>
      </c>
      <c r="BC23" s="16">
        <f>SUM(BC15:BC22)</f>
        <v>-13068150</v>
      </c>
      <c r="BD23" s="16">
        <f t="shared" ref="BD23" si="208">SUM(BD15:BD22)</f>
        <v>0</v>
      </c>
      <c r="BE23" s="16">
        <f>SUM(BE15:BE22)</f>
        <v>-2542979.7199999997</v>
      </c>
      <c r="BF23" s="16">
        <f>SUM(BF15:BF22)</f>
        <v>0</v>
      </c>
      <c r="BG23" s="16">
        <f>SUM(BG15:BG22)</f>
        <v>0</v>
      </c>
      <c r="BH23" s="16">
        <f>SUM(BH15:BH22)</f>
        <v>0</v>
      </c>
      <c r="BI23" s="16">
        <f t="shared" ref="BI23" si="209">SUM(BI15:BI22)</f>
        <v>0</v>
      </c>
      <c r="BJ23" s="16">
        <f t="shared" ref="BJ23:BL23" si="210">SUM(BJ15:BJ22)</f>
        <v>3054678</v>
      </c>
      <c r="BK23" s="16">
        <f t="shared" si="210"/>
        <v>-6257717.3597419998</v>
      </c>
      <c r="BL23" s="16">
        <f t="shared" si="210"/>
        <v>0</v>
      </c>
      <c r="BM23" s="16">
        <f t="shared" ref="BM23" si="211">SUM(BM15:BM22)</f>
        <v>0</v>
      </c>
    </row>
    <row r="24" spans="1:65" s="18" customFormat="1" ht="14.15" customHeight="1">
      <c r="A24" s="436">
        <f t="shared" si="80"/>
        <v>18</v>
      </c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4.15" customHeight="1">
      <c r="A25" s="436">
        <f t="shared" si="80"/>
        <v>19</v>
      </c>
      <c r="B25" s="83" t="s">
        <v>29</v>
      </c>
      <c r="C25" s="38">
        <f>SUM(D25:BM25)</f>
        <v>-22437939.592050001</v>
      </c>
      <c r="D25" s="10">
        <f t="shared" ref="D25:L25" si="212">D460</f>
        <v>0</v>
      </c>
      <c r="E25" s="10">
        <f t="shared" si="212"/>
        <v>-13032207</v>
      </c>
      <c r="F25" s="10">
        <f t="shared" si="212"/>
        <v>-9079176</v>
      </c>
      <c r="G25" s="10">
        <f t="shared" si="212"/>
        <v>0</v>
      </c>
      <c r="H25" s="10">
        <f t="shared" si="212"/>
        <v>-3573269.7250000001</v>
      </c>
      <c r="I25" s="10">
        <f t="shared" si="212"/>
        <v>0</v>
      </c>
      <c r="J25" s="10">
        <f t="shared" si="212"/>
        <v>0</v>
      </c>
      <c r="K25" s="10">
        <f t="shared" ref="K25" si="213">K460</f>
        <v>0</v>
      </c>
      <c r="L25" s="10">
        <f t="shared" si="212"/>
        <v>0</v>
      </c>
      <c r="M25" s="10">
        <f t="shared" ref="M25:Y25" si="214">M460</f>
        <v>0</v>
      </c>
      <c r="N25" s="10">
        <f t="shared" si="214"/>
        <v>0</v>
      </c>
      <c r="O25" s="10">
        <f t="shared" si="214"/>
        <v>0</v>
      </c>
      <c r="P25" s="10">
        <f t="shared" si="214"/>
        <v>0</v>
      </c>
      <c r="Q25" s="10">
        <f t="shared" si="214"/>
        <v>0</v>
      </c>
      <c r="R25" s="10">
        <f t="shared" si="214"/>
        <v>0</v>
      </c>
      <c r="S25" s="10">
        <f t="shared" si="214"/>
        <v>0</v>
      </c>
      <c r="T25" s="10">
        <f>T460</f>
        <v>221947</v>
      </c>
      <c r="U25" s="10">
        <f t="shared" si="214"/>
        <v>0</v>
      </c>
      <c r="V25" s="10">
        <f t="shared" si="214"/>
        <v>0</v>
      </c>
      <c r="W25" s="10">
        <f t="shared" si="214"/>
        <v>0</v>
      </c>
      <c r="X25" s="10">
        <f t="shared" si="214"/>
        <v>0</v>
      </c>
      <c r="Y25" s="10">
        <f t="shared" si="214"/>
        <v>0</v>
      </c>
      <c r="Z25" s="10">
        <f t="shared" ref="Z25:AE25" si="215">Z460</f>
        <v>0</v>
      </c>
      <c r="AA25" s="10">
        <f t="shared" si="215"/>
        <v>444168</v>
      </c>
      <c r="AB25" s="10">
        <f t="shared" si="215"/>
        <v>0</v>
      </c>
      <c r="AC25" s="10">
        <f t="shared" ref="AC25" si="216">AC460</f>
        <v>0</v>
      </c>
      <c r="AD25" s="10">
        <f t="shared" si="215"/>
        <v>0</v>
      </c>
      <c r="AE25" s="10">
        <f t="shared" si="215"/>
        <v>0</v>
      </c>
      <c r="AF25" s="10">
        <f t="shared" ref="AF25:AI25" si="217">AF460</f>
        <v>2109352</v>
      </c>
      <c r="AG25" s="10">
        <f t="shared" si="217"/>
        <v>471246.13294999994</v>
      </c>
      <c r="AH25" s="10">
        <f t="shared" si="217"/>
        <v>0</v>
      </c>
      <c r="AI25" s="10">
        <f t="shared" si="217"/>
        <v>0</v>
      </c>
      <c r="AJ25" s="10">
        <f>AJ460</f>
        <v>0</v>
      </c>
      <c r="AK25" s="10">
        <f>AK460</f>
        <v>0</v>
      </c>
      <c r="AL25" s="10">
        <f>AL460</f>
        <v>0</v>
      </c>
      <c r="AM25" s="10">
        <f t="shared" ref="AM25:AW25" si="218">AM460</f>
        <v>0</v>
      </c>
      <c r="AN25" s="10">
        <f t="shared" si="218"/>
        <v>0</v>
      </c>
      <c r="AO25" s="10">
        <f t="shared" si="218"/>
        <v>0</v>
      </c>
      <c r="AP25" s="10">
        <f>AP460</f>
        <v>0</v>
      </c>
      <c r="AQ25" s="10">
        <f t="shared" ref="AQ25:AT25" si="219">AQ460</f>
        <v>0</v>
      </c>
      <c r="AR25" s="10">
        <f t="shared" si="219"/>
        <v>0</v>
      </c>
      <c r="AS25" s="10">
        <f t="shared" si="219"/>
        <v>0</v>
      </c>
      <c r="AT25" s="10">
        <f t="shared" si="219"/>
        <v>0</v>
      </c>
      <c r="AU25" s="10">
        <f>AU460</f>
        <v>0</v>
      </c>
      <c r="AV25" s="10">
        <f t="shared" si="218"/>
        <v>0</v>
      </c>
      <c r="AW25" s="10">
        <f t="shared" si="218"/>
        <v>0</v>
      </c>
      <c r="AX25" s="10">
        <f>AX460</f>
        <v>0</v>
      </c>
      <c r="AY25" s="10">
        <f>AY460</f>
        <v>0</v>
      </c>
      <c r="AZ25" s="10">
        <f t="shared" ref="AZ25:BA25" si="220">AZ460</f>
        <v>0</v>
      </c>
      <c r="BA25" s="10">
        <f t="shared" si="220"/>
        <v>0</v>
      </c>
      <c r="BB25" s="10">
        <f>BB460</f>
        <v>0</v>
      </c>
      <c r="BC25" s="10">
        <f>BC460</f>
        <v>0</v>
      </c>
      <c r="BD25" s="10">
        <f t="shared" ref="BD25" si="221">BD460</f>
        <v>0</v>
      </c>
      <c r="BE25" s="10">
        <f>BE460</f>
        <v>0</v>
      </c>
      <c r="BF25" s="10">
        <f>BF460</f>
        <v>0</v>
      </c>
      <c r="BG25" s="10">
        <f>BG460</f>
        <v>0</v>
      </c>
      <c r="BH25" s="10">
        <f>BH460</f>
        <v>0</v>
      </c>
      <c r="BI25" s="10">
        <f t="shared" ref="BI25" si="222">BI460</f>
        <v>0</v>
      </c>
      <c r="BJ25" s="10">
        <f t="shared" ref="BJ25:BL25" si="223">BJ460</f>
        <v>0</v>
      </c>
      <c r="BK25" s="10">
        <f t="shared" si="223"/>
        <v>0</v>
      </c>
      <c r="BL25" s="10">
        <f t="shared" si="223"/>
        <v>0</v>
      </c>
      <c r="BM25" s="10">
        <f t="shared" ref="BM25" si="224">BM460</f>
        <v>0</v>
      </c>
    </row>
    <row r="26" spans="1:65" ht="14.15" customHeight="1">
      <c r="A26" s="436">
        <f t="shared" si="80"/>
        <v>20</v>
      </c>
      <c r="B26" s="83" t="s">
        <v>30</v>
      </c>
      <c r="C26" s="38">
        <f>SUM(D26:BM26)</f>
        <v>1340849</v>
      </c>
      <c r="D26" s="10">
        <f t="shared" ref="D26:L26" si="225">D479</f>
        <v>0</v>
      </c>
      <c r="E26" s="10">
        <f t="shared" si="225"/>
        <v>0</v>
      </c>
      <c r="F26" s="10">
        <f t="shared" si="225"/>
        <v>-186284</v>
      </c>
      <c r="G26" s="10">
        <f t="shared" si="225"/>
        <v>0</v>
      </c>
      <c r="H26" s="10">
        <f t="shared" si="225"/>
        <v>0</v>
      </c>
      <c r="I26" s="10">
        <f t="shared" si="225"/>
        <v>0</v>
      </c>
      <c r="J26" s="10">
        <f t="shared" si="225"/>
        <v>0</v>
      </c>
      <c r="K26" s="10">
        <f t="shared" ref="K26" si="226">K479</f>
        <v>0</v>
      </c>
      <c r="L26" s="10">
        <f t="shared" si="225"/>
        <v>0</v>
      </c>
      <c r="M26" s="10">
        <f t="shared" ref="M26:Y26" si="227">M479</f>
        <v>0</v>
      </c>
      <c r="N26" s="10">
        <f t="shared" si="227"/>
        <v>0</v>
      </c>
      <c r="O26" s="10">
        <f t="shared" si="227"/>
        <v>0</v>
      </c>
      <c r="P26" s="10">
        <f t="shared" si="227"/>
        <v>0</v>
      </c>
      <c r="Q26" s="10">
        <f t="shared" si="227"/>
        <v>0</v>
      </c>
      <c r="R26" s="10">
        <f t="shared" si="227"/>
        <v>0</v>
      </c>
      <c r="S26" s="10">
        <f t="shared" si="227"/>
        <v>0</v>
      </c>
      <c r="T26" s="10">
        <f>T479</f>
        <v>0</v>
      </c>
      <c r="U26" s="10">
        <f t="shared" si="227"/>
        <v>0</v>
      </c>
      <c r="V26" s="10">
        <f t="shared" si="227"/>
        <v>0</v>
      </c>
      <c r="W26" s="10">
        <f t="shared" si="227"/>
        <v>0</v>
      </c>
      <c r="X26" s="10">
        <f t="shared" si="227"/>
        <v>0</v>
      </c>
      <c r="Y26" s="10">
        <f t="shared" si="227"/>
        <v>0</v>
      </c>
      <c r="Z26" s="10">
        <f t="shared" ref="Z26:AE26" si="228">Z479</f>
        <v>0</v>
      </c>
      <c r="AA26" s="10">
        <f t="shared" si="228"/>
        <v>0</v>
      </c>
      <c r="AB26" s="10">
        <f t="shared" si="228"/>
        <v>0</v>
      </c>
      <c r="AC26" s="10">
        <f t="shared" ref="AC26" si="229">AC479</f>
        <v>0</v>
      </c>
      <c r="AD26" s="10">
        <f t="shared" si="228"/>
        <v>109220</v>
      </c>
      <c r="AE26" s="10">
        <f t="shared" si="228"/>
        <v>0</v>
      </c>
      <c r="AF26" s="10">
        <f t="shared" ref="AF26:AI26" si="230">AF479</f>
        <v>0</v>
      </c>
      <c r="AG26" s="10">
        <f t="shared" si="230"/>
        <v>0</v>
      </c>
      <c r="AH26" s="10">
        <f t="shared" si="230"/>
        <v>0</v>
      </c>
      <c r="AI26" s="10">
        <f t="shared" si="230"/>
        <v>0</v>
      </c>
      <c r="AJ26" s="10">
        <f>AJ479</f>
        <v>0</v>
      </c>
      <c r="AK26" s="10">
        <f>AK479</f>
        <v>0</v>
      </c>
      <c r="AL26" s="10">
        <f>AL479</f>
        <v>0</v>
      </c>
      <c r="AM26" s="10">
        <f t="shared" ref="AM26:AW26" si="231">AM479</f>
        <v>0</v>
      </c>
      <c r="AN26" s="10">
        <f t="shared" si="231"/>
        <v>0</v>
      </c>
      <c r="AO26" s="10">
        <f t="shared" si="231"/>
        <v>0</v>
      </c>
      <c r="AP26" s="10">
        <f>AP479</f>
        <v>0</v>
      </c>
      <c r="AQ26" s="10">
        <f t="shared" ref="AQ26:AT26" si="232">AQ479</f>
        <v>0</v>
      </c>
      <c r="AR26" s="10">
        <f t="shared" si="232"/>
        <v>0</v>
      </c>
      <c r="AS26" s="10">
        <f t="shared" si="232"/>
        <v>0</v>
      </c>
      <c r="AT26" s="10">
        <f t="shared" si="232"/>
        <v>0</v>
      </c>
      <c r="AU26" s="10">
        <f>AU479</f>
        <v>1479397</v>
      </c>
      <c r="AV26" s="10">
        <f t="shared" si="231"/>
        <v>-65715</v>
      </c>
      <c r="AW26" s="10">
        <f t="shared" si="231"/>
        <v>4231</v>
      </c>
      <c r="AX26" s="10">
        <f>AX479</f>
        <v>0</v>
      </c>
      <c r="AY26" s="10">
        <f>AY479</f>
        <v>0</v>
      </c>
      <c r="AZ26" s="10">
        <f t="shared" ref="AZ26:BA26" si="233">AZ479</f>
        <v>0</v>
      </c>
      <c r="BA26" s="10">
        <f t="shared" si="233"/>
        <v>0</v>
      </c>
      <c r="BB26" s="10">
        <f>BB479</f>
        <v>0</v>
      </c>
      <c r="BC26" s="10">
        <f>BC479</f>
        <v>0</v>
      </c>
      <c r="BD26" s="10">
        <f t="shared" ref="BD26" si="234">BD479</f>
        <v>0</v>
      </c>
      <c r="BE26" s="10">
        <f>BE479</f>
        <v>0</v>
      </c>
      <c r="BF26" s="10">
        <f>BF479</f>
        <v>0</v>
      </c>
      <c r="BG26" s="10">
        <f>BG479</f>
        <v>0</v>
      </c>
      <c r="BH26" s="10">
        <f>BH479</f>
        <v>0</v>
      </c>
      <c r="BI26" s="10">
        <f t="shared" ref="BI26" si="235">BI479</f>
        <v>0</v>
      </c>
      <c r="BJ26" s="10">
        <f t="shared" ref="BJ26:BL26" si="236">BJ479</f>
        <v>0</v>
      </c>
      <c r="BK26" s="10">
        <f t="shared" si="236"/>
        <v>0</v>
      </c>
      <c r="BL26" s="10">
        <f t="shared" si="236"/>
        <v>0</v>
      </c>
      <c r="BM26" s="10">
        <f t="shared" ref="BM26" si="237">BM479</f>
        <v>0</v>
      </c>
    </row>
    <row r="27" spans="1:65" ht="14.15" customHeight="1">
      <c r="A27" s="436">
        <f t="shared" si="80"/>
        <v>21</v>
      </c>
      <c r="B27" s="83" t="s">
        <v>31</v>
      </c>
      <c r="C27" s="38">
        <f>SUM(D27:BM27)</f>
        <v>903847.61244044744</v>
      </c>
      <c r="D27" s="10">
        <f t="shared" ref="D27:L27" si="238">D501</f>
        <v>-212392</v>
      </c>
      <c r="E27" s="10">
        <f t="shared" si="238"/>
        <v>-785095</v>
      </c>
      <c r="F27" s="10">
        <f t="shared" si="238"/>
        <v>611932</v>
      </c>
      <c r="G27" s="10">
        <f t="shared" si="238"/>
        <v>0</v>
      </c>
      <c r="H27" s="10">
        <f t="shared" si="238"/>
        <v>-2172386</v>
      </c>
      <c r="I27" s="10">
        <f t="shared" si="238"/>
        <v>-41238</v>
      </c>
      <c r="J27" s="10">
        <f t="shared" si="238"/>
        <v>175106</v>
      </c>
      <c r="K27" s="10">
        <f t="shared" ref="K27" si="239">K501</f>
        <v>-451659</v>
      </c>
      <c r="L27" s="10">
        <f t="shared" si="238"/>
        <v>-1057783</v>
      </c>
      <c r="M27" s="10">
        <f t="shared" ref="M27:Y27" si="240">M501</f>
        <v>-920</v>
      </c>
      <c r="N27" s="10">
        <f t="shared" si="240"/>
        <v>0</v>
      </c>
      <c r="O27" s="10">
        <f t="shared" si="240"/>
        <v>0</v>
      </c>
      <c r="P27" s="10">
        <f t="shared" si="240"/>
        <v>49915</v>
      </c>
      <c r="Q27" s="10">
        <f t="shared" si="240"/>
        <v>326961</v>
      </c>
      <c r="R27" s="10">
        <f t="shared" si="240"/>
        <v>-62993</v>
      </c>
      <c r="S27" s="10">
        <f t="shared" si="240"/>
        <v>316094</v>
      </c>
      <c r="T27" s="10">
        <f>T501</f>
        <v>-11112</v>
      </c>
      <c r="U27" s="10">
        <f t="shared" si="240"/>
        <v>-13989</v>
      </c>
      <c r="V27" s="10">
        <f t="shared" si="240"/>
        <v>8504</v>
      </c>
      <c r="W27" s="10">
        <f t="shared" si="240"/>
        <v>20351</v>
      </c>
      <c r="X27" s="10">
        <f t="shared" si="240"/>
        <v>0</v>
      </c>
      <c r="Y27" s="10">
        <f t="shared" si="240"/>
        <v>-3903</v>
      </c>
      <c r="Z27" s="10">
        <f t="shared" ref="Z27:AE27" si="241">Z501</f>
        <v>-711667</v>
      </c>
      <c r="AA27" s="10">
        <f t="shared" si="241"/>
        <v>-22237</v>
      </c>
      <c r="AB27" s="10">
        <f t="shared" si="241"/>
        <v>0</v>
      </c>
      <c r="AC27" s="10">
        <f t="shared" ref="AC27" si="242">AC501</f>
        <v>-160416</v>
      </c>
      <c r="AD27" s="10">
        <f t="shared" si="241"/>
        <v>-63916</v>
      </c>
      <c r="AE27" s="10">
        <f t="shared" si="241"/>
        <v>424</v>
      </c>
      <c r="AF27" s="10">
        <f t="shared" ref="AF27:AI27" si="243">AF501</f>
        <v>0</v>
      </c>
      <c r="AG27" s="10">
        <f t="shared" si="243"/>
        <v>0</v>
      </c>
      <c r="AH27" s="10">
        <f t="shared" si="243"/>
        <v>-12795</v>
      </c>
      <c r="AI27" s="10">
        <f t="shared" si="243"/>
        <v>1457</v>
      </c>
      <c r="AJ27" s="10">
        <f>AJ501</f>
        <v>0</v>
      </c>
      <c r="AK27" s="10">
        <f>AK501</f>
        <v>0</v>
      </c>
      <c r="AL27" s="10">
        <f>AL501</f>
        <v>0</v>
      </c>
      <c r="AM27" s="10">
        <f t="shared" ref="AM27:AW27" si="244">AM501</f>
        <v>-18256</v>
      </c>
      <c r="AN27" s="10">
        <f t="shared" si="244"/>
        <v>-36674</v>
      </c>
      <c r="AO27" s="10">
        <f t="shared" si="244"/>
        <v>0</v>
      </c>
      <c r="AP27" s="10">
        <f>AP501</f>
        <v>-240</v>
      </c>
      <c r="AQ27" s="10">
        <f t="shared" ref="AQ27:AT27" si="245">AQ501</f>
        <v>4166</v>
      </c>
      <c r="AR27" s="10">
        <f t="shared" si="245"/>
        <v>-2530</v>
      </c>
      <c r="AS27" s="10">
        <f t="shared" si="245"/>
        <v>1787990</v>
      </c>
      <c r="AT27" s="10">
        <f t="shared" si="245"/>
        <v>46626</v>
      </c>
      <c r="AU27" s="10">
        <f>AU501</f>
        <v>-74066</v>
      </c>
      <c r="AV27" s="10">
        <f t="shared" si="244"/>
        <v>0</v>
      </c>
      <c r="AW27" s="10">
        <f t="shared" si="244"/>
        <v>-212</v>
      </c>
      <c r="AX27" s="10">
        <f>AX501</f>
        <v>1945191</v>
      </c>
      <c r="AY27" s="10">
        <f>AY501</f>
        <v>0</v>
      </c>
      <c r="AZ27" s="10">
        <f t="shared" ref="AZ27:BA27" si="246">AZ501</f>
        <v>604388.61244044744</v>
      </c>
      <c r="BA27" s="10">
        <f t="shared" si="246"/>
        <v>0</v>
      </c>
      <c r="BB27" s="10">
        <f>BB501</f>
        <v>-20711</v>
      </c>
      <c r="BC27" s="10">
        <f>BC501</f>
        <v>654257</v>
      </c>
      <c r="BD27" s="10">
        <f t="shared" ref="BD27" si="247">BD501</f>
        <v>0</v>
      </c>
      <c r="BE27" s="10">
        <f>BE501</f>
        <v>127314</v>
      </c>
      <c r="BF27" s="10">
        <f>BF501</f>
        <v>0</v>
      </c>
      <c r="BG27" s="10">
        <f>BG501</f>
        <v>0</v>
      </c>
      <c r="BH27" s="10">
        <f>BH501</f>
        <v>0</v>
      </c>
      <c r="BI27" s="10">
        <f t="shared" ref="BI27" si="248">BI501</f>
        <v>0</v>
      </c>
      <c r="BJ27" s="10">
        <f t="shared" ref="BJ27:BL27" si="249">BJ501</f>
        <v>-152932</v>
      </c>
      <c r="BK27" s="10">
        <f t="shared" si="249"/>
        <v>313293</v>
      </c>
      <c r="BL27" s="10">
        <f t="shared" si="249"/>
        <v>0</v>
      </c>
      <c r="BM27" s="10">
        <f t="shared" ref="BM27" si="250">BM501</f>
        <v>0</v>
      </c>
    </row>
    <row r="28" spans="1:65" ht="14.15" customHeight="1">
      <c r="A28" s="436">
        <f t="shared" si="80"/>
        <v>22</v>
      </c>
      <c r="B28" s="83" t="s">
        <v>32</v>
      </c>
      <c r="C28" s="38">
        <f>SUM(D28:BM28)</f>
        <v>1258220</v>
      </c>
      <c r="D28" s="10">
        <f t="shared" ref="D28:L28" si="251">D486</f>
        <v>0</v>
      </c>
      <c r="E28" s="10">
        <f t="shared" si="251"/>
        <v>0</v>
      </c>
      <c r="F28" s="10">
        <f t="shared" si="251"/>
        <v>0</v>
      </c>
      <c r="G28" s="10">
        <f t="shared" si="251"/>
        <v>0</v>
      </c>
      <c r="H28" s="10">
        <f t="shared" si="251"/>
        <v>0</v>
      </c>
      <c r="I28" s="10">
        <f t="shared" si="251"/>
        <v>0</v>
      </c>
      <c r="J28" s="10">
        <f t="shared" si="251"/>
        <v>0</v>
      </c>
      <c r="K28" s="10">
        <f t="shared" ref="K28" si="252">K486</f>
        <v>0</v>
      </c>
      <c r="L28" s="10">
        <f t="shared" si="251"/>
        <v>0</v>
      </c>
      <c r="M28" s="10">
        <f t="shared" ref="M28:Y28" si="253">M486</f>
        <v>0</v>
      </c>
      <c r="N28" s="10">
        <f t="shared" si="253"/>
        <v>0</v>
      </c>
      <c r="O28" s="10">
        <f t="shared" si="253"/>
        <v>0</v>
      </c>
      <c r="P28" s="10">
        <f t="shared" si="253"/>
        <v>0</v>
      </c>
      <c r="Q28" s="10">
        <f t="shared" si="253"/>
        <v>0</v>
      </c>
      <c r="R28" s="10">
        <f>R486</f>
        <v>1258220</v>
      </c>
      <c r="S28" s="10">
        <f t="shared" si="253"/>
        <v>0</v>
      </c>
      <c r="T28" s="10">
        <f>T486</f>
        <v>0</v>
      </c>
      <c r="U28" s="10">
        <f t="shared" si="253"/>
        <v>0</v>
      </c>
      <c r="V28" s="10">
        <f t="shared" si="253"/>
        <v>0</v>
      </c>
      <c r="W28" s="10">
        <f t="shared" si="253"/>
        <v>0</v>
      </c>
      <c r="X28" s="10">
        <f t="shared" si="253"/>
        <v>0</v>
      </c>
      <c r="Y28" s="10">
        <f t="shared" si="253"/>
        <v>0</v>
      </c>
      <c r="Z28" s="10">
        <f t="shared" ref="Z28:AE28" si="254">Z486</f>
        <v>0</v>
      </c>
      <c r="AA28" s="10">
        <f t="shared" si="254"/>
        <v>0</v>
      </c>
      <c r="AB28" s="10">
        <f t="shared" si="254"/>
        <v>0</v>
      </c>
      <c r="AC28" s="10">
        <f t="shared" ref="AC28" si="255">AC486</f>
        <v>0</v>
      </c>
      <c r="AD28" s="10">
        <f t="shared" si="254"/>
        <v>0</v>
      </c>
      <c r="AE28" s="10">
        <f t="shared" si="254"/>
        <v>0</v>
      </c>
      <c r="AF28" s="10">
        <f t="shared" ref="AF28:AI28" si="256">AF486</f>
        <v>0</v>
      </c>
      <c r="AG28" s="10">
        <f t="shared" si="256"/>
        <v>0</v>
      </c>
      <c r="AH28" s="10">
        <f t="shared" si="256"/>
        <v>0</v>
      </c>
      <c r="AI28" s="10">
        <f t="shared" si="256"/>
        <v>0</v>
      </c>
      <c r="AJ28" s="10">
        <f>AJ486</f>
        <v>0</v>
      </c>
      <c r="AK28" s="10">
        <f>AK486</f>
        <v>0</v>
      </c>
      <c r="AL28" s="10">
        <f>AL486</f>
        <v>0</v>
      </c>
      <c r="AM28" s="10">
        <f t="shared" ref="AM28:AW28" si="257">AM486</f>
        <v>0</v>
      </c>
      <c r="AN28" s="10">
        <f t="shared" si="257"/>
        <v>0</v>
      </c>
      <c r="AO28" s="10">
        <f t="shared" si="257"/>
        <v>0</v>
      </c>
      <c r="AP28" s="10">
        <f>AP486</f>
        <v>0</v>
      </c>
      <c r="AQ28" s="10">
        <f t="shared" ref="AQ28:AT28" si="258">AQ486</f>
        <v>0</v>
      </c>
      <c r="AR28" s="10">
        <f t="shared" si="258"/>
        <v>0</v>
      </c>
      <c r="AS28" s="10">
        <f t="shared" si="258"/>
        <v>0</v>
      </c>
      <c r="AT28" s="10">
        <f t="shared" si="258"/>
        <v>0</v>
      </c>
      <c r="AU28" s="10">
        <f>AU486</f>
        <v>0</v>
      </c>
      <c r="AV28" s="10">
        <f t="shared" si="257"/>
        <v>0</v>
      </c>
      <c r="AW28" s="10">
        <f t="shared" si="257"/>
        <v>0</v>
      </c>
      <c r="AX28" s="10">
        <f>AX486</f>
        <v>0</v>
      </c>
      <c r="AY28" s="10">
        <f>AY486</f>
        <v>0</v>
      </c>
      <c r="AZ28" s="10">
        <f t="shared" ref="AZ28:BA28" si="259">AZ486</f>
        <v>0</v>
      </c>
      <c r="BA28" s="10">
        <f t="shared" si="259"/>
        <v>0</v>
      </c>
      <c r="BB28" s="10">
        <f>BB486</f>
        <v>0</v>
      </c>
      <c r="BC28" s="10">
        <f>BC486</f>
        <v>0</v>
      </c>
      <c r="BD28" s="10">
        <f t="shared" ref="BD28" si="260">BD486</f>
        <v>0</v>
      </c>
      <c r="BE28" s="10">
        <f>BE486</f>
        <v>0</v>
      </c>
      <c r="BF28" s="10">
        <f>BF486</f>
        <v>0</v>
      </c>
      <c r="BG28" s="10">
        <f>BG486</f>
        <v>0</v>
      </c>
      <c r="BH28" s="10">
        <f>BH486</f>
        <v>0</v>
      </c>
      <c r="BI28" s="10">
        <f t="shared" ref="BI28" si="261">BI486</f>
        <v>0</v>
      </c>
      <c r="BJ28" s="10">
        <f t="shared" ref="BJ28:BL28" si="262">BJ486</f>
        <v>0</v>
      </c>
      <c r="BK28" s="10">
        <f t="shared" si="262"/>
        <v>0</v>
      </c>
      <c r="BL28" s="10">
        <f t="shared" si="262"/>
        <v>0</v>
      </c>
      <c r="BM28" s="10">
        <f t="shared" ref="BM28" si="263">BM486</f>
        <v>0</v>
      </c>
    </row>
    <row r="29" spans="1:65" ht="14.15" customHeight="1">
      <c r="A29" s="436">
        <f t="shared" si="80"/>
        <v>23</v>
      </c>
      <c r="B29" s="56" t="s">
        <v>33</v>
      </c>
      <c r="C29" s="198">
        <f>SUM(D29:BM29)</f>
        <v>3544136.4304999998</v>
      </c>
      <c r="D29" s="64">
        <f t="shared" ref="D29:L29" si="264">D497</f>
        <v>0</v>
      </c>
      <c r="E29" s="64">
        <f t="shared" si="264"/>
        <v>0</v>
      </c>
      <c r="F29" s="64">
        <f t="shared" si="264"/>
        <v>0</v>
      </c>
      <c r="G29" s="64">
        <f t="shared" si="264"/>
        <v>0</v>
      </c>
      <c r="H29" s="64">
        <f t="shared" si="264"/>
        <v>0</v>
      </c>
      <c r="I29" s="64">
        <f t="shared" si="264"/>
        <v>0</v>
      </c>
      <c r="J29" s="64">
        <f t="shared" si="264"/>
        <v>0</v>
      </c>
      <c r="K29" s="64">
        <f t="shared" ref="K29" si="265">K497</f>
        <v>0</v>
      </c>
      <c r="L29" s="64">
        <f t="shared" si="264"/>
        <v>0</v>
      </c>
      <c r="M29" s="64">
        <f t="shared" ref="M29:Y29" si="266">M497</f>
        <v>0</v>
      </c>
      <c r="N29" s="64">
        <f t="shared" si="266"/>
        <v>0</v>
      </c>
      <c r="O29" s="64">
        <f t="shared" si="266"/>
        <v>0</v>
      </c>
      <c r="P29" s="64">
        <f t="shared" si="266"/>
        <v>0</v>
      </c>
      <c r="Q29" s="64">
        <f t="shared" si="266"/>
        <v>0</v>
      </c>
      <c r="R29" s="64">
        <f t="shared" si="266"/>
        <v>0</v>
      </c>
      <c r="S29" s="64">
        <f t="shared" si="266"/>
        <v>0</v>
      </c>
      <c r="T29" s="64">
        <f>T497</f>
        <v>0</v>
      </c>
      <c r="U29" s="64">
        <f t="shared" si="266"/>
        <v>0</v>
      </c>
      <c r="V29" s="64">
        <f t="shared" si="266"/>
        <v>0</v>
      </c>
      <c r="W29" s="64">
        <f t="shared" si="266"/>
        <v>0</v>
      </c>
      <c r="X29" s="64">
        <f t="shared" si="266"/>
        <v>0</v>
      </c>
      <c r="Y29" s="64">
        <f t="shared" si="266"/>
        <v>0</v>
      </c>
      <c r="Z29" s="64">
        <f t="shared" ref="Z29:AE29" si="267">Z497</f>
        <v>0</v>
      </c>
      <c r="AA29" s="64">
        <f t="shared" si="267"/>
        <v>0</v>
      </c>
      <c r="AB29" s="64">
        <f t="shared" si="267"/>
        <v>0</v>
      </c>
      <c r="AC29" s="64">
        <f t="shared" ref="AC29" si="268">AC497</f>
        <v>3288567.05</v>
      </c>
      <c r="AD29" s="64">
        <f t="shared" si="267"/>
        <v>0</v>
      </c>
      <c r="AE29" s="64">
        <f t="shared" si="267"/>
        <v>0</v>
      </c>
      <c r="AF29" s="64">
        <f t="shared" ref="AF29:AI29" si="269">AF497</f>
        <v>0</v>
      </c>
      <c r="AG29" s="64">
        <f t="shared" si="269"/>
        <v>0</v>
      </c>
      <c r="AH29" s="64">
        <f t="shared" si="269"/>
        <v>255569.3805</v>
      </c>
      <c r="AI29" s="64">
        <f t="shared" si="269"/>
        <v>0</v>
      </c>
      <c r="AJ29" s="64">
        <f>AJ497</f>
        <v>0</v>
      </c>
      <c r="AK29" s="64">
        <f>AK497</f>
        <v>0</v>
      </c>
      <c r="AL29" s="64">
        <f>AL497</f>
        <v>0</v>
      </c>
      <c r="AM29" s="64">
        <f t="shared" ref="AM29:AW29" si="270">AM497</f>
        <v>0</v>
      </c>
      <c r="AN29" s="64">
        <f t="shared" si="270"/>
        <v>0</v>
      </c>
      <c r="AO29" s="64">
        <f t="shared" si="270"/>
        <v>0</v>
      </c>
      <c r="AP29" s="64">
        <f>AP497</f>
        <v>0</v>
      </c>
      <c r="AQ29" s="64">
        <f t="shared" ref="AQ29:AT29" si="271">AQ497</f>
        <v>0</v>
      </c>
      <c r="AR29" s="64">
        <f t="shared" si="271"/>
        <v>0</v>
      </c>
      <c r="AS29" s="64">
        <f t="shared" si="271"/>
        <v>0</v>
      </c>
      <c r="AT29" s="64">
        <f t="shared" si="271"/>
        <v>0</v>
      </c>
      <c r="AU29" s="64">
        <f>AU497</f>
        <v>0</v>
      </c>
      <c r="AV29" s="64">
        <f t="shared" si="270"/>
        <v>0</v>
      </c>
      <c r="AW29" s="64">
        <f t="shared" si="270"/>
        <v>0</v>
      </c>
      <c r="AX29" s="64">
        <f>AX497</f>
        <v>0</v>
      </c>
      <c r="AY29" s="64">
        <f>AY497</f>
        <v>0</v>
      </c>
      <c r="AZ29" s="64">
        <f t="shared" ref="AZ29:BA29" si="272">AZ497</f>
        <v>0</v>
      </c>
      <c r="BA29" s="64">
        <f t="shared" si="272"/>
        <v>0</v>
      </c>
      <c r="BB29" s="64">
        <f>BB497</f>
        <v>0</v>
      </c>
      <c r="BC29" s="64">
        <f>BC497</f>
        <v>0</v>
      </c>
      <c r="BD29" s="64">
        <f t="shared" ref="BD29" si="273">BD497</f>
        <v>0</v>
      </c>
      <c r="BE29" s="64">
        <f>BE497</f>
        <v>0</v>
      </c>
      <c r="BF29" s="64">
        <f>BF497</f>
        <v>0</v>
      </c>
      <c r="BG29" s="64">
        <f>BG497</f>
        <v>0</v>
      </c>
      <c r="BH29" s="64">
        <f>BH497</f>
        <v>0</v>
      </c>
      <c r="BI29" s="64">
        <f t="shared" ref="BI29" si="274">BI497</f>
        <v>0</v>
      </c>
      <c r="BJ29" s="64">
        <f t="shared" ref="BJ29:BL29" si="275">BJ497</f>
        <v>0</v>
      </c>
      <c r="BK29" s="64">
        <f t="shared" si="275"/>
        <v>0</v>
      </c>
      <c r="BL29" s="64">
        <f t="shared" si="275"/>
        <v>0</v>
      </c>
      <c r="BM29" s="64">
        <f t="shared" ref="BM29" si="276">BM497</f>
        <v>0</v>
      </c>
    </row>
    <row r="30" spans="1:65" s="18" customFormat="1" ht="14.15" customHeight="1">
      <c r="A30" s="436">
        <f t="shared" si="80"/>
        <v>24</v>
      </c>
      <c r="B30" s="2" t="s">
        <v>34</v>
      </c>
      <c r="C30" s="16">
        <f t="shared" ref="C30:H30" si="277">SUM(C12)-SUM(C23:C29)</f>
        <v>3374470.4609864354</v>
      </c>
      <c r="D30" s="16">
        <f t="shared" si="277"/>
        <v>-4029937</v>
      </c>
      <c r="E30" s="16">
        <f>SUM(E12)-SUM(E23:E29)</f>
        <v>-14896422</v>
      </c>
      <c r="F30" s="16">
        <f>SUM(F12)-SUM(F23:F29)</f>
        <v>11610818</v>
      </c>
      <c r="G30" s="16">
        <f>SUM(G12)-SUM(G23:G29)</f>
        <v>0</v>
      </c>
      <c r="H30" s="16">
        <f t="shared" si="277"/>
        <v>-41218917.274999999</v>
      </c>
      <c r="I30" s="16">
        <f>SUM(I12)-SUM(I23:I29)</f>
        <v>-782456</v>
      </c>
      <c r="J30" s="16">
        <f>SUM(J12)-SUM(J23:J29)</f>
        <v>3322464.8</v>
      </c>
      <c r="K30" s="16">
        <f>SUM(K12)-SUM(K23:K29)</f>
        <v>-8569785</v>
      </c>
      <c r="L30" s="16">
        <f>SUM(L12)-SUM(L23:L29)</f>
        <v>-20070410</v>
      </c>
      <c r="M30" s="16">
        <f t="shared" ref="M30:Y30" si="278">SUM(M12)-SUM(M23:M29)</f>
        <v>-17463</v>
      </c>
      <c r="N30" s="16">
        <f t="shared" si="278"/>
        <v>0</v>
      </c>
      <c r="O30" s="16">
        <f t="shared" si="278"/>
        <v>0</v>
      </c>
      <c r="P30" s="16">
        <f t="shared" si="278"/>
        <v>947089</v>
      </c>
      <c r="Q30" s="16">
        <f t="shared" si="278"/>
        <v>6203769</v>
      </c>
      <c r="R30" s="16">
        <f t="shared" si="278"/>
        <v>-1195227</v>
      </c>
      <c r="S30" s="16">
        <f t="shared" si="278"/>
        <v>5997581.0049999999</v>
      </c>
      <c r="T30" s="16">
        <f>SUM(T12)-SUM(T23:T29)</f>
        <v>-210835</v>
      </c>
      <c r="U30" s="16">
        <f t="shared" si="278"/>
        <v>-265421</v>
      </c>
      <c r="V30" s="16">
        <f t="shared" si="278"/>
        <v>161345.22</v>
      </c>
      <c r="W30" s="16">
        <f t="shared" si="278"/>
        <v>386146.16000000003</v>
      </c>
      <c r="X30" s="16">
        <f t="shared" si="278"/>
        <v>811799</v>
      </c>
      <c r="Y30" s="16">
        <f t="shared" si="278"/>
        <v>-74059</v>
      </c>
      <c r="Z30" s="16">
        <f t="shared" ref="Z30:AB30" si="279">SUM(Z12)-SUM(Z23:Z29)</f>
        <v>-13503194</v>
      </c>
      <c r="AA30" s="16">
        <f t="shared" si="279"/>
        <v>-421931</v>
      </c>
      <c r="AB30" s="16">
        <f t="shared" si="279"/>
        <v>0</v>
      </c>
      <c r="AC30" s="16">
        <f t="shared" ref="AC30" si="280">SUM(AC12)-SUM(AC23:AC29)</f>
        <v>-3043743.05</v>
      </c>
      <c r="AD30" s="16">
        <f t="shared" ref="AD30:AI30" si="281">SUM(AD12)-SUM(AD23:AD29)</f>
        <v>-1212741.2521451123</v>
      </c>
      <c r="AE30" s="16">
        <f t="shared" si="281"/>
        <v>8043</v>
      </c>
      <c r="AF30" s="16">
        <f t="shared" si="281"/>
        <v>-2109352</v>
      </c>
      <c r="AG30" s="16">
        <f t="shared" si="281"/>
        <v>-471246.13294999994</v>
      </c>
      <c r="AH30" s="16">
        <f t="shared" si="281"/>
        <v>-242774.3805</v>
      </c>
      <c r="AI30" s="16">
        <f t="shared" si="281"/>
        <v>27652.250000000233</v>
      </c>
      <c r="AJ30" s="16">
        <f>SUM(AJ12)-SUM(AJ23:AJ29)</f>
        <v>0</v>
      </c>
      <c r="AK30" s="16">
        <f>SUM(AK12)-SUM(AK23:AK29)</f>
        <v>0</v>
      </c>
      <c r="AL30" s="16">
        <f>SUM(AL12)-SUM(AL23:AL29)</f>
        <v>0</v>
      </c>
      <c r="AM30" s="16">
        <f t="shared" ref="AM30:AW30" si="282">SUM(AM12)-SUM(AM23:AM29)</f>
        <v>-346385</v>
      </c>
      <c r="AN30" s="16">
        <f t="shared" si="282"/>
        <v>-695849</v>
      </c>
      <c r="AO30" s="16">
        <f t="shared" si="282"/>
        <v>0</v>
      </c>
      <c r="AP30" s="16">
        <f>SUM(AP12)-SUM(AP23:AP29)</f>
        <v>-4559</v>
      </c>
      <c r="AQ30" s="16">
        <f t="shared" ref="AQ30:AT30" si="283">SUM(AQ12)-SUM(AQ23:AQ29)</f>
        <v>79055.509999999995</v>
      </c>
      <c r="AR30" s="16">
        <f t="shared" si="283"/>
        <v>-48014</v>
      </c>
      <c r="AS30" s="16">
        <f t="shared" si="283"/>
        <v>33925380</v>
      </c>
      <c r="AT30" s="16">
        <f t="shared" si="283"/>
        <v>884692</v>
      </c>
      <c r="AU30" s="16">
        <f>SUM(AU12)-SUM(AU23:AU29)</f>
        <v>-1405331</v>
      </c>
      <c r="AV30" s="16">
        <f t="shared" si="282"/>
        <v>65715</v>
      </c>
      <c r="AW30" s="16">
        <f t="shared" si="282"/>
        <v>-4019</v>
      </c>
      <c r="AX30" s="16">
        <f>SUM(AX12)-SUM(AX23:AX29)</f>
        <v>36908113.18</v>
      </c>
      <c r="AY30" s="16">
        <f>SUM(AY12)-SUM(AY23:AY29)</f>
        <v>0</v>
      </c>
      <c r="AZ30" s="16">
        <f t="shared" ref="AZ30:BA30" si="284">SUM(AZ12)-SUM(AZ23:AZ29)</f>
        <v>-604388.61244044744</v>
      </c>
      <c r="BA30" s="16">
        <f t="shared" si="284"/>
        <v>0</v>
      </c>
      <c r="BB30" s="16">
        <f>SUM(BB12)-SUM(BB23:BB29)</f>
        <v>-392970.04072000011</v>
      </c>
      <c r="BC30" s="16">
        <f>SUM(BC12)-SUM(BC23:BC29)</f>
        <v>12413893</v>
      </c>
      <c r="BD30" s="16">
        <f t="shared" ref="BD30" si="285">SUM(BD12)-SUM(BD23:BD29)</f>
        <v>0</v>
      </c>
      <c r="BE30" s="16">
        <f>SUM(BE12)-SUM(BE23:BE29)</f>
        <v>2415665.7199999997</v>
      </c>
      <c r="BF30" s="16">
        <f>SUM(BF12)-SUM(BF23:BF29)</f>
        <v>0</v>
      </c>
      <c r="BG30" s="16">
        <f>SUM(BG12)-SUM(BG23:BG29)</f>
        <v>0</v>
      </c>
      <c r="BH30" s="16">
        <f>SUM(BH12)-SUM(BH23:BH29)</f>
        <v>0</v>
      </c>
      <c r="BI30" s="16">
        <f t="shared" ref="BI30" si="286">SUM(BI12)-SUM(BI23:BI29)</f>
        <v>0</v>
      </c>
      <c r="BJ30" s="16">
        <f t="shared" ref="BJ30:BK30" si="287">SUM(BJ12)-SUM(BJ23:BJ29)</f>
        <v>-2901746</v>
      </c>
      <c r="BK30" s="16">
        <f t="shared" si="287"/>
        <v>5944424.3597419998</v>
      </c>
      <c r="BL30" s="16">
        <f t="shared" ref="BL30" si="288">SUM(BL12)-SUM(BL23:BL29)</f>
        <v>0</v>
      </c>
      <c r="BM30" s="16">
        <f t="shared" ref="BM30" si="289">SUM(BM12)-SUM(BM23:BM29)</f>
        <v>0</v>
      </c>
    </row>
    <row r="31" spans="1:65" s="18" customFormat="1" ht="14.15" customHeight="1">
      <c r="A31" s="436">
        <f t="shared" si="80"/>
        <v>25</v>
      </c>
      <c r="B31" s="6" t="s">
        <v>1154</v>
      </c>
      <c r="C31" s="16">
        <f t="shared" ref="C31:H31" si="290">C30+C27</f>
        <v>4278318.0734268827</v>
      </c>
      <c r="D31" s="16">
        <f t="shared" si="290"/>
        <v>-4242329</v>
      </c>
      <c r="E31" s="16">
        <f t="shared" si="290"/>
        <v>-15681517</v>
      </c>
      <c r="F31" s="16">
        <f t="shared" si="290"/>
        <v>12222750</v>
      </c>
      <c r="G31" s="16">
        <f t="shared" si="290"/>
        <v>0</v>
      </c>
      <c r="H31" s="16">
        <f t="shared" si="290"/>
        <v>-43391303.274999999</v>
      </c>
      <c r="I31" s="16">
        <f>I30+I27</f>
        <v>-823694</v>
      </c>
      <c r="J31" s="16">
        <f t="shared" ref="J31:BL31" si="291">J30+J27</f>
        <v>3497570.8</v>
      </c>
      <c r="K31" s="16">
        <f t="shared" si="291"/>
        <v>-9021444</v>
      </c>
      <c r="L31" s="16">
        <f t="shared" si="291"/>
        <v>-21128193</v>
      </c>
      <c r="M31" s="16">
        <f t="shared" si="291"/>
        <v>-18383</v>
      </c>
      <c r="N31" s="16">
        <f t="shared" si="291"/>
        <v>0</v>
      </c>
      <c r="O31" s="16">
        <f t="shared" si="291"/>
        <v>0</v>
      </c>
      <c r="P31" s="16">
        <f t="shared" si="291"/>
        <v>997004</v>
      </c>
      <c r="Q31" s="16">
        <f t="shared" si="291"/>
        <v>6530730</v>
      </c>
      <c r="R31" s="16">
        <f t="shared" si="291"/>
        <v>-1258220</v>
      </c>
      <c r="S31" s="16">
        <f t="shared" si="291"/>
        <v>6313675.0049999999</v>
      </c>
      <c r="T31" s="16">
        <f t="shared" si="291"/>
        <v>-221947</v>
      </c>
      <c r="U31" s="16">
        <f t="shared" si="291"/>
        <v>-279410</v>
      </c>
      <c r="V31" s="16">
        <f t="shared" si="291"/>
        <v>169849.22</v>
      </c>
      <c r="W31" s="16">
        <f t="shared" si="291"/>
        <v>406497.16000000003</v>
      </c>
      <c r="X31" s="16">
        <f t="shared" si="291"/>
        <v>811799</v>
      </c>
      <c r="Y31" s="16">
        <f t="shared" si="291"/>
        <v>-77962</v>
      </c>
      <c r="Z31" s="16">
        <f t="shared" si="291"/>
        <v>-14214861</v>
      </c>
      <c r="AA31" s="16">
        <f t="shared" si="291"/>
        <v>-444168</v>
      </c>
      <c r="AB31" s="16">
        <f t="shared" si="291"/>
        <v>0</v>
      </c>
      <c r="AC31" s="16">
        <f t="shared" ref="AC31" si="292">AC30+AC27</f>
        <v>-3204159.05</v>
      </c>
      <c r="AD31" s="16">
        <f t="shared" si="291"/>
        <v>-1276657.2521451123</v>
      </c>
      <c r="AE31" s="16">
        <f t="shared" si="291"/>
        <v>8467</v>
      </c>
      <c r="AF31" s="16">
        <f t="shared" si="291"/>
        <v>-2109352</v>
      </c>
      <c r="AG31" s="16">
        <f t="shared" si="291"/>
        <v>-471246.13294999994</v>
      </c>
      <c r="AH31" s="16">
        <f t="shared" si="291"/>
        <v>-255569.3805</v>
      </c>
      <c r="AI31" s="16">
        <f t="shared" si="291"/>
        <v>29109.250000000233</v>
      </c>
      <c r="AJ31" s="16">
        <f>AJ30+AJ27</f>
        <v>0</v>
      </c>
      <c r="AK31" s="16">
        <f>AK30+AK27</f>
        <v>0</v>
      </c>
      <c r="AL31" s="16">
        <f>AL30+AL27</f>
        <v>0</v>
      </c>
      <c r="AM31" s="16">
        <f t="shared" si="291"/>
        <v>-364641</v>
      </c>
      <c r="AN31" s="16">
        <f t="shared" si="291"/>
        <v>-732523</v>
      </c>
      <c r="AO31" s="16">
        <f t="shared" si="291"/>
        <v>0</v>
      </c>
      <c r="AP31" s="16">
        <f>AP30+AP27</f>
        <v>-4799</v>
      </c>
      <c r="AQ31" s="16">
        <f t="shared" si="291"/>
        <v>83221.509999999995</v>
      </c>
      <c r="AR31" s="16">
        <f t="shared" si="291"/>
        <v>-50544</v>
      </c>
      <c r="AS31" s="16">
        <f t="shared" si="291"/>
        <v>35713370</v>
      </c>
      <c r="AT31" s="16">
        <f t="shared" si="291"/>
        <v>931318</v>
      </c>
      <c r="AU31" s="16">
        <f t="shared" si="291"/>
        <v>-1479397</v>
      </c>
      <c r="AV31" s="16">
        <f t="shared" si="291"/>
        <v>65715</v>
      </c>
      <c r="AW31" s="16">
        <f t="shared" si="291"/>
        <v>-4231</v>
      </c>
      <c r="AX31" s="16">
        <f>AX30+AX27</f>
        <v>38853304.18</v>
      </c>
      <c r="AY31" s="16">
        <f>AY30+AY27</f>
        <v>0</v>
      </c>
      <c r="AZ31" s="16">
        <f t="shared" ref="AZ31:BA31" si="293">AZ30+AZ27</f>
        <v>0</v>
      </c>
      <c r="BA31" s="16">
        <f t="shared" si="293"/>
        <v>0</v>
      </c>
      <c r="BB31" s="16">
        <f>BB30+BB27</f>
        <v>-413681.04072000011</v>
      </c>
      <c r="BC31" s="16">
        <f>BC30+BC27</f>
        <v>13068150</v>
      </c>
      <c r="BD31" s="16">
        <f t="shared" ref="BD31" si="294">BD30+BD27</f>
        <v>0</v>
      </c>
      <c r="BE31" s="16">
        <f>BE30+BE27</f>
        <v>2542979.7199999997</v>
      </c>
      <c r="BF31" s="16">
        <f>BF30+BF27</f>
        <v>0</v>
      </c>
      <c r="BG31" s="16">
        <f>BG30+BG27</f>
        <v>0</v>
      </c>
      <c r="BH31" s="16">
        <f t="shared" si="291"/>
        <v>0</v>
      </c>
      <c r="BI31" s="16">
        <f t="shared" si="291"/>
        <v>0</v>
      </c>
      <c r="BJ31" s="16">
        <f t="shared" si="291"/>
        <v>-3054678</v>
      </c>
      <c r="BK31" s="16">
        <f t="shared" si="291"/>
        <v>6257717.3597419998</v>
      </c>
      <c r="BL31" s="16">
        <f t="shared" si="291"/>
        <v>0</v>
      </c>
      <c r="BM31" s="16">
        <f t="shared" ref="BM31" si="295">BM30+BM27</f>
        <v>0</v>
      </c>
    </row>
    <row r="32" spans="1:65" ht="14.15" customHeight="1">
      <c r="A32" s="436">
        <f t="shared" si="80"/>
        <v>26</v>
      </c>
      <c r="B32" s="3" t="s">
        <v>35</v>
      </c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4.15" customHeight="1">
      <c r="A33" s="436">
        <f t="shared" si="80"/>
        <v>27</v>
      </c>
      <c r="B33" s="83" t="s">
        <v>36</v>
      </c>
      <c r="C33" s="38">
        <f>SUM(D33:BM33)</f>
        <v>3601421.886194136</v>
      </c>
      <c r="D33" s="10">
        <f>D502</f>
        <v>-846287</v>
      </c>
      <c r="E33" s="10">
        <f>E502</f>
        <v>-3128249</v>
      </c>
      <c r="F33" s="10">
        <f>F502</f>
        <v>2438272</v>
      </c>
      <c r="G33" s="10">
        <f>G502</f>
        <v>0</v>
      </c>
      <c r="H33" s="10">
        <f>H502</f>
        <v>-8655973</v>
      </c>
      <c r="I33" s="10">
        <f t="shared" ref="I33:J36" si="296">I502</f>
        <v>-164316</v>
      </c>
      <c r="J33" s="10">
        <f t="shared" si="296"/>
        <v>697718</v>
      </c>
      <c r="K33" s="10">
        <f t="shared" ref="K33" si="297">K502</f>
        <v>-1799655</v>
      </c>
      <c r="L33" s="10">
        <f>L502</f>
        <v>-4214786</v>
      </c>
      <c r="M33" s="10">
        <f t="shared" ref="M33:Y33" si="298">M502</f>
        <v>-3667</v>
      </c>
      <c r="N33" s="10">
        <f t="shared" si="298"/>
        <v>0</v>
      </c>
      <c r="O33" s="10">
        <f t="shared" si="298"/>
        <v>0</v>
      </c>
      <c r="P33" s="10">
        <f t="shared" si="298"/>
        <v>198889</v>
      </c>
      <c r="Q33" s="10">
        <f t="shared" si="298"/>
        <v>1302791</v>
      </c>
      <c r="R33" s="10">
        <f t="shared" si="298"/>
        <v>-250998</v>
      </c>
      <c r="S33" s="10">
        <f t="shared" si="298"/>
        <v>1259492</v>
      </c>
      <c r="T33" s="10">
        <f>T502</f>
        <v>-44275</v>
      </c>
      <c r="U33" s="10">
        <f t="shared" si="298"/>
        <v>-55738</v>
      </c>
      <c r="V33" s="10">
        <f t="shared" si="298"/>
        <v>33882</v>
      </c>
      <c r="W33" s="10">
        <f t="shared" si="298"/>
        <v>81091</v>
      </c>
      <c r="X33" s="10">
        <f t="shared" si="298"/>
        <v>0</v>
      </c>
      <c r="Y33" s="10">
        <f t="shared" si="298"/>
        <v>-15552</v>
      </c>
      <c r="Z33" s="10">
        <f t="shared" ref="Z33:Z36" si="299">Z502</f>
        <v>-2835671</v>
      </c>
      <c r="AA33" s="10">
        <f t="shared" ref="AA33:AA36" si="300">AA502</f>
        <v>-88606</v>
      </c>
      <c r="AB33" s="10">
        <f t="shared" ref="AB33:AD36" si="301">AB502</f>
        <v>0</v>
      </c>
      <c r="AC33" s="10">
        <f t="shared" ref="AC33" si="302">AC502</f>
        <v>-639186</v>
      </c>
      <c r="AD33" s="10">
        <f t="shared" si="301"/>
        <v>-254676</v>
      </c>
      <c r="AE33" s="10">
        <f>AE502</f>
        <v>1689</v>
      </c>
      <c r="AF33" s="10">
        <f t="shared" ref="AF33:AI33" si="303">AF502</f>
        <v>0</v>
      </c>
      <c r="AG33" s="10">
        <f t="shared" si="303"/>
        <v>0</v>
      </c>
      <c r="AH33" s="10">
        <f t="shared" si="303"/>
        <v>-50983</v>
      </c>
      <c r="AI33" s="10">
        <f t="shared" si="303"/>
        <v>5807</v>
      </c>
      <c r="AJ33" s="10">
        <f>AJ502</f>
        <v>0</v>
      </c>
      <c r="AK33" s="10">
        <f t="shared" ref="AK33:AK36" si="304">AK502</f>
        <v>0</v>
      </c>
      <c r="AL33" s="10">
        <f t="shared" ref="AL33:AL36" si="305">AL502</f>
        <v>0</v>
      </c>
      <c r="AM33" s="10">
        <f t="shared" ref="AM33:AW36" si="306">AM502</f>
        <v>-72741</v>
      </c>
      <c r="AN33" s="10">
        <f t="shared" si="306"/>
        <v>-146128</v>
      </c>
      <c r="AO33" s="10">
        <f t="shared" si="306"/>
        <v>0</v>
      </c>
      <c r="AP33" s="10">
        <f>AP502</f>
        <v>-957</v>
      </c>
      <c r="AQ33" s="10">
        <f t="shared" ref="AQ33:AT33" si="307">AQ502</f>
        <v>16602</v>
      </c>
      <c r="AR33" s="10">
        <f t="shared" si="307"/>
        <v>-10083</v>
      </c>
      <c r="AS33" s="10">
        <f t="shared" si="307"/>
        <v>7124330</v>
      </c>
      <c r="AT33" s="10">
        <f t="shared" si="307"/>
        <v>185785</v>
      </c>
      <c r="AU33" s="10">
        <f>AU502</f>
        <v>-295120</v>
      </c>
      <c r="AV33" s="10">
        <f t="shared" si="306"/>
        <v>0</v>
      </c>
      <c r="AW33" s="10">
        <f t="shared" si="306"/>
        <v>-844</v>
      </c>
      <c r="AX33" s="10">
        <f t="shared" ref="AX33:AY36" si="308">AX502</f>
        <v>7750704</v>
      </c>
      <c r="AY33" s="10">
        <f t="shared" si="308"/>
        <v>0</v>
      </c>
      <c r="AZ33" s="10">
        <f t="shared" ref="AZ33:BA33" si="309">AZ502</f>
        <v>2408214.886194136</v>
      </c>
      <c r="BA33" s="10">
        <f t="shared" si="309"/>
        <v>0</v>
      </c>
      <c r="BB33" s="10">
        <f t="shared" ref="BB33:BC36" si="310">BB502</f>
        <v>-82524</v>
      </c>
      <c r="BC33" s="10">
        <f t="shared" si="310"/>
        <v>2606918</v>
      </c>
      <c r="BD33" s="10">
        <f t="shared" ref="BD33" si="311">BD502</f>
        <v>0</v>
      </c>
      <c r="BE33" s="10">
        <f t="shared" ref="BE33:BG36" si="312">BE502</f>
        <v>507290</v>
      </c>
      <c r="BF33" s="10">
        <f t="shared" si="312"/>
        <v>0</v>
      </c>
      <c r="BG33" s="10">
        <f t="shared" si="312"/>
        <v>0</v>
      </c>
      <c r="BH33" s="10">
        <f t="shared" ref="BH33:BH36" si="313">BH502</f>
        <v>0</v>
      </c>
      <c r="BI33" s="10">
        <f t="shared" ref="BI33" si="314">BI502</f>
        <v>0</v>
      </c>
      <c r="BJ33" s="10">
        <f t="shared" ref="BJ33:BL33" si="315">BJ502</f>
        <v>-609367</v>
      </c>
      <c r="BK33" s="10">
        <f t="shared" si="315"/>
        <v>1248329</v>
      </c>
      <c r="BL33" s="10">
        <f t="shared" si="315"/>
        <v>0</v>
      </c>
      <c r="BM33" s="10">
        <f t="shared" ref="BM33" si="316">BM502</f>
        <v>0</v>
      </c>
    </row>
    <row r="34" spans="1:65" ht="14.15" customHeight="1">
      <c r="A34" s="436">
        <f t="shared" si="80"/>
        <v>28</v>
      </c>
      <c r="B34" s="83" t="s">
        <v>37</v>
      </c>
      <c r="C34" s="38">
        <f>SUM(D34:BM34)</f>
        <v>31070231.085962024</v>
      </c>
      <c r="D34" s="10">
        <f t="shared" ref="D34:E36" si="317">D503</f>
        <v>0</v>
      </c>
      <c r="E34" s="10">
        <f t="shared" si="317"/>
        <v>0</v>
      </c>
      <c r="F34" s="10">
        <f t="shared" ref="F34:H36" si="318">F503</f>
        <v>0</v>
      </c>
      <c r="G34" s="10">
        <f t="shared" si="318"/>
        <v>0</v>
      </c>
      <c r="H34" s="10">
        <f t="shared" si="318"/>
        <v>0</v>
      </c>
      <c r="I34" s="10">
        <f t="shared" si="296"/>
        <v>0</v>
      </c>
      <c r="J34" s="10">
        <f t="shared" si="296"/>
        <v>0</v>
      </c>
      <c r="K34" s="10">
        <f t="shared" ref="K34" si="319">K503</f>
        <v>0</v>
      </c>
      <c r="L34" s="10">
        <f>L503</f>
        <v>0</v>
      </c>
      <c r="M34" s="10">
        <f t="shared" ref="M34:Y34" si="320">M503</f>
        <v>0</v>
      </c>
      <c r="N34" s="10">
        <f t="shared" si="320"/>
        <v>0</v>
      </c>
      <c r="O34" s="10">
        <f t="shared" si="320"/>
        <v>0</v>
      </c>
      <c r="P34" s="10">
        <f t="shared" si="320"/>
        <v>0</v>
      </c>
      <c r="Q34" s="10">
        <f t="shared" si="320"/>
        <v>0</v>
      </c>
      <c r="R34" s="10">
        <f t="shared" si="320"/>
        <v>0</v>
      </c>
      <c r="S34" s="10">
        <f t="shared" si="320"/>
        <v>0</v>
      </c>
      <c r="T34" s="10">
        <f>T503</f>
        <v>0</v>
      </c>
      <c r="U34" s="10">
        <f t="shared" si="320"/>
        <v>0</v>
      </c>
      <c r="V34" s="10">
        <f t="shared" si="320"/>
        <v>0</v>
      </c>
      <c r="W34" s="10">
        <f t="shared" si="320"/>
        <v>0</v>
      </c>
      <c r="X34" s="10">
        <f t="shared" si="320"/>
        <v>170478</v>
      </c>
      <c r="Y34" s="10">
        <f t="shared" si="320"/>
        <v>0</v>
      </c>
      <c r="Z34" s="10">
        <f t="shared" si="299"/>
        <v>0</v>
      </c>
      <c r="AA34" s="10">
        <f t="shared" si="300"/>
        <v>0</v>
      </c>
      <c r="AB34" s="10">
        <f t="shared" si="301"/>
        <v>0</v>
      </c>
      <c r="AC34" s="10">
        <f t="shared" ref="AC34" si="321">AC503</f>
        <v>0</v>
      </c>
      <c r="AD34" s="10">
        <f t="shared" si="301"/>
        <v>0</v>
      </c>
      <c r="AE34" s="10">
        <f>AE503</f>
        <v>0</v>
      </c>
      <c r="AF34" s="10">
        <f t="shared" ref="AF34:AI34" si="322">AF503</f>
        <v>-349363</v>
      </c>
      <c r="AG34" s="10">
        <f t="shared" si="322"/>
        <v>-98962</v>
      </c>
      <c r="AH34" s="10">
        <f t="shared" si="322"/>
        <v>0</v>
      </c>
      <c r="AI34" s="10">
        <f t="shared" si="322"/>
        <v>0</v>
      </c>
      <c r="AJ34" s="10">
        <f>AJ503</f>
        <v>0</v>
      </c>
      <c r="AK34" s="10">
        <f t="shared" si="304"/>
        <v>0</v>
      </c>
      <c r="AL34" s="10">
        <f t="shared" si="305"/>
        <v>0</v>
      </c>
      <c r="AM34" s="10">
        <f t="shared" ref="AM34:AO36" si="323">AM503</f>
        <v>0</v>
      </c>
      <c r="AN34" s="10">
        <f t="shared" si="323"/>
        <v>0</v>
      </c>
      <c r="AO34" s="10">
        <f t="shared" si="323"/>
        <v>0</v>
      </c>
      <c r="AP34" s="10">
        <f>AP503</f>
        <v>0</v>
      </c>
      <c r="AQ34" s="10">
        <f t="shared" ref="AQ34:AT34" si="324">AQ503</f>
        <v>0</v>
      </c>
      <c r="AR34" s="10">
        <f t="shared" si="324"/>
        <v>0</v>
      </c>
      <c r="AS34" s="10">
        <f t="shared" si="324"/>
        <v>0</v>
      </c>
      <c r="AT34" s="10">
        <f t="shared" si="324"/>
        <v>0</v>
      </c>
      <c r="AU34" s="10">
        <f>AU503</f>
        <v>0</v>
      </c>
      <c r="AV34" s="10">
        <f t="shared" si="306"/>
        <v>13800</v>
      </c>
      <c r="AW34" s="10">
        <f t="shared" si="306"/>
        <v>0</v>
      </c>
      <c r="AX34" s="10">
        <f t="shared" si="308"/>
        <v>0</v>
      </c>
      <c r="AY34" s="10">
        <f t="shared" si="308"/>
        <v>0</v>
      </c>
      <c r="AZ34" s="10">
        <f t="shared" ref="AZ34:BA34" si="325">AZ503</f>
        <v>0</v>
      </c>
      <c r="BA34" s="10">
        <f t="shared" si="325"/>
        <v>1667845.0859620241</v>
      </c>
      <c r="BB34" s="10">
        <f t="shared" si="310"/>
        <v>0</v>
      </c>
      <c r="BC34" s="10">
        <f t="shared" si="310"/>
        <v>0</v>
      </c>
      <c r="BD34" s="10">
        <f t="shared" ref="BD34" si="326">BD503</f>
        <v>0</v>
      </c>
      <c r="BE34" s="10">
        <f t="shared" si="312"/>
        <v>0</v>
      </c>
      <c r="BF34" s="10">
        <f t="shared" si="312"/>
        <v>0</v>
      </c>
      <c r="BG34" s="10">
        <f t="shared" si="312"/>
        <v>0</v>
      </c>
      <c r="BH34" s="10">
        <f t="shared" si="313"/>
        <v>29666433</v>
      </c>
      <c r="BI34" s="10">
        <f t="shared" ref="BI34" si="327">BI503</f>
        <v>0</v>
      </c>
      <c r="BJ34" s="10">
        <f t="shared" ref="BJ34:BL34" si="328">BJ503</f>
        <v>0</v>
      </c>
      <c r="BK34" s="10">
        <f t="shared" si="328"/>
        <v>0</v>
      </c>
      <c r="BL34" s="10">
        <f t="shared" si="328"/>
        <v>0</v>
      </c>
      <c r="BM34" s="10">
        <f t="shared" ref="BM34" si="329">BM503</f>
        <v>0</v>
      </c>
    </row>
    <row r="35" spans="1:65" s="22" customFormat="1" ht="14.15" customHeight="1">
      <c r="A35" s="436">
        <f t="shared" si="80"/>
        <v>29</v>
      </c>
      <c r="B35" s="22" t="s">
        <v>38</v>
      </c>
      <c r="C35" s="38">
        <f>SUM(D35:BM35)</f>
        <v>0</v>
      </c>
      <c r="D35" s="43">
        <f t="shared" si="317"/>
        <v>0</v>
      </c>
      <c r="E35" s="43">
        <f t="shared" si="317"/>
        <v>0</v>
      </c>
      <c r="F35" s="43">
        <f t="shared" si="318"/>
        <v>0</v>
      </c>
      <c r="G35" s="43">
        <f t="shared" si="318"/>
        <v>0</v>
      </c>
      <c r="H35" s="43">
        <f t="shared" si="318"/>
        <v>0</v>
      </c>
      <c r="I35" s="43">
        <f t="shared" si="296"/>
        <v>0</v>
      </c>
      <c r="J35" s="43">
        <f t="shared" si="296"/>
        <v>0</v>
      </c>
      <c r="K35" s="43">
        <f t="shared" ref="K35" si="330">K504</f>
        <v>0</v>
      </c>
      <c r="L35" s="43">
        <f>L504</f>
        <v>0</v>
      </c>
      <c r="M35" s="43">
        <f t="shared" ref="M35:Y35" si="331">M504</f>
        <v>0</v>
      </c>
      <c r="N35" s="43">
        <f t="shared" si="331"/>
        <v>0</v>
      </c>
      <c r="O35" s="43">
        <f t="shared" si="331"/>
        <v>0</v>
      </c>
      <c r="P35" s="43">
        <f t="shared" si="331"/>
        <v>0</v>
      </c>
      <c r="Q35" s="43">
        <f t="shared" si="331"/>
        <v>0</v>
      </c>
      <c r="R35" s="43">
        <f t="shared" si="331"/>
        <v>0</v>
      </c>
      <c r="S35" s="43">
        <f t="shared" si="331"/>
        <v>0</v>
      </c>
      <c r="T35" s="43">
        <f>T504</f>
        <v>0</v>
      </c>
      <c r="U35" s="43">
        <f t="shared" si="331"/>
        <v>0</v>
      </c>
      <c r="V35" s="43">
        <f t="shared" si="331"/>
        <v>0</v>
      </c>
      <c r="W35" s="43">
        <f t="shared" si="331"/>
        <v>0</v>
      </c>
      <c r="X35" s="43">
        <f t="shared" si="331"/>
        <v>0</v>
      </c>
      <c r="Y35" s="43">
        <f t="shared" si="331"/>
        <v>0</v>
      </c>
      <c r="Z35" s="43">
        <f t="shared" si="299"/>
        <v>0</v>
      </c>
      <c r="AA35" s="43">
        <f t="shared" si="300"/>
        <v>0</v>
      </c>
      <c r="AB35" s="43">
        <f t="shared" si="301"/>
        <v>0</v>
      </c>
      <c r="AC35" s="43">
        <f t="shared" ref="AC35" si="332">AC504</f>
        <v>0</v>
      </c>
      <c r="AD35" s="43">
        <f t="shared" si="301"/>
        <v>0</v>
      </c>
      <c r="AE35" s="43">
        <f>AE504</f>
        <v>0</v>
      </c>
      <c r="AF35" s="43">
        <f t="shared" ref="AF35:AI35" si="333">AF504</f>
        <v>0</v>
      </c>
      <c r="AG35" s="43">
        <f t="shared" si="333"/>
        <v>0</v>
      </c>
      <c r="AH35" s="43">
        <f t="shared" si="333"/>
        <v>0</v>
      </c>
      <c r="AI35" s="43">
        <f t="shared" si="333"/>
        <v>0</v>
      </c>
      <c r="AJ35" s="43">
        <f>AJ504</f>
        <v>0</v>
      </c>
      <c r="AK35" s="43">
        <f t="shared" si="304"/>
        <v>0</v>
      </c>
      <c r="AL35" s="43">
        <f t="shared" si="305"/>
        <v>0</v>
      </c>
      <c r="AM35" s="43">
        <f t="shared" si="323"/>
        <v>0</v>
      </c>
      <c r="AN35" s="43">
        <f t="shared" si="323"/>
        <v>0</v>
      </c>
      <c r="AO35" s="43">
        <f t="shared" si="323"/>
        <v>0</v>
      </c>
      <c r="AP35" s="43">
        <f>AP504</f>
        <v>0</v>
      </c>
      <c r="AQ35" s="43">
        <f t="shared" ref="AQ35:AT35" si="334">AQ504</f>
        <v>0</v>
      </c>
      <c r="AR35" s="43">
        <f t="shared" si="334"/>
        <v>0</v>
      </c>
      <c r="AS35" s="43">
        <f t="shared" si="334"/>
        <v>0</v>
      </c>
      <c r="AT35" s="43">
        <f t="shared" si="334"/>
        <v>0</v>
      </c>
      <c r="AU35" s="43">
        <f>AU504</f>
        <v>0</v>
      </c>
      <c r="AV35" s="43">
        <f t="shared" si="306"/>
        <v>0</v>
      </c>
      <c r="AW35" s="43">
        <f t="shared" si="306"/>
        <v>0</v>
      </c>
      <c r="AX35" s="43">
        <f t="shared" si="308"/>
        <v>0</v>
      </c>
      <c r="AY35" s="43">
        <f t="shared" si="308"/>
        <v>0</v>
      </c>
      <c r="AZ35" s="43">
        <f t="shared" ref="AZ35:BA35" si="335">AZ504</f>
        <v>0</v>
      </c>
      <c r="BA35" s="43">
        <f t="shared" si="335"/>
        <v>0</v>
      </c>
      <c r="BB35" s="43">
        <f t="shared" si="310"/>
        <v>0</v>
      </c>
      <c r="BC35" s="43">
        <f t="shared" si="310"/>
        <v>0</v>
      </c>
      <c r="BD35" s="43">
        <f t="shared" ref="BD35" si="336">BD504</f>
        <v>0</v>
      </c>
      <c r="BE35" s="43">
        <f t="shared" si="312"/>
        <v>0</v>
      </c>
      <c r="BF35" s="43">
        <f t="shared" si="312"/>
        <v>0</v>
      </c>
      <c r="BG35" s="43">
        <f t="shared" si="312"/>
        <v>0</v>
      </c>
      <c r="BH35" s="43">
        <f t="shared" si="313"/>
        <v>0</v>
      </c>
      <c r="BI35" s="43">
        <f t="shared" ref="BI35" si="337">BI504</f>
        <v>0</v>
      </c>
      <c r="BJ35" s="43">
        <f t="shared" ref="BJ35:BL35" si="338">BJ504</f>
        <v>0</v>
      </c>
      <c r="BK35" s="43">
        <f t="shared" si="338"/>
        <v>0</v>
      </c>
      <c r="BL35" s="43">
        <f t="shared" si="338"/>
        <v>0</v>
      </c>
      <c r="BM35" s="43">
        <f t="shared" ref="BM35" si="339">BM504</f>
        <v>0</v>
      </c>
    </row>
    <row r="36" spans="1:65" s="22" customFormat="1" ht="14.15" customHeight="1">
      <c r="A36" s="436">
        <f t="shared" si="80"/>
        <v>30</v>
      </c>
      <c r="B36" s="56" t="s">
        <v>389</v>
      </c>
      <c r="C36" s="38">
        <f>SUM(D36:BM36)</f>
        <v>0</v>
      </c>
      <c r="D36" s="43">
        <f t="shared" si="317"/>
        <v>0</v>
      </c>
      <c r="E36" s="43">
        <f t="shared" si="317"/>
        <v>0</v>
      </c>
      <c r="F36" s="43">
        <f t="shared" si="318"/>
        <v>0</v>
      </c>
      <c r="G36" s="43">
        <f t="shared" si="318"/>
        <v>0</v>
      </c>
      <c r="H36" s="43">
        <f t="shared" si="318"/>
        <v>0</v>
      </c>
      <c r="I36" s="43">
        <f t="shared" si="296"/>
        <v>0</v>
      </c>
      <c r="J36" s="43">
        <f t="shared" si="296"/>
        <v>0</v>
      </c>
      <c r="K36" s="43">
        <f t="shared" ref="K36" si="340">K505</f>
        <v>0</v>
      </c>
      <c r="L36" s="43">
        <f>L505</f>
        <v>0</v>
      </c>
      <c r="M36" s="43">
        <f t="shared" ref="M36:Y36" si="341">M505</f>
        <v>0</v>
      </c>
      <c r="N36" s="43">
        <f t="shared" si="341"/>
        <v>0</v>
      </c>
      <c r="O36" s="43">
        <f t="shared" si="341"/>
        <v>0</v>
      </c>
      <c r="P36" s="43">
        <f t="shared" si="341"/>
        <v>0</v>
      </c>
      <c r="Q36" s="43">
        <f t="shared" si="341"/>
        <v>0</v>
      </c>
      <c r="R36" s="43">
        <f t="shared" si="341"/>
        <v>0</v>
      </c>
      <c r="S36" s="43">
        <f t="shared" si="341"/>
        <v>0</v>
      </c>
      <c r="T36" s="43">
        <f>T505</f>
        <v>0</v>
      </c>
      <c r="U36" s="43">
        <f t="shared" si="341"/>
        <v>0</v>
      </c>
      <c r="V36" s="43">
        <f t="shared" si="341"/>
        <v>0</v>
      </c>
      <c r="W36" s="43">
        <f t="shared" si="341"/>
        <v>0</v>
      </c>
      <c r="X36" s="43">
        <f t="shared" si="341"/>
        <v>0</v>
      </c>
      <c r="Y36" s="43">
        <f t="shared" si="341"/>
        <v>0</v>
      </c>
      <c r="Z36" s="43">
        <f t="shared" si="299"/>
        <v>0</v>
      </c>
      <c r="AA36" s="43">
        <f t="shared" si="300"/>
        <v>0</v>
      </c>
      <c r="AB36" s="43">
        <f t="shared" si="301"/>
        <v>0</v>
      </c>
      <c r="AC36" s="43">
        <f t="shared" ref="AC36" si="342">AC505</f>
        <v>0</v>
      </c>
      <c r="AD36" s="43">
        <f t="shared" si="301"/>
        <v>0</v>
      </c>
      <c r="AE36" s="43">
        <f>AE505</f>
        <v>0</v>
      </c>
      <c r="AF36" s="43">
        <f t="shared" ref="AF36:AI36" si="343">AF505</f>
        <v>0</v>
      </c>
      <c r="AG36" s="43">
        <f t="shared" si="343"/>
        <v>0</v>
      </c>
      <c r="AH36" s="43">
        <f t="shared" si="343"/>
        <v>0</v>
      </c>
      <c r="AI36" s="43">
        <f t="shared" si="343"/>
        <v>0</v>
      </c>
      <c r="AJ36" s="43">
        <f>AJ505</f>
        <v>0</v>
      </c>
      <c r="AK36" s="43">
        <f t="shared" si="304"/>
        <v>0</v>
      </c>
      <c r="AL36" s="43">
        <f t="shared" si="305"/>
        <v>0</v>
      </c>
      <c r="AM36" s="43">
        <f t="shared" si="323"/>
        <v>0</v>
      </c>
      <c r="AN36" s="43">
        <f t="shared" si="323"/>
        <v>0</v>
      </c>
      <c r="AO36" s="43">
        <f t="shared" si="323"/>
        <v>0</v>
      </c>
      <c r="AP36" s="43">
        <f>AP505</f>
        <v>0</v>
      </c>
      <c r="AQ36" s="43">
        <f t="shared" ref="AQ36:AT36" si="344">AQ505</f>
        <v>0</v>
      </c>
      <c r="AR36" s="43">
        <f t="shared" si="344"/>
        <v>0</v>
      </c>
      <c r="AS36" s="43">
        <f t="shared" si="344"/>
        <v>0</v>
      </c>
      <c r="AT36" s="43">
        <f t="shared" si="344"/>
        <v>0</v>
      </c>
      <c r="AU36" s="43">
        <f>AU505</f>
        <v>0</v>
      </c>
      <c r="AV36" s="43">
        <f t="shared" si="306"/>
        <v>0</v>
      </c>
      <c r="AW36" s="43">
        <f t="shared" si="306"/>
        <v>0</v>
      </c>
      <c r="AX36" s="43">
        <f t="shared" si="308"/>
        <v>0</v>
      </c>
      <c r="AY36" s="43">
        <f t="shared" si="308"/>
        <v>0</v>
      </c>
      <c r="AZ36" s="43">
        <f t="shared" ref="AZ36:BA36" si="345">AZ505</f>
        <v>0</v>
      </c>
      <c r="BA36" s="43">
        <f t="shared" si="345"/>
        <v>0</v>
      </c>
      <c r="BB36" s="43">
        <f t="shared" si="310"/>
        <v>0</v>
      </c>
      <c r="BC36" s="43">
        <f t="shared" si="310"/>
        <v>0</v>
      </c>
      <c r="BD36" s="43">
        <f t="shared" ref="BD36" si="346">BD505</f>
        <v>0</v>
      </c>
      <c r="BE36" s="43">
        <f t="shared" si="312"/>
        <v>0</v>
      </c>
      <c r="BF36" s="43">
        <f t="shared" si="312"/>
        <v>0</v>
      </c>
      <c r="BG36" s="43">
        <f t="shared" si="312"/>
        <v>0</v>
      </c>
      <c r="BH36" s="43">
        <f t="shared" si="313"/>
        <v>0</v>
      </c>
      <c r="BI36" s="43">
        <f t="shared" ref="BI36" si="347">BI505</f>
        <v>0</v>
      </c>
      <c r="BJ36" s="43">
        <f t="shared" ref="BJ36:BL36" si="348">BJ505</f>
        <v>0</v>
      </c>
      <c r="BK36" s="43">
        <f t="shared" si="348"/>
        <v>0</v>
      </c>
      <c r="BL36" s="43">
        <f t="shared" si="348"/>
        <v>0</v>
      </c>
      <c r="BM36" s="43">
        <f t="shared" ref="BM36" si="349">BM505</f>
        <v>0</v>
      </c>
    </row>
    <row r="37" spans="1:65" s="129" customFormat="1" ht="14.15" customHeight="1">
      <c r="A37" s="436">
        <f t="shared" si="80"/>
        <v>31</v>
      </c>
      <c r="B37" s="2" t="s">
        <v>39</v>
      </c>
      <c r="C37" s="80">
        <f t="shared" ref="C37:L37" si="350">SUM(C32:C36)</f>
        <v>34671652.97215616</v>
      </c>
      <c r="D37" s="80">
        <f t="shared" si="350"/>
        <v>-846287</v>
      </c>
      <c r="E37" s="80">
        <f t="shared" si="350"/>
        <v>-3128249</v>
      </c>
      <c r="F37" s="80">
        <f t="shared" si="350"/>
        <v>2438272</v>
      </c>
      <c r="G37" s="80">
        <f t="shared" si="350"/>
        <v>0</v>
      </c>
      <c r="H37" s="80">
        <f t="shared" si="350"/>
        <v>-8655973</v>
      </c>
      <c r="I37" s="80">
        <f t="shared" si="350"/>
        <v>-164316</v>
      </c>
      <c r="J37" s="80">
        <f t="shared" si="350"/>
        <v>697718</v>
      </c>
      <c r="K37" s="80">
        <f t="shared" ref="K37" si="351">SUM(K32:K36)</f>
        <v>-1799655</v>
      </c>
      <c r="L37" s="80">
        <f t="shared" si="350"/>
        <v>-4214786</v>
      </c>
      <c r="M37" s="80">
        <f t="shared" ref="M37:Y37" si="352">SUM(M32:M36)</f>
        <v>-3667</v>
      </c>
      <c r="N37" s="80">
        <f t="shared" si="352"/>
        <v>0</v>
      </c>
      <c r="O37" s="80">
        <f t="shared" si="352"/>
        <v>0</v>
      </c>
      <c r="P37" s="80">
        <f t="shared" si="352"/>
        <v>198889</v>
      </c>
      <c r="Q37" s="80">
        <f t="shared" si="352"/>
        <v>1302791</v>
      </c>
      <c r="R37" s="80">
        <f t="shared" si="352"/>
        <v>-250998</v>
      </c>
      <c r="S37" s="80">
        <f t="shared" si="352"/>
        <v>1259492</v>
      </c>
      <c r="T37" s="80">
        <f>SUM(T32:T36)</f>
        <v>-44275</v>
      </c>
      <c r="U37" s="80">
        <f t="shared" si="352"/>
        <v>-55738</v>
      </c>
      <c r="V37" s="80">
        <f t="shared" si="352"/>
        <v>33882</v>
      </c>
      <c r="W37" s="80">
        <f t="shared" si="352"/>
        <v>81091</v>
      </c>
      <c r="X37" s="80">
        <f t="shared" si="352"/>
        <v>170478</v>
      </c>
      <c r="Y37" s="80">
        <f t="shared" si="352"/>
        <v>-15552</v>
      </c>
      <c r="Z37" s="80">
        <f t="shared" ref="Z37:AE37" si="353">SUM(Z32:Z36)</f>
        <v>-2835671</v>
      </c>
      <c r="AA37" s="80">
        <f t="shared" si="353"/>
        <v>-88606</v>
      </c>
      <c r="AB37" s="80">
        <f t="shared" si="353"/>
        <v>0</v>
      </c>
      <c r="AC37" s="80">
        <f t="shared" ref="AC37" si="354">SUM(AC32:AC36)</f>
        <v>-639186</v>
      </c>
      <c r="AD37" s="80">
        <f t="shared" si="353"/>
        <v>-254676</v>
      </c>
      <c r="AE37" s="80">
        <f t="shared" si="353"/>
        <v>1689</v>
      </c>
      <c r="AF37" s="80">
        <f t="shared" ref="AF37:AI37" si="355">SUM(AF32:AF36)</f>
        <v>-349363</v>
      </c>
      <c r="AG37" s="80">
        <f t="shared" si="355"/>
        <v>-98962</v>
      </c>
      <c r="AH37" s="80">
        <f t="shared" si="355"/>
        <v>-50983</v>
      </c>
      <c r="AI37" s="80">
        <f t="shared" si="355"/>
        <v>5807</v>
      </c>
      <c r="AJ37" s="80">
        <f>SUM(AJ32:AJ36)</f>
        <v>0</v>
      </c>
      <c r="AK37" s="80">
        <f>SUM(AK32:AK36)</f>
        <v>0</v>
      </c>
      <c r="AL37" s="80">
        <f>SUM(AL32:AL36)</f>
        <v>0</v>
      </c>
      <c r="AM37" s="80">
        <f t="shared" ref="AM37:AW37" si="356">SUM(AM32:AM36)</f>
        <v>-72741</v>
      </c>
      <c r="AN37" s="80">
        <f t="shared" si="356"/>
        <v>-146128</v>
      </c>
      <c r="AO37" s="80">
        <f t="shared" si="356"/>
        <v>0</v>
      </c>
      <c r="AP37" s="80">
        <f>SUM(AP32:AP36)</f>
        <v>-957</v>
      </c>
      <c r="AQ37" s="80">
        <f t="shared" ref="AQ37:AT37" si="357">SUM(AQ32:AQ36)</f>
        <v>16602</v>
      </c>
      <c r="AR37" s="80">
        <f t="shared" si="357"/>
        <v>-10083</v>
      </c>
      <c r="AS37" s="80">
        <f t="shared" si="357"/>
        <v>7124330</v>
      </c>
      <c r="AT37" s="80">
        <f t="shared" si="357"/>
        <v>185785</v>
      </c>
      <c r="AU37" s="80">
        <f>SUM(AU32:AU36)</f>
        <v>-295120</v>
      </c>
      <c r="AV37" s="80">
        <f t="shared" si="356"/>
        <v>13800</v>
      </c>
      <c r="AW37" s="80">
        <f t="shared" si="356"/>
        <v>-844</v>
      </c>
      <c r="AX37" s="80">
        <f>SUM(AX32:AX36)</f>
        <v>7750704</v>
      </c>
      <c r="AY37" s="80">
        <f>SUM(AY32:AY36)</f>
        <v>0</v>
      </c>
      <c r="AZ37" s="80">
        <f t="shared" ref="AZ37:BA37" si="358">SUM(AZ32:AZ36)</f>
        <v>2408214.886194136</v>
      </c>
      <c r="BA37" s="80">
        <f t="shared" si="358"/>
        <v>1667845.0859620241</v>
      </c>
      <c r="BB37" s="80">
        <f>SUM(BB32:BB36)</f>
        <v>-82524</v>
      </c>
      <c r="BC37" s="80">
        <f>SUM(BC32:BC36)</f>
        <v>2606918</v>
      </c>
      <c r="BD37" s="80">
        <f t="shared" ref="BD37" si="359">SUM(BD32:BD36)</f>
        <v>0</v>
      </c>
      <c r="BE37" s="80">
        <f>SUM(BE32:BE36)</f>
        <v>507290</v>
      </c>
      <c r="BF37" s="80">
        <f>SUM(BF32:BF36)</f>
        <v>0</v>
      </c>
      <c r="BG37" s="80">
        <f>SUM(BG32:BG36)</f>
        <v>0</v>
      </c>
      <c r="BH37" s="80">
        <f>SUM(BH32:BH36)</f>
        <v>29666433</v>
      </c>
      <c r="BI37" s="80">
        <f t="shared" ref="BI37" si="360">SUM(BI32:BI36)</f>
        <v>0</v>
      </c>
      <c r="BJ37" s="80">
        <f t="shared" ref="BJ37:BL37" si="361">SUM(BJ32:BJ36)</f>
        <v>-609367</v>
      </c>
      <c r="BK37" s="80">
        <f t="shared" si="361"/>
        <v>1248329</v>
      </c>
      <c r="BL37" s="80">
        <f t="shared" si="361"/>
        <v>0</v>
      </c>
      <c r="BM37" s="80">
        <f t="shared" ref="BM37" si="362">SUM(BM32:BM36)</f>
        <v>0</v>
      </c>
    </row>
    <row r="38" spans="1:65" s="18" customFormat="1" ht="14.15" customHeight="1">
      <c r="A38" s="436">
        <f t="shared" si="80"/>
        <v>32</v>
      </c>
      <c r="B38" s="6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s="436" customFormat="1" ht="14.15" customHeight="1">
      <c r="A39" s="436">
        <f t="shared" si="80"/>
        <v>33</v>
      </c>
      <c r="B39" s="110" t="s">
        <v>40</v>
      </c>
      <c r="C39" s="38">
        <f>SUM(D39:BM39)</f>
        <v>-31297182.511169724</v>
      </c>
      <c r="D39" s="43">
        <f t="shared" ref="D39:L39" si="363">D30-D37</f>
        <v>-3183650</v>
      </c>
      <c r="E39" s="43">
        <f t="shared" si="363"/>
        <v>-11768173</v>
      </c>
      <c r="F39" s="43">
        <f t="shared" si="363"/>
        <v>9172546</v>
      </c>
      <c r="G39" s="43">
        <f t="shared" si="363"/>
        <v>0</v>
      </c>
      <c r="H39" s="43">
        <f t="shared" si="363"/>
        <v>-32562944.274999999</v>
      </c>
      <c r="I39" s="43">
        <f t="shared" si="363"/>
        <v>-618140</v>
      </c>
      <c r="J39" s="43">
        <f t="shared" si="363"/>
        <v>2624746.7999999998</v>
      </c>
      <c r="K39" s="43">
        <f t="shared" ref="K39" si="364">K30-K37</f>
        <v>-6770130</v>
      </c>
      <c r="L39" s="43">
        <f t="shared" si="363"/>
        <v>-15855624</v>
      </c>
      <c r="M39" s="43">
        <f t="shared" ref="M39:Y39" si="365">M30-M37</f>
        <v>-13796</v>
      </c>
      <c r="N39" s="43">
        <f t="shared" si="365"/>
        <v>0</v>
      </c>
      <c r="O39" s="43">
        <f t="shared" si="365"/>
        <v>0</v>
      </c>
      <c r="P39" s="43">
        <f t="shared" si="365"/>
        <v>748200</v>
      </c>
      <c r="Q39" s="43">
        <f t="shared" si="365"/>
        <v>4900978</v>
      </c>
      <c r="R39" s="43">
        <f t="shared" si="365"/>
        <v>-944229</v>
      </c>
      <c r="S39" s="43">
        <f t="shared" si="365"/>
        <v>4738089.0049999999</v>
      </c>
      <c r="T39" s="43">
        <f>T30-T37</f>
        <v>-166560</v>
      </c>
      <c r="U39" s="43">
        <f t="shared" si="365"/>
        <v>-209683</v>
      </c>
      <c r="V39" s="43">
        <f t="shared" si="365"/>
        <v>127463.22</v>
      </c>
      <c r="W39" s="43">
        <f t="shared" si="365"/>
        <v>305055.16000000003</v>
      </c>
      <c r="X39" s="43">
        <f t="shared" si="365"/>
        <v>641321</v>
      </c>
      <c r="Y39" s="43">
        <f t="shared" si="365"/>
        <v>-58507</v>
      </c>
      <c r="Z39" s="43">
        <f t="shared" ref="Z39:AE39" si="366">Z30-Z37</f>
        <v>-10667523</v>
      </c>
      <c r="AA39" s="43">
        <f t="shared" si="366"/>
        <v>-333325</v>
      </c>
      <c r="AB39" s="43">
        <f t="shared" si="366"/>
        <v>0</v>
      </c>
      <c r="AC39" s="43">
        <f t="shared" ref="AC39" si="367">AC30-AC37</f>
        <v>-2404557.0499999998</v>
      </c>
      <c r="AD39" s="43">
        <f t="shared" si="366"/>
        <v>-958065.25214511226</v>
      </c>
      <c r="AE39" s="43">
        <f t="shared" si="366"/>
        <v>6354</v>
      </c>
      <c r="AF39" s="43">
        <f t="shared" ref="AF39:AI39" si="368">AF30-AF37</f>
        <v>-1759989</v>
      </c>
      <c r="AG39" s="43">
        <f t="shared" si="368"/>
        <v>-372284.13294999994</v>
      </c>
      <c r="AH39" s="43">
        <f t="shared" si="368"/>
        <v>-191791.3805</v>
      </c>
      <c r="AI39" s="43">
        <f t="shared" si="368"/>
        <v>21845.250000000233</v>
      </c>
      <c r="AJ39" s="43">
        <f>AJ30-AJ37</f>
        <v>0</v>
      </c>
      <c r="AK39" s="43">
        <f>AK30-AK37</f>
        <v>0</v>
      </c>
      <c r="AL39" s="43">
        <f>AL30-AL37</f>
        <v>0</v>
      </c>
      <c r="AM39" s="43">
        <f t="shared" ref="AM39:AW39" si="369">AM30-AM37</f>
        <v>-273644</v>
      </c>
      <c r="AN39" s="43">
        <f t="shared" si="369"/>
        <v>-549721</v>
      </c>
      <c r="AO39" s="43">
        <f t="shared" si="369"/>
        <v>0</v>
      </c>
      <c r="AP39" s="43">
        <f>AP30-AP37</f>
        <v>-3602</v>
      </c>
      <c r="AQ39" s="43">
        <f t="shared" ref="AQ39:AT39" si="370">AQ30-AQ37</f>
        <v>62453.509999999995</v>
      </c>
      <c r="AR39" s="43">
        <f t="shared" si="370"/>
        <v>-37931</v>
      </c>
      <c r="AS39" s="43">
        <f t="shared" si="370"/>
        <v>26801050</v>
      </c>
      <c r="AT39" s="43">
        <f t="shared" si="370"/>
        <v>698907</v>
      </c>
      <c r="AU39" s="43">
        <f>AU30-AU37</f>
        <v>-1110211</v>
      </c>
      <c r="AV39" s="43">
        <f t="shared" si="369"/>
        <v>51915</v>
      </c>
      <c r="AW39" s="43">
        <f t="shared" si="369"/>
        <v>-3175</v>
      </c>
      <c r="AX39" s="43">
        <f>AX30-AX37</f>
        <v>29157409.18</v>
      </c>
      <c r="AY39" s="43">
        <f>AY30-AY37</f>
        <v>0</v>
      </c>
      <c r="AZ39" s="43">
        <f t="shared" ref="AZ39:BA39" si="371">AZ30-AZ37</f>
        <v>-3012603.4986345833</v>
      </c>
      <c r="BA39" s="43">
        <f t="shared" si="371"/>
        <v>-1667845.0859620241</v>
      </c>
      <c r="BB39" s="43">
        <f>BB30-BB37</f>
        <v>-310446.04072000011</v>
      </c>
      <c r="BC39" s="43">
        <f>BC30-BC37</f>
        <v>9806975</v>
      </c>
      <c r="BD39" s="43">
        <f t="shared" ref="BD39" si="372">BD30-BD37</f>
        <v>0</v>
      </c>
      <c r="BE39" s="43">
        <f>BE30-BE37</f>
        <v>1908375.7199999997</v>
      </c>
      <c r="BF39" s="43">
        <f>BF30-BF37</f>
        <v>0</v>
      </c>
      <c r="BG39" s="43">
        <f>BG30-BG37</f>
        <v>0</v>
      </c>
      <c r="BH39" s="43">
        <f>BH30-BH37</f>
        <v>-29666433</v>
      </c>
      <c r="BI39" s="43">
        <f t="shared" ref="BI39" si="373">BI30-BI37</f>
        <v>0</v>
      </c>
      <c r="BJ39" s="43">
        <f t="shared" ref="BJ39:BL39" si="374">BJ30-BJ37</f>
        <v>-2292379</v>
      </c>
      <c r="BK39" s="43">
        <f t="shared" si="374"/>
        <v>4696095.3597419998</v>
      </c>
      <c r="BL39" s="43">
        <f t="shared" si="374"/>
        <v>0</v>
      </c>
      <c r="BM39" s="43">
        <f t="shared" ref="BM39" si="375">BM30-BM37</f>
        <v>0</v>
      </c>
    </row>
    <row r="40" spans="1:65" s="436" customFormat="1" ht="14.15" customHeight="1">
      <c r="A40" s="436">
        <f t="shared" si="80"/>
        <v>34</v>
      </c>
      <c r="B40" s="130" t="s">
        <v>330</v>
      </c>
      <c r="C40" s="198">
        <f>SUM(D40:BM40)</f>
        <v>4797635</v>
      </c>
      <c r="D40" s="64">
        <f t="shared" ref="D40:L40" si="376">-D481</f>
        <v>0</v>
      </c>
      <c r="E40" s="64">
        <f t="shared" si="376"/>
        <v>0</v>
      </c>
      <c r="F40" s="64">
        <f t="shared" si="376"/>
        <v>0</v>
      </c>
      <c r="G40" s="64">
        <f t="shared" si="376"/>
        <v>0</v>
      </c>
      <c r="H40" s="64">
        <f t="shared" si="376"/>
        <v>0</v>
      </c>
      <c r="I40" s="64">
        <f t="shared" si="376"/>
        <v>0</v>
      </c>
      <c r="J40" s="64">
        <f t="shared" si="376"/>
        <v>0</v>
      </c>
      <c r="K40" s="64">
        <f t="shared" ref="K40" si="377">-K481</f>
        <v>0</v>
      </c>
      <c r="L40" s="64">
        <f t="shared" si="376"/>
        <v>0</v>
      </c>
      <c r="M40" s="64">
        <f t="shared" ref="M40:Y40" si="378">-M481</f>
        <v>0</v>
      </c>
      <c r="N40" s="64">
        <f t="shared" si="378"/>
        <v>0</v>
      </c>
      <c r="O40" s="64">
        <f t="shared" si="378"/>
        <v>0</v>
      </c>
      <c r="P40" s="64">
        <f t="shared" si="378"/>
        <v>0</v>
      </c>
      <c r="Q40" s="64">
        <f t="shared" si="378"/>
        <v>0</v>
      </c>
      <c r="R40" s="64">
        <f t="shared" si="378"/>
        <v>0</v>
      </c>
      <c r="S40" s="64">
        <f t="shared" si="378"/>
        <v>0</v>
      </c>
      <c r="T40" s="64">
        <f>-T481</f>
        <v>0</v>
      </c>
      <c r="U40" s="64">
        <f t="shared" si="378"/>
        <v>0</v>
      </c>
      <c r="V40" s="64">
        <f t="shared" si="378"/>
        <v>0</v>
      </c>
      <c r="W40" s="64">
        <f t="shared" si="378"/>
        <v>0</v>
      </c>
      <c r="X40" s="64">
        <f t="shared" si="378"/>
        <v>0</v>
      </c>
      <c r="Y40" s="64">
        <f t="shared" si="378"/>
        <v>0</v>
      </c>
      <c r="Z40" s="64">
        <f t="shared" ref="Z40:AE40" si="379">-Z481</f>
        <v>0</v>
      </c>
      <c r="AA40" s="64">
        <f t="shared" si="379"/>
        <v>0</v>
      </c>
      <c r="AB40" s="64">
        <f t="shared" si="379"/>
        <v>0</v>
      </c>
      <c r="AC40" s="64">
        <f t="shared" ref="AC40" si="380">-AC481</f>
        <v>0</v>
      </c>
      <c r="AD40" s="64">
        <f t="shared" si="379"/>
        <v>0</v>
      </c>
      <c r="AE40" s="64">
        <f t="shared" si="379"/>
        <v>0</v>
      </c>
      <c r="AF40" s="64">
        <f t="shared" ref="AF40:AI40" si="381">-AF481</f>
        <v>0</v>
      </c>
      <c r="AG40" s="64">
        <f t="shared" si="381"/>
        <v>0</v>
      </c>
      <c r="AH40" s="64">
        <f t="shared" si="381"/>
        <v>0</v>
      </c>
      <c r="AI40" s="64">
        <f t="shared" si="381"/>
        <v>0</v>
      </c>
      <c r="AJ40" s="64">
        <f>-AJ481</f>
        <v>4797635</v>
      </c>
      <c r="AK40" s="64">
        <f>-AK481</f>
        <v>0</v>
      </c>
      <c r="AL40" s="64">
        <f>-AL481</f>
        <v>0</v>
      </c>
      <c r="AM40" s="64">
        <f t="shared" ref="AM40:AW40" si="382">-AM481</f>
        <v>0</v>
      </c>
      <c r="AN40" s="64">
        <f t="shared" si="382"/>
        <v>0</v>
      </c>
      <c r="AO40" s="64">
        <f t="shared" si="382"/>
        <v>0</v>
      </c>
      <c r="AP40" s="64">
        <f>-AP481</f>
        <v>0</v>
      </c>
      <c r="AQ40" s="64">
        <f t="shared" ref="AQ40:AT40" si="383">-AQ481</f>
        <v>0</v>
      </c>
      <c r="AR40" s="64">
        <f t="shared" si="383"/>
        <v>0</v>
      </c>
      <c r="AS40" s="64">
        <f t="shared" si="383"/>
        <v>0</v>
      </c>
      <c r="AT40" s="64">
        <f t="shared" si="383"/>
        <v>0</v>
      </c>
      <c r="AU40" s="64">
        <f>-AU481</f>
        <v>0</v>
      </c>
      <c r="AV40" s="64">
        <f t="shared" si="382"/>
        <v>0</v>
      </c>
      <c r="AW40" s="64">
        <f t="shared" si="382"/>
        <v>0</v>
      </c>
      <c r="AX40" s="64">
        <f>-AX481</f>
        <v>0</v>
      </c>
      <c r="AY40" s="64">
        <f>-AY481</f>
        <v>0</v>
      </c>
      <c r="AZ40" s="64">
        <f t="shared" ref="AZ40:BA40" si="384">-AZ481</f>
        <v>0</v>
      </c>
      <c r="BA40" s="64">
        <f t="shared" si="384"/>
        <v>0</v>
      </c>
      <c r="BB40" s="64">
        <f>-BB481</f>
        <v>0</v>
      </c>
      <c r="BC40" s="64">
        <f>-BC481</f>
        <v>0</v>
      </c>
      <c r="BD40" s="64">
        <f t="shared" ref="BD40" si="385">-BD481</f>
        <v>0</v>
      </c>
      <c r="BE40" s="64">
        <f>-BE481</f>
        <v>0</v>
      </c>
      <c r="BF40" s="64">
        <f>-BF481</f>
        <v>0</v>
      </c>
      <c r="BG40" s="64">
        <f>-BG481</f>
        <v>0</v>
      </c>
      <c r="BH40" s="64">
        <f>-BH481</f>
        <v>0</v>
      </c>
      <c r="BI40" s="64">
        <f t="shared" ref="BI40" si="386">-BI481</f>
        <v>0</v>
      </c>
      <c r="BJ40" s="64">
        <f t="shared" ref="BJ40:BL40" si="387">-BJ481</f>
        <v>0</v>
      </c>
      <c r="BK40" s="64">
        <f t="shared" si="387"/>
        <v>0</v>
      </c>
      <c r="BL40" s="64">
        <f t="shared" si="387"/>
        <v>0</v>
      </c>
      <c r="BM40" s="64">
        <f t="shared" ref="BM40" si="388">-BM481</f>
        <v>0</v>
      </c>
    </row>
    <row r="41" spans="1:65" s="436" customFormat="1" ht="14.15" customHeight="1" thickBot="1">
      <c r="A41" s="436">
        <f t="shared" si="80"/>
        <v>35</v>
      </c>
      <c r="B41" s="4" t="s">
        <v>41</v>
      </c>
      <c r="C41" s="131">
        <f t="shared" ref="C41:L41" si="389">C40+C39</f>
        <v>-26499547.511169724</v>
      </c>
      <c r="D41" s="131">
        <f t="shared" si="389"/>
        <v>-3183650</v>
      </c>
      <c r="E41" s="131">
        <f t="shared" si="389"/>
        <v>-11768173</v>
      </c>
      <c r="F41" s="131">
        <f t="shared" si="389"/>
        <v>9172546</v>
      </c>
      <c r="G41" s="131">
        <f t="shared" si="389"/>
        <v>0</v>
      </c>
      <c r="H41" s="131">
        <f t="shared" si="389"/>
        <v>-32562944.274999999</v>
      </c>
      <c r="I41" s="131">
        <f t="shared" si="389"/>
        <v>-618140</v>
      </c>
      <c r="J41" s="131">
        <f t="shared" si="389"/>
        <v>2624746.7999999998</v>
      </c>
      <c r="K41" s="131">
        <f t="shared" ref="K41" si="390">K40+K39</f>
        <v>-6770130</v>
      </c>
      <c r="L41" s="131">
        <f t="shared" si="389"/>
        <v>-15855624</v>
      </c>
      <c r="M41" s="131">
        <f t="shared" ref="M41:Y41" si="391">M40+M39</f>
        <v>-13796</v>
      </c>
      <c r="N41" s="131">
        <f t="shared" si="391"/>
        <v>0</v>
      </c>
      <c r="O41" s="131">
        <f t="shared" si="391"/>
        <v>0</v>
      </c>
      <c r="P41" s="131">
        <f t="shared" si="391"/>
        <v>748200</v>
      </c>
      <c r="Q41" s="131">
        <f t="shared" si="391"/>
        <v>4900978</v>
      </c>
      <c r="R41" s="131">
        <f t="shared" si="391"/>
        <v>-944229</v>
      </c>
      <c r="S41" s="131">
        <f t="shared" si="391"/>
        <v>4738089.0049999999</v>
      </c>
      <c r="T41" s="131">
        <f>T40+T39</f>
        <v>-166560</v>
      </c>
      <c r="U41" s="131">
        <f t="shared" si="391"/>
        <v>-209683</v>
      </c>
      <c r="V41" s="131">
        <f t="shared" si="391"/>
        <v>127463.22</v>
      </c>
      <c r="W41" s="131">
        <f t="shared" si="391"/>
        <v>305055.16000000003</v>
      </c>
      <c r="X41" s="131">
        <f t="shared" si="391"/>
        <v>641321</v>
      </c>
      <c r="Y41" s="131">
        <f t="shared" si="391"/>
        <v>-58507</v>
      </c>
      <c r="Z41" s="131">
        <f t="shared" ref="Z41:AE41" si="392">Z40+Z39</f>
        <v>-10667523</v>
      </c>
      <c r="AA41" s="131">
        <f t="shared" si="392"/>
        <v>-333325</v>
      </c>
      <c r="AB41" s="131">
        <f t="shared" si="392"/>
        <v>0</v>
      </c>
      <c r="AC41" s="131">
        <f t="shared" ref="AC41" si="393">AC40+AC39</f>
        <v>-2404557.0499999998</v>
      </c>
      <c r="AD41" s="131">
        <f t="shared" si="392"/>
        <v>-958065.25214511226</v>
      </c>
      <c r="AE41" s="131">
        <f t="shared" si="392"/>
        <v>6354</v>
      </c>
      <c r="AF41" s="131">
        <f t="shared" ref="AF41:AI41" si="394">AF40+AF39</f>
        <v>-1759989</v>
      </c>
      <c r="AG41" s="131">
        <f t="shared" si="394"/>
        <v>-372284.13294999994</v>
      </c>
      <c r="AH41" s="131">
        <f t="shared" si="394"/>
        <v>-191791.3805</v>
      </c>
      <c r="AI41" s="131">
        <f t="shared" si="394"/>
        <v>21845.250000000233</v>
      </c>
      <c r="AJ41" s="131">
        <f>AJ40+AJ39</f>
        <v>4797635</v>
      </c>
      <c r="AK41" s="131">
        <f>AK40+AK39</f>
        <v>0</v>
      </c>
      <c r="AL41" s="131">
        <f>AL40+AL39</f>
        <v>0</v>
      </c>
      <c r="AM41" s="131">
        <f t="shared" ref="AM41:AW41" si="395">AM40+AM39</f>
        <v>-273644</v>
      </c>
      <c r="AN41" s="131">
        <f t="shared" si="395"/>
        <v>-549721</v>
      </c>
      <c r="AO41" s="131">
        <f t="shared" si="395"/>
        <v>0</v>
      </c>
      <c r="AP41" s="131">
        <f>AP40+AP39</f>
        <v>-3602</v>
      </c>
      <c r="AQ41" s="131">
        <f t="shared" ref="AQ41:AT41" si="396">AQ40+AQ39</f>
        <v>62453.509999999995</v>
      </c>
      <c r="AR41" s="131">
        <f t="shared" si="396"/>
        <v>-37931</v>
      </c>
      <c r="AS41" s="131">
        <f t="shared" si="396"/>
        <v>26801050</v>
      </c>
      <c r="AT41" s="131">
        <f t="shared" si="396"/>
        <v>698907</v>
      </c>
      <c r="AU41" s="131">
        <f>AU40+AU39</f>
        <v>-1110211</v>
      </c>
      <c r="AV41" s="131">
        <f t="shared" si="395"/>
        <v>51915</v>
      </c>
      <c r="AW41" s="131">
        <f t="shared" si="395"/>
        <v>-3175</v>
      </c>
      <c r="AX41" s="131">
        <f>AX40+AX39</f>
        <v>29157409.18</v>
      </c>
      <c r="AY41" s="131">
        <f>AY40+AY39</f>
        <v>0</v>
      </c>
      <c r="AZ41" s="131">
        <f t="shared" ref="AZ41:BA41" si="397">AZ40+AZ39</f>
        <v>-3012603.4986345833</v>
      </c>
      <c r="BA41" s="131">
        <f t="shared" si="397"/>
        <v>-1667845.0859620241</v>
      </c>
      <c r="BB41" s="131">
        <f>BB40+BB39</f>
        <v>-310446.04072000011</v>
      </c>
      <c r="BC41" s="131">
        <f>BC40+BC39</f>
        <v>9806975</v>
      </c>
      <c r="BD41" s="131">
        <f t="shared" ref="BD41" si="398">BD40+BD39</f>
        <v>0</v>
      </c>
      <c r="BE41" s="131">
        <f>BE40+BE39</f>
        <v>1908375.7199999997</v>
      </c>
      <c r="BF41" s="131">
        <f>BF40+BF39</f>
        <v>0</v>
      </c>
      <c r="BG41" s="131">
        <f>BG40+BG39</f>
        <v>0</v>
      </c>
      <c r="BH41" s="131">
        <f>BH40+BH39</f>
        <v>-29666433</v>
      </c>
      <c r="BI41" s="131">
        <f t="shared" ref="BI41" si="399">BI40+BI39</f>
        <v>0</v>
      </c>
      <c r="BJ41" s="131">
        <f t="shared" ref="BJ41:BL41" si="400">BJ40+BJ39</f>
        <v>-2292379</v>
      </c>
      <c r="BK41" s="131">
        <f t="shared" si="400"/>
        <v>4696095.3597419998</v>
      </c>
      <c r="BL41" s="131">
        <f t="shared" si="400"/>
        <v>0</v>
      </c>
      <c r="BM41" s="131">
        <f t="shared" ref="BM41" si="401">BM40+BM39</f>
        <v>0</v>
      </c>
    </row>
    <row r="42" spans="1:65" s="436" customFormat="1" ht="14.15" customHeight="1" thickTop="1">
      <c r="A42" s="436">
        <f t="shared" si="80"/>
        <v>36</v>
      </c>
      <c r="B42" s="110"/>
      <c r="C42" s="110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</row>
    <row r="43" spans="1:65" ht="14.15" customHeight="1">
      <c r="A43" s="436">
        <f t="shared" si="80"/>
        <v>37</v>
      </c>
      <c r="B43" s="83" t="s">
        <v>42</v>
      </c>
      <c r="C43" s="38">
        <f t="shared" ref="C43:C52" si="402">SUM(D43:BM43)</f>
        <v>-328628780</v>
      </c>
      <c r="D43" s="43">
        <f t="shared" ref="D43:L43" si="403">D171</f>
        <v>0</v>
      </c>
      <c r="E43" s="43">
        <f t="shared" si="403"/>
        <v>0</v>
      </c>
      <c r="F43" s="43">
        <f t="shared" si="403"/>
        <v>0</v>
      </c>
      <c r="G43" s="43">
        <f t="shared" si="403"/>
        <v>-324785553</v>
      </c>
      <c r="H43" s="43">
        <f t="shared" si="403"/>
        <v>0</v>
      </c>
      <c r="I43" s="43">
        <f t="shared" si="403"/>
        <v>0</v>
      </c>
      <c r="J43" s="43">
        <f t="shared" si="403"/>
        <v>0</v>
      </c>
      <c r="K43" s="43">
        <f t="shared" ref="K43" si="404">K171</f>
        <v>0</v>
      </c>
      <c r="L43" s="43">
        <f t="shared" si="403"/>
        <v>0</v>
      </c>
      <c r="M43" s="43">
        <f t="shared" ref="M43:Y43" si="405">M171</f>
        <v>0</v>
      </c>
      <c r="N43" s="43">
        <f t="shared" si="405"/>
        <v>0</v>
      </c>
      <c r="O43" s="43">
        <f t="shared" si="405"/>
        <v>0</v>
      </c>
      <c r="P43" s="43">
        <f t="shared" si="405"/>
        <v>0</v>
      </c>
      <c r="Q43" s="43">
        <f t="shared" si="405"/>
        <v>0</v>
      </c>
      <c r="R43" s="43">
        <f t="shared" si="405"/>
        <v>0</v>
      </c>
      <c r="S43" s="43">
        <f t="shared" si="405"/>
        <v>0</v>
      </c>
      <c r="T43" s="43">
        <f>T171</f>
        <v>0</v>
      </c>
      <c r="U43" s="43">
        <f t="shared" si="405"/>
        <v>0</v>
      </c>
      <c r="V43" s="43">
        <f t="shared" si="405"/>
        <v>0</v>
      </c>
      <c r="W43" s="43">
        <f t="shared" si="405"/>
        <v>0</v>
      </c>
      <c r="X43" s="43">
        <f t="shared" si="405"/>
        <v>0</v>
      </c>
      <c r="Y43" s="43">
        <f t="shared" si="405"/>
        <v>0</v>
      </c>
      <c r="Z43" s="43">
        <f t="shared" ref="Z43:AE43" si="406">Z171</f>
        <v>0</v>
      </c>
      <c r="AA43" s="43">
        <f t="shared" si="406"/>
        <v>0</v>
      </c>
      <c r="AB43" s="43">
        <f t="shared" si="406"/>
        <v>0</v>
      </c>
      <c r="AC43" s="43">
        <f t="shared" ref="AC43" si="407">AC171</f>
        <v>0</v>
      </c>
      <c r="AD43" s="43">
        <f t="shared" si="406"/>
        <v>0</v>
      </c>
      <c r="AE43" s="43">
        <f t="shared" si="406"/>
        <v>0</v>
      </c>
      <c r="AF43" s="43">
        <f t="shared" ref="AF43:AI43" si="408">AF171</f>
        <v>0</v>
      </c>
      <c r="AG43" s="43">
        <f t="shared" si="408"/>
        <v>0</v>
      </c>
      <c r="AH43" s="43">
        <f t="shared" si="408"/>
        <v>0</v>
      </c>
      <c r="AI43" s="43">
        <f t="shared" si="408"/>
        <v>0</v>
      </c>
      <c r="AJ43" s="43">
        <f>AJ171</f>
        <v>0</v>
      </c>
      <c r="AK43" s="43">
        <f>AK171</f>
        <v>0</v>
      </c>
      <c r="AL43" s="43">
        <f>AL171</f>
        <v>0</v>
      </c>
      <c r="AM43" s="43">
        <f t="shared" ref="AM43:AW43" si="409">AM171</f>
        <v>0</v>
      </c>
      <c r="AN43" s="43">
        <f t="shared" si="409"/>
        <v>0</v>
      </c>
      <c r="AO43" s="43">
        <f t="shared" si="409"/>
        <v>0</v>
      </c>
      <c r="AP43" s="43">
        <f>AP171</f>
        <v>0</v>
      </c>
      <c r="AQ43" s="43">
        <f t="shared" ref="AQ43:AT43" si="410">AQ171</f>
        <v>0</v>
      </c>
      <c r="AR43" s="43">
        <f t="shared" si="410"/>
        <v>0</v>
      </c>
      <c r="AS43" s="43">
        <f t="shared" si="410"/>
        <v>0</v>
      </c>
      <c r="AT43" s="43">
        <f t="shared" si="410"/>
        <v>0</v>
      </c>
      <c r="AU43" s="43">
        <f>AU171</f>
        <v>0</v>
      </c>
      <c r="AV43" s="43">
        <f t="shared" si="409"/>
        <v>0</v>
      </c>
      <c r="AW43" s="43">
        <f t="shared" si="409"/>
        <v>0</v>
      </c>
      <c r="AX43" s="43">
        <f>AX171</f>
        <v>0</v>
      </c>
      <c r="AY43" s="43">
        <f>AY171</f>
        <v>-3843227</v>
      </c>
      <c r="AZ43" s="43">
        <f t="shared" ref="AZ43:BA43" si="411">AZ171</f>
        <v>0</v>
      </c>
      <c r="BA43" s="43">
        <f t="shared" si="411"/>
        <v>0</v>
      </c>
      <c r="BB43" s="43">
        <f>BB171</f>
        <v>0</v>
      </c>
      <c r="BC43" s="43">
        <f>BC171</f>
        <v>0</v>
      </c>
      <c r="BD43" s="43">
        <f t="shared" ref="BD43" si="412">BD171</f>
        <v>0</v>
      </c>
      <c r="BE43" s="43">
        <f>BE171</f>
        <v>0</v>
      </c>
      <c r="BF43" s="43">
        <f>BF171</f>
        <v>0</v>
      </c>
      <c r="BG43" s="43">
        <f>BG171</f>
        <v>0</v>
      </c>
      <c r="BH43" s="43">
        <f>BH171</f>
        <v>0</v>
      </c>
      <c r="BI43" s="43">
        <f t="shared" ref="BI43" si="413">BI171</f>
        <v>0</v>
      </c>
      <c r="BJ43" s="43">
        <f t="shared" ref="BJ43:BL43" si="414">BJ171</f>
        <v>0</v>
      </c>
      <c r="BK43" s="43">
        <f t="shared" si="414"/>
        <v>0</v>
      </c>
      <c r="BL43" s="43">
        <f t="shared" si="414"/>
        <v>0</v>
      </c>
      <c r="BM43" s="43">
        <f t="shared" ref="BM43" si="415">BM171</f>
        <v>0</v>
      </c>
    </row>
    <row r="44" spans="1:65" ht="14.15" customHeight="1">
      <c r="A44" s="436">
        <f t="shared" si="80"/>
        <v>38</v>
      </c>
      <c r="B44" s="83" t="s">
        <v>43</v>
      </c>
      <c r="C44" s="38">
        <f t="shared" si="402"/>
        <v>152170000</v>
      </c>
      <c r="D44" s="43">
        <f t="shared" ref="D44:L44" si="416">-D178-D186-D189</f>
        <v>0</v>
      </c>
      <c r="E44" s="43">
        <f t="shared" si="416"/>
        <v>0</v>
      </c>
      <c r="F44" s="43">
        <f t="shared" si="416"/>
        <v>0</v>
      </c>
      <c r="G44" s="43">
        <f t="shared" si="416"/>
        <v>150195274</v>
      </c>
      <c r="H44" s="43">
        <f t="shared" si="416"/>
        <v>0</v>
      </c>
      <c r="I44" s="43">
        <f t="shared" si="416"/>
        <v>0</v>
      </c>
      <c r="J44" s="43">
        <f t="shared" si="416"/>
        <v>0</v>
      </c>
      <c r="K44" s="43">
        <f t="shared" ref="K44" si="417">-K178-K186-K189</f>
        <v>0</v>
      </c>
      <c r="L44" s="43">
        <f t="shared" si="416"/>
        <v>0</v>
      </c>
      <c r="M44" s="43">
        <f t="shared" ref="M44:Y44" si="418">-M178-M186-M189</f>
        <v>0</v>
      </c>
      <c r="N44" s="43">
        <f t="shared" si="418"/>
        <v>0</v>
      </c>
      <c r="O44" s="43">
        <f t="shared" si="418"/>
        <v>0</v>
      </c>
      <c r="P44" s="43">
        <f t="shared" si="418"/>
        <v>0</v>
      </c>
      <c r="Q44" s="43">
        <f t="shared" si="418"/>
        <v>0</v>
      </c>
      <c r="R44" s="43">
        <f t="shared" si="418"/>
        <v>0</v>
      </c>
      <c r="S44" s="43">
        <f t="shared" si="418"/>
        <v>0</v>
      </c>
      <c r="T44" s="43">
        <f>-T178-T186-T189</f>
        <v>0</v>
      </c>
      <c r="U44" s="43">
        <f t="shared" si="418"/>
        <v>0</v>
      </c>
      <c r="V44" s="43">
        <f t="shared" si="418"/>
        <v>0</v>
      </c>
      <c r="W44" s="43">
        <f t="shared" si="418"/>
        <v>0</v>
      </c>
      <c r="X44" s="43">
        <f t="shared" si="418"/>
        <v>0</v>
      </c>
      <c r="Y44" s="43">
        <f t="shared" si="418"/>
        <v>0</v>
      </c>
      <c r="Z44" s="43">
        <f t="shared" ref="Z44:AE44" si="419">-Z178-Z186-Z189</f>
        <v>0</v>
      </c>
      <c r="AA44" s="43">
        <f t="shared" si="419"/>
        <v>0</v>
      </c>
      <c r="AB44" s="43">
        <f t="shared" si="419"/>
        <v>0</v>
      </c>
      <c r="AC44" s="43">
        <f t="shared" ref="AC44" si="420">-AC178-AC186-AC189</f>
        <v>0</v>
      </c>
      <c r="AD44" s="43">
        <f t="shared" si="419"/>
        <v>0</v>
      </c>
      <c r="AE44" s="43">
        <f t="shared" si="419"/>
        <v>0</v>
      </c>
      <c r="AF44" s="43">
        <f t="shared" ref="AF44:AI44" si="421">-AF178-AF186-AF189</f>
        <v>0</v>
      </c>
      <c r="AG44" s="43">
        <f t="shared" si="421"/>
        <v>0</v>
      </c>
      <c r="AH44" s="43">
        <f t="shared" si="421"/>
        <v>0</v>
      </c>
      <c r="AI44" s="43">
        <f t="shared" si="421"/>
        <v>0</v>
      </c>
      <c r="AJ44" s="43">
        <f>-AJ178-AJ186-AJ189</f>
        <v>0</v>
      </c>
      <c r="AK44" s="43">
        <f>-AK178-AK186-AK189</f>
        <v>0</v>
      </c>
      <c r="AL44" s="43">
        <f>-AL178-AL186-AL189</f>
        <v>0</v>
      </c>
      <c r="AM44" s="43">
        <f t="shared" ref="AM44:AW44" si="422">-AM178-AM186-AM189</f>
        <v>0</v>
      </c>
      <c r="AN44" s="43">
        <f t="shared" si="422"/>
        <v>0</v>
      </c>
      <c r="AO44" s="43">
        <f t="shared" si="422"/>
        <v>0</v>
      </c>
      <c r="AP44" s="43">
        <f>-AP178-AP186-AP189</f>
        <v>0</v>
      </c>
      <c r="AQ44" s="43">
        <f t="shared" ref="AQ44:AT44" si="423">-AQ178-AQ186-AQ189</f>
        <v>0</v>
      </c>
      <c r="AR44" s="43">
        <f t="shared" si="423"/>
        <v>0</v>
      </c>
      <c r="AS44" s="43">
        <f t="shared" si="423"/>
        <v>0</v>
      </c>
      <c r="AT44" s="43">
        <f t="shared" si="423"/>
        <v>0</v>
      </c>
      <c r="AU44" s="43">
        <f>-AU178-AU186-AU189</f>
        <v>0</v>
      </c>
      <c r="AV44" s="43">
        <f t="shared" si="422"/>
        <v>0</v>
      </c>
      <c r="AW44" s="43">
        <f t="shared" si="422"/>
        <v>0</v>
      </c>
      <c r="AX44" s="43">
        <f>-AX178-AX186-AX189</f>
        <v>0</v>
      </c>
      <c r="AY44" s="43">
        <f>-AY178-AY186-AY189</f>
        <v>1974726</v>
      </c>
      <c r="AZ44" s="43">
        <f t="shared" ref="AZ44:BA44" si="424">-AZ178-AZ186-AZ189</f>
        <v>0</v>
      </c>
      <c r="BA44" s="43">
        <f t="shared" si="424"/>
        <v>0</v>
      </c>
      <c r="BB44" s="43">
        <f>-BB178-BB186-BB189</f>
        <v>0</v>
      </c>
      <c r="BC44" s="43">
        <f>-BC178-BC186-BC189</f>
        <v>0</v>
      </c>
      <c r="BD44" s="43">
        <f t="shared" ref="BD44" si="425">-BD178-BD186-BD189</f>
        <v>0</v>
      </c>
      <c r="BE44" s="43">
        <f>-BE178-BE186-BE189</f>
        <v>0</v>
      </c>
      <c r="BF44" s="43">
        <f>-BF178-BF186-BF189</f>
        <v>0</v>
      </c>
      <c r="BG44" s="43">
        <f>-BG178-BG186-BG189</f>
        <v>0</v>
      </c>
      <c r="BH44" s="43">
        <f>-BH178-BH186-BH189</f>
        <v>0</v>
      </c>
      <c r="BI44" s="43">
        <f t="shared" ref="BI44" si="426">-BI178-BI186-BI189</f>
        <v>0</v>
      </c>
      <c r="BJ44" s="43">
        <f t="shared" ref="BJ44:BL44" si="427">-BJ178-BJ186-BJ189</f>
        <v>0</v>
      </c>
      <c r="BK44" s="43">
        <f t="shared" si="427"/>
        <v>0</v>
      </c>
      <c r="BL44" s="43">
        <f t="shared" si="427"/>
        <v>0</v>
      </c>
      <c r="BM44" s="43">
        <f t="shared" ref="BM44" si="428">-BM178-BM186-BM189</f>
        <v>0</v>
      </c>
    </row>
    <row r="45" spans="1:65" ht="14.15" customHeight="1">
      <c r="A45" s="436">
        <f t="shared" si="80"/>
        <v>39</v>
      </c>
      <c r="B45" s="13" t="s">
        <v>372</v>
      </c>
      <c r="C45" s="38">
        <f t="shared" si="402"/>
        <v>-176458780</v>
      </c>
      <c r="D45" s="38">
        <f t="shared" ref="D45:L45" si="429">SUM(D43:D44)</f>
        <v>0</v>
      </c>
      <c r="E45" s="38">
        <f t="shared" si="429"/>
        <v>0</v>
      </c>
      <c r="F45" s="38">
        <f t="shared" si="429"/>
        <v>0</v>
      </c>
      <c r="G45" s="38">
        <f t="shared" si="429"/>
        <v>-174590279</v>
      </c>
      <c r="H45" s="38">
        <f t="shared" si="429"/>
        <v>0</v>
      </c>
      <c r="I45" s="38">
        <f t="shared" si="429"/>
        <v>0</v>
      </c>
      <c r="J45" s="38">
        <f t="shared" si="429"/>
        <v>0</v>
      </c>
      <c r="K45" s="38">
        <f t="shared" ref="K45" si="430">SUM(K43:K44)</f>
        <v>0</v>
      </c>
      <c r="L45" s="38">
        <f t="shared" si="429"/>
        <v>0</v>
      </c>
      <c r="M45" s="38">
        <f t="shared" ref="M45:Y45" si="431">SUM(M43:M44)</f>
        <v>0</v>
      </c>
      <c r="N45" s="38">
        <f t="shared" si="431"/>
        <v>0</v>
      </c>
      <c r="O45" s="38">
        <f t="shared" si="431"/>
        <v>0</v>
      </c>
      <c r="P45" s="38">
        <f t="shared" si="431"/>
        <v>0</v>
      </c>
      <c r="Q45" s="38">
        <f t="shared" si="431"/>
        <v>0</v>
      </c>
      <c r="R45" s="38">
        <f t="shared" si="431"/>
        <v>0</v>
      </c>
      <c r="S45" s="38">
        <f t="shared" si="431"/>
        <v>0</v>
      </c>
      <c r="T45" s="38">
        <f>SUM(T43:T44)</f>
        <v>0</v>
      </c>
      <c r="U45" s="38">
        <f t="shared" si="431"/>
        <v>0</v>
      </c>
      <c r="V45" s="38">
        <f t="shared" si="431"/>
        <v>0</v>
      </c>
      <c r="W45" s="38">
        <f t="shared" si="431"/>
        <v>0</v>
      </c>
      <c r="X45" s="38">
        <f t="shared" si="431"/>
        <v>0</v>
      </c>
      <c r="Y45" s="38">
        <f t="shared" si="431"/>
        <v>0</v>
      </c>
      <c r="Z45" s="38">
        <f t="shared" ref="Z45:AE45" si="432">SUM(Z43:Z44)</f>
        <v>0</v>
      </c>
      <c r="AA45" s="38">
        <f t="shared" si="432"/>
        <v>0</v>
      </c>
      <c r="AB45" s="38">
        <f t="shared" si="432"/>
        <v>0</v>
      </c>
      <c r="AC45" s="38">
        <f t="shared" ref="AC45" si="433">SUM(AC43:AC44)</f>
        <v>0</v>
      </c>
      <c r="AD45" s="38">
        <f t="shared" si="432"/>
        <v>0</v>
      </c>
      <c r="AE45" s="38">
        <f t="shared" si="432"/>
        <v>0</v>
      </c>
      <c r="AF45" s="38">
        <f t="shared" ref="AF45:AI45" si="434">SUM(AF43:AF44)</f>
        <v>0</v>
      </c>
      <c r="AG45" s="38">
        <f t="shared" si="434"/>
        <v>0</v>
      </c>
      <c r="AH45" s="38">
        <f t="shared" si="434"/>
        <v>0</v>
      </c>
      <c r="AI45" s="38">
        <f t="shared" si="434"/>
        <v>0</v>
      </c>
      <c r="AJ45" s="38">
        <f>SUM(AJ43:AJ44)</f>
        <v>0</v>
      </c>
      <c r="AK45" s="38">
        <f>SUM(AK43:AK44)</f>
        <v>0</v>
      </c>
      <c r="AL45" s="38">
        <f>SUM(AL43:AL44)</f>
        <v>0</v>
      </c>
      <c r="AM45" s="38">
        <f t="shared" ref="AM45:AW45" si="435">SUM(AM43:AM44)</f>
        <v>0</v>
      </c>
      <c r="AN45" s="38">
        <f t="shared" si="435"/>
        <v>0</v>
      </c>
      <c r="AO45" s="38">
        <f t="shared" si="435"/>
        <v>0</v>
      </c>
      <c r="AP45" s="38">
        <f>SUM(AP43:AP44)</f>
        <v>0</v>
      </c>
      <c r="AQ45" s="38">
        <f t="shared" ref="AQ45:AT45" si="436">SUM(AQ43:AQ44)</f>
        <v>0</v>
      </c>
      <c r="AR45" s="38">
        <f t="shared" si="436"/>
        <v>0</v>
      </c>
      <c r="AS45" s="38">
        <f t="shared" si="436"/>
        <v>0</v>
      </c>
      <c r="AT45" s="38">
        <f t="shared" si="436"/>
        <v>0</v>
      </c>
      <c r="AU45" s="38">
        <f>SUM(AU43:AU44)</f>
        <v>0</v>
      </c>
      <c r="AV45" s="38">
        <f t="shared" si="435"/>
        <v>0</v>
      </c>
      <c r="AW45" s="38">
        <f t="shared" si="435"/>
        <v>0</v>
      </c>
      <c r="AX45" s="38">
        <f>SUM(AX43:AX44)</f>
        <v>0</v>
      </c>
      <c r="AY45" s="38">
        <f>SUM(AY43:AY44)</f>
        <v>-1868501</v>
      </c>
      <c r="AZ45" s="38">
        <f t="shared" ref="AZ45:BA45" si="437">SUM(AZ43:AZ44)</f>
        <v>0</v>
      </c>
      <c r="BA45" s="38">
        <f t="shared" si="437"/>
        <v>0</v>
      </c>
      <c r="BB45" s="38">
        <f>SUM(BB43:BB44)</f>
        <v>0</v>
      </c>
      <c r="BC45" s="38">
        <f>SUM(BC43:BC44)</f>
        <v>0</v>
      </c>
      <c r="BD45" s="38">
        <f t="shared" ref="BD45" si="438">SUM(BD43:BD44)</f>
        <v>0</v>
      </c>
      <c r="BE45" s="38">
        <f>SUM(BE43:BE44)</f>
        <v>0</v>
      </c>
      <c r="BF45" s="38">
        <f>SUM(BF43:BF44)</f>
        <v>0</v>
      </c>
      <c r="BG45" s="38">
        <f>SUM(BG43:BG44)</f>
        <v>0</v>
      </c>
      <c r="BH45" s="38">
        <f>SUM(BH43:BH44)</f>
        <v>0</v>
      </c>
      <c r="BI45" s="38">
        <f t="shared" ref="BI45" si="439">SUM(BI43:BI44)</f>
        <v>0</v>
      </c>
      <c r="BJ45" s="38">
        <f t="shared" ref="BJ45:BL45" si="440">SUM(BJ43:BJ44)</f>
        <v>0</v>
      </c>
      <c r="BK45" s="38">
        <f t="shared" si="440"/>
        <v>0</v>
      </c>
      <c r="BL45" s="38">
        <f t="shared" si="440"/>
        <v>0</v>
      </c>
      <c r="BM45" s="38">
        <f t="shared" ref="BM45" si="441">SUM(BM43:BM44)</f>
        <v>0</v>
      </c>
    </row>
    <row r="46" spans="1:65" ht="14.15" customHeight="1">
      <c r="A46" s="436">
        <f t="shared" si="80"/>
        <v>40</v>
      </c>
      <c r="B46" s="83" t="s">
        <v>45</v>
      </c>
      <c r="C46" s="38">
        <f t="shared" si="402"/>
        <v>0</v>
      </c>
      <c r="D46" s="43">
        <f t="shared" ref="D46:L46" si="442">D223</f>
        <v>0</v>
      </c>
      <c r="E46" s="43">
        <f t="shared" si="442"/>
        <v>0</v>
      </c>
      <c r="F46" s="43">
        <f t="shared" si="442"/>
        <v>0</v>
      </c>
      <c r="G46" s="43">
        <f t="shared" si="442"/>
        <v>0</v>
      </c>
      <c r="H46" s="43">
        <f t="shared" si="442"/>
        <v>0</v>
      </c>
      <c r="I46" s="43">
        <f t="shared" si="442"/>
        <v>0</v>
      </c>
      <c r="J46" s="43">
        <f t="shared" si="442"/>
        <v>0</v>
      </c>
      <c r="K46" s="43">
        <f t="shared" ref="K46" si="443">K223</f>
        <v>0</v>
      </c>
      <c r="L46" s="43">
        <f t="shared" si="442"/>
        <v>0</v>
      </c>
      <c r="M46" s="43">
        <f t="shared" ref="M46:Y46" si="444">M223</f>
        <v>0</v>
      </c>
      <c r="N46" s="43">
        <f t="shared" si="444"/>
        <v>0</v>
      </c>
      <c r="O46" s="43">
        <f t="shared" si="444"/>
        <v>0</v>
      </c>
      <c r="P46" s="43">
        <f t="shared" si="444"/>
        <v>0</v>
      </c>
      <c r="Q46" s="43">
        <f t="shared" si="444"/>
        <v>0</v>
      </c>
      <c r="R46" s="43">
        <f t="shared" si="444"/>
        <v>0</v>
      </c>
      <c r="S46" s="43">
        <f t="shared" si="444"/>
        <v>0</v>
      </c>
      <c r="T46" s="43">
        <f>T223</f>
        <v>0</v>
      </c>
      <c r="U46" s="43">
        <f t="shared" si="444"/>
        <v>0</v>
      </c>
      <c r="V46" s="43">
        <f t="shared" si="444"/>
        <v>0</v>
      </c>
      <c r="W46" s="43">
        <f t="shared" si="444"/>
        <v>0</v>
      </c>
      <c r="X46" s="43">
        <f t="shared" si="444"/>
        <v>0</v>
      </c>
      <c r="Y46" s="43">
        <f t="shared" si="444"/>
        <v>0</v>
      </c>
      <c r="Z46" s="43">
        <f t="shared" ref="Z46:AE46" si="445">Z223</f>
        <v>0</v>
      </c>
      <c r="AA46" s="43">
        <f t="shared" si="445"/>
        <v>0</v>
      </c>
      <c r="AB46" s="43">
        <f t="shared" si="445"/>
        <v>0</v>
      </c>
      <c r="AC46" s="43">
        <f t="shared" ref="AC46" si="446">AC223</f>
        <v>0</v>
      </c>
      <c r="AD46" s="43">
        <f t="shared" si="445"/>
        <v>0</v>
      </c>
      <c r="AE46" s="43">
        <f t="shared" si="445"/>
        <v>0</v>
      </c>
      <c r="AF46" s="43">
        <f t="shared" ref="AF46:AI46" si="447">AF223</f>
        <v>0</v>
      </c>
      <c r="AG46" s="43">
        <f t="shared" si="447"/>
        <v>0</v>
      </c>
      <c r="AH46" s="43">
        <f t="shared" si="447"/>
        <v>0</v>
      </c>
      <c r="AI46" s="43">
        <f t="shared" si="447"/>
        <v>0</v>
      </c>
      <c r="AJ46" s="43">
        <f>AJ223</f>
        <v>0</v>
      </c>
      <c r="AK46" s="43">
        <f>AK223</f>
        <v>0</v>
      </c>
      <c r="AL46" s="43">
        <f>AL223</f>
        <v>0</v>
      </c>
      <c r="AM46" s="43">
        <f t="shared" ref="AM46:AW46" si="448">AM223</f>
        <v>0</v>
      </c>
      <c r="AN46" s="43">
        <f t="shared" si="448"/>
        <v>0</v>
      </c>
      <c r="AO46" s="43">
        <f t="shared" si="448"/>
        <v>0</v>
      </c>
      <c r="AP46" s="43">
        <f>AP223</f>
        <v>0</v>
      </c>
      <c r="AQ46" s="43">
        <f t="shared" ref="AQ46:AT46" si="449">AQ223</f>
        <v>0</v>
      </c>
      <c r="AR46" s="43">
        <f t="shared" si="449"/>
        <v>0</v>
      </c>
      <c r="AS46" s="43">
        <f t="shared" si="449"/>
        <v>0</v>
      </c>
      <c r="AT46" s="43">
        <f t="shared" si="449"/>
        <v>0</v>
      </c>
      <c r="AU46" s="43">
        <f>AU223</f>
        <v>0</v>
      </c>
      <c r="AV46" s="43">
        <f t="shared" si="448"/>
        <v>0</v>
      </c>
      <c r="AW46" s="43">
        <f t="shared" si="448"/>
        <v>0</v>
      </c>
      <c r="AX46" s="43">
        <f>AX223</f>
        <v>0</v>
      </c>
      <c r="AY46" s="43">
        <f>AY223</f>
        <v>0</v>
      </c>
      <c r="AZ46" s="43">
        <f t="shared" ref="AZ46:BA46" si="450">AZ223</f>
        <v>0</v>
      </c>
      <c r="BA46" s="43">
        <f t="shared" si="450"/>
        <v>0</v>
      </c>
      <c r="BB46" s="43">
        <f>BB223</f>
        <v>0</v>
      </c>
      <c r="BC46" s="43">
        <f>BC223</f>
        <v>0</v>
      </c>
      <c r="BD46" s="43">
        <f t="shared" ref="BD46" si="451">BD223</f>
        <v>0</v>
      </c>
      <c r="BE46" s="43">
        <f>BE223</f>
        <v>0</v>
      </c>
      <c r="BF46" s="43">
        <f>BF223</f>
        <v>0</v>
      </c>
      <c r="BG46" s="43">
        <f>BG223</f>
        <v>0</v>
      </c>
      <c r="BH46" s="43">
        <f>BH223</f>
        <v>0</v>
      </c>
      <c r="BI46" s="43">
        <f t="shared" ref="BI46" si="452">BI223</f>
        <v>0</v>
      </c>
      <c r="BJ46" s="43">
        <f t="shared" ref="BJ46:BL46" si="453">BJ223</f>
        <v>0</v>
      </c>
      <c r="BK46" s="43">
        <f t="shared" si="453"/>
        <v>0</v>
      </c>
      <c r="BL46" s="43">
        <f t="shared" si="453"/>
        <v>0</v>
      </c>
      <c r="BM46" s="43">
        <f t="shared" ref="BM46" si="454">BM223</f>
        <v>0</v>
      </c>
    </row>
    <row r="47" spans="1:65" ht="14.15" customHeight="1">
      <c r="A47" s="436">
        <f t="shared" si="80"/>
        <v>41</v>
      </c>
      <c r="B47" s="83" t="s">
        <v>373</v>
      </c>
      <c r="C47" s="38">
        <f t="shared" si="402"/>
        <v>-50996881.07</v>
      </c>
      <c r="D47" s="43">
        <f t="shared" ref="D47:L47" si="455">D234+D235</f>
        <v>0</v>
      </c>
      <c r="E47" s="43">
        <f t="shared" si="455"/>
        <v>0</v>
      </c>
      <c r="F47" s="43">
        <f t="shared" si="455"/>
        <v>0</v>
      </c>
      <c r="G47" s="43">
        <f t="shared" si="455"/>
        <v>0</v>
      </c>
      <c r="H47" s="43">
        <f t="shared" si="455"/>
        <v>0</v>
      </c>
      <c r="I47" s="43">
        <f t="shared" si="455"/>
        <v>0</v>
      </c>
      <c r="J47" s="43">
        <f t="shared" si="455"/>
        <v>0</v>
      </c>
      <c r="K47" s="43">
        <f t="shared" ref="K47" si="456">K234+K235</f>
        <v>0</v>
      </c>
      <c r="L47" s="43">
        <f t="shared" si="455"/>
        <v>0</v>
      </c>
      <c r="M47" s="43">
        <f t="shared" ref="M47:Y47" si="457">M234+M235</f>
        <v>0</v>
      </c>
      <c r="N47" s="43">
        <f t="shared" si="457"/>
        <v>0</v>
      </c>
      <c r="O47" s="43">
        <f t="shared" si="457"/>
        <v>0</v>
      </c>
      <c r="P47" s="43">
        <f t="shared" si="457"/>
        <v>0</v>
      </c>
      <c r="Q47" s="43">
        <f t="shared" si="457"/>
        <v>0</v>
      </c>
      <c r="R47" s="43">
        <f t="shared" si="457"/>
        <v>0</v>
      </c>
      <c r="S47" s="43">
        <f t="shared" si="457"/>
        <v>0</v>
      </c>
      <c r="T47" s="43">
        <f>T234+T235</f>
        <v>0</v>
      </c>
      <c r="U47" s="43">
        <f t="shared" si="457"/>
        <v>0</v>
      </c>
      <c r="V47" s="43">
        <f t="shared" si="457"/>
        <v>0</v>
      </c>
      <c r="W47" s="43">
        <f t="shared" si="457"/>
        <v>0</v>
      </c>
      <c r="X47" s="43">
        <f t="shared" si="457"/>
        <v>0</v>
      </c>
      <c r="Y47" s="43">
        <f t="shared" si="457"/>
        <v>0</v>
      </c>
      <c r="Z47" s="43">
        <f t="shared" ref="Z47:AE47" si="458">Z234+Z235</f>
        <v>0</v>
      </c>
      <c r="AA47" s="43">
        <f t="shared" si="458"/>
        <v>0</v>
      </c>
      <c r="AB47" s="43">
        <f t="shared" si="458"/>
        <v>0</v>
      </c>
      <c r="AC47" s="43">
        <f t="shared" ref="AC47" si="459">AC234+AC235</f>
        <v>0</v>
      </c>
      <c r="AD47" s="43">
        <f t="shared" si="458"/>
        <v>0</v>
      </c>
      <c r="AE47" s="43">
        <f t="shared" si="458"/>
        <v>0</v>
      </c>
      <c r="AF47" s="43">
        <f t="shared" ref="AF47:AI47" si="460">AF234+AF235</f>
        <v>0</v>
      </c>
      <c r="AG47" s="43">
        <f t="shared" si="460"/>
        <v>0</v>
      </c>
      <c r="AH47" s="43">
        <f t="shared" si="460"/>
        <v>0</v>
      </c>
      <c r="AI47" s="43">
        <f t="shared" si="460"/>
        <v>0</v>
      </c>
      <c r="AJ47" s="43">
        <f>AJ234+AJ235</f>
        <v>0</v>
      </c>
      <c r="AK47" s="43">
        <f>AK234+AK235</f>
        <v>0</v>
      </c>
      <c r="AL47" s="43">
        <f>AL234+AL235</f>
        <v>0</v>
      </c>
      <c r="AM47" s="43">
        <f t="shared" ref="AM47:AW47" si="461">AM234+AM235</f>
        <v>0</v>
      </c>
      <c r="AN47" s="43">
        <f t="shared" si="461"/>
        <v>0</v>
      </c>
      <c r="AO47" s="43">
        <f t="shared" si="461"/>
        <v>0</v>
      </c>
      <c r="AP47" s="43">
        <f>AP234+AP235</f>
        <v>0</v>
      </c>
      <c r="AQ47" s="43">
        <f t="shared" ref="AQ47:AT47" si="462">AQ234+AQ235</f>
        <v>0</v>
      </c>
      <c r="AR47" s="43">
        <f t="shared" si="462"/>
        <v>0</v>
      </c>
      <c r="AS47" s="43">
        <f t="shared" si="462"/>
        <v>0</v>
      </c>
      <c r="AT47" s="43">
        <f t="shared" si="462"/>
        <v>0</v>
      </c>
      <c r="AU47" s="43">
        <f>AU234+AU235</f>
        <v>0</v>
      </c>
      <c r="AV47" s="43">
        <f t="shared" si="461"/>
        <v>0</v>
      </c>
      <c r="AW47" s="43">
        <f t="shared" si="461"/>
        <v>0</v>
      </c>
      <c r="AX47" s="43">
        <f>AX234+AX235</f>
        <v>0</v>
      </c>
      <c r="AY47" s="43">
        <f>AY234+AY235</f>
        <v>0</v>
      </c>
      <c r="AZ47" s="43">
        <f t="shared" ref="AZ47:BA47" si="463">AZ234+AZ235</f>
        <v>0</v>
      </c>
      <c r="BA47" s="43">
        <f t="shared" si="463"/>
        <v>0</v>
      </c>
      <c r="BB47" s="43">
        <f>BB234+BB235</f>
        <v>0</v>
      </c>
      <c r="BC47" s="43">
        <f>BC234+BC235</f>
        <v>0</v>
      </c>
      <c r="BD47" s="43">
        <f t="shared" ref="BD47" si="464">BD234+BD235</f>
        <v>0</v>
      </c>
      <c r="BE47" s="43">
        <f>BE234+BE235</f>
        <v>0</v>
      </c>
      <c r="BF47" s="43">
        <f>BF234+BF235</f>
        <v>0</v>
      </c>
      <c r="BG47" s="43">
        <f>BG234+BG235</f>
        <v>0</v>
      </c>
      <c r="BH47" s="43">
        <f>BH234+BH235</f>
        <v>0</v>
      </c>
      <c r="BI47" s="43">
        <f t="shared" ref="BI47" si="465">BI234+BI235</f>
        <v>0</v>
      </c>
      <c r="BJ47" s="43">
        <f t="shared" ref="BJ47:BL47" si="466">BJ234+BJ235</f>
        <v>-50996881.07</v>
      </c>
      <c r="BK47" s="43">
        <f t="shared" si="466"/>
        <v>0</v>
      </c>
      <c r="BL47" s="43">
        <f t="shared" si="466"/>
        <v>0</v>
      </c>
      <c r="BM47" s="43">
        <f t="shared" ref="BM47" si="467">BM234+BM235</f>
        <v>0</v>
      </c>
    </row>
    <row r="48" spans="1:65" ht="14.15" customHeight="1">
      <c r="A48" s="436">
        <f t="shared" si="80"/>
        <v>42</v>
      </c>
      <c r="B48" s="83" t="s">
        <v>374</v>
      </c>
      <c r="C48" s="38">
        <f t="shared" si="402"/>
        <v>-18134678</v>
      </c>
      <c r="D48" s="43">
        <f t="shared" ref="D48:L48" si="468">SUM(D226:D230)</f>
        <v>0</v>
      </c>
      <c r="E48" s="43">
        <f t="shared" si="468"/>
        <v>0</v>
      </c>
      <c r="F48" s="43">
        <f t="shared" si="468"/>
        <v>0</v>
      </c>
      <c r="G48" s="43">
        <f t="shared" si="468"/>
        <v>-1844518</v>
      </c>
      <c r="H48" s="43">
        <f t="shared" si="468"/>
        <v>0</v>
      </c>
      <c r="I48" s="43">
        <f t="shared" si="468"/>
        <v>0</v>
      </c>
      <c r="J48" s="43">
        <f t="shared" si="468"/>
        <v>0</v>
      </c>
      <c r="K48" s="43">
        <f t="shared" ref="K48" si="469">SUM(K226:K230)</f>
        <v>0</v>
      </c>
      <c r="L48" s="43">
        <f t="shared" si="468"/>
        <v>0</v>
      </c>
      <c r="M48" s="43">
        <f t="shared" ref="M48:Y48" si="470">SUM(M226:M230)</f>
        <v>0</v>
      </c>
      <c r="N48" s="43">
        <f t="shared" si="470"/>
        <v>0</v>
      </c>
      <c r="O48" s="43">
        <f t="shared" si="470"/>
        <v>0</v>
      </c>
      <c r="P48" s="43">
        <f t="shared" si="470"/>
        <v>0</v>
      </c>
      <c r="Q48" s="43">
        <f t="shared" si="470"/>
        <v>0</v>
      </c>
      <c r="R48" s="43">
        <f t="shared" si="470"/>
        <v>0</v>
      </c>
      <c r="S48" s="43">
        <f t="shared" si="470"/>
        <v>0</v>
      </c>
      <c r="T48" s="43">
        <f>SUM(T226:T230)</f>
        <v>0</v>
      </c>
      <c r="U48" s="43">
        <f t="shared" si="470"/>
        <v>0</v>
      </c>
      <c r="V48" s="43">
        <f t="shared" si="470"/>
        <v>0</v>
      </c>
      <c r="W48" s="43">
        <f t="shared" si="470"/>
        <v>0</v>
      </c>
      <c r="X48" s="43">
        <f t="shared" si="470"/>
        <v>0</v>
      </c>
      <c r="Y48" s="43">
        <f t="shared" si="470"/>
        <v>0</v>
      </c>
      <c r="Z48" s="43">
        <f t="shared" ref="Z48:AE48" si="471">SUM(Z226:Z230)</f>
        <v>0</v>
      </c>
      <c r="AA48" s="43">
        <f t="shared" si="471"/>
        <v>0</v>
      </c>
      <c r="AB48" s="43">
        <f t="shared" si="471"/>
        <v>0</v>
      </c>
      <c r="AC48" s="43">
        <f t="shared" ref="AC48" si="472">SUM(AC226:AC230)</f>
        <v>0</v>
      </c>
      <c r="AD48" s="43">
        <f t="shared" si="471"/>
        <v>0</v>
      </c>
      <c r="AE48" s="43">
        <f t="shared" si="471"/>
        <v>0</v>
      </c>
      <c r="AF48" s="43">
        <f t="shared" ref="AF48:AI48" si="473">SUM(AF226:AF230)</f>
        <v>0</v>
      </c>
      <c r="AG48" s="43">
        <f t="shared" si="473"/>
        <v>0</v>
      </c>
      <c r="AH48" s="43">
        <f t="shared" si="473"/>
        <v>0</v>
      </c>
      <c r="AI48" s="43">
        <f t="shared" si="473"/>
        <v>0</v>
      </c>
      <c r="AJ48" s="43">
        <f>SUM(AJ226:AJ230)</f>
        <v>0</v>
      </c>
      <c r="AK48" s="43">
        <f>SUM(AK226:AK230)</f>
        <v>-16290160</v>
      </c>
      <c r="AL48" s="43">
        <f>SUM(AL226:AL230)</f>
        <v>0</v>
      </c>
      <c r="AM48" s="43">
        <f t="shared" ref="AM48:AW48" si="474">SUM(AM226:AM230)</f>
        <v>0</v>
      </c>
      <c r="AN48" s="43">
        <f t="shared" si="474"/>
        <v>0</v>
      </c>
      <c r="AO48" s="43">
        <f t="shared" si="474"/>
        <v>0</v>
      </c>
      <c r="AP48" s="43">
        <f>SUM(AP226:AP230)</f>
        <v>0</v>
      </c>
      <c r="AQ48" s="43">
        <f t="shared" ref="AQ48:AT48" si="475">SUM(AQ226:AQ230)</f>
        <v>0</v>
      </c>
      <c r="AR48" s="43">
        <f t="shared" si="475"/>
        <v>0</v>
      </c>
      <c r="AS48" s="43">
        <f t="shared" si="475"/>
        <v>0</v>
      </c>
      <c r="AT48" s="43">
        <f t="shared" si="475"/>
        <v>0</v>
      </c>
      <c r="AU48" s="43">
        <f>SUM(AU226:AU230)</f>
        <v>0</v>
      </c>
      <c r="AV48" s="43">
        <f t="shared" si="474"/>
        <v>0</v>
      </c>
      <c r="AW48" s="43">
        <f t="shared" si="474"/>
        <v>0</v>
      </c>
      <c r="AX48" s="43">
        <f>SUM(AX226:AX230)</f>
        <v>0</v>
      </c>
      <c r="AY48" s="43">
        <f>SUM(AY226:AY230)</f>
        <v>0</v>
      </c>
      <c r="AZ48" s="43">
        <f t="shared" ref="AZ48:BA48" si="476">SUM(AZ226:AZ230)</f>
        <v>0</v>
      </c>
      <c r="BA48" s="43">
        <f t="shared" si="476"/>
        <v>0</v>
      </c>
      <c r="BB48" s="43">
        <f>SUM(BB226:BB230)</f>
        <v>0</v>
      </c>
      <c r="BC48" s="43">
        <f>SUM(BC226:BC230)</f>
        <v>0</v>
      </c>
      <c r="BD48" s="43">
        <f t="shared" ref="BD48" si="477">SUM(BD226:BD230)</f>
        <v>0</v>
      </c>
      <c r="BE48" s="43">
        <f>SUM(BE226:BE230)</f>
        <v>0</v>
      </c>
      <c r="BF48" s="43">
        <f>SUM(BF226:BF230)</f>
        <v>0</v>
      </c>
      <c r="BG48" s="43">
        <f>SUM(BG226:BG230)</f>
        <v>0</v>
      </c>
      <c r="BH48" s="43">
        <f>SUM(BH226:BH230)</f>
        <v>0</v>
      </c>
      <c r="BI48" s="43">
        <f t="shared" ref="BI48" si="478">SUM(BI226:BI230)</f>
        <v>0</v>
      </c>
      <c r="BJ48" s="43">
        <f t="shared" ref="BJ48:BL48" si="479">SUM(BJ226:BJ230)</f>
        <v>0</v>
      </c>
      <c r="BK48" s="43">
        <f t="shared" si="479"/>
        <v>0</v>
      </c>
      <c r="BL48" s="43">
        <f t="shared" si="479"/>
        <v>0</v>
      </c>
      <c r="BM48" s="43">
        <f t="shared" ref="BM48" si="480">SUM(BM226:BM230)</f>
        <v>0</v>
      </c>
    </row>
    <row r="49" spans="1:65" ht="14.15" customHeight="1">
      <c r="A49" s="436">
        <f t="shared" si="80"/>
        <v>43</v>
      </c>
      <c r="B49" s="83" t="s">
        <v>375</v>
      </c>
      <c r="C49" s="38">
        <f t="shared" si="402"/>
        <v>-72923158.403071955</v>
      </c>
      <c r="D49" s="43">
        <f t="shared" ref="D49:L49" si="481">D438</f>
        <v>0</v>
      </c>
      <c r="E49" s="43">
        <f t="shared" si="481"/>
        <v>0</v>
      </c>
      <c r="F49" s="43">
        <f t="shared" si="481"/>
        <v>0</v>
      </c>
      <c r="G49" s="43">
        <f t="shared" si="481"/>
        <v>0</v>
      </c>
      <c r="H49" s="43">
        <f t="shared" si="481"/>
        <v>0</v>
      </c>
      <c r="I49" s="43">
        <f t="shared" si="481"/>
        <v>0</v>
      </c>
      <c r="J49" s="43">
        <f t="shared" si="481"/>
        <v>0</v>
      </c>
      <c r="K49" s="43">
        <f t="shared" ref="K49" si="482">K438</f>
        <v>0</v>
      </c>
      <c r="L49" s="43">
        <f t="shared" si="481"/>
        <v>0</v>
      </c>
      <c r="M49" s="43">
        <f t="shared" ref="M49:Y49" si="483">M438</f>
        <v>0</v>
      </c>
      <c r="N49" s="43">
        <f t="shared" si="483"/>
        <v>0</v>
      </c>
      <c r="O49" s="43">
        <f t="shared" si="483"/>
        <v>0</v>
      </c>
      <c r="P49" s="43">
        <f t="shared" si="483"/>
        <v>0</v>
      </c>
      <c r="Q49" s="43">
        <f t="shared" si="483"/>
        <v>0</v>
      </c>
      <c r="R49" s="43">
        <f t="shared" si="483"/>
        <v>0</v>
      </c>
      <c r="S49" s="43">
        <f t="shared" si="483"/>
        <v>0</v>
      </c>
      <c r="T49" s="43">
        <f>T438</f>
        <v>0</v>
      </c>
      <c r="U49" s="43">
        <f t="shared" si="483"/>
        <v>0</v>
      </c>
      <c r="V49" s="43">
        <f t="shared" si="483"/>
        <v>0</v>
      </c>
      <c r="W49" s="43">
        <f t="shared" si="483"/>
        <v>0</v>
      </c>
      <c r="X49" s="43">
        <f t="shared" si="483"/>
        <v>0</v>
      </c>
      <c r="Y49" s="43">
        <f t="shared" si="483"/>
        <v>0</v>
      </c>
      <c r="Z49" s="43">
        <f t="shared" ref="Z49:AE49" si="484">Z438</f>
        <v>0</v>
      </c>
      <c r="AA49" s="43">
        <f t="shared" si="484"/>
        <v>0</v>
      </c>
      <c r="AB49" s="43">
        <f t="shared" si="484"/>
        <v>0</v>
      </c>
      <c r="AC49" s="43">
        <f t="shared" ref="AC49" si="485">AC438</f>
        <v>0</v>
      </c>
      <c r="AD49" s="43">
        <f t="shared" si="484"/>
        <v>0</v>
      </c>
      <c r="AE49" s="43">
        <f t="shared" si="484"/>
        <v>0</v>
      </c>
      <c r="AF49" s="43">
        <f t="shared" ref="AF49:AI49" si="486">AF438</f>
        <v>0</v>
      </c>
      <c r="AG49" s="43">
        <f t="shared" si="486"/>
        <v>0</v>
      </c>
      <c r="AH49" s="43">
        <f t="shared" si="486"/>
        <v>0</v>
      </c>
      <c r="AI49" s="43">
        <f t="shared" si="486"/>
        <v>0</v>
      </c>
      <c r="AJ49" s="43">
        <f>AJ438</f>
        <v>0</v>
      </c>
      <c r="AK49" s="43">
        <f>AK438</f>
        <v>0</v>
      </c>
      <c r="AL49" s="43">
        <f>AL438</f>
        <v>0</v>
      </c>
      <c r="AM49" s="43">
        <f t="shared" ref="AM49:AW49" si="487">AM438</f>
        <v>0</v>
      </c>
      <c r="AN49" s="43">
        <f t="shared" si="487"/>
        <v>0</v>
      </c>
      <c r="AO49" s="43">
        <f t="shared" si="487"/>
        <v>0</v>
      </c>
      <c r="AP49" s="43">
        <f>AP438</f>
        <v>0</v>
      </c>
      <c r="AQ49" s="43">
        <f t="shared" ref="AQ49:AT49" si="488">AQ438</f>
        <v>0</v>
      </c>
      <c r="AR49" s="43">
        <f t="shared" si="488"/>
        <v>0</v>
      </c>
      <c r="AS49" s="43">
        <f t="shared" si="488"/>
        <v>0</v>
      </c>
      <c r="AT49" s="43">
        <f t="shared" si="488"/>
        <v>0</v>
      </c>
      <c r="AU49" s="43">
        <f>AU438</f>
        <v>0</v>
      </c>
      <c r="AV49" s="43">
        <f t="shared" si="487"/>
        <v>0</v>
      </c>
      <c r="AW49" s="43">
        <f t="shared" si="487"/>
        <v>0</v>
      </c>
      <c r="AX49" s="43">
        <f>AX438</f>
        <v>0</v>
      </c>
      <c r="AY49" s="43">
        <f>AY438</f>
        <v>0</v>
      </c>
      <c r="AZ49" s="43">
        <f t="shared" ref="AZ49:BA49" si="489">AZ438</f>
        <v>0</v>
      </c>
      <c r="BA49" s="43">
        <f t="shared" si="489"/>
        <v>0</v>
      </c>
      <c r="BB49" s="43">
        <f>BB438</f>
        <v>0</v>
      </c>
      <c r="BC49" s="43">
        <f>BC438</f>
        <v>0</v>
      </c>
      <c r="BD49" s="43">
        <f t="shared" ref="BD49" si="490">BD438</f>
        <v>0</v>
      </c>
      <c r="BE49" s="43">
        <f>BE438</f>
        <v>0</v>
      </c>
      <c r="BF49" s="43">
        <f>BF438</f>
        <v>0</v>
      </c>
      <c r="BG49" s="43">
        <f>BG438</f>
        <v>-72923158.403071955</v>
      </c>
      <c r="BH49" s="43">
        <f>BH438</f>
        <v>0</v>
      </c>
      <c r="BI49" s="43">
        <f t="shared" ref="BI49" si="491">BI438</f>
        <v>0</v>
      </c>
      <c r="BJ49" s="43">
        <f t="shared" ref="BJ49:BL49" si="492">BJ438</f>
        <v>0</v>
      </c>
      <c r="BK49" s="43">
        <f t="shared" si="492"/>
        <v>0</v>
      </c>
      <c r="BL49" s="43">
        <f t="shared" si="492"/>
        <v>0</v>
      </c>
      <c r="BM49" s="43">
        <f t="shared" ref="BM49" si="493">BM438</f>
        <v>0</v>
      </c>
    </row>
    <row r="50" spans="1:65" ht="14.15" customHeight="1">
      <c r="A50" s="436">
        <f t="shared" si="80"/>
        <v>44</v>
      </c>
      <c r="B50" s="83" t="s">
        <v>44</v>
      </c>
      <c r="C50" s="38">
        <f t="shared" si="402"/>
        <v>-11100396</v>
      </c>
      <c r="D50" s="43">
        <f t="shared" ref="D50:L50" si="494">D200+D204+D208+D212</f>
        <v>0</v>
      </c>
      <c r="E50" s="43">
        <f t="shared" si="494"/>
        <v>0</v>
      </c>
      <c r="F50" s="43">
        <f t="shared" si="494"/>
        <v>0</v>
      </c>
      <c r="G50" s="43">
        <f t="shared" si="494"/>
        <v>-11100396</v>
      </c>
      <c r="H50" s="43">
        <f t="shared" si="494"/>
        <v>0</v>
      </c>
      <c r="I50" s="43">
        <f t="shared" si="494"/>
        <v>0</v>
      </c>
      <c r="J50" s="43">
        <f t="shared" si="494"/>
        <v>0</v>
      </c>
      <c r="K50" s="43">
        <f t="shared" ref="K50" si="495">K200+K204+K208+K212</f>
        <v>0</v>
      </c>
      <c r="L50" s="43">
        <f t="shared" si="494"/>
        <v>0</v>
      </c>
      <c r="M50" s="43">
        <f t="shared" ref="M50:Y50" si="496">M200+M204+M208+M212</f>
        <v>0</v>
      </c>
      <c r="N50" s="43">
        <f t="shared" si="496"/>
        <v>0</v>
      </c>
      <c r="O50" s="43">
        <f t="shared" si="496"/>
        <v>0</v>
      </c>
      <c r="P50" s="43">
        <f t="shared" si="496"/>
        <v>0</v>
      </c>
      <c r="Q50" s="43">
        <f t="shared" si="496"/>
        <v>0</v>
      </c>
      <c r="R50" s="43">
        <f t="shared" si="496"/>
        <v>0</v>
      </c>
      <c r="S50" s="43">
        <f t="shared" si="496"/>
        <v>0</v>
      </c>
      <c r="T50" s="43">
        <f>T200+T204+T208+T212</f>
        <v>0</v>
      </c>
      <c r="U50" s="43">
        <f t="shared" si="496"/>
        <v>0</v>
      </c>
      <c r="V50" s="43">
        <f t="shared" si="496"/>
        <v>0</v>
      </c>
      <c r="W50" s="43">
        <f t="shared" si="496"/>
        <v>0</v>
      </c>
      <c r="X50" s="43">
        <f t="shared" si="496"/>
        <v>0</v>
      </c>
      <c r="Y50" s="43">
        <f t="shared" si="496"/>
        <v>0</v>
      </c>
      <c r="Z50" s="43">
        <f t="shared" ref="Z50:AE50" si="497">Z200+Z204+Z208+Z212</f>
        <v>0</v>
      </c>
      <c r="AA50" s="43">
        <f t="shared" si="497"/>
        <v>0</v>
      </c>
      <c r="AB50" s="43">
        <f t="shared" si="497"/>
        <v>0</v>
      </c>
      <c r="AC50" s="43">
        <f t="shared" ref="AC50" si="498">AC200+AC204+AC208+AC212</f>
        <v>0</v>
      </c>
      <c r="AD50" s="43">
        <f t="shared" si="497"/>
        <v>0</v>
      </c>
      <c r="AE50" s="43">
        <f t="shared" si="497"/>
        <v>0</v>
      </c>
      <c r="AF50" s="43">
        <f t="shared" ref="AF50:AI50" si="499">AF200+AF204+AF208+AF212</f>
        <v>0</v>
      </c>
      <c r="AG50" s="43">
        <f t="shared" si="499"/>
        <v>0</v>
      </c>
      <c r="AH50" s="43">
        <f t="shared" si="499"/>
        <v>0</v>
      </c>
      <c r="AI50" s="43">
        <f t="shared" si="499"/>
        <v>0</v>
      </c>
      <c r="AJ50" s="43">
        <f>AJ200+AJ204+AJ208+AJ212</f>
        <v>0</v>
      </c>
      <c r="AK50" s="43">
        <f>AK200+AK204+AK208+AK212</f>
        <v>0</v>
      </c>
      <c r="AL50" s="43">
        <f>AL200+AL204+AL208+AL212</f>
        <v>0</v>
      </c>
      <c r="AM50" s="43">
        <f t="shared" ref="AM50:AW50" si="500">AM200+AM204+AM208+AM212</f>
        <v>0</v>
      </c>
      <c r="AN50" s="43">
        <f t="shared" si="500"/>
        <v>0</v>
      </c>
      <c r="AO50" s="43">
        <f t="shared" si="500"/>
        <v>0</v>
      </c>
      <c r="AP50" s="43">
        <f>AP200+AP204+AP208+AP212</f>
        <v>0</v>
      </c>
      <c r="AQ50" s="43">
        <f t="shared" ref="AQ50:AT50" si="501">AQ200+AQ204+AQ208+AQ212</f>
        <v>0</v>
      </c>
      <c r="AR50" s="43">
        <f t="shared" si="501"/>
        <v>0</v>
      </c>
      <c r="AS50" s="43">
        <f t="shared" si="501"/>
        <v>0</v>
      </c>
      <c r="AT50" s="43">
        <f t="shared" si="501"/>
        <v>0</v>
      </c>
      <c r="AU50" s="43">
        <f>AU200+AU204+AU208+AU212</f>
        <v>0</v>
      </c>
      <c r="AV50" s="43">
        <f t="shared" si="500"/>
        <v>0</v>
      </c>
      <c r="AW50" s="43">
        <f t="shared" si="500"/>
        <v>0</v>
      </c>
      <c r="AX50" s="43">
        <f>AX200+AX204+AX208+AX212</f>
        <v>0</v>
      </c>
      <c r="AY50" s="43">
        <f>AY200+AY204+AY208+AY212</f>
        <v>0</v>
      </c>
      <c r="AZ50" s="43">
        <f t="shared" ref="AZ50:BA50" si="502">AZ200+AZ204+AZ208+AZ212</f>
        <v>0</v>
      </c>
      <c r="BA50" s="43">
        <f t="shared" si="502"/>
        <v>0</v>
      </c>
      <c r="BB50" s="43">
        <f>BB200+BB204+BB208+BB212</f>
        <v>0</v>
      </c>
      <c r="BC50" s="43">
        <f>BC200+BC204+BC208+BC212</f>
        <v>0</v>
      </c>
      <c r="BD50" s="43">
        <f t="shared" ref="BD50" si="503">BD200+BD204+BD208+BD212</f>
        <v>0</v>
      </c>
      <c r="BE50" s="43">
        <f>BE200+BE204+BE208+BE212</f>
        <v>0</v>
      </c>
      <c r="BF50" s="43">
        <f>BF200+BF204+BF208+BF212</f>
        <v>0</v>
      </c>
      <c r="BG50" s="43">
        <f>BG200+BG204+BG208+BG212</f>
        <v>0</v>
      </c>
      <c r="BH50" s="43">
        <f>BH200+BH204+BH208+BH212</f>
        <v>0</v>
      </c>
      <c r="BI50" s="43">
        <f t="shared" ref="BI50" si="504">BI200+BI204+BI208+BI212</f>
        <v>0</v>
      </c>
      <c r="BJ50" s="43">
        <f t="shared" ref="BJ50:BL50" si="505">BJ200+BJ204+BJ208+BJ212</f>
        <v>0</v>
      </c>
      <c r="BK50" s="43">
        <f t="shared" si="505"/>
        <v>0</v>
      </c>
      <c r="BL50" s="43">
        <f t="shared" si="505"/>
        <v>0</v>
      </c>
      <c r="BM50" s="43">
        <f t="shared" ref="BM50" si="506">BM200+BM204+BM208+BM212</f>
        <v>0</v>
      </c>
    </row>
    <row r="51" spans="1:65" ht="14.15" customHeight="1">
      <c r="A51" s="436">
        <f t="shared" si="80"/>
        <v>45</v>
      </c>
      <c r="B51" s="83" t="s">
        <v>377</v>
      </c>
      <c r="C51" s="38">
        <f t="shared" si="402"/>
        <v>0</v>
      </c>
      <c r="D51" s="43">
        <f>(D243+D244+D245)</f>
        <v>0</v>
      </c>
      <c r="E51" s="43">
        <f t="shared" ref="E51:BL51" si="507">(E243+E244+E245)</f>
        <v>0</v>
      </c>
      <c r="F51" s="43">
        <f t="shared" si="507"/>
        <v>0</v>
      </c>
      <c r="G51" s="43">
        <f t="shared" si="507"/>
        <v>0</v>
      </c>
      <c r="H51" s="43">
        <f t="shared" si="507"/>
        <v>0</v>
      </c>
      <c r="I51" s="43">
        <f t="shared" si="507"/>
        <v>0</v>
      </c>
      <c r="J51" s="43">
        <f t="shared" si="507"/>
        <v>0</v>
      </c>
      <c r="K51" s="43">
        <f t="shared" ref="K51" si="508">(K243+K244+K245)</f>
        <v>0</v>
      </c>
      <c r="L51" s="43">
        <f t="shared" si="507"/>
        <v>0</v>
      </c>
      <c r="M51" s="43">
        <f t="shared" si="507"/>
        <v>0</v>
      </c>
      <c r="N51" s="43">
        <f t="shared" si="507"/>
        <v>0</v>
      </c>
      <c r="O51" s="43">
        <f t="shared" si="507"/>
        <v>0</v>
      </c>
      <c r="P51" s="43">
        <f t="shared" si="507"/>
        <v>0</v>
      </c>
      <c r="Q51" s="43">
        <f t="shared" si="507"/>
        <v>0</v>
      </c>
      <c r="R51" s="43">
        <f t="shared" si="507"/>
        <v>0</v>
      </c>
      <c r="S51" s="43">
        <f t="shared" si="507"/>
        <v>0</v>
      </c>
      <c r="T51" s="43">
        <f t="shared" si="507"/>
        <v>0</v>
      </c>
      <c r="U51" s="43">
        <f t="shared" si="507"/>
        <v>0</v>
      </c>
      <c r="V51" s="43">
        <f t="shared" si="507"/>
        <v>0</v>
      </c>
      <c r="W51" s="43">
        <f t="shared" si="507"/>
        <v>0</v>
      </c>
      <c r="X51" s="43">
        <f t="shared" si="507"/>
        <v>0</v>
      </c>
      <c r="Y51" s="43">
        <f t="shared" si="507"/>
        <v>0</v>
      </c>
      <c r="Z51" s="43">
        <f t="shared" si="507"/>
        <v>0</v>
      </c>
      <c r="AA51" s="43">
        <f t="shared" si="507"/>
        <v>0</v>
      </c>
      <c r="AB51" s="43">
        <f t="shared" si="507"/>
        <v>0</v>
      </c>
      <c r="AC51" s="43">
        <f t="shared" ref="AC51" si="509">(AC243+AC244+AC245)</f>
        <v>0</v>
      </c>
      <c r="AD51" s="43">
        <f t="shared" si="507"/>
        <v>0</v>
      </c>
      <c r="AE51" s="43">
        <f t="shared" si="507"/>
        <v>0</v>
      </c>
      <c r="AF51" s="43">
        <f t="shared" si="507"/>
        <v>0</v>
      </c>
      <c r="AG51" s="43">
        <f t="shared" si="507"/>
        <v>0</v>
      </c>
      <c r="AH51" s="43">
        <f t="shared" si="507"/>
        <v>0</v>
      </c>
      <c r="AI51" s="43">
        <f t="shared" si="507"/>
        <v>0</v>
      </c>
      <c r="AJ51" s="43">
        <f>(AJ243+AJ244+AJ245)</f>
        <v>0</v>
      </c>
      <c r="AK51" s="43">
        <f>(AK243+AK244+AK245)</f>
        <v>0</v>
      </c>
      <c r="AL51" s="43">
        <f>(AL243+AL244+AL245)</f>
        <v>0</v>
      </c>
      <c r="AM51" s="43">
        <f t="shared" si="507"/>
        <v>0</v>
      </c>
      <c r="AN51" s="43">
        <f t="shared" si="507"/>
        <v>0</v>
      </c>
      <c r="AO51" s="43">
        <f t="shared" si="507"/>
        <v>0</v>
      </c>
      <c r="AP51" s="43">
        <f>(AP243+AP244+AP245)</f>
        <v>0</v>
      </c>
      <c r="AQ51" s="43">
        <f t="shared" si="507"/>
        <v>0</v>
      </c>
      <c r="AR51" s="43">
        <f t="shared" si="507"/>
        <v>0</v>
      </c>
      <c r="AS51" s="43">
        <f t="shared" si="507"/>
        <v>0</v>
      </c>
      <c r="AT51" s="43">
        <f t="shared" si="507"/>
        <v>0</v>
      </c>
      <c r="AU51" s="43">
        <f t="shared" si="507"/>
        <v>0</v>
      </c>
      <c r="AV51" s="43">
        <f t="shared" si="507"/>
        <v>0</v>
      </c>
      <c r="AW51" s="43">
        <f t="shared" si="507"/>
        <v>0</v>
      </c>
      <c r="AX51" s="43">
        <f>(AX243+AX244+AX245)</f>
        <v>0</v>
      </c>
      <c r="AY51" s="43">
        <f>(AY243+AY244+AY245)</f>
        <v>0</v>
      </c>
      <c r="AZ51" s="43">
        <f t="shared" ref="AZ51:BA51" si="510">(AZ243+AZ244+AZ245)</f>
        <v>0</v>
      </c>
      <c r="BA51" s="43">
        <f t="shared" si="510"/>
        <v>0</v>
      </c>
      <c r="BB51" s="43">
        <f>(BB243+BB244+BB245)</f>
        <v>0</v>
      </c>
      <c r="BC51" s="43">
        <f>(BC243+BC244+BC245)</f>
        <v>0</v>
      </c>
      <c r="BD51" s="43">
        <f t="shared" ref="BD51" si="511">(BD243+BD244+BD245)</f>
        <v>0</v>
      </c>
      <c r="BE51" s="43">
        <f>(BE243+BE244+BE245)</f>
        <v>0</v>
      </c>
      <c r="BF51" s="43">
        <f>(BF243+BF244+BF245)</f>
        <v>0</v>
      </c>
      <c r="BG51" s="43">
        <f>(BG243+BG244+BG245)</f>
        <v>0</v>
      </c>
      <c r="BH51" s="43">
        <f t="shared" si="507"/>
        <v>0</v>
      </c>
      <c r="BI51" s="43">
        <f t="shared" si="507"/>
        <v>0</v>
      </c>
      <c r="BJ51" s="43">
        <f t="shared" si="507"/>
        <v>0</v>
      </c>
      <c r="BK51" s="43">
        <f t="shared" si="507"/>
        <v>0</v>
      </c>
      <c r="BL51" s="43">
        <f t="shared" si="507"/>
        <v>0</v>
      </c>
      <c r="BM51" s="43">
        <f t="shared" ref="BM51" si="512">(BM243+BM244+BM245)</f>
        <v>0</v>
      </c>
    </row>
    <row r="52" spans="1:65" ht="14.15" customHeight="1">
      <c r="A52" s="436">
        <f t="shared" si="80"/>
        <v>46</v>
      </c>
      <c r="B52" s="56" t="s">
        <v>46</v>
      </c>
      <c r="C52" s="198">
        <f t="shared" si="402"/>
        <v>68478082.195299998</v>
      </c>
      <c r="D52" s="64">
        <f t="shared" ref="D52:L52" si="513">D240</f>
        <v>0</v>
      </c>
      <c r="E52" s="64">
        <f t="shared" si="513"/>
        <v>0</v>
      </c>
      <c r="F52" s="64">
        <f t="shared" si="513"/>
        <v>0</v>
      </c>
      <c r="G52" s="64">
        <f t="shared" si="513"/>
        <v>39784726</v>
      </c>
      <c r="H52" s="64">
        <f t="shared" si="513"/>
        <v>0</v>
      </c>
      <c r="I52" s="64">
        <f t="shared" si="513"/>
        <v>0</v>
      </c>
      <c r="J52" s="64">
        <f t="shared" si="513"/>
        <v>0</v>
      </c>
      <c r="K52" s="64">
        <f t="shared" ref="K52" si="514">K240</f>
        <v>0</v>
      </c>
      <c r="L52" s="64">
        <f t="shared" si="513"/>
        <v>0</v>
      </c>
      <c r="M52" s="64">
        <f t="shared" ref="M52:Y52" si="515">M240</f>
        <v>0</v>
      </c>
      <c r="N52" s="64">
        <f t="shared" si="515"/>
        <v>0</v>
      </c>
      <c r="O52" s="64">
        <f t="shared" si="515"/>
        <v>0</v>
      </c>
      <c r="P52" s="64">
        <f t="shared" si="515"/>
        <v>0</v>
      </c>
      <c r="Q52" s="64">
        <f t="shared" si="515"/>
        <v>0</v>
      </c>
      <c r="R52" s="64">
        <f t="shared" si="515"/>
        <v>0</v>
      </c>
      <c r="S52" s="64">
        <f t="shared" si="515"/>
        <v>0</v>
      </c>
      <c r="T52" s="64">
        <f>T240</f>
        <v>0</v>
      </c>
      <c r="U52" s="64">
        <f t="shared" si="515"/>
        <v>0</v>
      </c>
      <c r="V52" s="64">
        <f t="shared" si="515"/>
        <v>0</v>
      </c>
      <c r="W52" s="64">
        <f t="shared" si="515"/>
        <v>0</v>
      </c>
      <c r="X52" s="64">
        <f t="shared" si="515"/>
        <v>0</v>
      </c>
      <c r="Y52" s="64">
        <f t="shared" si="515"/>
        <v>0</v>
      </c>
      <c r="Z52" s="64">
        <f t="shared" ref="Z52:AE52" si="516">Z240</f>
        <v>0</v>
      </c>
      <c r="AA52" s="64">
        <f t="shared" si="516"/>
        <v>0</v>
      </c>
      <c r="AB52" s="64">
        <f t="shared" si="516"/>
        <v>0</v>
      </c>
      <c r="AC52" s="64">
        <f t="shared" ref="AC52" si="517">AC240</f>
        <v>0</v>
      </c>
      <c r="AD52" s="64">
        <f t="shared" si="516"/>
        <v>0</v>
      </c>
      <c r="AE52" s="64">
        <f t="shared" si="516"/>
        <v>0</v>
      </c>
      <c r="AF52" s="64">
        <f t="shared" ref="AF52:AI52" si="518">AF240</f>
        <v>0</v>
      </c>
      <c r="AG52" s="64">
        <f t="shared" si="518"/>
        <v>0</v>
      </c>
      <c r="AH52" s="64">
        <f t="shared" si="518"/>
        <v>0</v>
      </c>
      <c r="AI52" s="64">
        <f t="shared" si="518"/>
        <v>0</v>
      </c>
      <c r="AJ52" s="64">
        <f>AJ240</f>
        <v>0</v>
      </c>
      <c r="AK52" s="64">
        <f>AK240</f>
        <v>0</v>
      </c>
      <c r="AL52" s="64">
        <f>AL240</f>
        <v>0</v>
      </c>
      <c r="AM52" s="64">
        <f t="shared" ref="AM52:AW52" si="519">AM240</f>
        <v>0</v>
      </c>
      <c r="AN52" s="64">
        <f t="shared" si="519"/>
        <v>0</v>
      </c>
      <c r="AO52" s="64">
        <f t="shared" si="519"/>
        <v>0</v>
      </c>
      <c r="AP52" s="64">
        <f>AP240</f>
        <v>0</v>
      </c>
      <c r="AQ52" s="64">
        <f t="shared" ref="AQ52:AT52" si="520">AQ240</f>
        <v>0</v>
      </c>
      <c r="AR52" s="64">
        <f t="shared" si="520"/>
        <v>0</v>
      </c>
      <c r="AS52" s="64">
        <f t="shared" si="520"/>
        <v>0</v>
      </c>
      <c r="AT52" s="64">
        <f t="shared" si="520"/>
        <v>0</v>
      </c>
      <c r="AU52" s="64">
        <f>AU240</f>
        <v>0</v>
      </c>
      <c r="AV52" s="64">
        <f t="shared" si="519"/>
        <v>0</v>
      </c>
      <c r="AW52" s="64">
        <f t="shared" si="519"/>
        <v>0</v>
      </c>
      <c r="AX52" s="64">
        <f>AX240</f>
        <v>0</v>
      </c>
      <c r="AY52" s="64">
        <f>AY240</f>
        <v>0</v>
      </c>
      <c r="AZ52" s="64">
        <f t="shared" ref="AZ52:BA52" si="521">AZ240</f>
        <v>0</v>
      </c>
      <c r="BA52" s="64">
        <f t="shared" si="521"/>
        <v>0</v>
      </c>
      <c r="BB52" s="64">
        <f>BB240</f>
        <v>0</v>
      </c>
      <c r="BC52" s="64">
        <f>BC240</f>
        <v>0</v>
      </c>
      <c r="BD52" s="64">
        <f t="shared" ref="BD52" si="522">BD240</f>
        <v>0</v>
      </c>
      <c r="BE52" s="64">
        <f>BE240</f>
        <v>0</v>
      </c>
      <c r="BF52" s="64">
        <f>BF240</f>
        <v>0</v>
      </c>
      <c r="BG52" s="64">
        <f>BG240</f>
        <v>0</v>
      </c>
      <c r="BH52" s="64">
        <f>BH240</f>
        <v>0</v>
      </c>
      <c r="BI52" s="64">
        <f>BI240</f>
        <v>28693356.195299998</v>
      </c>
      <c r="BJ52" s="64">
        <f t="shared" ref="BJ52:BL52" si="523">BJ240</f>
        <v>0</v>
      </c>
      <c r="BK52" s="64">
        <f t="shared" si="523"/>
        <v>0</v>
      </c>
      <c r="BL52" s="64">
        <f t="shared" si="523"/>
        <v>0</v>
      </c>
      <c r="BM52" s="64">
        <f t="shared" ref="BM52" si="524">BM240</f>
        <v>0</v>
      </c>
    </row>
    <row r="53" spans="1:65" s="18" customFormat="1" ht="18" customHeight="1" thickBot="1">
      <c r="A53" s="436">
        <f t="shared" si="80"/>
        <v>47</v>
      </c>
      <c r="B53" s="5" t="s">
        <v>47</v>
      </c>
      <c r="C53" s="133">
        <f>SUM(C45:C52)</f>
        <v>-261135811.27777195</v>
      </c>
      <c r="D53" s="133">
        <f t="shared" ref="D53:L53" si="525">SUM(D45:D52)</f>
        <v>0</v>
      </c>
      <c r="E53" s="133">
        <f t="shared" si="525"/>
        <v>0</v>
      </c>
      <c r="F53" s="133">
        <f t="shared" si="525"/>
        <v>0</v>
      </c>
      <c r="G53" s="133">
        <f t="shared" si="525"/>
        <v>-147750467</v>
      </c>
      <c r="H53" s="133">
        <f t="shared" si="525"/>
        <v>0</v>
      </c>
      <c r="I53" s="133">
        <f t="shared" si="525"/>
        <v>0</v>
      </c>
      <c r="J53" s="133">
        <f t="shared" si="525"/>
        <v>0</v>
      </c>
      <c r="K53" s="133">
        <f t="shared" ref="K53" si="526">SUM(K45:K52)</f>
        <v>0</v>
      </c>
      <c r="L53" s="133">
        <f t="shared" si="525"/>
        <v>0</v>
      </c>
      <c r="M53" s="133">
        <f t="shared" ref="M53:Y53" si="527">SUM(M45:M52)</f>
        <v>0</v>
      </c>
      <c r="N53" s="133">
        <f t="shared" si="527"/>
        <v>0</v>
      </c>
      <c r="O53" s="133">
        <f t="shared" si="527"/>
        <v>0</v>
      </c>
      <c r="P53" s="133">
        <f t="shared" si="527"/>
        <v>0</v>
      </c>
      <c r="Q53" s="133">
        <f t="shared" si="527"/>
        <v>0</v>
      </c>
      <c r="R53" s="133">
        <f t="shared" si="527"/>
        <v>0</v>
      </c>
      <c r="S53" s="133">
        <f t="shared" si="527"/>
        <v>0</v>
      </c>
      <c r="T53" s="133">
        <f>SUM(T45:T52)</f>
        <v>0</v>
      </c>
      <c r="U53" s="133">
        <f t="shared" si="527"/>
        <v>0</v>
      </c>
      <c r="V53" s="133">
        <f t="shared" si="527"/>
        <v>0</v>
      </c>
      <c r="W53" s="133">
        <f t="shared" si="527"/>
        <v>0</v>
      </c>
      <c r="X53" s="133">
        <f t="shared" si="527"/>
        <v>0</v>
      </c>
      <c r="Y53" s="133">
        <f t="shared" si="527"/>
        <v>0</v>
      </c>
      <c r="Z53" s="133">
        <f t="shared" ref="Z53:AE53" si="528">SUM(Z45:Z52)</f>
        <v>0</v>
      </c>
      <c r="AA53" s="133">
        <f t="shared" si="528"/>
        <v>0</v>
      </c>
      <c r="AB53" s="133">
        <f t="shared" si="528"/>
        <v>0</v>
      </c>
      <c r="AC53" s="133">
        <f t="shared" ref="AC53" si="529">SUM(AC45:AC52)</f>
        <v>0</v>
      </c>
      <c r="AD53" s="133">
        <f t="shared" si="528"/>
        <v>0</v>
      </c>
      <c r="AE53" s="133">
        <f t="shared" si="528"/>
        <v>0</v>
      </c>
      <c r="AF53" s="133">
        <f t="shared" ref="AF53:AI53" si="530">SUM(AF45:AF52)</f>
        <v>0</v>
      </c>
      <c r="AG53" s="133">
        <f t="shared" si="530"/>
        <v>0</v>
      </c>
      <c r="AH53" s="133">
        <f t="shared" si="530"/>
        <v>0</v>
      </c>
      <c r="AI53" s="133">
        <f t="shared" si="530"/>
        <v>0</v>
      </c>
      <c r="AJ53" s="133">
        <f>SUM(AJ45:AJ52)</f>
        <v>0</v>
      </c>
      <c r="AK53" s="133">
        <f>SUM(AK45:AK52)</f>
        <v>-16290160</v>
      </c>
      <c r="AL53" s="133">
        <f>SUM(AL45:AL52)</f>
        <v>0</v>
      </c>
      <c r="AM53" s="133">
        <f t="shared" ref="AM53:AW53" si="531">SUM(AM45:AM52)</f>
        <v>0</v>
      </c>
      <c r="AN53" s="133">
        <f t="shared" si="531"/>
        <v>0</v>
      </c>
      <c r="AO53" s="133">
        <f t="shared" si="531"/>
        <v>0</v>
      </c>
      <c r="AP53" s="133">
        <f>SUM(AP45:AP52)</f>
        <v>0</v>
      </c>
      <c r="AQ53" s="133">
        <f t="shared" ref="AQ53:AT53" si="532">SUM(AQ45:AQ52)</f>
        <v>0</v>
      </c>
      <c r="AR53" s="133">
        <f t="shared" si="532"/>
        <v>0</v>
      </c>
      <c r="AS53" s="133">
        <f t="shared" si="532"/>
        <v>0</v>
      </c>
      <c r="AT53" s="133">
        <f t="shared" si="532"/>
        <v>0</v>
      </c>
      <c r="AU53" s="133">
        <f>SUM(AU45:AU52)</f>
        <v>0</v>
      </c>
      <c r="AV53" s="133">
        <f t="shared" si="531"/>
        <v>0</v>
      </c>
      <c r="AW53" s="133">
        <f t="shared" si="531"/>
        <v>0</v>
      </c>
      <c r="AX53" s="133">
        <f>SUM(AX45:AX52)</f>
        <v>0</v>
      </c>
      <c r="AY53" s="133">
        <f>SUM(AY45:AY52)</f>
        <v>-1868501</v>
      </c>
      <c r="AZ53" s="133">
        <f t="shared" ref="AZ53:BA53" si="533">SUM(AZ45:AZ52)</f>
        <v>0</v>
      </c>
      <c r="BA53" s="133">
        <f t="shared" si="533"/>
        <v>0</v>
      </c>
      <c r="BB53" s="133">
        <f>SUM(BB45:BB52)</f>
        <v>0</v>
      </c>
      <c r="BC53" s="133">
        <f>SUM(BC45:BC52)</f>
        <v>0</v>
      </c>
      <c r="BD53" s="133">
        <f t="shared" ref="BD53" si="534">SUM(BD45:BD52)</f>
        <v>0</v>
      </c>
      <c r="BE53" s="133">
        <f>SUM(BE45:BE52)</f>
        <v>0</v>
      </c>
      <c r="BF53" s="133">
        <f>SUM(BF45:BF52)</f>
        <v>0</v>
      </c>
      <c r="BG53" s="133">
        <f>SUM(BG45:BG52)</f>
        <v>-72923158.403071955</v>
      </c>
      <c r="BH53" s="133">
        <f>SUM(BH45:BH52)</f>
        <v>0</v>
      </c>
      <c r="BI53" s="133">
        <f t="shared" ref="BI53" si="535">SUM(BI45:BI52)</f>
        <v>28693356.195299998</v>
      </c>
      <c r="BJ53" s="133">
        <f t="shared" ref="BJ53:BL53" si="536">SUM(BJ45:BJ52)</f>
        <v>-50996881.07</v>
      </c>
      <c r="BK53" s="133">
        <f t="shared" si="536"/>
        <v>0</v>
      </c>
      <c r="BL53" s="133">
        <f t="shared" si="536"/>
        <v>0</v>
      </c>
      <c r="BM53" s="133">
        <f t="shared" ref="BM53" si="537">SUM(BM45:BM52)</f>
        <v>0</v>
      </c>
    </row>
    <row r="54" spans="1:65" s="18" customFormat="1" ht="14.15" customHeight="1" thickTop="1">
      <c r="A54" s="436">
        <f t="shared" si="80"/>
        <v>48</v>
      </c>
      <c r="B54" s="6"/>
      <c r="C54" s="24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s="18" customFormat="1" ht="14.15" customHeight="1">
      <c r="A55" s="436">
        <f t="shared" si="80"/>
        <v>49</v>
      </c>
      <c r="B55" s="2"/>
      <c r="C55" s="2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</row>
    <row r="56" spans="1:65" s="18" customFormat="1" ht="14.15" customHeight="1">
      <c r="A56" s="436">
        <f t="shared" si="80"/>
        <v>50</v>
      </c>
      <c r="B56" s="6"/>
      <c r="C56" s="6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</row>
    <row r="57" spans="1:65" ht="13.5" customHeight="1">
      <c r="A57" s="436">
        <f t="shared" si="80"/>
        <v>51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s="21" customFormat="1" ht="14.15" customHeight="1">
      <c r="A58" s="436">
        <f t="shared" si="80"/>
        <v>52</v>
      </c>
      <c r="B58" s="53" t="s">
        <v>50</v>
      </c>
      <c r="C58" s="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4.15" customHeight="1">
      <c r="A59" s="436">
        <f t="shared" si="80"/>
        <v>53</v>
      </c>
      <c r="B59" s="8" t="s">
        <v>51</v>
      </c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4.15" customHeight="1">
      <c r="A60" s="436">
        <f t="shared" si="80"/>
        <v>54</v>
      </c>
      <c r="B60" s="83" t="s">
        <v>52</v>
      </c>
      <c r="C60" s="38">
        <f>SUM(D60:BM60)</f>
        <v>-3843227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-3843227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</row>
    <row r="61" spans="1:65" ht="14.15" customHeight="1">
      <c r="A61" s="436">
        <f t="shared" si="80"/>
        <v>55</v>
      </c>
      <c r="B61" s="56" t="s">
        <v>53</v>
      </c>
      <c r="C61" s="198">
        <f>SUM(D61:BM61)</f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</row>
    <row r="62" spans="1:65" ht="14.15" customHeight="1">
      <c r="A62" s="436">
        <f t="shared" si="80"/>
        <v>56</v>
      </c>
      <c r="B62" s="3" t="s">
        <v>520</v>
      </c>
      <c r="C62" s="47">
        <f t="shared" ref="C62:L62" si="538">SUM(C60:C61)</f>
        <v>-3843227</v>
      </c>
      <c r="D62" s="47">
        <f t="shared" si="538"/>
        <v>0</v>
      </c>
      <c r="E62" s="47">
        <f t="shared" si="538"/>
        <v>0</v>
      </c>
      <c r="F62" s="47">
        <f t="shared" si="538"/>
        <v>0</v>
      </c>
      <c r="G62" s="47">
        <f t="shared" si="538"/>
        <v>0</v>
      </c>
      <c r="H62" s="47">
        <f t="shared" si="538"/>
        <v>0</v>
      </c>
      <c r="I62" s="47">
        <f t="shared" si="538"/>
        <v>0</v>
      </c>
      <c r="J62" s="47">
        <f t="shared" si="538"/>
        <v>0</v>
      </c>
      <c r="K62" s="47">
        <f t="shared" ref="K62" si="539">SUM(K60:K61)</f>
        <v>0</v>
      </c>
      <c r="L62" s="47">
        <f t="shared" si="538"/>
        <v>0</v>
      </c>
      <c r="M62" s="47">
        <f t="shared" ref="M62:Y62" si="540">SUM(M60:M61)</f>
        <v>0</v>
      </c>
      <c r="N62" s="47">
        <f t="shared" si="540"/>
        <v>0</v>
      </c>
      <c r="O62" s="47">
        <f t="shared" si="540"/>
        <v>0</v>
      </c>
      <c r="P62" s="47">
        <f t="shared" si="540"/>
        <v>0</v>
      </c>
      <c r="Q62" s="47">
        <f t="shared" si="540"/>
        <v>0</v>
      </c>
      <c r="R62" s="47">
        <f t="shared" si="540"/>
        <v>0</v>
      </c>
      <c r="S62" s="47">
        <f t="shared" si="540"/>
        <v>0</v>
      </c>
      <c r="T62" s="47">
        <f>SUM(T60:T61)</f>
        <v>0</v>
      </c>
      <c r="U62" s="47">
        <f t="shared" si="540"/>
        <v>0</v>
      </c>
      <c r="V62" s="47">
        <f t="shared" si="540"/>
        <v>0</v>
      </c>
      <c r="W62" s="47">
        <f t="shared" si="540"/>
        <v>0</v>
      </c>
      <c r="X62" s="47">
        <f t="shared" si="540"/>
        <v>0</v>
      </c>
      <c r="Y62" s="47">
        <f t="shared" si="540"/>
        <v>0</v>
      </c>
      <c r="Z62" s="47">
        <f t="shared" ref="Z62:AE62" si="541">SUM(Z60:Z61)</f>
        <v>0</v>
      </c>
      <c r="AA62" s="47">
        <f t="shared" si="541"/>
        <v>0</v>
      </c>
      <c r="AB62" s="47">
        <f t="shared" si="541"/>
        <v>0</v>
      </c>
      <c r="AC62" s="47">
        <f t="shared" ref="AC62" si="542">SUM(AC60:AC61)</f>
        <v>0</v>
      </c>
      <c r="AD62" s="47">
        <f t="shared" si="541"/>
        <v>0</v>
      </c>
      <c r="AE62" s="47">
        <f t="shared" si="541"/>
        <v>0</v>
      </c>
      <c r="AF62" s="47">
        <f t="shared" ref="AF62:AI62" si="543">SUM(AF60:AF61)</f>
        <v>0</v>
      </c>
      <c r="AG62" s="47">
        <f t="shared" si="543"/>
        <v>0</v>
      </c>
      <c r="AH62" s="47">
        <f t="shared" si="543"/>
        <v>0</v>
      </c>
      <c r="AI62" s="47">
        <f t="shared" si="543"/>
        <v>0</v>
      </c>
      <c r="AJ62" s="47">
        <f>SUM(AJ60:AJ61)</f>
        <v>0</v>
      </c>
      <c r="AK62" s="47">
        <f>SUM(AK60:AK61)</f>
        <v>0</v>
      </c>
      <c r="AL62" s="47">
        <f>SUM(AL60:AL61)</f>
        <v>0</v>
      </c>
      <c r="AM62" s="47">
        <f t="shared" ref="AM62:AW62" si="544">SUM(AM60:AM61)</f>
        <v>0</v>
      </c>
      <c r="AN62" s="47">
        <f t="shared" si="544"/>
        <v>0</v>
      </c>
      <c r="AO62" s="47">
        <f t="shared" si="544"/>
        <v>0</v>
      </c>
      <c r="AP62" s="47">
        <f>SUM(AP60:AP61)</f>
        <v>0</v>
      </c>
      <c r="AQ62" s="47">
        <f t="shared" ref="AQ62:AT62" si="545">SUM(AQ60:AQ61)</f>
        <v>0</v>
      </c>
      <c r="AR62" s="47">
        <f t="shared" si="545"/>
        <v>0</v>
      </c>
      <c r="AS62" s="47">
        <f t="shared" si="545"/>
        <v>0</v>
      </c>
      <c r="AT62" s="47">
        <f t="shared" si="545"/>
        <v>0</v>
      </c>
      <c r="AU62" s="47">
        <f>SUM(AU60:AU61)</f>
        <v>0</v>
      </c>
      <c r="AV62" s="47">
        <f t="shared" si="544"/>
        <v>0</v>
      </c>
      <c r="AW62" s="47">
        <f t="shared" si="544"/>
        <v>0</v>
      </c>
      <c r="AX62" s="47">
        <f>SUM(AX60:AX61)</f>
        <v>0</v>
      </c>
      <c r="AY62" s="47">
        <f>SUM(AY60:AY61)</f>
        <v>-3843227</v>
      </c>
      <c r="AZ62" s="47">
        <f t="shared" ref="AZ62:BA62" si="546">SUM(AZ60:AZ61)</f>
        <v>0</v>
      </c>
      <c r="BA62" s="47">
        <f t="shared" si="546"/>
        <v>0</v>
      </c>
      <c r="BB62" s="47">
        <f>SUM(BB60:BB61)</f>
        <v>0</v>
      </c>
      <c r="BC62" s="47">
        <f>SUM(BC60:BC61)</f>
        <v>0</v>
      </c>
      <c r="BD62" s="47">
        <f t="shared" ref="BD62" si="547">SUM(BD60:BD61)</f>
        <v>0</v>
      </c>
      <c r="BE62" s="47">
        <f>SUM(BE60:BE61)</f>
        <v>0</v>
      </c>
      <c r="BF62" s="47">
        <f>SUM(BF60:BF61)</f>
        <v>0</v>
      </c>
      <c r="BG62" s="47">
        <f>SUM(BG60:BG61)</f>
        <v>0</v>
      </c>
      <c r="BH62" s="47">
        <f>SUM(BH60:BH61)</f>
        <v>0</v>
      </c>
      <c r="BI62" s="47">
        <f t="shared" ref="BI62" si="548">SUM(BI60:BI61)</f>
        <v>0</v>
      </c>
      <c r="BJ62" s="47">
        <f t="shared" ref="BJ62:BL62" si="549">SUM(BJ60:BJ61)</f>
        <v>0</v>
      </c>
      <c r="BK62" s="47">
        <f t="shared" si="549"/>
        <v>0</v>
      </c>
      <c r="BL62" s="47">
        <f t="shared" si="549"/>
        <v>0</v>
      </c>
      <c r="BM62" s="47">
        <f t="shared" ref="BM62" si="550">SUM(BM60:BM61)</f>
        <v>0</v>
      </c>
    </row>
    <row r="63" spans="1:65" ht="14.15" customHeight="1">
      <c r="A63" s="436">
        <f t="shared" si="80"/>
        <v>57</v>
      </c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4.15" customHeight="1">
      <c r="A64" s="436">
        <f t="shared" si="80"/>
        <v>58</v>
      </c>
      <c r="B64" s="3" t="s">
        <v>56</v>
      </c>
      <c r="C64" s="1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</row>
    <row r="65" spans="1:65" ht="14.15" customHeight="1">
      <c r="A65" s="436">
        <f t="shared" si="80"/>
        <v>59</v>
      </c>
      <c r="B65" s="3" t="s">
        <v>57</v>
      </c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4.15" customHeight="1">
      <c r="A66" s="436">
        <f t="shared" si="80"/>
        <v>60</v>
      </c>
      <c r="B66" s="83" t="s">
        <v>58</v>
      </c>
      <c r="C66" s="38">
        <f t="shared" ref="C66:C73" si="551">SUM(D66:BM66)</f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</row>
    <row r="67" spans="1:65" ht="14.15" customHeight="1">
      <c r="A67" s="436">
        <f t="shared" si="80"/>
        <v>61</v>
      </c>
      <c r="B67" s="83" t="s">
        <v>60</v>
      </c>
      <c r="C67" s="38">
        <f t="shared" si="551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</row>
    <row r="68" spans="1:65" ht="14.15" customHeight="1">
      <c r="A68" s="436">
        <f t="shared" si="80"/>
        <v>62</v>
      </c>
      <c r="B68" s="83" t="s">
        <v>61</v>
      </c>
      <c r="C68" s="38">
        <f t="shared" si="551"/>
        <v>-324785553</v>
      </c>
      <c r="D68" s="10">
        <v>0</v>
      </c>
      <c r="E68" s="10">
        <v>0</v>
      </c>
      <c r="F68" s="10">
        <v>0</v>
      </c>
      <c r="G68" s="10">
        <v>-324785553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</row>
    <row r="69" spans="1:65" ht="14.15" customHeight="1">
      <c r="A69" s="436">
        <f t="shared" si="80"/>
        <v>63</v>
      </c>
      <c r="B69" s="83" t="s">
        <v>62</v>
      </c>
      <c r="C69" s="38">
        <f t="shared" si="551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</row>
    <row r="70" spans="1:65" ht="14.15" customHeight="1">
      <c r="A70" s="436">
        <f t="shared" si="80"/>
        <v>64</v>
      </c>
      <c r="B70" s="83" t="s">
        <v>63</v>
      </c>
      <c r="C70" s="38">
        <f t="shared" si="551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</row>
    <row r="71" spans="1:65" ht="14.15" customHeight="1">
      <c r="A71" s="436">
        <f t="shared" si="80"/>
        <v>65</v>
      </c>
      <c r="B71" s="83" t="s">
        <v>64</v>
      </c>
      <c r="C71" s="38">
        <f t="shared" si="551"/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</row>
    <row r="72" spans="1:65" ht="14.15" customHeight="1">
      <c r="A72" s="436">
        <f t="shared" si="80"/>
        <v>66</v>
      </c>
      <c r="B72" s="83" t="s">
        <v>65</v>
      </c>
      <c r="C72" s="38">
        <f t="shared" si="551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</row>
    <row r="73" spans="1:65" ht="14.15" customHeight="1">
      <c r="A73" s="436">
        <f t="shared" si="80"/>
        <v>67</v>
      </c>
      <c r="B73" s="56" t="s">
        <v>66</v>
      </c>
      <c r="C73" s="198">
        <f t="shared" si="551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</row>
    <row r="74" spans="1:65" s="18" customFormat="1" ht="14.15" customHeight="1">
      <c r="A74" s="436">
        <f t="shared" si="80"/>
        <v>68</v>
      </c>
      <c r="B74" s="2" t="s">
        <v>521</v>
      </c>
      <c r="C74" s="80">
        <f t="shared" ref="C74:H74" si="552">SUM(C66:C73)</f>
        <v>-324785553</v>
      </c>
      <c r="D74" s="80">
        <f t="shared" si="552"/>
        <v>0</v>
      </c>
      <c r="E74" s="80">
        <f>SUM(E66:E73)</f>
        <v>0</v>
      </c>
      <c r="F74" s="80">
        <f>SUM(F66:F73)</f>
        <v>0</v>
      </c>
      <c r="G74" s="80">
        <f>SUM(G66:G73)</f>
        <v>-324785553</v>
      </c>
      <c r="H74" s="80">
        <f t="shared" si="552"/>
        <v>0</v>
      </c>
      <c r="I74" s="80">
        <f>SUM(I66:I73)</f>
        <v>0</v>
      </c>
      <c r="J74" s="80">
        <f>SUM(J66:J73)</f>
        <v>0</v>
      </c>
      <c r="K74" s="80">
        <f>SUM(K66:K73)</f>
        <v>0</v>
      </c>
      <c r="L74" s="80">
        <f>SUM(L66:L73)</f>
        <v>0</v>
      </c>
      <c r="M74" s="80">
        <f t="shared" ref="M74:Y74" si="553">SUM(M66:M73)</f>
        <v>0</v>
      </c>
      <c r="N74" s="80">
        <f t="shared" si="553"/>
        <v>0</v>
      </c>
      <c r="O74" s="80">
        <f t="shared" si="553"/>
        <v>0</v>
      </c>
      <c r="P74" s="80">
        <f t="shared" si="553"/>
        <v>0</v>
      </c>
      <c r="Q74" s="80">
        <f t="shared" si="553"/>
        <v>0</v>
      </c>
      <c r="R74" s="80">
        <f t="shared" si="553"/>
        <v>0</v>
      </c>
      <c r="S74" s="80">
        <f t="shared" si="553"/>
        <v>0</v>
      </c>
      <c r="T74" s="80">
        <f>SUM(T66:T73)</f>
        <v>0</v>
      </c>
      <c r="U74" s="80">
        <f t="shared" si="553"/>
        <v>0</v>
      </c>
      <c r="V74" s="80">
        <f t="shared" si="553"/>
        <v>0</v>
      </c>
      <c r="W74" s="80">
        <f t="shared" si="553"/>
        <v>0</v>
      </c>
      <c r="X74" s="80">
        <f t="shared" si="553"/>
        <v>0</v>
      </c>
      <c r="Y74" s="80">
        <f t="shared" si="553"/>
        <v>0</v>
      </c>
      <c r="Z74" s="80">
        <f>SUM(Z66:Z73)</f>
        <v>0</v>
      </c>
      <c r="AA74" s="80">
        <f>SUM(AA66:AA73)</f>
        <v>0</v>
      </c>
      <c r="AB74" s="80">
        <f t="shared" ref="AB74:AI74" si="554">SUM(AB66:AB73)</f>
        <v>0</v>
      </c>
      <c r="AC74" s="80">
        <f t="shared" ref="AC74" si="555">SUM(AC66:AC73)</f>
        <v>0</v>
      </c>
      <c r="AD74" s="80">
        <f t="shared" si="554"/>
        <v>0</v>
      </c>
      <c r="AE74" s="80">
        <f t="shared" si="554"/>
        <v>0</v>
      </c>
      <c r="AF74" s="80">
        <f t="shared" si="554"/>
        <v>0</v>
      </c>
      <c r="AG74" s="80">
        <f t="shared" si="554"/>
        <v>0</v>
      </c>
      <c r="AH74" s="80">
        <f t="shared" si="554"/>
        <v>0</v>
      </c>
      <c r="AI74" s="80">
        <f t="shared" si="554"/>
        <v>0</v>
      </c>
      <c r="AJ74" s="80">
        <f>SUM(AJ66:AJ73)</f>
        <v>0</v>
      </c>
      <c r="AK74" s="80">
        <f>SUM(AK66:AK73)</f>
        <v>0</v>
      </c>
      <c r="AL74" s="80">
        <f>SUM(AL66:AL73)</f>
        <v>0</v>
      </c>
      <c r="AM74" s="80">
        <f t="shared" ref="AM74:AW74" si="556">SUM(AM66:AM73)</f>
        <v>0</v>
      </c>
      <c r="AN74" s="80">
        <f t="shared" si="556"/>
        <v>0</v>
      </c>
      <c r="AO74" s="80">
        <f t="shared" si="556"/>
        <v>0</v>
      </c>
      <c r="AP74" s="80">
        <f>SUM(AP66:AP73)</f>
        <v>0</v>
      </c>
      <c r="AQ74" s="80">
        <f t="shared" ref="AQ74:AT74" si="557">SUM(AQ66:AQ73)</f>
        <v>0</v>
      </c>
      <c r="AR74" s="80">
        <f t="shared" si="557"/>
        <v>0</v>
      </c>
      <c r="AS74" s="80">
        <f t="shared" si="557"/>
        <v>0</v>
      </c>
      <c r="AT74" s="80">
        <f t="shared" si="557"/>
        <v>0</v>
      </c>
      <c r="AU74" s="80">
        <f>SUM(AU66:AU73)</f>
        <v>0</v>
      </c>
      <c r="AV74" s="80">
        <f t="shared" si="556"/>
        <v>0</v>
      </c>
      <c r="AW74" s="80">
        <f t="shared" si="556"/>
        <v>0</v>
      </c>
      <c r="AX74" s="80">
        <f>SUM(AX66:AX73)</f>
        <v>0</v>
      </c>
      <c r="AY74" s="80">
        <f>SUM(AY66:AY73)</f>
        <v>0</v>
      </c>
      <c r="AZ74" s="80">
        <f t="shared" ref="AZ74:BA74" si="558">SUM(AZ66:AZ73)</f>
        <v>0</v>
      </c>
      <c r="BA74" s="80">
        <f t="shared" si="558"/>
        <v>0</v>
      </c>
      <c r="BB74" s="80">
        <f>SUM(BB66:BB73)</f>
        <v>0</v>
      </c>
      <c r="BC74" s="80">
        <f>SUM(BC66:BC73)</f>
        <v>0</v>
      </c>
      <c r="BD74" s="80">
        <f t="shared" ref="BD74" si="559">SUM(BD66:BD73)</f>
        <v>0</v>
      </c>
      <c r="BE74" s="80">
        <f>SUM(BE66:BE73)</f>
        <v>0</v>
      </c>
      <c r="BF74" s="80">
        <f>SUM(BF66:BF73)</f>
        <v>0</v>
      </c>
      <c r="BG74" s="80">
        <f>SUM(BG66:BG73)</f>
        <v>0</v>
      </c>
      <c r="BH74" s="80">
        <f>SUM(BH66:BH73)</f>
        <v>0</v>
      </c>
      <c r="BI74" s="80">
        <f t="shared" ref="BI74" si="560">SUM(BI66:BI73)</f>
        <v>0</v>
      </c>
      <c r="BJ74" s="80">
        <f t="shared" ref="BJ74:BL74" si="561">SUM(BJ66:BJ73)</f>
        <v>0</v>
      </c>
      <c r="BK74" s="80">
        <f t="shared" si="561"/>
        <v>0</v>
      </c>
      <c r="BL74" s="80">
        <f t="shared" si="561"/>
        <v>0</v>
      </c>
      <c r="BM74" s="80">
        <f t="shared" ref="BM74" si="562">SUM(BM66:BM73)</f>
        <v>0</v>
      </c>
    </row>
    <row r="75" spans="1:65" s="18" customFormat="1" ht="14.15" customHeight="1">
      <c r="A75" s="436">
        <f t="shared" ref="A75:A140" si="563">+A74+1</f>
        <v>69</v>
      </c>
      <c r="B75" s="6"/>
      <c r="C75" s="2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ht="14.15" customHeight="1">
      <c r="A76" s="436">
        <f t="shared" si="563"/>
        <v>70</v>
      </c>
      <c r="B76" s="3" t="s">
        <v>67</v>
      </c>
      <c r="C76" s="1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65" ht="14.15" customHeight="1">
      <c r="A77" s="436">
        <f t="shared" si="563"/>
        <v>71</v>
      </c>
      <c r="B77" s="83" t="s">
        <v>68</v>
      </c>
      <c r="C77" s="38">
        <f t="shared" ref="C77:C82" si="564">SUM(D77:BM77)</f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</row>
    <row r="78" spans="1:65" ht="14.15" customHeight="1">
      <c r="A78" s="436">
        <f t="shared" si="563"/>
        <v>72</v>
      </c>
      <c r="B78" s="83" t="s">
        <v>69</v>
      </c>
      <c r="C78" s="38">
        <f t="shared" si="564"/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</row>
    <row r="79" spans="1:65" ht="14.15" customHeight="1">
      <c r="A79" s="436">
        <f t="shared" si="563"/>
        <v>73</v>
      </c>
      <c r="B79" s="83" t="s">
        <v>70</v>
      </c>
      <c r="C79" s="38">
        <f t="shared" si="564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</row>
    <row r="80" spans="1:65" ht="14.15" customHeight="1">
      <c r="A80" s="436">
        <f t="shared" si="563"/>
        <v>74</v>
      </c>
      <c r="B80" s="83" t="s">
        <v>71</v>
      </c>
      <c r="C80" s="38">
        <f t="shared" si="564"/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</row>
    <row r="81" spans="1:65" ht="14.15" customHeight="1">
      <c r="A81" s="436">
        <f t="shared" si="563"/>
        <v>75</v>
      </c>
      <c r="B81" s="83" t="s">
        <v>72</v>
      </c>
      <c r="C81" s="38">
        <f t="shared" si="564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</row>
    <row r="82" spans="1:65" ht="14.15" customHeight="1">
      <c r="A82" s="436">
        <f t="shared" si="563"/>
        <v>76</v>
      </c>
      <c r="B82" s="56" t="s">
        <v>73</v>
      </c>
      <c r="C82" s="198">
        <f t="shared" si="564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</row>
    <row r="83" spans="1:65" s="18" customFormat="1" ht="14.15" customHeight="1">
      <c r="A83" s="436">
        <f t="shared" si="563"/>
        <v>77</v>
      </c>
      <c r="B83" s="2" t="s">
        <v>522</v>
      </c>
      <c r="C83" s="80">
        <f t="shared" ref="C83:L83" si="565">SUM(C77:C82)</f>
        <v>0</v>
      </c>
      <c r="D83" s="80">
        <f t="shared" si="565"/>
        <v>0</v>
      </c>
      <c r="E83" s="80">
        <f t="shared" si="565"/>
        <v>0</v>
      </c>
      <c r="F83" s="80">
        <f t="shared" si="565"/>
        <v>0</v>
      </c>
      <c r="G83" s="80">
        <f t="shared" si="565"/>
        <v>0</v>
      </c>
      <c r="H83" s="80">
        <f t="shared" si="565"/>
        <v>0</v>
      </c>
      <c r="I83" s="80">
        <f t="shared" si="565"/>
        <v>0</v>
      </c>
      <c r="J83" s="80">
        <f t="shared" si="565"/>
        <v>0</v>
      </c>
      <c r="K83" s="80">
        <f t="shared" ref="K83" si="566">SUM(K77:K82)</f>
        <v>0</v>
      </c>
      <c r="L83" s="80">
        <f t="shared" si="565"/>
        <v>0</v>
      </c>
      <c r="M83" s="80">
        <f t="shared" ref="M83:Y83" si="567">SUM(M77:M82)</f>
        <v>0</v>
      </c>
      <c r="N83" s="80">
        <f t="shared" si="567"/>
        <v>0</v>
      </c>
      <c r="O83" s="80">
        <f t="shared" si="567"/>
        <v>0</v>
      </c>
      <c r="P83" s="80">
        <f t="shared" si="567"/>
        <v>0</v>
      </c>
      <c r="Q83" s="80">
        <f t="shared" si="567"/>
        <v>0</v>
      </c>
      <c r="R83" s="80">
        <f t="shared" si="567"/>
        <v>0</v>
      </c>
      <c r="S83" s="80">
        <f t="shared" si="567"/>
        <v>0</v>
      </c>
      <c r="T83" s="80">
        <f>SUM(T77:T82)</f>
        <v>0</v>
      </c>
      <c r="U83" s="80">
        <f t="shared" si="567"/>
        <v>0</v>
      </c>
      <c r="V83" s="80">
        <f t="shared" si="567"/>
        <v>0</v>
      </c>
      <c r="W83" s="80">
        <f t="shared" si="567"/>
        <v>0</v>
      </c>
      <c r="X83" s="80">
        <f t="shared" si="567"/>
        <v>0</v>
      </c>
      <c r="Y83" s="80">
        <f t="shared" si="567"/>
        <v>0</v>
      </c>
      <c r="Z83" s="80">
        <f t="shared" ref="Z83:AE83" si="568">SUM(Z77:Z82)</f>
        <v>0</v>
      </c>
      <c r="AA83" s="80">
        <f t="shared" si="568"/>
        <v>0</v>
      </c>
      <c r="AB83" s="80">
        <f t="shared" si="568"/>
        <v>0</v>
      </c>
      <c r="AC83" s="80">
        <f t="shared" ref="AC83" si="569">SUM(AC77:AC82)</f>
        <v>0</v>
      </c>
      <c r="AD83" s="80">
        <f t="shared" si="568"/>
        <v>0</v>
      </c>
      <c r="AE83" s="80">
        <f t="shared" si="568"/>
        <v>0</v>
      </c>
      <c r="AF83" s="80">
        <f t="shared" ref="AF83:AI83" si="570">SUM(AF77:AF82)</f>
        <v>0</v>
      </c>
      <c r="AG83" s="80">
        <f t="shared" si="570"/>
        <v>0</v>
      </c>
      <c r="AH83" s="80">
        <f t="shared" si="570"/>
        <v>0</v>
      </c>
      <c r="AI83" s="80">
        <f t="shared" si="570"/>
        <v>0</v>
      </c>
      <c r="AJ83" s="80">
        <f>SUM(AJ77:AJ82)</f>
        <v>0</v>
      </c>
      <c r="AK83" s="80">
        <f>SUM(AK77:AK82)</f>
        <v>0</v>
      </c>
      <c r="AL83" s="80">
        <f>SUM(AL77:AL82)</f>
        <v>0</v>
      </c>
      <c r="AM83" s="80">
        <f t="shared" ref="AM83:AW83" si="571">SUM(AM77:AM82)</f>
        <v>0</v>
      </c>
      <c r="AN83" s="80">
        <f t="shared" si="571"/>
        <v>0</v>
      </c>
      <c r="AO83" s="80">
        <f t="shared" si="571"/>
        <v>0</v>
      </c>
      <c r="AP83" s="80">
        <f>SUM(AP77:AP82)</f>
        <v>0</v>
      </c>
      <c r="AQ83" s="80">
        <f t="shared" ref="AQ83:AT83" si="572">SUM(AQ77:AQ82)</f>
        <v>0</v>
      </c>
      <c r="AR83" s="80">
        <f t="shared" si="572"/>
        <v>0</v>
      </c>
      <c r="AS83" s="80">
        <f t="shared" si="572"/>
        <v>0</v>
      </c>
      <c r="AT83" s="80">
        <f t="shared" si="572"/>
        <v>0</v>
      </c>
      <c r="AU83" s="80">
        <f>SUM(AU77:AU82)</f>
        <v>0</v>
      </c>
      <c r="AV83" s="80">
        <f t="shared" si="571"/>
        <v>0</v>
      </c>
      <c r="AW83" s="80">
        <f t="shared" si="571"/>
        <v>0</v>
      </c>
      <c r="AX83" s="80">
        <f>SUM(AX77:AX82)</f>
        <v>0</v>
      </c>
      <c r="AY83" s="80">
        <f>SUM(AY77:AY82)</f>
        <v>0</v>
      </c>
      <c r="AZ83" s="80">
        <f t="shared" ref="AZ83:BA83" si="573">SUM(AZ77:AZ82)</f>
        <v>0</v>
      </c>
      <c r="BA83" s="80">
        <f t="shared" si="573"/>
        <v>0</v>
      </c>
      <c r="BB83" s="80">
        <f>SUM(BB77:BB82)</f>
        <v>0</v>
      </c>
      <c r="BC83" s="80">
        <f>SUM(BC77:BC82)</f>
        <v>0</v>
      </c>
      <c r="BD83" s="80">
        <f t="shared" ref="BD83" si="574">SUM(BD77:BD82)</f>
        <v>0</v>
      </c>
      <c r="BE83" s="80">
        <f>SUM(BE77:BE82)</f>
        <v>0</v>
      </c>
      <c r="BF83" s="80">
        <f>SUM(BF77:BF82)</f>
        <v>0</v>
      </c>
      <c r="BG83" s="80">
        <f>SUM(BG77:BG82)</f>
        <v>0</v>
      </c>
      <c r="BH83" s="80">
        <f>SUM(BH77:BH82)</f>
        <v>0</v>
      </c>
      <c r="BI83" s="80">
        <f t="shared" ref="BI83" si="575">SUM(BI77:BI82)</f>
        <v>0</v>
      </c>
      <c r="BJ83" s="80">
        <f t="shared" ref="BJ83:BL83" si="576">SUM(BJ77:BJ82)</f>
        <v>0</v>
      </c>
      <c r="BK83" s="80">
        <f t="shared" si="576"/>
        <v>0</v>
      </c>
      <c r="BL83" s="80">
        <f t="shared" si="576"/>
        <v>0</v>
      </c>
      <c r="BM83" s="80">
        <f t="shared" ref="BM83" si="577">SUM(BM77:BM82)</f>
        <v>0</v>
      </c>
    </row>
    <row r="84" spans="1:65" s="18" customFormat="1" ht="14.15" customHeight="1">
      <c r="A84" s="436">
        <f t="shared" si="563"/>
        <v>78</v>
      </c>
      <c r="B84" s="6"/>
      <c r="C84" s="2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4.15" customHeight="1">
      <c r="A85" s="436">
        <f t="shared" si="563"/>
        <v>79</v>
      </c>
      <c r="B85" s="3" t="s">
        <v>74</v>
      </c>
      <c r="C85" s="1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4.15" customHeight="1">
      <c r="A86" s="436">
        <f t="shared" si="563"/>
        <v>80</v>
      </c>
      <c r="B86" s="83" t="s">
        <v>75</v>
      </c>
      <c r="C86" s="38">
        <f t="shared" ref="C86:C93" si="578">SUM(D86:BM86)</f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3">
        <v>0</v>
      </c>
      <c r="BG86" s="43">
        <v>0</v>
      </c>
      <c r="BH86" s="43">
        <v>0</v>
      </c>
      <c r="BI86" s="43">
        <v>0</v>
      </c>
      <c r="BJ86" s="43">
        <v>0</v>
      </c>
      <c r="BK86" s="43">
        <v>0</v>
      </c>
      <c r="BL86" s="43">
        <v>0</v>
      </c>
      <c r="BM86" s="43">
        <v>0</v>
      </c>
    </row>
    <row r="87" spans="1:65" ht="14.15" customHeight="1">
      <c r="A87" s="436">
        <f t="shared" si="563"/>
        <v>81</v>
      </c>
      <c r="B87" s="83" t="s">
        <v>76</v>
      </c>
      <c r="C87" s="38">
        <f t="shared" si="578"/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</row>
    <row r="88" spans="1:65" ht="14.15" customHeight="1">
      <c r="A88" s="436">
        <f t="shared" si="563"/>
        <v>82</v>
      </c>
      <c r="B88" s="83" t="s">
        <v>77</v>
      </c>
      <c r="C88" s="38">
        <f t="shared" si="578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</row>
    <row r="89" spans="1:65" ht="14.15" customHeight="1">
      <c r="A89" s="436">
        <f t="shared" si="563"/>
        <v>83</v>
      </c>
      <c r="B89" s="83" t="s">
        <v>78</v>
      </c>
      <c r="C89" s="38">
        <f t="shared" si="578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</row>
    <row r="90" spans="1:65" ht="14.15" customHeight="1">
      <c r="A90" s="436">
        <f t="shared" si="563"/>
        <v>84</v>
      </c>
      <c r="B90" s="83" t="s">
        <v>79</v>
      </c>
      <c r="C90" s="38">
        <f t="shared" si="578"/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</row>
    <row r="91" spans="1:65" ht="14.15" customHeight="1">
      <c r="A91" s="436">
        <f t="shared" si="563"/>
        <v>85</v>
      </c>
      <c r="B91" s="83" t="s">
        <v>80</v>
      </c>
      <c r="C91" s="38">
        <f t="shared" si="578"/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</row>
    <row r="92" spans="1:65" ht="14.15" customHeight="1">
      <c r="A92" s="436">
        <f t="shared" si="563"/>
        <v>86</v>
      </c>
      <c r="B92" s="83" t="s">
        <v>81</v>
      </c>
      <c r="C92" s="38">
        <f t="shared" si="578"/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</row>
    <row r="93" spans="1:65" ht="13.5" customHeight="1">
      <c r="A93" s="436">
        <f t="shared" si="563"/>
        <v>87</v>
      </c>
      <c r="B93" s="56" t="s">
        <v>82</v>
      </c>
      <c r="C93" s="38">
        <f t="shared" si="578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</row>
    <row r="94" spans="1:65" s="18" customFormat="1" ht="14.15" customHeight="1">
      <c r="A94" s="436">
        <f t="shared" si="563"/>
        <v>88</v>
      </c>
      <c r="B94" s="2" t="s">
        <v>523</v>
      </c>
      <c r="C94" s="80">
        <f t="shared" ref="C94:L94" si="579">SUM(C86:C93)</f>
        <v>0</v>
      </c>
      <c r="D94" s="80">
        <f t="shared" si="579"/>
        <v>0</v>
      </c>
      <c r="E94" s="80">
        <f t="shared" si="579"/>
        <v>0</v>
      </c>
      <c r="F94" s="80">
        <f t="shared" si="579"/>
        <v>0</v>
      </c>
      <c r="G94" s="80">
        <f t="shared" si="579"/>
        <v>0</v>
      </c>
      <c r="H94" s="80">
        <f t="shared" si="579"/>
        <v>0</v>
      </c>
      <c r="I94" s="80">
        <f t="shared" si="579"/>
        <v>0</v>
      </c>
      <c r="J94" s="80">
        <f t="shared" si="579"/>
        <v>0</v>
      </c>
      <c r="K94" s="80">
        <f t="shared" ref="K94" si="580">SUM(K86:K93)</f>
        <v>0</v>
      </c>
      <c r="L94" s="80">
        <f t="shared" si="579"/>
        <v>0</v>
      </c>
      <c r="M94" s="80">
        <f t="shared" ref="M94:Y94" si="581">SUM(M86:M93)</f>
        <v>0</v>
      </c>
      <c r="N94" s="80">
        <f t="shared" si="581"/>
        <v>0</v>
      </c>
      <c r="O94" s="80">
        <f t="shared" si="581"/>
        <v>0</v>
      </c>
      <c r="P94" s="80">
        <f t="shared" si="581"/>
        <v>0</v>
      </c>
      <c r="Q94" s="80">
        <f t="shared" si="581"/>
        <v>0</v>
      </c>
      <c r="R94" s="80">
        <f t="shared" si="581"/>
        <v>0</v>
      </c>
      <c r="S94" s="80">
        <f t="shared" si="581"/>
        <v>0</v>
      </c>
      <c r="T94" s="80">
        <f>SUM(T86:T93)</f>
        <v>0</v>
      </c>
      <c r="U94" s="80">
        <f t="shared" si="581"/>
        <v>0</v>
      </c>
      <c r="V94" s="80">
        <f t="shared" si="581"/>
        <v>0</v>
      </c>
      <c r="W94" s="80">
        <f t="shared" si="581"/>
        <v>0</v>
      </c>
      <c r="X94" s="80">
        <f t="shared" si="581"/>
        <v>0</v>
      </c>
      <c r="Y94" s="80">
        <f t="shared" si="581"/>
        <v>0</v>
      </c>
      <c r="Z94" s="80">
        <f t="shared" ref="Z94:AE94" si="582">SUM(Z86:Z93)</f>
        <v>0</v>
      </c>
      <c r="AA94" s="80">
        <f t="shared" si="582"/>
        <v>0</v>
      </c>
      <c r="AB94" s="80">
        <f t="shared" si="582"/>
        <v>0</v>
      </c>
      <c r="AC94" s="80">
        <f t="shared" ref="AC94" si="583">SUM(AC86:AC93)</f>
        <v>0</v>
      </c>
      <c r="AD94" s="80">
        <f t="shared" si="582"/>
        <v>0</v>
      </c>
      <c r="AE94" s="80">
        <f t="shared" si="582"/>
        <v>0</v>
      </c>
      <c r="AF94" s="80">
        <f t="shared" ref="AF94:AI94" si="584">SUM(AF86:AF93)</f>
        <v>0</v>
      </c>
      <c r="AG94" s="80">
        <f t="shared" si="584"/>
        <v>0</v>
      </c>
      <c r="AH94" s="80">
        <f t="shared" si="584"/>
        <v>0</v>
      </c>
      <c r="AI94" s="80">
        <f t="shared" si="584"/>
        <v>0</v>
      </c>
      <c r="AJ94" s="80">
        <f>SUM(AJ86:AJ93)</f>
        <v>0</v>
      </c>
      <c r="AK94" s="80">
        <f>SUM(AK86:AK93)</f>
        <v>0</v>
      </c>
      <c r="AL94" s="80">
        <f>SUM(AL86:AL93)</f>
        <v>0</v>
      </c>
      <c r="AM94" s="80">
        <f t="shared" ref="AM94:AW94" si="585">SUM(AM86:AM93)</f>
        <v>0</v>
      </c>
      <c r="AN94" s="80">
        <f t="shared" si="585"/>
        <v>0</v>
      </c>
      <c r="AO94" s="80">
        <f t="shared" si="585"/>
        <v>0</v>
      </c>
      <c r="AP94" s="80">
        <f>SUM(AP86:AP93)</f>
        <v>0</v>
      </c>
      <c r="AQ94" s="80">
        <f t="shared" ref="AQ94:AT94" si="586">SUM(AQ86:AQ93)</f>
        <v>0</v>
      </c>
      <c r="AR94" s="80">
        <f t="shared" si="586"/>
        <v>0</v>
      </c>
      <c r="AS94" s="80">
        <f t="shared" si="586"/>
        <v>0</v>
      </c>
      <c r="AT94" s="80">
        <f t="shared" si="586"/>
        <v>0</v>
      </c>
      <c r="AU94" s="80">
        <f>SUM(AU86:AU93)</f>
        <v>0</v>
      </c>
      <c r="AV94" s="80">
        <f t="shared" si="585"/>
        <v>0</v>
      </c>
      <c r="AW94" s="80">
        <f t="shared" si="585"/>
        <v>0</v>
      </c>
      <c r="AX94" s="80">
        <f>SUM(AX86:AX93)</f>
        <v>0</v>
      </c>
      <c r="AY94" s="80">
        <f>SUM(AY86:AY93)</f>
        <v>0</v>
      </c>
      <c r="AZ94" s="80">
        <f t="shared" ref="AZ94:BA94" si="587">SUM(AZ86:AZ93)</f>
        <v>0</v>
      </c>
      <c r="BA94" s="80">
        <f t="shared" si="587"/>
        <v>0</v>
      </c>
      <c r="BB94" s="80">
        <f>SUM(BB86:BB93)</f>
        <v>0</v>
      </c>
      <c r="BC94" s="80">
        <f>SUM(BC86:BC93)</f>
        <v>0</v>
      </c>
      <c r="BD94" s="80">
        <f t="shared" ref="BD94" si="588">SUM(BD86:BD93)</f>
        <v>0</v>
      </c>
      <c r="BE94" s="80">
        <f>SUM(BE86:BE93)</f>
        <v>0</v>
      </c>
      <c r="BF94" s="80">
        <f>SUM(BF86:BF93)</f>
        <v>0</v>
      </c>
      <c r="BG94" s="80">
        <f>SUM(BG86:BG93)</f>
        <v>0</v>
      </c>
      <c r="BH94" s="80">
        <f>SUM(BH86:BH93)</f>
        <v>0</v>
      </c>
      <c r="BI94" s="80">
        <f t="shared" ref="BI94" si="589">SUM(BI86:BI93)</f>
        <v>0</v>
      </c>
      <c r="BJ94" s="80">
        <f t="shared" ref="BJ94:BL94" si="590">SUM(BJ86:BJ93)</f>
        <v>0</v>
      </c>
      <c r="BK94" s="80">
        <f t="shared" si="590"/>
        <v>0</v>
      </c>
      <c r="BL94" s="80">
        <f t="shared" si="590"/>
        <v>0</v>
      </c>
      <c r="BM94" s="80">
        <f t="shared" ref="BM94" si="591">SUM(BM86:BM93)</f>
        <v>0</v>
      </c>
    </row>
    <row r="95" spans="1:65" s="18" customFormat="1" ht="14.15" customHeight="1">
      <c r="A95" s="436">
        <f t="shared" si="563"/>
        <v>89</v>
      </c>
      <c r="B95" s="6"/>
      <c r="C95" s="2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1:65" ht="14.15" customHeight="1">
      <c r="A96" s="436">
        <f t="shared" si="563"/>
        <v>90</v>
      </c>
      <c r="B96" s="3" t="s">
        <v>83</v>
      </c>
      <c r="C96" s="1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</row>
    <row r="97" spans="1:65" ht="14.15" customHeight="1">
      <c r="A97" s="436">
        <f t="shared" si="563"/>
        <v>91</v>
      </c>
      <c r="B97" s="83" t="s">
        <v>84</v>
      </c>
      <c r="C97" s="38">
        <f t="shared" ref="C97:C103" si="592">SUM(D97:BM97)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</row>
    <row r="98" spans="1:65" ht="14.15" customHeight="1">
      <c r="A98" s="436">
        <f t="shared" si="563"/>
        <v>92</v>
      </c>
      <c r="B98" s="83" t="s">
        <v>85</v>
      </c>
      <c r="C98" s="38">
        <f t="shared" si="592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</row>
    <row r="99" spans="1:65" ht="14.15" customHeight="1">
      <c r="A99" s="436">
        <f t="shared" si="563"/>
        <v>93</v>
      </c>
      <c r="B99" s="83" t="s">
        <v>86</v>
      </c>
      <c r="C99" s="38">
        <f t="shared" si="592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</row>
    <row r="100" spans="1:65" ht="14.15" customHeight="1">
      <c r="A100" s="436">
        <f t="shared" si="563"/>
        <v>94</v>
      </c>
      <c r="B100" s="83" t="s">
        <v>87</v>
      </c>
      <c r="C100" s="38">
        <f t="shared" si="592"/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</row>
    <row r="101" spans="1:65" ht="14.15" customHeight="1">
      <c r="A101" s="436">
        <f t="shared" si="563"/>
        <v>95</v>
      </c>
      <c r="B101" s="83" t="s">
        <v>88</v>
      </c>
      <c r="C101" s="38">
        <f t="shared" si="592"/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</row>
    <row r="102" spans="1:65" ht="14.15" customHeight="1">
      <c r="A102" s="436">
        <f t="shared" si="563"/>
        <v>96</v>
      </c>
      <c r="B102" s="83" t="s">
        <v>89</v>
      </c>
      <c r="C102" s="38">
        <f t="shared" si="592"/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</row>
    <row r="103" spans="1:65" ht="14.15" customHeight="1">
      <c r="A103" s="436">
        <f t="shared" si="563"/>
        <v>97</v>
      </c>
      <c r="B103" s="56" t="s">
        <v>90</v>
      </c>
      <c r="C103" s="38">
        <f t="shared" si="592"/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</row>
    <row r="104" spans="1:65" s="18" customFormat="1" ht="14.15" customHeight="1">
      <c r="A104" s="436">
        <f t="shared" si="563"/>
        <v>98</v>
      </c>
      <c r="B104" s="2" t="s">
        <v>524</v>
      </c>
      <c r="C104" s="80">
        <f t="shared" ref="C104:L104" si="593">SUM(C96:C103)</f>
        <v>0</v>
      </c>
      <c r="D104" s="80">
        <f t="shared" si="593"/>
        <v>0</v>
      </c>
      <c r="E104" s="80">
        <f t="shared" si="593"/>
        <v>0</v>
      </c>
      <c r="F104" s="80">
        <f t="shared" si="593"/>
        <v>0</v>
      </c>
      <c r="G104" s="80">
        <f t="shared" si="593"/>
        <v>0</v>
      </c>
      <c r="H104" s="80">
        <f t="shared" si="593"/>
        <v>0</v>
      </c>
      <c r="I104" s="80">
        <f t="shared" si="593"/>
        <v>0</v>
      </c>
      <c r="J104" s="80">
        <f t="shared" si="593"/>
        <v>0</v>
      </c>
      <c r="K104" s="80">
        <f t="shared" ref="K104" si="594">SUM(K96:K103)</f>
        <v>0</v>
      </c>
      <c r="L104" s="80">
        <f t="shared" si="593"/>
        <v>0</v>
      </c>
      <c r="M104" s="80">
        <f t="shared" ref="M104:Y104" si="595">SUM(M96:M103)</f>
        <v>0</v>
      </c>
      <c r="N104" s="80">
        <f t="shared" si="595"/>
        <v>0</v>
      </c>
      <c r="O104" s="80">
        <f t="shared" si="595"/>
        <v>0</v>
      </c>
      <c r="P104" s="80">
        <f t="shared" si="595"/>
        <v>0</v>
      </c>
      <c r="Q104" s="80">
        <f t="shared" si="595"/>
        <v>0</v>
      </c>
      <c r="R104" s="80">
        <f t="shared" si="595"/>
        <v>0</v>
      </c>
      <c r="S104" s="80">
        <f t="shared" si="595"/>
        <v>0</v>
      </c>
      <c r="T104" s="80">
        <f>SUM(T96:T103)</f>
        <v>0</v>
      </c>
      <c r="U104" s="80">
        <f t="shared" si="595"/>
        <v>0</v>
      </c>
      <c r="V104" s="80">
        <f t="shared" si="595"/>
        <v>0</v>
      </c>
      <c r="W104" s="80">
        <f t="shared" si="595"/>
        <v>0</v>
      </c>
      <c r="X104" s="80">
        <f t="shared" si="595"/>
        <v>0</v>
      </c>
      <c r="Y104" s="80">
        <f t="shared" si="595"/>
        <v>0</v>
      </c>
      <c r="Z104" s="80">
        <f t="shared" ref="Z104:AE104" si="596">SUM(Z96:Z103)</f>
        <v>0</v>
      </c>
      <c r="AA104" s="80">
        <f t="shared" si="596"/>
        <v>0</v>
      </c>
      <c r="AB104" s="80">
        <f t="shared" si="596"/>
        <v>0</v>
      </c>
      <c r="AC104" s="80">
        <f t="shared" ref="AC104" si="597">SUM(AC96:AC103)</f>
        <v>0</v>
      </c>
      <c r="AD104" s="80">
        <f t="shared" si="596"/>
        <v>0</v>
      </c>
      <c r="AE104" s="80">
        <f t="shared" si="596"/>
        <v>0</v>
      </c>
      <c r="AF104" s="80">
        <f t="shared" ref="AF104:AI104" si="598">SUM(AF96:AF103)</f>
        <v>0</v>
      </c>
      <c r="AG104" s="80">
        <f t="shared" si="598"/>
        <v>0</v>
      </c>
      <c r="AH104" s="80">
        <f t="shared" si="598"/>
        <v>0</v>
      </c>
      <c r="AI104" s="80">
        <f t="shared" si="598"/>
        <v>0</v>
      </c>
      <c r="AJ104" s="80">
        <f>SUM(AJ96:AJ103)</f>
        <v>0</v>
      </c>
      <c r="AK104" s="80">
        <f>SUM(AK96:AK103)</f>
        <v>0</v>
      </c>
      <c r="AL104" s="80">
        <f>SUM(AL96:AL103)</f>
        <v>0</v>
      </c>
      <c r="AM104" s="80">
        <f t="shared" ref="AM104:AW104" si="599">SUM(AM96:AM103)</f>
        <v>0</v>
      </c>
      <c r="AN104" s="80">
        <f t="shared" si="599"/>
        <v>0</v>
      </c>
      <c r="AO104" s="80">
        <f t="shared" si="599"/>
        <v>0</v>
      </c>
      <c r="AP104" s="80">
        <f>SUM(AP96:AP103)</f>
        <v>0</v>
      </c>
      <c r="AQ104" s="80">
        <f t="shared" ref="AQ104:AT104" si="600">SUM(AQ96:AQ103)</f>
        <v>0</v>
      </c>
      <c r="AR104" s="80">
        <f t="shared" si="600"/>
        <v>0</v>
      </c>
      <c r="AS104" s="80">
        <f t="shared" si="600"/>
        <v>0</v>
      </c>
      <c r="AT104" s="80">
        <f t="shared" si="600"/>
        <v>0</v>
      </c>
      <c r="AU104" s="80">
        <f>SUM(AU96:AU103)</f>
        <v>0</v>
      </c>
      <c r="AV104" s="80">
        <f t="shared" si="599"/>
        <v>0</v>
      </c>
      <c r="AW104" s="80">
        <f t="shared" si="599"/>
        <v>0</v>
      </c>
      <c r="AX104" s="80">
        <f>SUM(AX96:AX103)</f>
        <v>0</v>
      </c>
      <c r="AY104" s="80">
        <f>SUM(AY96:AY103)</f>
        <v>0</v>
      </c>
      <c r="AZ104" s="80">
        <f t="shared" ref="AZ104:BA104" si="601">SUM(AZ96:AZ103)</f>
        <v>0</v>
      </c>
      <c r="BA104" s="80">
        <f t="shared" si="601"/>
        <v>0</v>
      </c>
      <c r="BB104" s="80">
        <f>SUM(BB96:BB103)</f>
        <v>0</v>
      </c>
      <c r="BC104" s="80">
        <f>SUM(BC96:BC103)</f>
        <v>0</v>
      </c>
      <c r="BD104" s="80">
        <f t="shared" ref="BD104" si="602">SUM(BD96:BD103)</f>
        <v>0</v>
      </c>
      <c r="BE104" s="80">
        <f>SUM(BE96:BE103)</f>
        <v>0</v>
      </c>
      <c r="BF104" s="80">
        <f>SUM(BF96:BF103)</f>
        <v>0</v>
      </c>
      <c r="BG104" s="80">
        <f>SUM(BG96:BG103)</f>
        <v>0</v>
      </c>
      <c r="BH104" s="80">
        <f>SUM(BH96:BH103)</f>
        <v>0</v>
      </c>
      <c r="BI104" s="80">
        <f t="shared" ref="BI104" si="603">SUM(BI96:BI103)</f>
        <v>0</v>
      </c>
      <c r="BJ104" s="80">
        <f t="shared" ref="BJ104:BL104" si="604">SUM(BJ96:BJ103)</f>
        <v>0</v>
      </c>
      <c r="BK104" s="80">
        <f t="shared" si="604"/>
        <v>0</v>
      </c>
      <c r="BL104" s="80">
        <f t="shared" si="604"/>
        <v>0</v>
      </c>
      <c r="BM104" s="80">
        <f t="shared" ref="BM104" si="605">SUM(BM96:BM103)</f>
        <v>0</v>
      </c>
    </row>
    <row r="105" spans="1:65" s="18" customFormat="1" ht="14.15" customHeight="1">
      <c r="A105" s="436">
        <f t="shared" si="563"/>
        <v>99</v>
      </c>
      <c r="B105" s="6"/>
      <c r="C105" s="2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</row>
    <row r="106" spans="1:65" s="18" customFormat="1" ht="14.15" customHeight="1">
      <c r="A106" s="436">
        <f t="shared" si="563"/>
        <v>100</v>
      </c>
      <c r="B106" s="60" t="s">
        <v>486</v>
      </c>
      <c r="C106" s="198">
        <f>SUM(D106:BM106)</f>
        <v>-324785553</v>
      </c>
      <c r="D106" s="198">
        <f>D104+D94+D83+D74</f>
        <v>0</v>
      </c>
      <c r="E106" s="198">
        <f>E104+E94+E83+E74</f>
        <v>0</v>
      </c>
      <c r="F106" s="198">
        <f t="shared" ref="F106:AW106" si="606">F104+F94+F83+F74</f>
        <v>0</v>
      </c>
      <c r="G106" s="198">
        <f>G104+G94+G83+G74</f>
        <v>-324785553</v>
      </c>
      <c r="H106" s="198">
        <f t="shared" si="606"/>
        <v>0</v>
      </c>
      <c r="I106" s="198">
        <f t="shared" si="606"/>
        <v>0</v>
      </c>
      <c r="J106" s="198">
        <f t="shared" si="606"/>
        <v>0</v>
      </c>
      <c r="K106" s="198">
        <f t="shared" ref="K106" si="607">K104+K94+K83+K74</f>
        <v>0</v>
      </c>
      <c r="L106" s="198">
        <f t="shared" si="606"/>
        <v>0</v>
      </c>
      <c r="M106" s="198">
        <f t="shared" si="606"/>
        <v>0</v>
      </c>
      <c r="N106" s="198">
        <f t="shared" si="606"/>
        <v>0</v>
      </c>
      <c r="O106" s="198">
        <f t="shared" si="606"/>
        <v>0</v>
      </c>
      <c r="P106" s="198">
        <f t="shared" si="606"/>
        <v>0</v>
      </c>
      <c r="Q106" s="198">
        <f t="shared" si="606"/>
        <v>0</v>
      </c>
      <c r="R106" s="198">
        <f t="shared" si="606"/>
        <v>0</v>
      </c>
      <c r="S106" s="198">
        <f t="shared" si="606"/>
        <v>0</v>
      </c>
      <c r="T106" s="198">
        <f>T104+T94+T83+T74</f>
        <v>0</v>
      </c>
      <c r="U106" s="198">
        <f t="shared" si="606"/>
        <v>0</v>
      </c>
      <c r="V106" s="198">
        <f t="shared" si="606"/>
        <v>0</v>
      </c>
      <c r="W106" s="198">
        <f t="shared" si="606"/>
        <v>0</v>
      </c>
      <c r="X106" s="198">
        <f t="shared" si="606"/>
        <v>0</v>
      </c>
      <c r="Y106" s="198">
        <f t="shared" si="606"/>
        <v>0</v>
      </c>
      <c r="Z106" s="198">
        <f t="shared" si="606"/>
        <v>0</v>
      </c>
      <c r="AA106" s="198">
        <f t="shared" si="606"/>
        <v>0</v>
      </c>
      <c r="AB106" s="198">
        <f t="shared" si="606"/>
        <v>0</v>
      </c>
      <c r="AC106" s="198">
        <f t="shared" ref="AC106" si="608">AC104+AC94+AC83+AC74</f>
        <v>0</v>
      </c>
      <c r="AD106" s="198">
        <f t="shared" si="606"/>
        <v>0</v>
      </c>
      <c r="AE106" s="198">
        <f t="shared" si="606"/>
        <v>0</v>
      </c>
      <c r="AF106" s="198">
        <f t="shared" si="606"/>
        <v>0</v>
      </c>
      <c r="AG106" s="198">
        <f t="shared" si="606"/>
        <v>0</v>
      </c>
      <c r="AH106" s="198">
        <f t="shared" si="606"/>
        <v>0</v>
      </c>
      <c r="AI106" s="198">
        <f t="shared" si="606"/>
        <v>0</v>
      </c>
      <c r="AJ106" s="198">
        <f>AJ104+AJ94+AJ83+AJ74</f>
        <v>0</v>
      </c>
      <c r="AK106" s="198">
        <f>AK104+AK94+AK83+AK74</f>
        <v>0</v>
      </c>
      <c r="AL106" s="198">
        <f>AL104+AL94+AL83+AL74</f>
        <v>0</v>
      </c>
      <c r="AM106" s="198">
        <f t="shared" si="606"/>
        <v>0</v>
      </c>
      <c r="AN106" s="198">
        <f t="shared" si="606"/>
        <v>0</v>
      </c>
      <c r="AO106" s="198">
        <f t="shared" si="606"/>
        <v>0</v>
      </c>
      <c r="AP106" s="198">
        <f>AP104+AP94+AP83+AP74</f>
        <v>0</v>
      </c>
      <c r="AQ106" s="198">
        <f t="shared" ref="AQ106:AT106" si="609">AQ104+AQ94+AQ83+AQ74</f>
        <v>0</v>
      </c>
      <c r="AR106" s="198">
        <f t="shared" si="609"/>
        <v>0</v>
      </c>
      <c r="AS106" s="198">
        <f t="shared" si="609"/>
        <v>0</v>
      </c>
      <c r="AT106" s="198">
        <f t="shared" si="609"/>
        <v>0</v>
      </c>
      <c r="AU106" s="198">
        <f>AU104+AU94+AU83+AU74</f>
        <v>0</v>
      </c>
      <c r="AV106" s="198">
        <f t="shared" si="606"/>
        <v>0</v>
      </c>
      <c r="AW106" s="198">
        <f t="shared" si="606"/>
        <v>0</v>
      </c>
      <c r="AX106" s="198">
        <f>AX104+AX94+AX83+AX74</f>
        <v>0</v>
      </c>
      <c r="AY106" s="198">
        <f>AY104+AY94+AY83+AY74</f>
        <v>0</v>
      </c>
      <c r="AZ106" s="198">
        <f t="shared" ref="AZ106:BA106" si="610">AZ104+AZ94+AZ83+AZ74</f>
        <v>0</v>
      </c>
      <c r="BA106" s="198">
        <f t="shared" si="610"/>
        <v>0</v>
      </c>
      <c r="BB106" s="198">
        <f>BB104+BB94+BB83+BB74</f>
        <v>0</v>
      </c>
      <c r="BC106" s="198">
        <f>BC104+BC94+BC83+BC74</f>
        <v>0</v>
      </c>
      <c r="BD106" s="198">
        <f t="shared" ref="BD106" si="611">BD104+BD94+BD83+BD74</f>
        <v>0</v>
      </c>
      <c r="BE106" s="198">
        <f>BE104+BE94+BE83+BE74</f>
        <v>0</v>
      </c>
      <c r="BF106" s="198">
        <f>BF104+BF94+BF83+BF74</f>
        <v>0</v>
      </c>
      <c r="BG106" s="198">
        <f>BG104+BG94+BG83+BG74</f>
        <v>0</v>
      </c>
      <c r="BH106" s="198">
        <f>BH104+BH94+BH83+BH74</f>
        <v>0</v>
      </c>
      <c r="BI106" s="198">
        <f t="shared" ref="BI106" si="612">BI104+BI94+BI83+BI74</f>
        <v>0</v>
      </c>
      <c r="BJ106" s="198">
        <f t="shared" ref="BJ106:BL106" si="613">BJ104+BJ94+BJ83+BJ74</f>
        <v>0</v>
      </c>
      <c r="BK106" s="198">
        <f t="shared" si="613"/>
        <v>0</v>
      </c>
      <c r="BL106" s="198">
        <f t="shared" si="613"/>
        <v>0</v>
      </c>
      <c r="BM106" s="198">
        <f t="shared" ref="BM106" si="614">BM104+BM94+BM83+BM74</f>
        <v>0</v>
      </c>
    </row>
    <row r="107" spans="1:65" s="18" customFormat="1" ht="14.15" customHeight="1">
      <c r="A107" s="436">
        <f t="shared" si="563"/>
        <v>101</v>
      </c>
      <c r="B107" s="2"/>
      <c r="C107" s="15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1:65" ht="14.15" customHeight="1">
      <c r="A108" s="436">
        <f t="shared" si="563"/>
        <v>102</v>
      </c>
      <c r="B108" s="83" t="s">
        <v>91</v>
      </c>
      <c r="C108" s="38">
        <f>SUM(D108:BM108)</f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10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10">
        <v>0</v>
      </c>
      <c r="AZ108" s="10">
        <v>0</v>
      </c>
      <c r="BA108" s="10">
        <v>0</v>
      </c>
      <c r="BB108" s="43">
        <v>0</v>
      </c>
      <c r="BC108" s="43">
        <v>0</v>
      </c>
      <c r="BD108" s="43">
        <v>0</v>
      </c>
      <c r="BE108" s="43">
        <v>0</v>
      </c>
      <c r="BF108" s="10">
        <v>0</v>
      </c>
      <c r="BG108" s="43">
        <v>0</v>
      </c>
      <c r="BH108" s="43">
        <v>0</v>
      </c>
      <c r="BI108" s="10">
        <v>0</v>
      </c>
      <c r="BJ108" s="43">
        <v>0</v>
      </c>
      <c r="BK108" s="43">
        <v>0</v>
      </c>
      <c r="BL108" s="10">
        <v>0</v>
      </c>
      <c r="BM108" s="10">
        <v>0</v>
      </c>
    </row>
    <row r="109" spans="1:65" ht="14.15" customHeight="1">
      <c r="A109" s="436">
        <f t="shared" si="563"/>
        <v>103</v>
      </c>
      <c r="B109" s="56" t="s">
        <v>92</v>
      </c>
      <c r="C109" s="38">
        <f>SUM(D109:BM109)</f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0</v>
      </c>
      <c r="BH109" s="64">
        <v>0</v>
      </c>
      <c r="BI109" s="64">
        <v>0</v>
      </c>
      <c r="BJ109" s="64">
        <v>0</v>
      </c>
      <c r="BK109" s="64">
        <v>0</v>
      </c>
      <c r="BL109" s="64">
        <v>0</v>
      </c>
      <c r="BM109" s="64">
        <v>0</v>
      </c>
    </row>
    <row r="110" spans="1:65" s="18" customFormat="1" ht="14.15" customHeight="1">
      <c r="A110" s="436">
        <f t="shared" si="563"/>
        <v>104</v>
      </c>
      <c r="B110" s="2" t="s">
        <v>914</v>
      </c>
      <c r="C110" s="47">
        <f>C109+C108</f>
        <v>0</v>
      </c>
      <c r="D110" s="47">
        <f t="shared" ref="D110:AW110" si="615">D109+D108</f>
        <v>0</v>
      </c>
      <c r="E110" s="47">
        <f t="shared" si="615"/>
        <v>0</v>
      </c>
      <c r="F110" s="47">
        <f t="shared" si="615"/>
        <v>0</v>
      </c>
      <c r="G110" s="47">
        <f t="shared" si="615"/>
        <v>0</v>
      </c>
      <c r="H110" s="47">
        <f t="shared" si="615"/>
        <v>0</v>
      </c>
      <c r="I110" s="47">
        <f t="shared" si="615"/>
        <v>0</v>
      </c>
      <c r="J110" s="47">
        <f t="shared" si="615"/>
        <v>0</v>
      </c>
      <c r="K110" s="47">
        <f t="shared" ref="K110" si="616">K109+K108</f>
        <v>0</v>
      </c>
      <c r="L110" s="47">
        <f t="shared" si="615"/>
        <v>0</v>
      </c>
      <c r="M110" s="47">
        <f t="shared" si="615"/>
        <v>0</v>
      </c>
      <c r="N110" s="47">
        <f t="shared" si="615"/>
        <v>0</v>
      </c>
      <c r="O110" s="47">
        <f t="shared" si="615"/>
        <v>0</v>
      </c>
      <c r="P110" s="47">
        <f t="shared" si="615"/>
        <v>0</v>
      </c>
      <c r="Q110" s="47">
        <f t="shared" si="615"/>
        <v>0</v>
      </c>
      <c r="R110" s="47">
        <f t="shared" si="615"/>
        <v>0</v>
      </c>
      <c r="S110" s="47">
        <f t="shared" si="615"/>
        <v>0</v>
      </c>
      <c r="T110" s="47">
        <f>T109+T108</f>
        <v>0</v>
      </c>
      <c r="U110" s="47">
        <f t="shared" si="615"/>
        <v>0</v>
      </c>
      <c r="V110" s="47">
        <f t="shared" si="615"/>
        <v>0</v>
      </c>
      <c r="W110" s="47">
        <f t="shared" si="615"/>
        <v>0</v>
      </c>
      <c r="X110" s="47">
        <f t="shared" si="615"/>
        <v>0</v>
      </c>
      <c r="Y110" s="47">
        <f t="shared" si="615"/>
        <v>0</v>
      </c>
      <c r="Z110" s="47">
        <f t="shared" si="615"/>
        <v>0</v>
      </c>
      <c r="AA110" s="47">
        <f t="shared" si="615"/>
        <v>0</v>
      </c>
      <c r="AB110" s="47">
        <f t="shared" si="615"/>
        <v>0</v>
      </c>
      <c r="AC110" s="47">
        <f t="shared" ref="AC110" si="617">AC109+AC108</f>
        <v>0</v>
      </c>
      <c r="AD110" s="47">
        <f t="shared" si="615"/>
        <v>0</v>
      </c>
      <c r="AE110" s="47">
        <f t="shared" si="615"/>
        <v>0</v>
      </c>
      <c r="AF110" s="47">
        <f t="shared" si="615"/>
        <v>0</v>
      </c>
      <c r="AG110" s="47">
        <f t="shared" si="615"/>
        <v>0</v>
      </c>
      <c r="AH110" s="47">
        <f t="shared" si="615"/>
        <v>0</v>
      </c>
      <c r="AI110" s="47">
        <f t="shared" si="615"/>
        <v>0</v>
      </c>
      <c r="AJ110" s="47">
        <f>AJ109+AJ108</f>
        <v>0</v>
      </c>
      <c r="AK110" s="47">
        <f>AK109+AK108</f>
        <v>0</v>
      </c>
      <c r="AL110" s="47">
        <f>AL109+AL108</f>
        <v>0</v>
      </c>
      <c r="AM110" s="47">
        <f t="shared" si="615"/>
        <v>0</v>
      </c>
      <c r="AN110" s="47">
        <f t="shared" si="615"/>
        <v>0</v>
      </c>
      <c r="AO110" s="47">
        <f t="shared" si="615"/>
        <v>0</v>
      </c>
      <c r="AP110" s="47">
        <f>AP109+AP108</f>
        <v>0</v>
      </c>
      <c r="AQ110" s="47">
        <f t="shared" ref="AQ110:AT110" si="618">AQ109+AQ108</f>
        <v>0</v>
      </c>
      <c r="AR110" s="47">
        <f t="shared" si="618"/>
        <v>0</v>
      </c>
      <c r="AS110" s="47">
        <f t="shared" si="618"/>
        <v>0</v>
      </c>
      <c r="AT110" s="47">
        <f t="shared" si="618"/>
        <v>0</v>
      </c>
      <c r="AU110" s="47">
        <f>AU109+AU108</f>
        <v>0</v>
      </c>
      <c r="AV110" s="47">
        <f t="shared" si="615"/>
        <v>0</v>
      </c>
      <c r="AW110" s="47">
        <f t="shared" si="615"/>
        <v>0</v>
      </c>
      <c r="AX110" s="47">
        <f>AX109+AX108</f>
        <v>0</v>
      </c>
      <c r="AY110" s="47">
        <f>AY109+AY108</f>
        <v>0</v>
      </c>
      <c r="AZ110" s="47">
        <f t="shared" ref="AZ110:BA110" si="619">AZ109+AZ108</f>
        <v>0</v>
      </c>
      <c r="BA110" s="47">
        <f t="shared" si="619"/>
        <v>0</v>
      </c>
      <c r="BB110" s="47">
        <f>BB109+BB108</f>
        <v>0</v>
      </c>
      <c r="BC110" s="47">
        <f>BC109+BC108</f>
        <v>0</v>
      </c>
      <c r="BD110" s="47">
        <f t="shared" ref="BD110" si="620">BD109+BD108</f>
        <v>0</v>
      </c>
      <c r="BE110" s="47">
        <f>BE109+BE108</f>
        <v>0</v>
      </c>
      <c r="BF110" s="47">
        <f>BF109+BF108</f>
        <v>0</v>
      </c>
      <c r="BG110" s="47">
        <f>BG109+BG108</f>
        <v>0</v>
      </c>
      <c r="BH110" s="47">
        <f>BH109+BH108</f>
        <v>0</v>
      </c>
      <c r="BI110" s="47">
        <f t="shared" ref="BI110" si="621">BI109+BI108</f>
        <v>0</v>
      </c>
      <c r="BJ110" s="47">
        <f t="shared" ref="BJ110:BL110" si="622">BJ109+BJ108</f>
        <v>0</v>
      </c>
      <c r="BK110" s="47">
        <f t="shared" si="622"/>
        <v>0</v>
      </c>
      <c r="BL110" s="47">
        <f t="shared" si="622"/>
        <v>0</v>
      </c>
      <c r="BM110" s="47">
        <f t="shared" ref="BM110" si="623">BM109+BM108</f>
        <v>0</v>
      </c>
    </row>
    <row r="111" spans="1:65" s="18" customFormat="1" ht="14.15" customHeight="1">
      <c r="A111" s="436">
        <f t="shared" si="563"/>
        <v>105</v>
      </c>
      <c r="B111" s="6"/>
      <c r="C111" s="2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1:65" ht="14.15" customHeight="1">
      <c r="A112" s="436">
        <f t="shared" si="563"/>
        <v>106</v>
      </c>
      <c r="B112" s="3" t="s">
        <v>93</v>
      </c>
      <c r="C112" s="1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</row>
    <row r="113" spans="1:65" ht="14.15" customHeight="1">
      <c r="A113" s="436">
        <f t="shared" si="563"/>
        <v>107</v>
      </c>
      <c r="B113" s="83" t="s">
        <v>94</v>
      </c>
      <c r="C113" s="38">
        <f t="shared" ref="C113:C123" si="624">SUM(D113:BM113)</f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</row>
    <row r="114" spans="1:65" ht="14.15" customHeight="1">
      <c r="A114" s="436">
        <f t="shared" si="563"/>
        <v>108</v>
      </c>
      <c r="B114" s="83" t="s">
        <v>95</v>
      </c>
      <c r="C114" s="38">
        <f t="shared" si="624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</row>
    <row r="115" spans="1:65" ht="14.15" customHeight="1">
      <c r="A115" s="436">
        <f t="shared" si="563"/>
        <v>109</v>
      </c>
      <c r="B115" s="83" t="s">
        <v>96</v>
      </c>
      <c r="C115" s="38">
        <f t="shared" si="624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</row>
    <row r="116" spans="1:65" ht="14.15" customHeight="1">
      <c r="A116" s="436">
        <f t="shared" si="563"/>
        <v>110</v>
      </c>
      <c r="B116" s="83" t="s">
        <v>97</v>
      </c>
      <c r="C116" s="38">
        <f t="shared" si="624"/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</row>
    <row r="117" spans="1:65" ht="14.15" customHeight="1">
      <c r="A117" s="436">
        <f t="shared" si="563"/>
        <v>111</v>
      </c>
      <c r="B117" s="83" t="s">
        <v>98</v>
      </c>
      <c r="C117" s="38">
        <f t="shared" si="624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</row>
    <row r="118" spans="1:65" ht="14.15" customHeight="1">
      <c r="A118" s="436">
        <f t="shared" si="563"/>
        <v>112</v>
      </c>
      <c r="B118" s="83" t="s">
        <v>99</v>
      </c>
      <c r="C118" s="38">
        <f t="shared" si="624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</row>
    <row r="119" spans="1:65" ht="14.15" customHeight="1">
      <c r="A119" s="436">
        <f t="shared" si="563"/>
        <v>113</v>
      </c>
      <c r="B119" s="83" t="s">
        <v>100</v>
      </c>
      <c r="C119" s="38">
        <f t="shared" si="624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</row>
    <row r="120" spans="1:65" ht="14.15" customHeight="1">
      <c r="A120" s="436">
        <f t="shared" si="563"/>
        <v>114</v>
      </c>
      <c r="B120" s="83" t="s">
        <v>101</v>
      </c>
      <c r="C120" s="38">
        <f t="shared" si="624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</row>
    <row r="121" spans="1:65" ht="14.15" customHeight="1">
      <c r="A121" s="436">
        <f t="shared" si="563"/>
        <v>115</v>
      </c>
      <c r="B121" s="83" t="s">
        <v>102</v>
      </c>
      <c r="C121" s="38">
        <f t="shared" si="624"/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</row>
    <row r="122" spans="1:65" ht="14.15" customHeight="1">
      <c r="A122" s="436">
        <f t="shared" si="563"/>
        <v>116</v>
      </c>
      <c r="B122" s="83" t="s">
        <v>103</v>
      </c>
      <c r="C122" s="38">
        <f t="shared" si="624"/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</row>
    <row r="123" spans="1:65" ht="14.15" customHeight="1">
      <c r="A123" s="436">
        <f t="shared" si="563"/>
        <v>117</v>
      </c>
      <c r="B123" s="56" t="s">
        <v>104</v>
      </c>
      <c r="C123" s="38">
        <f t="shared" si="624"/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</row>
    <row r="124" spans="1:65" ht="14.15" customHeight="1">
      <c r="A124" s="436">
        <f t="shared" si="563"/>
        <v>118</v>
      </c>
      <c r="B124" s="2" t="s">
        <v>481</v>
      </c>
      <c r="C124" s="80">
        <f t="shared" ref="C124:L124" si="625">SUM(C113:C123)</f>
        <v>0</v>
      </c>
      <c r="D124" s="80">
        <f t="shared" si="625"/>
        <v>0</v>
      </c>
      <c r="E124" s="80">
        <f t="shared" si="625"/>
        <v>0</v>
      </c>
      <c r="F124" s="80">
        <f t="shared" si="625"/>
        <v>0</v>
      </c>
      <c r="G124" s="80">
        <f t="shared" si="625"/>
        <v>0</v>
      </c>
      <c r="H124" s="80">
        <f t="shared" si="625"/>
        <v>0</v>
      </c>
      <c r="I124" s="80">
        <f t="shared" si="625"/>
        <v>0</v>
      </c>
      <c r="J124" s="80">
        <f t="shared" si="625"/>
        <v>0</v>
      </c>
      <c r="K124" s="80">
        <f t="shared" ref="K124" si="626">SUM(K113:K123)</f>
        <v>0</v>
      </c>
      <c r="L124" s="80">
        <f t="shared" si="625"/>
        <v>0</v>
      </c>
      <c r="M124" s="80">
        <f t="shared" ref="M124:Y124" si="627">SUM(M113:M123)</f>
        <v>0</v>
      </c>
      <c r="N124" s="80">
        <f t="shared" si="627"/>
        <v>0</v>
      </c>
      <c r="O124" s="80">
        <f t="shared" si="627"/>
        <v>0</v>
      </c>
      <c r="P124" s="80">
        <f t="shared" si="627"/>
        <v>0</v>
      </c>
      <c r="Q124" s="80">
        <f t="shared" si="627"/>
        <v>0</v>
      </c>
      <c r="R124" s="80">
        <f t="shared" si="627"/>
        <v>0</v>
      </c>
      <c r="S124" s="80">
        <f t="shared" si="627"/>
        <v>0</v>
      </c>
      <c r="T124" s="80">
        <f>SUM(T113:T123)</f>
        <v>0</v>
      </c>
      <c r="U124" s="80">
        <f t="shared" si="627"/>
        <v>0</v>
      </c>
      <c r="V124" s="80">
        <f t="shared" si="627"/>
        <v>0</v>
      </c>
      <c r="W124" s="80">
        <f t="shared" si="627"/>
        <v>0</v>
      </c>
      <c r="X124" s="80">
        <f t="shared" si="627"/>
        <v>0</v>
      </c>
      <c r="Y124" s="80">
        <f t="shared" si="627"/>
        <v>0</v>
      </c>
      <c r="Z124" s="80">
        <f>SUM(Z113:Z123)</f>
        <v>0</v>
      </c>
      <c r="AA124" s="80">
        <f>SUM(AA113:AA123)</f>
        <v>0</v>
      </c>
      <c r="AB124" s="80">
        <f t="shared" ref="AB124:AI124" si="628">SUM(AB113:AB123)</f>
        <v>0</v>
      </c>
      <c r="AC124" s="80">
        <f t="shared" ref="AC124" si="629">SUM(AC113:AC123)</f>
        <v>0</v>
      </c>
      <c r="AD124" s="80">
        <f t="shared" si="628"/>
        <v>0</v>
      </c>
      <c r="AE124" s="80">
        <f t="shared" si="628"/>
        <v>0</v>
      </c>
      <c r="AF124" s="80">
        <f t="shared" si="628"/>
        <v>0</v>
      </c>
      <c r="AG124" s="80">
        <f t="shared" si="628"/>
        <v>0</v>
      </c>
      <c r="AH124" s="80">
        <f t="shared" si="628"/>
        <v>0</v>
      </c>
      <c r="AI124" s="80">
        <f t="shared" si="628"/>
        <v>0</v>
      </c>
      <c r="AJ124" s="80">
        <f>SUM(AJ113:AJ123)</f>
        <v>0</v>
      </c>
      <c r="AK124" s="80">
        <f>SUM(AK113:AK123)</f>
        <v>0</v>
      </c>
      <c r="AL124" s="80">
        <f>SUM(AL113:AL123)</f>
        <v>0</v>
      </c>
      <c r="AM124" s="80">
        <f t="shared" ref="AM124:AW124" si="630">SUM(AM113:AM123)</f>
        <v>0</v>
      </c>
      <c r="AN124" s="80">
        <f t="shared" si="630"/>
        <v>0</v>
      </c>
      <c r="AO124" s="80">
        <f t="shared" si="630"/>
        <v>0</v>
      </c>
      <c r="AP124" s="80">
        <f>SUM(AP113:AP123)</f>
        <v>0</v>
      </c>
      <c r="AQ124" s="80">
        <f t="shared" ref="AQ124:AT124" si="631">SUM(AQ113:AQ123)</f>
        <v>0</v>
      </c>
      <c r="AR124" s="80">
        <f t="shared" si="631"/>
        <v>0</v>
      </c>
      <c r="AS124" s="80">
        <f t="shared" si="631"/>
        <v>0</v>
      </c>
      <c r="AT124" s="80">
        <f t="shared" si="631"/>
        <v>0</v>
      </c>
      <c r="AU124" s="80">
        <f>SUM(AU113:AU123)</f>
        <v>0</v>
      </c>
      <c r="AV124" s="80">
        <f t="shared" si="630"/>
        <v>0</v>
      </c>
      <c r="AW124" s="80">
        <f t="shared" si="630"/>
        <v>0</v>
      </c>
      <c r="AX124" s="80">
        <f>SUM(AX113:AX123)</f>
        <v>0</v>
      </c>
      <c r="AY124" s="80">
        <f>SUM(AY113:AY123)</f>
        <v>0</v>
      </c>
      <c r="AZ124" s="80">
        <f t="shared" ref="AZ124:BA124" si="632">SUM(AZ113:AZ123)</f>
        <v>0</v>
      </c>
      <c r="BA124" s="80">
        <f t="shared" si="632"/>
        <v>0</v>
      </c>
      <c r="BB124" s="80">
        <f>SUM(BB113:BB123)</f>
        <v>0</v>
      </c>
      <c r="BC124" s="80">
        <f>SUM(BC113:BC123)</f>
        <v>0</v>
      </c>
      <c r="BD124" s="80">
        <f t="shared" ref="BD124" si="633">SUM(BD113:BD123)</f>
        <v>0</v>
      </c>
      <c r="BE124" s="80">
        <f>SUM(BE113:BE123)</f>
        <v>0</v>
      </c>
      <c r="BF124" s="80">
        <f>SUM(BF113:BF123)</f>
        <v>0</v>
      </c>
      <c r="BG124" s="80">
        <f>SUM(BG113:BG123)</f>
        <v>0</v>
      </c>
      <c r="BH124" s="80">
        <f>SUM(BH113:BH123)</f>
        <v>0</v>
      </c>
      <c r="BI124" s="80">
        <f t="shared" ref="BI124" si="634">SUM(BI113:BI123)</f>
        <v>0</v>
      </c>
      <c r="BJ124" s="80">
        <f t="shared" ref="BJ124:BL124" si="635">SUM(BJ113:BJ123)</f>
        <v>0</v>
      </c>
      <c r="BK124" s="80">
        <f t="shared" si="635"/>
        <v>0</v>
      </c>
      <c r="BL124" s="80">
        <f t="shared" si="635"/>
        <v>0</v>
      </c>
      <c r="BM124" s="80">
        <f t="shared" ref="BM124" si="636">SUM(BM113:BM123)</f>
        <v>0</v>
      </c>
    </row>
    <row r="125" spans="1:65" ht="14.15" customHeight="1">
      <c r="A125" s="436">
        <f t="shared" si="563"/>
        <v>119</v>
      </c>
      <c r="B125" s="6"/>
      <c r="C125" s="2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4.15" customHeight="1">
      <c r="A126" s="436">
        <f t="shared" si="563"/>
        <v>120</v>
      </c>
      <c r="B126" s="3" t="s">
        <v>105</v>
      </c>
      <c r="C126" s="1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</row>
    <row r="127" spans="1:65" ht="14.15" customHeight="1">
      <c r="A127" s="436">
        <f t="shared" si="563"/>
        <v>121</v>
      </c>
      <c r="B127" s="83" t="s">
        <v>106</v>
      </c>
      <c r="C127" s="38">
        <f t="shared" ref="C127:C141" si="637">SUM(D127:BM127)</f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</row>
    <row r="128" spans="1:65" ht="14.15" customHeight="1">
      <c r="A128" s="436">
        <f t="shared" si="563"/>
        <v>122</v>
      </c>
      <c r="B128" s="83" t="s">
        <v>107</v>
      </c>
      <c r="C128" s="38">
        <f t="shared" si="637"/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</row>
    <row r="129" spans="1:65" ht="14.15" customHeight="1">
      <c r="A129" s="436">
        <f t="shared" si="563"/>
        <v>123</v>
      </c>
      <c r="B129" s="83" t="s">
        <v>108</v>
      </c>
      <c r="C129" s="38">
        <f t="shared" si="637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</row>
    <row r="130" spans="1:65" ht="14.15" customHeight="1">
      <c r="A130" s="436">
        <f t="shared" si="563"/>
        <v>124</v>
      </c>
      <c r="B130" s="83" t="s">
        <v>109</v>
      </c>
      <c r="C130" s="38">
        <f t="shared" si="637"/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</row>
    <row r="131" spans="1:65" ht="14.15" customHeight="1">
      <c r="A131" s="436">
        <f t="shared" si="563"/>
        <v>125</v>
      </c>
      <c r="B131" s="83" t="s">
        <v>110</v>
      </c>
      <c r="C131" s="38">
        <f t="shared" si="637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</row>
    <row r="132" spans="1:65" ht="14.15" customHeight="1">
      <c r="A132" s="436">
        <f t="shared" si="563"/>
        <v>126</v>
      </c>
      <c r="B132" s="83" t="s">
        <v>111</v>
      </c>
      <c r="C132" s="38">
        <f t="shared" si="637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</row>
    <row r="133" spans="1:65" ht="14.15" customHeight="1">
      <c r="A133" s="436">
        <f t="shared" si="563"/>
        <v>127</v>
      </c>
      <c r="B133" s="83" t="s">
        <v>112</v>
      </c>
      <c r="C133" s="38">
        <f t="shared" si="637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</row>
    <row r="134" spans="1:65" ht="14.15" customHeight="1">
      <c r="A134" s="436">
        <f t="shared" si="563"/>
        <v>128</v>
      </c>
      <c r="B134" s="83" t="s">
        <v>113</v>
      </c>
      <c r="C134" s="38">
        <f t="shared" si="637"/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</row>
    <row r="135" spans="1:65" ht="14.15" customHeight="1">
      <c r="A135" s="436">
        <f t="shared" si="563"/>
        <v>129</v>
      </c>
      <c r="B135" s="83" t="s">
        <v>114</v>
      </c>
      <c r="C135" s="38">
        <f t="shared" si="637"/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</row>
    <row r="136" spans="1:65" ht="14.15" customHeight="1">
      <c r="A136" s="436">
        <f t="shared" si="563"/>
        <v>130</v>
      </c>
      <c r="B136" s="83" t="s">
        <v>115</v>
      </c>
      <c r="C136" s="38">
        <f t="shared" si="637"/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</row>
    <row r="137" spans="1:65" ht="14.15" customHeight="1">
      <c r="A137" s="436">
        <f t="shared" si="563"/>
        <v>131</v>
      </c>
      <c r="B137" s="83" t="s">
        <v>116</v>
      </c>
      <c r="C137" s="38">
        <f t="shared" si="637"/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</row>
    <row r="138" spans="1:65" ht="14.15" customHeight="1">
      <c r="A138" s="436">
        <f t="shared" si="563"/>
        <v>132</v>
      </c>
      <c r="B138" s="83" t="s">
        <v>117</v>
      </c>
      <c r="C138" s="38">
        <f t="shared" si="637"/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</row>
    <row r="139" spans="1:65" ht="14.15" customHeight="1">
      <c r="A139" s="436">
        <f t="shared" si="563"/>
        <v>133</v>
      </c>
      <c r="B139" s="83" t="s">
        <v>118</v>
      </c>
      <c r="C139" s="38">
        <f t="shared" si="637"/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</row>
    <row r="140" spans="1:65" ht="14.15" customHeight="1">
      <c r="A140" s="436">
        <f t="shared" si="563"/>
        <v>134</v>
      </c>
      <c r="B140" s="83" t="s">
        <v>119</v>
      </c>
      <c r="C140" s="38">
        <f t="shared" si="637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</row>
    <row r="141" spans="1:65" ht="14.15" customHeight="1">
      <c r="A141" s="436">
        <f t="shared" ref="A141:A204" si="638">+A140+1</f>
        <v>135</v>
      </c>
      <c r="B141" s="56" t="s">
        <v>120</v>
      </c>
      <c r="C141" s="38">
        <f t="shared" si="637"/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</row>
    <row r="142" spans="1:65" ht="14.15" customHeight="1">
      <c r="A142" s="436">
        <f t="shared" si="638"/>
        <v>136</v>
      </c>
      <c r="B142" s="2" t="s">
        <v>482</v>
      </c>
      <c r="C142" s="80">
        <f t="shared" ref="C142:L142" si="639">SUM(C127:C141)</f>
        <v>0</v>
      </c>
      <c r="D142" s="80">
        <f t="shared" si="639"/>
        <v>0</v>
      </c>
      <c r="E142" s="80">
        <f t="shared" si="639"/>
        <v>0</v>
      </c>
      <c r="F142" s="80">
        <f t="shared" si="639"/>
        <v>0</v>
      </c>
      <c r="G142" s="80">
        <f t="shared" si="639"/>
        <v>0</v>
      </c>
      <c r="H142" s="80">
        <f t="shared" si="639"/>
        <v>0</v>
      </c>
      <c r="I142" s="80">
        <f t="shared" si="639"/>
        <v>0</v>
      </c>
      <c r="J142" s="80">
        <f t="shared" si="639"/>
        <v>0</v>
      </c>
      <c r="K142" s="80">
        <f t="shared" ref="K142" si="640">SUM(K127:K141)</f>
        <v>0</v>
      </c>
      <c r="L142" s="80">
        <f t="shared" si="639"/>
        <v>0</v>
      </c>
      <c r="M142" s="80">
        <f t="shared" ref="M142:Y142" si="641">SUM(M127:M141)</f>
        <v>0</v>
      </c>
      <c r="N142" s="80">
        <f t="shared" si="641"/>
        <v>0</v>
      </c>
      <c r="O142" s="80">
        <f t="shared" si="641"/>
        <v>0</v>
      </c>
      <c r="P142" s="80">
        <f t="shared" si="641"/>
        <v>0</v>
      </c>
      <c r="Q142" s="80">
        <f t="shared" si="641"/>
        <v>0</v>
      </c>
      <c r="R142" s="80">
        <f t="shared" si="641"/>
        <v>0</v>
      </c>
      <c r="S142" s="80">
        <f t="shared" si="641"/>
        <v>0</v>
      </c>
      <c r="T142" s="80">
        <f>SUM(T127:T141)</f>
        <v>0</v>
      </c>
      <c r="U142" s="80">
        <f t="shared" si="641"/>
        <v>0</v>
      </c>
      <c r="V142" s="80">
        <f t="shared" si="641"/>
        <v>0</v>
      </c>
      <c r="W142" s="80">
        <f t="shared" si="641"/>
        <v>0</v>
      </c>
      <c r="X142" s="80">
        <f t="shared" si="641"/>
        <v>0</v>
      </c>
      <c r="Y142" s="80">
        <f t="shared" si="641"/>
        <v>0</v>
      </c>
      <c r="Z142" s="80">
        <f t="shared" ref="Z142:AE142" si="642">SUM(Z127:Z141)</f>
        <v>0</v>
      </c>
      <c r="AA142" s="80">
        <f t="shared" si="642"/>
        <v>0</v>
      </c>
      <c r="AB142" s="80">
        <f t="shared" si="642"/>
        <v>0</v>
      </c>
      <c r="AC142" s="80">
        <f t="shared" ref="AC142" si="643">SUM(AC127:AC141)</f>
        <v>0</v>
      </c>
      <c r="AD142" s="80">
        <f t="shared" si="642"/>
        <v>0</v>
      </c>
      <c r="AE142" s="80">
        <f t="shared" si="642"/>
        <v>0</v>
      </c>
      <c r="AF142" s="80">
        <f t="shared" ref="AF142:AI142" si="644">SUM(AF127:AF141)</f>
        <v>0</v>
      </c>
      <c r="AG142" s="80">
        <f t="shared" si="644"/>
        <v>0</v>
      </c>
      <c r="AH142" s="80">
        <f t="shared" si="644"/>
        <v>0</v>
      </c>
      <c r="AI142" s="80">
        <f t="shared" si="644"/>
        <v>0</v>
      </c>
      <c r="AJ142" s="80">
        <f>SUM(AJ127:AJ141)</f>
        <v>0</v>
      </c>
      <c r="AK142" s="80">
        <f>SUM(AK127:AK141)</f>
        <v>0</v>
      </c>
      <c r="AL142" s="80">
        <f>SUM(AL127:AL141)</f>
        <v>0</v>
      </c>
      <c r="AM142" s="80">
        <f t="shared" ref="AM142:AW142" si="645">SUM(AM127:AM141)</f>
        <v>0</v>
      </c>
      <c r="AN142" s="80">
        <f t="shared" si="645"/>
        <v>0</v>
      </c>
      <c r="AO142" s="80">
        <f t="shared" si="645"/>
        <v>0</v>
      </c>
      <c r="AP142" s="80">
        <f>SUM(AP127:AP141)</f>
        <v>0</v>
      </c>
      <c r="AQ142" s="80">
        <f t="shared" ref="AQ142:AT142" si="646">SUM(AQ127:AQ141)</f>
        <v>0</v>
      </c>
      <c r="AR142" s="80">
        <f t="shared" si="646"/>
        <v>0</v>
      </c>
      <c r="AS142" s="80">
        <f t="shared" si="646"/>
        <v>0</v>
      </c>
      <c r="AT142" s="80">
        <f t="shared" si="646"/>
        <v>0</v>
      </c>
      <c r="AU142" s="80">
        <f>SUM(AU127:AU141)</f>
        <v>0</v>
      </c>
      <c r="AV142" s="80">
        <f t="shared" si="645"/>
        <v>0</v>
      </c>
      <c r="AW142" s="80">
        <f t="shared" si="645"/>
        <v>0</v>
      </c>
      <c r="AX142" s="80">
        <f>SUM(AX127:AX141)</f>
        <v>0</v>
      </c>
      <c r="AY142" s="80">
        <f>SUM(AY127:AY141)</f>
        <v>0</v>
      </c>
      <c r="AZ142" s="80">
        <f t="shared" ref="AZ142:BA142" si="647">SUM(AZ127:AZ141)</f>
        <v>0</v>
      </c>
      <c r="BA142" s="80">
        <f t="shared" si="647"/>
        <v>0</v>
      </c>
      <c r="BB142" s="80">
        <f>SUM(BB127:BB141)</f>
        <v>0</v>
      </c>
      <c r="BC142" s="80">
        <f>SUM(BC127:BC141)</f>
        <v>0</v>
      </c>
      <c r="BD142" s="80">
        <f t="shared" ref="BD142" si="648">SUM(BD127:BD141)</f>
        <v>0</v>
      </c>
      <c r="BE142" s="80">
        <f>SUM(BE127:BE141)</f>
        <v>0</v>
      </c>
      <c r="BF142" s="80">
        <f>SUM(BF127:BF141)</f>
        <v>0</v>
      </c>
      <c r="BG142" s="80">
        <f>SUM(BG127:BG141)</f>
        <v>0</v>
      </c>
      <c r="BH142" s="80">
        <f>SUM(BH127:BH141)</f>
        <v>0</v>
      </c>
      <c r="BI142" s="80">
        <f t="shared" ref="BI142" si="649">SUM(BI127:BI141)</f>
        <v>0</v>
      </c>
      <c r="BJ142" s="80">
        <f t="shared" ref="BJ142:BL142" si="650">SUM(BJ127:BJ141)</f>
        <v>0</v>
      </c>
      <c r="BK142" s="80">
        <f t="shared" si="650"/>
        <v>0</v>
      </c>
      <c r="BL142" s="80">
        <f t="shared" si="650"/>
        <v>0</v>
      </c>
      <c r="BM142" s="80">
        <f t="shared" ref="BM142" si="651">SUM(BM127:BM141)</f>
        <v>0</v>
      </c>
    </row>
    <row r="143" spans="1:65" ht="14.15" customHeight="1">
      <c r="A143" s="436">
        <f t="shared" si="638"/>
        <v>137</v>
      </c>
      <c r="B143" s="6"/>
      <c r="C143" s="2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</row>
    <row r="144" spans="1:65" ht="14.15" customHeight="1">
      <c r="A144" s="436">
        <f t="shared" si="638"/>
        <v>138</v>
      </c>
      <c r="B144" s="3" t="s">
        <v>121</v>
      </c>
      <c r="C144" s="1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</row>
    <row r="145" spans="1:65" ht="14.15" customHeight="1">
      <c r="A145" s="436">
        <f t="shared" si="638"/>
        <v>139</v>
      </c>
      <c r="B145" s="83" t="s">
        <v>122</v>
      </c>
      <c r="C145" s="38">
        <f>SUM(D145:BM145)</f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</row>
    <row r="146" spans="1:65" ht="14.15" customHeight="1">
      <c r="A146" s="436">
        <f t="shared" si="638"/>
        <v>140</v>
      </c>
      <c r="B146" s="83" t="s">
        <v>123</v>
      </c>
      <c r="C146" s="38">
        <f t="shared" ref="C146:C156" si="652">SUM(D146:BM146)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</row>
    <row r="147" spans="1:65" ht="14.15" customHeight="1">
      <c r="A147" s="436">
        <f t="shared" si="638"/>
        <v>141</v>
      </c>
      <c r="B147" s="83" t="s">
        <v>124</v>
      </c>
      <c r="C147" s="38">
        <f t="shared" si="65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</row>
    <row r="148" spans="1:65" ht="14.15" customHeight="1">
      <c r="A148" s="436">
        <f t="shared" si="638"/>
        <v>142</v>
      </c>
      <c r="B148" s="83" t="s">
        <v>125</v>
      </c>
      <c r="C148" s="38">
        <f t="shared" si="65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</row>
    <row r="149" spans="1:65" ht="14.15" customHeight="1">
      <c r="A149" s="436">
        <f t="shared" si="638"/>
        <v>143</v>
      </c>
      <c r="B149" s="83" t="s">
        <v>126</v>
      </c>
      <c r="C149" s="38">
        <f t="shared" si="652"/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</row>
    <row r="150" spans="1:65" ht="14.15" customHeight="1">
      <c r="A150" s="436">
        <f t="shared" si="638"/>
        <v>144</v>
      </c>
      <c r="B150" s="83" t="s">
        <v>127</v>
      </c>
      <c r="C150" s="38">
        <f t="shared" si="652"/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</row>
    <row r="151" spans="1:65" ht="14.15" customHeight="1">
      <c r="A151" s="436">
        <f t="shared" si="638"/>
        <v>145</v>
      </c>
      <c r="B151" s="83" t="s">
        <v>128</v>
      </c>
      <c r="C151" s="38">
        <f t="shared" si="652"/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</row>
    <row r="152" spans="1:65" ht="14.15" customHeight="1">
      <c r="A152" s="436">
        <f t="shared" si="638"/>
        <v>146</v>
      </c>
      <c r="B152" s="83" t="s">
        <v>129</v>
      </c>
      <c r="C152" s="38">
        <f t="shared" si="652"/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</row>
    <row r="153" spans="1:65" ht="14.15" customHeight="1">
      <c r="A153" s="436">
        <f t="shared" si="638"/>
        <v>147</v>
      </c>
      <c r="B153" s="83" t="s">
        <v>130</v>
      </c>
      <c r="C153" s="38">
        <f t="shared" si="652"/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</row>
    <row r="154" spans="1:65" ht="14.15" customHeight="1">
      <c r="A154" s="436">
        <f t="shared" si="638"/>
        <v>148</v>
      </c>
      <c r="B154" s="83" t="s">
        <v>131</v>
      </c>
      <c r="C154" s="38">
        <f t="shared" si="652"/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</row>
    <row r="155" spans="1:65" ht="14.15" customHeight="1">
      <c r="A155" s="436">
        <f t="shared" si="638"/>
        <v>149</v>
      </c>
      <c r="B155" s="83" t="s">
        <v>132</v>
      </c>
      <c r="C155" s="38">
        <f t="shared" si="652"/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</row>
    <row r="156" spans="1:65" ht="14.15" customHeight="1">
      <c r="A156" s="436">
        <f t="shared" si="638"/>
        <v>150</v>
      </c>
      <c r="B156" s="56" t="s">
        <v>133</v>
      </c>
      <c r="C156" s="38">
        <f t="shared" si="652"/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</row>
    <row r="157" spans="1:65" ht="14.15" customHeight="1">
      <c r="A157" s="436">
        <f t="shared" si="638"/>
        <v>151</v>
      </c>
      <c r="B157" s="85" t="s">
        <v>483</v>
      </c>
      <c r="C157" s="80">
        <f t="shared" ref="C157:L157" si="653">SUM(C145:C156)</f>
        <v>0</v>
      </c>
      <c r="D157" s="80">
        <f t="shared" si="653"/>
        <v>0</v>
      </c>
      <c r="E157" s="80">
        <f t="shared" si="653"/>
        <v>0</v>
      </c>
      <c r="F157" s="80">
        <f t="shared" si="653"/>
        <v>0</v>
      </c>
      <c r="G157" s="80">
        <f t="shared" si="653"/>
        <v>0</v>
      </c>
      <c r="H157" s="80">
        <f t="shared" si="653"/>
        <v>0</v>
      </c>
      <c r="I157" s="80">
        <f t="shared" si="653"/>
        <v>0</v>
      </c>
      <c r="J157" s="80">
        <f t="shared" si="653"/>
        <v>0</v>
      </c>
      <c r="K157" s="80">
        <f t="shared" ref="K157" si="654">SUM(K145:K156)</f>
        <v>0</v>
      </c>
      <c r="L157" s="80">
        <f t="shared" si="653"/>
        <v>0</v>
      </c>
      <c r="M157" s="80">
        <f t="shared" ref="M157:Y157" si="655">SUM(M145:M156)</f>
        <v>0</v>
      </c>
      <c r="N157" s="80">
        <f t="shared" si="655"/>
        <v>0</v>
      </c>
      <c r="O157" s="80">
        <f t="shared" si="655"/>
        <v>0</v>
      </c>
      <c r="P157" s="80">
        <f t="shared" si="655"/>
        <v>0</v>
      </c>
      <c r="Q157" s="80">
        <f t="shared" si="655"/>
        <v>0</v>
      </c>
      <c r="R157" s="80">
        <f t="shared" si="655"/>
        <v>0</v>
      </c>
      <c r="S157" s="80">
        <f t="shared" si="655"/>
        <v>0</v>
      </c>
      <c r="T157" s="80">
        <f>SUM(T145:T156)</f>
        <v>0</v>
      </c>
      <c r="U157" s="80">
        <f t="shared" si="655"/>
        <v>0</v>
      </c>
      <c r="V157" s="80">
        <f t="shared" si="655"/>
        <v>0</v>
      </c>
      <c r="W157" s="80">
        <f t="shared" si="655"/>
        <v>0</v>
      </c>
      <c r="X157" s="80">
        <f t="shared" si="655"/>
        <v>0</v>
      </c>
      <c r="Y157" s="80">
        <f t="shared" si="655"/>
        <v>0</v>
      </c>
      <c r="Z157" s="80">
        <f t="shared" ref="Z157:AE157" si="656">SUM(Z145:Z156)</f>
        <v>0</v>
      </c>
      <c r="AA157" s="80">
        <f t="shared" si="656"/>
        <v>0</v>
      </c>
      <c r="AB157" s="80">
        <f t="shared" si="656"/>
        <v>0</v>
      </c>
      <c r="AC157" s="80">
        <f t="shared" ref="AC157" si="657">SUM(AC145:AC156)</f>
        <v>0</v>
      </c>
      <c r="AD157" s="80">
        <f t="shared" si="656"/>
        <v>0</v>
      </c>
      <c r="AE157" s="80">
        <f t="shared" si="656"/>
        <v>0</v>
      </c>
      <c r="AF157" s="80">
        <f t="shared" ref="AF157:AI157" si="658">SUM(AF145:AF156)</f>
        <v>0</v>
      </c>
      <c r="AG157" s="80">
        <f t="shared" si="658"/>
        <v>0</v>
      </c>
      <c r="AH157" s="80">
        <f t="shared" si="658"/>
        <v>0</v>
      </c>
      <c r="AI157" s="80">
        <f t="shared" si="658"/>
        <v>0</v>
      </c>
      <c r="AJ157" s="80">
        <f>SUM(AJ145:AJ156)</f>
        <v>0</v>
      </c>
      <c r="AK157" s="80">
        <f>SUM(AK145:AK156)</f>
        <v>0</v>
      </c>
      <c r="AL157" s="80">
        <f>SUM(AL145:AL156)</f>
        <v>0</v>
      </c>
      <c r="AM157" s="80">
        <f t="shared" ref="AM157:AW157" si="659">SUM(AM145:AM156)</f>
        <v>0</v>
      </c>
      <c r="AN157" s="80">
        <f t="shared" si="659"/>
        <v>0</v>
      </c>
      <c r="AO157" s="80">
        <f t="shared" si="659"/>
        <v>0</v>
      </c>
      <c r="AP157" s="80">
        <f>SUM(AP145:AP156)</f>
        <v>0</v>
      </c>
      <c r="AQ157" s="80">
        <f t="shared" ref="AQ157:AT157" si="660">SUM(AQ145:AQ156)</f>
        <v>0</v>
      </c>
      <c r="AR157" s="80">
        <f t="shared" si="660"/>
        <v>0</v>
      </c>
      <c r="AS157" s="80">
        <f t="shared" si="660"/>
        <v>0</v>
      </c>
      <c r="AT157" s="80">
        <f t="shared" si="660"/>
        <v>0</v>
      </c>
      <c r="AU157" s="80">
        <f>SUM(AU145:AU156)</f>
        <v>0</v>
      </c>
      <c r="AV157" s="80">
        <f t="shared" si="659"/>
        <v>0</v>
      </c>
      <c r="AW157" s="80">
        <f t="shared" si="659"/>
        <v>0</v>
      </c>
      <c r="AX157" s="80">
        <f>SUM(AX145:AX156)</f>
        <v>0</v>
      </c>
      <c r="AY157" s="80">
        <f>SUM(AY145:AY156)</f>
        <v>0</v>
      </c>
      <c r="AZ157" s="80">
        <f t="shared" ref="AZ157:BA157" si="661">SUM(AZ145:AZ156)</f>
        <v>0</v>
      </c>
      <c r="BA157" s="80">
        <f t="shared" si="661"/>
        <v>0</v>
      </c>
      <c r="BB157" s="80">
        <f>SUM(BB145:BB156)</f>
        <v>0</v>
      </c>
      <c r="BC157" s="80">
        <f>SUM(BC145:BC156)</f>
        <v>0</v>
      </c>
      <c r="BD157" s="80">
        <f t="shared" ref="BD157" si="662">SUM(BD145:BD156)</f>
        <v>0</v>
      </c>
      <c r="BE157" s="80">
        <f>SUM(BE145:BE156)</f>
        <v>0</v>
      </c>
      <c r="BF157" s="80">
        <f>SUM(BF145:BF156)</f>
        <v>0</v>
      </c>
      <c r="BG157" s="80">
        <f>SUM(BG145:BG156)</f>
        <v>0</v>
      </c>
      <c r="BH157" s="80">
        <f>SUM(BH145:BH156)</f>
        <v>0</v>
      </c>
      <c r="BI157" s="80">
        <f t="shared" ref="BI157" si="663">SUM(BI145:BI156)</f>
        <v>0</v>
      </c>
      <c r="BJ157" s="80">
        <f t="shared" ref="BJ157:BL157" si="664">SUM(BJ145:BJ156)</f>
        <v>0</v>
      </c>
      <c r="BK157" s="80">
        <f t="shared" si="664"/>
        <v>0</v>
      </c>
      <c r="BL157" s="80">
        <f t="shared" si="664"/>
        <v>0</v>
      </c>
      <c r="BM157" s="80">
        <f t="shared" ref="BM157" si="665">SUM(BM145:BM156)</f>
        <v>0</v>
      </c>
    </row>
    <row r="158" spans="1:65" ht="14.15" customHeight="1">
      <c r="A158" s="436">
        <f t="shared" si="638"/>
        <v>152</v>
      </c>
      <c r="B158" s="85"/>
      <c r="C158" s="8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</row>
    <row r="159" spans="1:65" s="18" customFormat="1" ht="14.15" customHeight="1">
      <c r="A159" s="436">
        <f t="shared" si="638"/>
        <v>153</v>
      </c>
      <c r="B159" s="85" t="s">
        <v>147</v>
      </c>
      <c r="C159" s="85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</row>
    <row r="160" spans="1:65" s="18" customFormat="1" ht="14.15" customHeight="1">
      <c r="A160" s="436">
        <f t="shared" si="638"/>
        <v>154</v>
      </c>
      <c r="B160" s="25" t="s">
        <v>148</v>
      </c>
      <c r="C160" s="38">
        <f>SUM(D160:BM160)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</row>
    <row r="161" spans="1:65" s="18" customFormat="1" ht="14.15" customHeight="1">
      <c r="A161" s="436">
        <f t="shared" si="638"/>
        <v>155</v>
      </c>
      <c r="B161" s="25" t="s">
        <v>149</v>
      </c>
      <c r="C161" s="38">
        <f t="shared" ref="C161:C164" si="666">SUM(D161:BM161)</f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</row>
    <row r="162" spans="1:65" s="18" customFormat="1" ht="14.15" customHeight="1">
      <c r="A162" s="436">
        <f t="shared" si="638"/>
        <v>156</v>
      </c>
      <c r="B162" s="25" t="s">
        <v>137</v>
      </c>
      <c r="C162" s="38">
        <f t="shared" si="666"/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</row>
    <row r="163" spans="1:65" s="18" customFormat="1" ht="14.15" customHeight="1">
      <c r="A163" s="436">
        <f t="shared" si="638"/>
        <v>157</v>
      </c>
      <c r="B163" s="25" t="s">
        <v>150</v>
      </c>
      <c r="C163" s="38">
        <f t="shared" si="666"/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</row>
    <row r="164" spans="1:65" ht="14.15" customHeight="1">
      <c r="A164" s="436">
        <f t="shared" si="638"/>
        <v>158</v>
      </c>
      <c r="B164" s="52" t="s">
        <v>151</v>
      </c>
      <c r="C164" s="38">
        <f t="shared" si="666"/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</row>
    <row r="165" spans="1:65" ht="14.15" customHeight="1">
      <c r="A165" s="436">
        <f t="shared" si="638"/>
        <v>159</v>
      </c>
      <c r="B165" s="85" t="s">
        <v>489</v>
      </c>
      <c r="C165" s="80">
        <f t="shared" ref="C165:L165" si="667">SUM(C160:C164)</f>
        <v>0</v>
      </c>
      <c r="D165" s="80">
        <f t="shared" si="667"/>
        <v>0</v>
      </c>
      <c r="E165" s="80">
        <f t="shared" si="667"/>
        <v>0</v>
      </c>
      <c r="F165" s="80">
        <f t="shared" si="667"/>
        <v>0</v>
      </c>
      <c r="G165" s="80">
        <f t="shared" si="667"/>
        <v>0</v>
      </c>
      <c r="H165" s="80">
        <f t="shared" si="667"/>
        <v>0</v>
      </c>
      <c r="I165" s="80">
        <f t="shared" si="667"/>
        <v>0</v>
      </c>
      <c r="J165" s="80">
        <f t="shared" si="667"/>
        <v>0</v>
      </c>
      <c r="K165" s="80">
        <f t="shared" ref="K165" si="668">SUM(K160:K164)</f>
        <v>0</v>
      </c>
      <c r="L165" s="80">
        <f t="shared" si="667"/>
        <v>0</v>
      </c>
      <c r="M165" s="80">
        <f t="shared" ref="M165:Y165" si="669">SUM(M160:M164)</f>
        <v>0</v>
      </c>
      <c r="N165" s="80">
        <f t="shared" si="669"/>
        <v>0</v>
      </c>
      <c r="O165" s="80">
        <f t="shared" si="669"/>
        <v>0</v>
      </c>
      <c r="P165" s="80">
        <f t="shared" si="669"/>
        <v>0</v>
      </c>
      <c r="Q165" s="80">
        <f t="shared" si="669"/>
        <v>0</v>
      </c>
      <c r="R165" s="80">
        <f t="shared" si="669"/>
        <v>0</v>
      </c>
      <c r="S165" s="80">
        <f t="shared" si="669"/>
        <v>0</v>
      </c>
      <c r="T165" s="80">
        <f>SUM(T160:T164)</f>
        <v>0</v>
      </c>
      <c r="U165" s="80">
        <f t="shared" si="669"/>
        <v>0</v>
      </c>
      <c r="V165" s="80">
        <f t="shared" si="669"/>
        <v>0</v>
      </c>
      <c r="W165" s="80">
        <f t="shared" si="669"/>
        <v>0</v>
      </c>
      <c r="X165" s="80">
        <f t="shared" si="669"/>
        <v>0</v>
      </c>
      <c r="Y165" s="80">
        <f t="shared" si="669"/>
        <v>0</v>
      </c>
      <c r="Z165" s="80">
        <f t="shared" ref="Z165:AE165" si="670">SUM(Z160:Z164)</f>
        <v>0</v>
      </c>
      <c r="AA165" s="80">
        <f t="shared" si="670"/>
        <v>0</v>
      </c>
      <c r="AB165" s="80">
        <f t="shared" si="670"/>
        <v>0</v>
      </c>
      <c r="AC165" s="80">
        <f t="shared" ref="AC165" si="671">SUM(AC160:AC164)</f>
        <v>0</v>
      </c>
      <c r="AD165" s="80">
        <f t="shared" si="670"/>
        <v>0</v>
      </c>
      <c r="AE165" s="80">
        <f t="shared" si="670"/>
        <v>0</v>
      </c>
      <c r="AF165" s="80">
        <f t="shared" ref="AF165:AI165" si="672">SUM(AF160:AF164)</f>
        <v>0</v>
      </c>
      <c r="AG165" s="80">
        <f t="shared" si="672"/>
        <v>0</v>
      </c>
      <c r="AH165" s="80">
        <f t="shared" si="672"/>
        <v>0</v>
      </c>
      <c r="AI165" s="80">
        <f t="shared" si="672"/>
        <v>0</v>
      </c>
      <c r="AJ165" s="80">
        <f>SUM(AJ160:AJ164)</f>
        <v>0</v>
      </c>
      <c r="AK165" s="80">
        <f>SUM(AK160:AK164)</f>
        <v>0</v>
      </c>
      <c r="AL165" s="80">
        <f>SUM(AL160:AL164)</f>
        <v>0</v>
      </c>
      <c r="AM165" s="80">
        <f t="shared" ref="AM165:AW165" si="673">SUM(AM160:AM164)</f>
        <v>0</v>
      </c>
      <c r="AN165" s="80">
        <f t="shared" si="673"/>
        <v>0</v>
      </c>
      <c r="AO165" s="80">
        <f t="shared" si="673"/>
        <v>0</v>
      </c>
      <c r="AP165" s="80">
        <f>SUM(AP160:AP164)</f>
        <v>0</v>
      </c>
      <c r="AQ165" s="80">
        <f t="shared" ref="AQ165:AT165" si="674">SUM(AQ160:AQ164)</f>
        <v>0</v>
      </c>
      <c r="AR165" s="80">
        <f t="shared" si="674"/>
        <v>0</v>
      </c>
      <c r="AS165" s="80">
        <f t="shared" si="674"/>
        <v>0</v>
      </c>
      <c r="AT165" s="80">
        <f t="shared" si="674"/>
        <v>0</v>
      </c>
      <c r="AU165" s="80">
        <f>SUM(AU160:AU164)</f>
        <v>0</v>
      </c>
      <c r="AV165" s="80">
        <f t="shared" si="673"/>
        <v>0</v>
      </c>
      <c r="AW165" s="80">
        <f t="shared" si="673"/>
        <v>0</v>
      </c>
      <c r="AX165" s="80">
        <f>SUM(AX160:AX164)</f>
        <v>0</v>
      </c>
      <c r="AY165" s="80">
        <f>SUM(AY160:AY164)</f>
        <v>0</v>
      </c>
      <c r="AZ165" s="80">
        <f t="shared" ref="AZ165:BA165" si="675">SUM(AZ160:AZ164)</f>
        <v>0</v>
      </c>
      <c r="BA165" s="80">
        <f t="shared" si="675"/>
        <v>0</v>
      </c>
      <c r="BB165" s="80">
        <f>SUM(BB160:BB164)</f>
        <v>0</v>
      </c>
      <c r="BC165" s="80">
        <f>SUM(BC160:BC164)</f>
        <v>0</v>
      </c>
      <c r="BD165" s="80">
        <f t="shared" ref="BD165" si="676">SUM(BD160:BD164)</f>
        <v>0</v>
      </c>
      <c r="BE165" s="80">
        <f>SUM(BE160:BE164)</f>
        <v>0</v>
      </c>
      <c r="BF165" s="80">
        <f>SUM(BF160:BF164)</f>
        <v>0</v>
      </c>
      <c r="BG165" s="80">
        <f>SUM(BG160:BG164)</f>
        <v>0</v>
      </c>
      <c r="BH165" s="80">
        <f>SUM(BH160:BH164)</f>
        <v>0</v>
      </c>
      <c r="BI165" s="80">
        <f t="shared" ref="BI165" si="677">SUM(BI160:BI164)</f>
        <v>0</v>
      </c>
      <c r="BJ165" s="80">
        <f t="shared" ref="BJ165:BL165" si="678">SUM(BJ160:BJ164)</f>
        <v>0</v>
      </c>
      <c r="BK165" s="80">
        <f t="shared" si="678"/>
        <v>0</v>
      </c>
      <c r="BL165" s="80">
        <f t="shared" si="678"/>
        <v>0</v>
      </c>
      <c r="BM165" s="80">
        <f t="shared" ref="BM165" si="679">SUM(BM160:BM164)</f>
        <v>0</v>
      </c>
    </row>
    <row r="166" spans="1:65" s="18" customFormat="1" ht="14.15" customHeight="1">
      <c r="A166" s="436">
        <f t="shared" si="638"/>
        <v>160</v>
      </c>
      <c r="B166" s="25"/>
      <c r="C166" s="2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</row>
    <row r="167" spans="1:65" ht="14.15" customHeight="1">
      <c r="A167" s="436">
        <f t="shared" si="638"/>
        <v>161</v>
      </c>
      <c r="B167" s="25" t="s">
        <v>332</v>
      </c>
      <c r="C167" s="38">
        <f>SUM(D167:BM167)</f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</row>
    <row r="168" spans="1:65" ht="14.15" customHeight="1">
      <c r="A168" s="436">
        <f t="shared" si="638"/>
        <v>162</v>
      </c>
      <c r="B168" s="52" t="s">
        <v>333</v>
      </c>
      <c r="C168" s="38">
        <f>SUM(D168:BM168)</f>
        <v>0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146">
        <v>0</v>
      </c>
      <c r="P168" s="146">
        <v>0</v>
      </c>
      <c r="Q168" s="146">
        <v>0</v>
      </c>
      <c r="R168" s="146">
        <v>0</v>
      </c>
      <c r="S168" s="146">
        <v>0</v>
      </c>
      <c r="T168" s="146">
        <v>0</v>
      </c>
      <c r="U168" s="146">
        <v>0</v>
      </c>
      <c r="V168" s="146">
        <v>0</v>
      </c>
      <c r="W168" s="146">
        <v>0</v>
      </c>
      <c r="X168" s="146">
        <v>0</v>
      </c>
      <c r="Y168" s="146">
        <v>0</v>
      </c>
      <c r="Z168" s="146">
        <v>0</v>
      </c>
      <c r="AA168" s="146">
        <v>0</v>
      </c>
      <c r="AB168" s="146">
        <v>0</v>
      </c>
      <c r="AC168" s="146">
        <v>0</v>
      </c>
      <c r="AD168" s="146">
        <v>0</v>
      </c>
      <c r="AE168" s="146">
        <v>0</v>
      </c>
      <c r="AF168" s="146">
        <v>0</v>
      </c>
      <c r="AG168" s="146">
        <v>0</v>
      </c>
      <c r="AH168" s="146">
        <v>0</v>
      </c>
      <c r="AI168" s="146">
        <v>0</v>
      </c>
      <c r="AJ168" s="146">
        <v>0</v>
      </c>
      <c r="AK168" s="146">
        <v>0</v>
      </c>
      <c r="AL168" s="146">
        <v>0</v>
      </c>
      <c r="AM168" s="146">
        <v>0</v>
      </c>
      <c r="AN168" s="146">
        <v>0</v>
      </c>
      <c r="AO168" s="146">
        <v>0</v>
      </c>
      <c r="AP168" s="146">
        <v>0</v>
      </c>
      <c r="AQ168" s="146">
        <v>0</v>
      </c>
      <c r="AR168" s="146">
        <v>0</v>
      </c>
      <c r="AS168" s="146">
        <v>0</v>
      </c>
      <c r="AT168" s="146">
        <v>0</v>
      </c>
      <c r="AU168" s="146">
        <v>0</v>
      </c>
      <c r="AV168" s="146">
        <v>0</v>
      </c>
      <c r="AW168" s="146">
        <v>0</v>
      </c>
      <c r="AX168" s="146">
        <v>0</v>
      </c>
      <c r="AY168" s="146">
        <v>0</v>
      </c>
      <c r="AZ168" s="146">
        <v>0</v>
      </c>
      <c r="BA168" s="146">
        <v>0</v>
      </c>
      <c r="BB168" s="146">
        <v>0</v>
      </c>
      <c r="BC168" s="146">
        <v>0</v>
      </c>
      <c r="BD168" s="146">
        <v>0</v>
      </c>
      <c r="BE168" s="146">
        <v>0</v>
      </c>
      <c r="BF168" s="146">
        <v>0</v>
      </c>
      <c r="BG168" s="146">
        <v>0</v>
      </c>
      <c r="BH168" s="146">
        <v>0</v>
      </c>
      <c r="BI168" s="146">
        <v>0</v>
      </c>
      <c r="BJ168" s="146">
        <v>0</v>
      </c>
      <c r="BK168" s="146">
        <v>0</v>
      </c>
      <c r="BL168" s="146">
        <v>0</v>
      </c>
      <c r="BM168" s="146">
        <v>0</v>
      </c>
    </row>
    <row r="169" spans="1:65" ht="14.15" customHeight="1">
      <c r="A169" s="436">
        <f t="shared" si="638"/>
        <v>163</v>
      </c>
      <c r="B169" s="85" t="s">
        <v>525</v>
      </c>
      <c r="C169" s="80">
        <f t="shared" ref="C169:L169" si="680">SUM(C167:C168)</f>
        <v>0</v>
      </c>
      <c r="D169" s="80">
        <f t="shared" si="680"/>
        <v>0</v>
      </c>
      <c r="E169" s="80">
        <f t="shared" si="680"/>
        <v>0</v>
      </c>
      <c r="F169" s="80">
        <f t="shared" si="680"/>
        <v>0</v>
      </c>
      <c r="G169" s="80">
        <f t="shared" si="680"/>
        <v>0</v>
      </c>
      <c r="H169" s="80">
        <f t="shared" si="680"/>
        <v>0</v>
      </c>
      <c r="I169" s="80">
        <f t="shared" si="680"/>
        <v>0</v>
      </c>
      <c r="J169" s="80">
        <f t="shared" si="680"/>
        <v>0</v>
      </c>
      <c r="K169" s="80">
        <f t="shared" ref="K169" si="681">SUM(K167:K168)</f>
        <v>0</v>
      </c>
      <c r="L169" s="80">
        <f t="shared" si="680"/>
        <v>0</v>
      </c>
      <c r="M169" s="80">
        <f t="shared" ref="M169:Y169" si="682">SUM(M167:M168)</f>
        <v>0</v>
      </c>
      <c r="N169" s="80">
        <f t="shared" si="682"/>
        <v>0</v>
      </c>
      <c r="O169" s="80">
        <f t="shared" si="682"/>
        <v>0</v>
      </c>
      <c r="P169" s="80">
        <f t="shared" si="682"/>
        <v>0</v>
      </c>
      <c r="Q169" s="80">
        <f t="shared" si="682"/>
        <v>0</v>
      </c>
      <c r="R169" s="80">
        <f t="shared" si="682"/>
        <v>0</v>
      </c>
      <c r="S169" s="80">
        <f t="shared" si="682"/>
        <v>0</v>
      </c>
      <c r="T169" s="80">
        <f>SUM(T167:T168)</f>
        <v>0</v>
      </c>
      <c r="U169" s="80">
        <f t="shared" si="682"/>
        <v>0</v>
      </c>
      <c r="V169" s="80">
        <f t="shared" si="682"/>
        <v>0</v>
      </c>
      <c r="W169" s="80">
        <f t="shared" si="682"/>
        <v>0</v>
      </c>
      <c r="X169" s="80">
        <f t="shared" si="682"/>
        <v>0</v>
      </c>
      <c r="Y169" s="80">
        <f t="shared" si="682"/>
        <v>0</v>
      </c>
      <c r="Z169" s="80">
        <f t="shared" ref="Z169:AE169" si="683">SUM(Z167:Z168)</f>
        <v>0</v>
      </c>
      <c r="AA169" s="80">
        <f t="shared" si="683"/>
        <v>0</v>
      </c>
      <c r="AB169" s="80">
        <f t="shared" si="683"/>
        <v>0</v>
      </c>
      <c r="AC169" s="80">
        <f t="shared" ref="AC169" si="684">SUM(AC167:AC168)</f>
        <v>0</v>
      </c>
      <c r="AD169" s="80">
        <f t="shared" si="683"/>
        <v>0</v>
      </c>
      <c r="AE169" s="80">
        <f t="shared" si="683"/>
        <v>0</v>
      </c>
      <c r="AF169" s="80">
        <f t="shared" ref="AF169:AI169" si="685">SUM(AF167:AF168)</f>
        <v>0</v>
      </c>
      <c r="AG169" s="80">
        <f t="shared" si="685"/>
        <v>0</v>
      </c>
      <c r="AH169" s="80">
        <f t="shared" si="685"/>
        <v>0</v>
      </c>
      <c r="AI169" s="80">
        <f t="shared" si="685"/>
        <v>0</v>
      </c>
      <c r="AJ169" s="80">
        <f>SUM(AJ167:AJ168)</f>
        <v>0</v>
      </c>
      <c r="AK169" s="80">
        <f>SUM(AK167:AK168)</f>
        <v>0</v>
      </c>
      <c r="AL169" s="80">
        <f>SUM(AL167:AL168)</f>
        <v>0</v>
      </c>
      <c r="AM169" s="80">
        <f t="shared" ref="AM169:AW169" si="686">SUM(AM167:AM168)</f>
        <v>0</v>
      </c>
      <c r="AN169" s="80">
        <f t="shared" si="686"/>
        <v>0</v>
      </c>
      <c r="AO169" s="80">
        <f t="shared" si="686"/>
        <v>0</v>
      </c>
      <c r="AP169" s="80">
        <f>SUM(AP167:AP168)</f>
        <v>0</v>
      </c>
      <c r="AQ169" s="80">
        <f t="shared" ref="AQ169:AT169" si="687">SUM(AQ167:AQ168)</f>
        <v>0</v>
      </c>
      <c r="AR169" s="80">
        <f t="shared" si="687"/>
        <v>0</v>
      </c>
      <c r="AS169" s="80">
        <f t="shared" si="687"/>
        <v>0</v>
      </c>
      <c r="AT169" s="80">
        <f t="shared" si="687"/>
        <v>0</v>
      </c>
      <c r="AU169" s="80">
        <f>SUM(AU167:AU168)</f>
        <v>0</v>
      </c>
      <c r="AV169" s="80">
        <f t="shared" si="686"/>
        <v>0</v>
      </c>
      <c r="AW169" s="80">
        <f t="shared" si="686"/>
        <v>0</v>
      </c>
      <c r="AX169" s="80">
        <f>SUM(AX167:AX168)</f>
        <v>0</v>
      </c>
      <c r="AY169" s="80">
        <f>SUM(AY167:AY168)</f>
        <v>0</v>
      </c>
      <c r="AZ169" s="80">
        <f t="shared" ref="AZ169:BA169" si="688">SUM(AZ167:AZ168)</f>
        <v>0</v>
      </c>
      <c r="BA169" s="80">
        <f t="shared" si="688"/>
        <v>0</v>
      </c>
      <c r="BB169" s="80">
        <f>SUM(BB167:BB168)</f>
        <v>0</v>
      </c>
      <c r="BC169" s="80">
        <f>SUM(BC167:BC168)</f>
        <v>0</v>
      </c>
      <c r="BD169" s="80">
        <f t="shared" ref="BD169" si="689">SUM(BD167:BD168)</f>
        <v>0</v>
      </c>
      <c r="BE169" s="80">
        <f>SUM(BE167:BE168)</f>
        <v>0</v>
      </c>
      <c r="BF169" s="80">
        <f>SUM(BF167:BF168)</f>
        <v>0</v>
      </c>
      <c r="BG169" s="80">
        <f>SUM(BG167:BG168)</f>
        <v>0</v>
      </c>
      <c r="BH169" s="80">
        <f>SUM(BH167:BH168)</f>
        <v>0</v>
      </c>
      <c r="BI169" s="80">
        <f t="shared" ref="BI169" si="690">SUM(BI167:BI168)</f>
        <v>0</v>
      </c>
      <c r="BJ169" s="80">
        <f t="shared" ref="BJ169:BL169" si="691">SUM(BJ167:BJ168)</f>
        <v>0</v>
      </c>
      <c r="BK169" s="80">
        <f t="shared" si="691"/>
        <v>0</v>
      </c>
      <c r="BL169" s="80">
        <f t="shared" si="691"/>
        <v>0</v>
      </c>
      <c r="BM169" s="80">
        <f t="shared" ref="BM169" si="692">SUM(BM167:BM168)</f>
        <v>0</v>
      </c>
    </row>
    <row r="170" spans="1:65" ht="14.15" customHeight="1">
      <c r="A170" s="436">
        <f t="shared" si="638"/>
        <v>164</v>
      </c>
      <c r="B170" s="60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</row>
    <row r="171" spans="1:65" ht="14.15" customHeight="1" thickBot="1">
      <c r="A171" s="436">
        <f t="shared" si="638"/>
        <v>165</v>
      </c>
      <c r="B171" s="54" t="s">
        <v>134</v>
      </c>
      <c r="C171" s="148">
        <f>C157+C142+C124+C110+C62+C165+C169+C106</f>
        <v>-328628780</v>
      </c>
      <c r="D171" s="148">
        <f t="shared" ref="D171:AW171" si="693">D157+D142+D124+D110+D62+D165+D169+D106</f>
        <v>0</v>
      </c>
      <c r="E171" s="148">
        <f t="shared" si="693"/>
        <v>0</v>
      </c>
      <c r="F171" s="148">
        <f t="shared" si="693"/>
        <v>0</v>
      </c>
      <c r="G171" s="148">
        <f t="shared" si="693"/>
        <v>-324785553</v>
      </c>
      <c r="H171" s="148">
        <f t="shared" si="693"/>
        <v>0</v>
      </c>
      <c r="I171" s="148">
        <f t="shared" si="693"/>
        <v>0</v>
      </c>
      <c r="J171" s="148">
        <f t="shared" si="693"/>
        <v>0</v>
      </c>
      <c r="K171" s="148">
        <f t="shared" ref="K171" si="694">K157+K142+K124+K110+K62+K165+K169+K106</f>
        <v>0</v>
      </c>
      <c r="L171" s="148">
        <f t="shared" si="693"/>
        <v>0</v>
      </c>
      <c r="M171" s="148">
        <f t="shared" si="693"/>
        <v>0</v>
      </c>
      <c r="N171" s="148">
        <f t="shared" si="693"/>
        <v>0</v>
      </c>
      <c r="O171" s="148">
        <f t="shared" si="693"/>
        <v>0</v>
      </c>
      <c r="P171" s="148">
        <f t="shared" si="693"/>
        <v>0</v>
      </c>
      <c r="Q171" s="148">
        <f t="shared" si="693"/>
        <v>0</v>
      </c>
      <c r="R171" s="148">
        <f t="shared" si="693"/>
        <v>0</v>
      </c>
      <c r="S171" s="148">
        <f t="shared" si="693"/>
        <v>0</v>
      </c>
      <c r="T171" s="148">
        <f>T157+T142+T124+T110+T62+T165+T169+T106</f>
        <v>0</v>
      </c>
      <c r="U171" s="148">
        <f t="shared" si="693"/>
        <v>0</v>
      </c>
      <c r="V171" s="148">
        <f t="shared" si="693"/>
        <v>0</v>
      </c>
      <c r="W171" s="148">
        <f t="shared" si="693"/>
        <v>0</v>
      </c>
      <c r="X171" s="148">
        <f t="shared" si="693"/>
        <v>0</v>
      </c>
      <c r="Y171" s="148">
        <f t="shared" si="693"/>
        <v>0</v>
      </c>
      <c r="Z171" s="148">
        <f t="shared" si="693"/>
        <v>0</v>
      </c>
      <c r="AA171" s="148">
        <f t="shared" si="693"/>
        <v>0</v>
      </c>
      <c r="AB171" s="148">
        <f t="shared" si="693"/>
        <v>0</v>
      </c>
      <c r="AC171" s="148">
        <f t="shared" ref="AC171" si="695">AC157+AC142+AC124+AC110+AC62+AC165+AC169+AC106</f>
        <v>0</v>
      </c>
      <c r="AD171" s="148">
        <f t="shared" si="693"/>
        <v>0</v>
      </c>
      <c r="AE171" s="148">
        <f t="shared" si="693"/>
        <v>0</v>
      </c>
      <c r="AF171" s="148">
        <f t="shared" si="693"/>
        <v>0</v>
      </c>
      <c r="AG171" s="148">
        <f t="shared" si="693"/>
        <v>0</v>
      </c>
      <c r="AH171" s="148">
        <f t="shared" si="693"/>
        <v>0</v>
      </c>
      <c r="AI171" s="148">
        <f t="shared" si="693"/>
        <v>0</v>
      </c>
      <c r="AJ171" s="148">
        <f>AJ157+AJ142+AJ124+AJ110+AJ62+AJ165+AJ169+AJ106</f>
        <v>0</v>
      </c>
      <c r="AK171" s="148">
        <f>AK157+AK142+AK124+AK110+AK62+AK165+AK169+AK106</f>
        <v>0</v>
      </c>
      <c r="AL171" s="148">
        <f>AL157+AL142+AL124+AL110+AL62+AL165+AL169+AL106</f>
        <v>0</v>
      </c>
      <c r="AM171" s="148">
        <f t="shared" si="693"/>
        <v>0</v>
      </c>
      <c r="AN171" s="148">
        <f t="shared" si="693"/>
        <v>0</v>
      </c>
      <c r="AO171" s="148">
        <f t="shared" si="693"/>
        <v>0</v>
      </c>
      <c r="AP171" s="148">
        <f>AP157+AP142+AP124+AP110+AP62+AP165+AP169+AP106</f>
        <v>0</v>
      </c>
      <c r="AQ171" s="148">
        <f t="shared" ref="AQ171:AT171" si="696">AQ157+AQ142+AQ124+AQ110+AQ62+AQ165+AQ169+AQ106</f>
        <v>0</v>
      </c>
      <c r="AR171" s="148">
        <f t="shared" si="696"/>
        <v>0</v>
      </c>
      <c r="AS171" s="148">
        <f t="shared" si="696"/>
        <v>0</v>
      </c>
      <c r="AT171" s="148">
        <f t="shared" si="696"/>
        <v>0</v>
      </c>
      <c r="AU171" s="148">
        <f>AU157+AU142+AU124+AU110+AU62+AU165+AU169+AU106</f>
        <v>0</v>
      </c>
      <c r="AV171" s="148">
        <f t="shared" si="693"/>
        <v>0</v>
      </c>
      <c r="AW171" s="148">
        <f t="shared" si="693"/>
        <v>0</v>
      </c>
      <c r="AX171" s="148">
        <f>AX157+AX142+AX124+AX110+AX62+AX165+AX169+AX106</f>
        <v>0</v>
      </c>
      <c r="AY171" s="148">
        <f>AY157+AY142+AY124+AY110+AY62+AY165+AY169+AY106</f>
        <v>-3843227</v>
      </c>
      <c r="AZ171" s="148">
        <f t="shared" ref="AZ171:BA171" si="697">AZ157+AZ142+AZ124+AZ110+AZ62+AZ165+AZ169+AZ106</f>
        <v>0</v>
      </c>
      <c r="BA171" s="148">
        <f t="shared" si="697"/>
        <v>0</v>
      </c>
      <c r="BB171" s="148">
        <f>BB157+BB142+BB124+BB110+BB62+BB165+BB169+BB106</f>
        <v>0</v>
      </c>
      <c r="BC171" s="148">
        <f>BC157+BC142+BC124+BC110+BC62+BC165+BC169+BC106</f>
        <v>0</v>
      </c>
      <c r="BD171" s="148">
        <f t="shared" ref="BD171" si="698">BD157+BD142+BD124+BD110+BD62+BD165+BD169+BD106</f>
        <v>0</v>
      </c>
      <c r="BE171" s="148">
        <f>BE157+BE142+BE124+BE110+BE62+BE165+BE169+BE106</f>
        <v>0</v>
      </c>
      <c r="BF171" s="148">
        <f>BF157+BF142+BF124+BF110+BF62+BF165+BF169+BF106</f>
        <v>0</v>
      </c>
      <c r="BG171" s="148">
        <f>BG157+BG142+BG124+BG110+BG62+BG165+BG169+BG106</f>
        <v>0</v>
      </c>
      <c r="BH171" s="148">
        <f>BH157+BH142+BH124+BH110+BH62+BH165+BH169+BH106</f>
        <v>0</v>
      </c>
      <c r="BI171" s="148">
        <f t="shared" ref="BI171" si="699">BI157+BI142+BI124+BI110+BI62+BI165+BI169+BI106</f>
        <v>0</v>
      </c>
      <c r="BJ171" s="148">
        <f t="shared" ref="BJ171:BL171" si="700">BJ157+BJ142+BJ124+BJ110+BJ62+BJ165+BJ169+BJ106</f>
        <v>0</v>
      </c>
      <c r="BK171" s="148">
        <f t="shared" si="700"/>
        <v>0</v>
      </c>
      <c r="BL171" s="148">
        <f t="shared" si="700"/>
        <v>0</v>
      </c>
      <c r="BM171" s="148">
        <f t="shared" ref="BM171" si="701">BM157+BM142+BM124+BM110+BM62+BM165+BM169+BM106</f>
        <v>0</v>
      </c>
    </row>
    <row r="172" spans="1:65" ht="14.15" customHeight="1" thickTop="1">
      <c r="A172" s="436">
        <f t="shared" si="638"/>
        <v>166</v>
      </c>
      <c r="C172" s="2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</row>
    <row r="173" spans="1:65" ht="14.15" customHeight="1">
      <c r="A173" s="436">
        <f t="shared" si="638"/>
        <v>167</v>
      </c>
      <c r="B173" s="3" t="s">
        <v>135</v>
      </c>
      <c r="C173" s="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</row>
    <row r="174" spans="1:65" ht="14.15" customHeight="1">
      <c r="A174" s="436">
        <f t="shared" si="638"/>
        <v>168</v>
      </c>
      <c r="B174" s="83" t="s">
        <v>136</v>
      </c>
      <c r="C174" s="38">
        <f>SUM(D174:BM174)</f>
        <v>-150195274</v>
      </c>
      <c r="D174" s="10">
        <v>0</v>
      </c>
      <c r="E174" s="10">
        <v>0</v>
      </c>
      <c r="F174" s="10">
        <v>0</v>
      </c>
      <c r="G174" s="10">
        <v>-150195274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</row>
    <row r="175" spans="1:65" ht="14.15" customHeight="1">
      <c r="A175" s="436">
        <f t="shared" si="638"/>
        <v>169</v>
      </c>
      <c r="B175" s="22" t="s">
        <v>145</v>
      </c>
      <c r="C175" s="38">
        <f t="shared" ref="C175:C177" si="702">SUM(D175:BM175)</f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</row>
    <row r="176" spans="1:65" ht="14.15" customHeight="1">
      <c r="A176" s="436">
        <f t="shared" si="638"/>
        <v>170</v>
      </c>
      <c r="B176" s="22" t="s">
        <v>138</v>
      </c>
      <c r="C176" s="38">
        <f t="shared" si="702"/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</row>
    <row r="177" spans="1:65" ht="13.5" customHeight="1">
      <c r="A177" s="436">
        <f t="shared" si="638"/>
        <v>171</v>
      </c>
      <c r="B177" s="22" t="s">
        <v>139</v>
      </c>
      <c r="C177" s="38">
        <f t="shared" si="702"/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</row>
    <row r="178" spans="1:65" ht="14.15" customHeight="1">
      <c r="A178" s="436">
        <f t="shared" si="638"/>
        <v>172</v>
      </c>
      <c r="B178" s="85" t="s">
        <v>480</v>
      </c>
      <c r="C178" s="80">
        <f t="shared" ref="C178:H178" si="703">SUM(C174:C177)</f>
        <v>-150195274</v>
      </c>
      <c r="D178" s="80">
        <f t="shared" si="703"/>
        <v>0</v>
      </c>
      <c r="E178" s="80">
        <f>SUM(E174:E177)</f>
        <v>0</v>
      </c>
      <c r="F178" s="80">
        <f>SUM(F174:F177)</f>
        <v>0</v>
      </c>
      <c r="G178" s="80">
        <f>SUM(G174:G177)</f>
        <v>-150195274</v>
      </c>
      <c r="H178" s="80">
        <f t="shared" si="703"/>
        <v>0</v>
      </c>
      <c r="I178" s="80">
        <f>SUM(I174:I177)</f>
        <v>0</v>
      </c>
      <c r="J178" s="80">
        <f>SUM(J174:J177)</f>
        <v>0</v>
      </c>
      <c r="K178" s="80">
        <f>SUM(K174:K177)</f>
        <v>0</v>
      </c>
      <c r="L178" s="80">
        <f>SUM(L174:L177)</f>
        <v>0</v>
      </c>
      <c r="M178" s="80">
        <f t="shared" ref="M178:Y178" si="704">SUM(M174:M177)</f>
        <v>0</v>
      </c>
      <c r="N178" s="80">
        <f t="shared" si="704"/>
        <v>0</v>
      </c>
      <c r="O178" s="80">
        <f t="shared" si="704"/>
        <v>0</v>
      </c>
      <c r="P178" s="80">
        <f t="shared" si="704"/>
        <v>0</v>
      </c>
      <c r="Q178" s="80">
        <f t="shared" si="704"/>
        <v>0</v>
      </c>
      <c r="R178" s="80">
        <f t="shared" si="704"/>
        <v>0</v>
      </c>
      <c r="S178" s="80">
        <f t="shared" si="704"/>
        <v>0</v>
      </c>
      <c r="T178" s="80">
        <f>SUM(T174:T177)</f>
        <v>0</v>
      </c>
      <c r="U178" s="80">
        <f t="shared" si="704"/>
        <v>0</v>
      </c>
      <c r="V178" s="80">
        <f t="shared" si="704"/>
        <v>0</v>
      </c>
      <c r="W178" s="80">
        <f t="shared" si="704"/>
        <v>0</v>
      </c>
      <c r="X178" s="80">
        <f t="shared" si="704"/>
        <v>0</v>
      </c>
      <c r="Y178" s="80">
        <f t="shared" si="704"/>
        <v>0</v>
      </c>
      <c r="Z178" s="80">
        <f>SUM(Z174:Z177)</f>
        <v>0</v>
      </c>
      <c r="AA178" s="80">
        <f>SUM(AA174:AA177)</f>
        <v>0</v>
      </c>
      <c r="AB178" s="80">
        <f t="shared" ref="AB178:AI178" si="705">SUM(AB174:AB177)</f>
        <v>0</v>
      </c>
      <c r="AC178" s="80">
        <f t="shared" ref="AC178" si="706">SUM(AC174:AC177)</f>
        <v>0</v>
      </c>
      <c r="AD178" s="80">
        <f t="shared" si="705"/>
        <v>0</v>
      </c>
      <c r="AE178" s="80">
        <f t="shared" si="705"/>
        <v>0</v>
      </c>
      <c r="AF178" s="80">
        <f t="shared" si="705"/>
        <v>0</v>
      </c>
      <c r="AG178" s="80">
        <f t="shared" si="705"/>
        <v>0</v>
      </c>
      <c r="AH178" s="80">
        <f t="shared" si="705"/>
        <v>0</v>
      </c>
      <c r="AI178" s="80">
        <f t="shared" si="705"/>
        <v>0</v>
      </c>
      <c r="AJ178" s="80">
        <f>SUM(AJ174:AJ177)</f>
        <v>0</v>
      </c>
      <c r="AK178" s="80">
        <f>SUM(AK174:AK177)</f>
        <v>0</v>
      </c>
      <c r="AL178" s="80">
        <f>SUM(AL174:AL177)</f>
        <v>0</v>
      </c>
      <c r="AM178" s="80">
        <f t="shared" ref="AM178:AW178" si="707">SUM(AM174:AM177)</f>
        <v>0</v>
      </c>
      <c r="AN178" s="80">
        <f t="shared" si="707"/>
        <v>0</v>
      </c>
      <c r="AO178" s="80">
        <f t="shared" si="707"/>
        <v>0</v>
      </c>
      <c r="AP178" s="80">
        <f>SUM(AP174:AP177)</f>
        <v>0</v>
      </c>
      <c r="AQ178" s="80">
        <f t="shared" ref="AQ178:AT178" si="708">SUM(AQ174:AQ177)</f>
        <v>0</v>
      </c>
      <c r="AR178" s="80">
        <f t="shared" si="708"/>
        <v>0</v>
      </c>
      <c r="AS178" s="80">
        <f t="shared" si="708"/>
        <v>0</v>
      </c>
      <c r="AT178" s="80">
        <f t="shared" si="708"/>
        <v>0</v>
      </c>
      <c r="AU178" s="80">
        <f>SUM(AU174:AU177)</f>
        <v>0</v>
      </c>
      <c r="AV178" s="80">
        <f t="shared" si="707"/>
        <v>0</v>
      </c>
      <c r="AW178" s="80">
        <f t="shared" si="707"/>
        <v>0</v>
      </c>
      <c r="AX178" s="80">
        <f>SUM(AX174:AX177)</f>
        <v>0</v>
      </c>
      <c r="AY178" s="80">
        <f>SUM(AY174:AY177)</f>
        <v>0</v>
      </c>
      <c r="AZ178" s="80">
        <f t="shared" ref="AZ178:BA178" si="709">SUM(AZ174:AZ177)</f>
        <v>0</v>
      </c>
      <c r="BA178" s="80">
        <f t="shared" si="709"/>
        <v>0</v>
      </c>
      <c r="BB178" s="80">
        <f>SUM(BB174:BB177)</f>
        <v>0</v>
      </c>
      <c r="BC178" s="80">
        <f>SUM(BC174:BC177)</f>
        <v>0</v>
      </c>
      <c r="BD178" s="80">
        <f t="shared" ref="BD178" si="710">SUM(BD174:BD177)</f>
        <v>0</v>
      </c>
      <c r="BE178" s="80">
        <f>SUM(BE174:BE177)</f>
        <v>0</v>
      </c>
      <c r="BF178" s="80">
        <f>SUM(BF174:BF177)</f>
        <v>0</v>
      </c>
      <c r="BG178" s="80">
        <f>SUM(BG174:BG177)</f>
        <v>0</v>
      </c>
      <c r="BH178" s="80">
        <f>SUM(BH174:BH177)</f>
        <v>0</v>
      </c>
      <c r="BI178" s="80">
        <f t="shared" ref="BI178" si="711">SUM(BI174:BI177)</f>
        <v>0</v>
      </c>
      <c r="BJ178" s="80">
        <f t="shared" ref="BJ178:BL178" si="712">SUM(BJ174:BJ177)</f>
        <v>0</v>
      </c>
      <c r="BK178" s="80">
        <f t="shared" si="712"/>
        <v>0</v>
      </c>
      <c r="BL178" s="80">
        <f t="shared" si="712"/>
        <v>0</v>
      </c>
      <c r="BM178" s="80">
        <f t="shared" ref="BM178" si="713">SUM(BM174:BM177)</f>
        <v>0</v>
      </c>
    </row>
    <row r="179" spans="1:65" ht="14.15" customHeight="1">
      <c r="A179" s="436">
        <f t="shared" si="638"/>
        <v>173</v>
      </c>
      <c r="B179" s="2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</row>
    <row r="180" spans="1:65" ht="14.15" customHeight="1">
      <c r="A180" s="436">
        <f t="shared" si="638"/>
        <v>174</v>
      </c>
      <c r="B180" s="85" t="s">
        <v>140</v>
      </c>
      <c r="C180" s="8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</row>
    <row r="181" spans="1:65" ht="14.15" customHeight="1">
      <c r="A181" s="436">
        <f t="shared" si="638"/>
        <v>175</v>
      </c>
      <c r="B181" s="22" t="s">
        <v>143</v>
      </c>
      <c r="C181" s="38">
        <f>SUM(D181:BM181)</f>
        <v>-1974726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-1974726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</row>
    <row r="182" spans="1:65" ht="14.15" customHeight="1">
      <c r="A182" s="436">
        <f t="shared" si="638"/>
        <v>176</v>
      </c>
      <c r="B182" s="22" t="s">
        <v>136</v>
      </c>
      <c r="C182" s="38">
        <f t="shared" ref="C182:C185" si="714">SUM(D182:BM182)</f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  <c r="AU182" s="43">
        <v>0</v>
      </c>
      <c r="AV182" s="43">
        <v>0</v>
      </c>
      <c r="AW182" s="43">
        <v>0</v>
      </c>
      <c r="AX182" s="43">
        <v>0</v>
      </c>
      <c r="AY182" s="43">
        <v>0</v>
      </c>
      <c r="AZ182" s="43">
        <v>0</v>
      </c>
      <c r="BA182" s="43">
        <v>0</v>
      </c>
      <c r="BB182" s="43">
        <v>0</v>
      </c>
      <c r="BC182" s="43">
        <v>0</v>
      </c>
      <c r="BD182" s="43">
        <v>0</v>
      </c>
      <c r="BE182" s="43">
        <v>0</v>
      </c>
      <c r="BF182" s="43">
        <v>0</v>
      </c>
      <c r="BG182" s="43">
        <v>0</v>
      </c>
      <c r="BH182" s="43">
        <v>0</v>
      </c>
      <c r="BI182" s="43">
        <v>0</v>
      </c>
      <c r="BJ182" s="43">
        <v>0</v>
      </c>
      <c r="BK182" s="43">
        <v>0</v>
      </c>
      <c r="BL182" s="43">
        <v>0</v>
      </c>
      <c r="BM182" s="43">
        <v>0</v>
      </c>
    </row>
    <row r="183" spans="1:65" ht="14.15" customHeight="1">
      <c r="A183" s="436">
        <f t="shared" si="638"/>
        <v>177</v>
      </c>
      <c r="B183" s="22" t="s">
        <v>137</v>
      </c>
      <c r="C183" s="38">
        <f t="shared" si="714"/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>
        <v>0</v>
      </c>
      <c r="AW183" s="43">
        <v>0</v>
      </c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v>0</v>
      </c>
      <c r="BD183" s="43">
        <v>0</v>
      </c>
      <c r="BE183" s="43">
        <v>0</v>
      </c>
      <c r="BF183" s="43">
        <v>0</v>
      </c>
      <c r="BG183" s="43">
        <v>0</v>
      </c>
      <c r="BH183" s="43">
        <v>0</v>
      </c>
      <c r="BI183" s="43">
        <v>0</v>
      </c>
      <c r="BJ183" s="43">
        <v>0</v>
      </c>
      <c r="BK183" s="43">
        <v>0</v>
      </c>
      <c r="BL183" s="43">
        <v>0</v>
      </c>
      <c r="BM183" s="43">
        <v>0</v>
      </c>
    </row>
    <row r="184" spans="1:65" ht="14.15" customHeight="1">
      <c r="A184" s="436">
        <f t="shared" si="638"/>
        <v>178</v>
      </c>
      <c r="B184" s="22" t="s">
        <v>138</v>
      </c>
      <c r="C184" s="38">
        <f t="shared" si="714"/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43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0</v>
      </c>
      <c r="BD184" s="43">
        <v>0</v>
      </c>
      <c r="BE184" s="43">
        <v>0</v>
      </c>
      <c r="BF184" s="43">
        <v>0</v>
      </c>
      <c r="BG184" s="43">
        <v>0</v>
      </c>
      <c r="BH184" s="43">
        <v>0</v>
      </c>
      <c r="BI184" s="43">
        <v>0</v>
      </c>
      <c r="BJ184" s="43">
        <v>0</v>
      </c>
      <c r="BK184" s="43">
        <v>0</v>
      </c>
      <c r="BL184" s="43">
        <v>0</v>
      </c>
      <c r="BM184" s="43">
        <v>0</v>
      </c>
    </row>
    <row r="185" spans="1:65" s="18" customFormat="1" ht="14.15" customHeight="1">
      <c r="A185" s="436">
        <f t="shared" si="638"/>
        <v>179</v>
      </c>
      <c r="B185" s="56" t="s">
        <v>139</v>
      </c>
      <c r="C185" s="198">
        <f t="shared" si="714"/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0</v>
      </c>
      <c r="AA185" s="64">
        <v>0</v>
      </c>
      <c r="AB185" s="64">
        <v>0</v>
      </c>
      <c r="AC185" s="64">
        <v>0</v>
      </c>
      <c r="AD185" s="64">
        <v>0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>
        <v>0</v>
      </c>
      <c r="AS185" s="64">
        <v>0</v>
      </c>
      <c r="AT185" s="64">
        <v>0</v>
      </c>
      <c r="AU185" s="64">
        <v>0</v>
      </c>
      <c r="AV185" s="64">
        <v>0</v>
      </c>
      <c r="AW185" s="64">
        <v>0</v>
      </c>
      <c r="AX185" s="64">
        <v>0</v>
      </c>
      <c r="AY185" s="64">
        <v>0</v>
      </c>
      <c r="AZ185" s="64">
        <v>0</v>
      </c>
      <c r="BA185" s="64">
        <v>0</v>
      </c>
      <c r="BB185" s="64">
        <v>0</v>
      </c>
      <c r="BC185" s="64">
        <v>0</v>
      </c>
      <c r="BD185" s="64">
        <v>0</v>
      </c>
      <c r="BE185" s="64">
        <v>0</v>
      </c>
      <c r="BF185" s="64">
        <v>0</v>
      </c>
      <c r="BG185" s="64">
        <v>0</v>
      </c>
      <c r="BH185" s="64">
        <v>0</v>
      </c>
      <c r="BI185" s="64">
        <v>0</v>
      </c>
      <c r="BJ185" s="64">
        <v>0</v>
      </c>
      <c r="BK185" s="64">
        <v>0</v>
      </c>
      <c r="BL185" s="64">
        <v>0</v>
      </c>
      <c r="BM185" s="64">
        <v>0</v>
      </c>
    </row>
    <row r="186" spans="1:65" ht="14.15" customHeight="1">
      <c r="A186" s="436">
        <f t="shared" si="638"/>
        <v>180</v>
      </c>
      <c r="B186" s="85" t="s">
        <v>484</v>
      </c>
      <c r="C186" s="16">
        <f t="shared" ref="C186:L186" si="715">SUM(C181:C185)</f>
        <v>-1974726</v>
      </c>
      <c r="D186" s="16">
        <f t="shared" si="715"/>
        <v>0</v>
      </c>
      <c r="E186" s="16">
        <f t="shared" si="715"/>
        <v>0</v>
      </c>
      <c r="F186" s="16">
        <f t="shared" si="715"/>
        <v>0</v>
      </c>
      <c r="G186" s="16">
        <f t="shared" si="715"/>
        <v>0</v>
      </c>
      <c r="H186" s="16">
        <f t="shared" si="715"/>
        <v>0</v>
      </c>
      <c r="I186" s="16">
        <f t="shared" si="715"/>
        <v>0</v>
      </c>
      <c r="J186" s="16">
        <f t="shared" si="715"/>
        <v>0</v>
      </c>
      <c r="K186" s="16">
        <f t="shared" ref="K186" si="716">SUM(K181:K185)</f>
        <v>0</v>
      </c>
      <c r="L186" s="16">
        <f t="shared" si="715"/>
        <v>0</v>
      </c>
      <c r="M186" s="16">
        <f t="shared" ref="M186:Y186" si="717">SUM(M181:M185)</f>
        <v>0</v>
      </c>
      <c r="N186" s="16">
        <f t="shared" si="717"/>
        <v>0</v>
      </c>
      <c r="O186" s="16">
        <f t="shared" si="717"/>
        <v>0</v>
      </c>
      <c r="P186" s="16">
        <f t="shared" si="717"/>
        <v>0</v>
      </c>
      <c r="Q186" s="16">
        <f t="shared" si="717"/>
        <v>0</v>
      </c>
      <c r="R186" s="16">
        <f t="shared" si="717"/>
        <v>0</v>
      </c>
      <c r="S186" s="16">
        <f t="shared" si="717"/>
        <v>0</v>
      </c>
      <c r="T186" s="16">
        <f>SUM(T181:T185)</f>
        <v>0</v>
      </c>
      <c r="U186" s="16">
        <f t="shared" si="717"/>
        <v>0</v>
      </c>
      <c r="V186" s="16">
        <f t="shared" si="717"/>
        <v>0</v>
      </c>
      <c r="W186" s="16">
        <f t="shared" si="717"/>
        <v>0</v>
      </c>
      <c r="X186" s="16">
        <f t="shared" si="717"/>
        <v>0</v>
      </c>
      <c r="Y186" s="16">
        <f t="shared" si="717"/>
        <v>0</v>
      </c>
      <c r="Z186" s="16">
        <f t="shared" ref="Z186:AE186" si="718">SUM(Z181:Z185)</f>
        <v>0</v>
      </c>
      <c r="AA186" s="16">
        <f t="shared" si="718"/>
        <v>0</v>
      </c>
      <c r="AB186" s="16">
        <f t="shared" si="718"/>
        <v>0</v>
      </c>
      <c r="AC186" s="16">
        <f t="shared" ref="AC186" si="719">SUM(AC181:AC185)</f>
        <v>0</v>
      </c>
      <c r="AD186" s="16">
        <f t="shared" si="718"/>
        <v>0</v>
      </c>
      <c r="AE186" s="16">
        <f t="shared" si="718"/>
        <v>0</v>
      </c>
      <c r="AF186" s="16">
        <f t="shared" ref="AF186:AI186" si="720">SUM(AF181:AF185)</f>
        <v>0</v>
      </c>
      <c r="AG186" s="16">
        <f t="shared" si="720"/>
        <v>0</v>
      </c>
      <c r="AH186" s="16">
        <f t="shared" si="720"/>
        <v>0</v>
      </c>
      <c r="AI186" s="16">
        <f t="shared" si="720"/>
        <v>0</v>
      </c>
      <c r="AJ186" s="16">
        <f>SUM(AJ181:AJ185)</f>
        <v>0</v>
      </c>
      <c r="AK186" s="16">
        <f>SUM(AK181:AK185)</f>
        <v>0</v>
      </c>
      <c r="AL186" s="16">
        <f>SUM(AL181:AL185)</f>
        <v>0</v>
      </c>
      <c r="AM186" s="16">
        <f t="shared" ref="AM186:AW186" si="721">SUM(AM181:AM185)</f>
        <v>0</v>
      </c>
      <c r="AN186" s="16">
        <f t="shared" si="721"/>
        <v>0</v>
      </c>
      <c r="AO186" s="16">
        <f t="shared" si="721"/>
        <v>0</v>
      </c>
      <c r="AP186" s="16">
        <f>SUM(AP181:AP185)</f>
        <v>0</v>
      </c>
      <c r="AQ186" s="16">
        <f t="shared" ref="AQ186:AT186" si="722">SUM(AQ181:AQ185)</f>
        <v>0</v>
      </c>
      <c r="AR186" s="16">
        <f t="shared" si="722"/>
        <v>0</v>
      </c>
      <c r="AS186" s="16">
        <f t="shared" si="722"/>
        <v>0</v>
      </c>
      <c r="AT186" s="16">
        <f t="shared" si="722"/>
        <v>0</v>
      </c>
      <c r="AU186" s="16">
        <f>SUM(AU181:AU185)</f>
        <v>0</v>
      </c>
      <c r="AV186" s="16">
        <f t="shared" si="721"/>
        <v>0</v>
      </c>
      <c r="AW186" s="16">
        <f t="shared" si="721"/>
        <v>0</v>
      </c>
      <c r="AX186" s="16">
        <f>SUM(AX181:AX185)</f>
        <v>0</v>
      </c>
      <c r="AY186" s="16">
        <f>SUM(AY181:AY185)</f>
        <v>-1974726</v>
      </c>
      <c r="AZ186" s="16">
        <f t="shared" ref="AZ186:BA186" si="723">SUM(AZ181:AZ185)</f>
        <v>0</v>
      </c>
      <c r="BA186" s="16">
        <f t="shared" si="723"/>
        <v>0</v>
      </c>
      <c r="BB186" s="16">
        <f>SUM(BB181:BB185)</f>
        <v>0</v>
      </c>
      <c r="BC186" s="16">
        <f>SUM(BC181:BC185)</f>
        <v>0</v>
      </c>
      <c r="BD186" s="16">
        <f t="shared" ref="BD186" si="724">SUM(BD181:BD185)</f>
        <v>0</v>
      </c>
      <c r="BE186" s="16">
        <f>SUM(BE181:BE185)</f>
        <v>0</v>
      </c>
      <c r="BF186" s="16">
        <f>SUM(BF181:BF185)</f>
        <v>0</v>
      </c>
      <c r="BG186" s="16">
        <f>SUM(BG181:BG185)</f>
        <v>0</v>
      </c>
      <c r="BH186" s="16">
        <f>SUM(BH181:BH185)</f>
        <v>0</v>
      </c>
      <c r="BI186" s="16">
        <f t="shared" ref="BI186" si="725">SUM(BI181:BI185)</f>
        <v>0</v>
      </c>
      <c r="BJ186" s="16">
        <f t="shared" ref="BJ186:BL186" si="726">SUM(BJ181:BJ185)</f>
        <v>0</v>
      </c>
      <c r="BK186" s="16">
        <f t="shared" si="726"/>
        <v>0</v>
      </c>
      <c r="BL186" s="16">
        <f t="shared" si="726"/>
        <v>0</v>
      </c>
      <c r="BM186" s="16">
        <f t="shared" ref="BM186" si="727">SUM(BM181:BM185)</f>
        <v>0</v>
      </c>
    </row>
    <row r="187" spans="1:65" ht="14.15" customHeight="1">
      <c r="A187" s="436">
        <f t="shared" si="638"/>
        <v>181</v>
      </c>
      <c r="B187" s="25"/>
      <c r="C187" s="2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</row>
    <row r="188" spans="1:65" ht="14.15" customHeight="1">
      <c r="A188" s="436">
        <f t="shared" si="638"/>
        <v>182</v>
      </c>
      <c r="B188" s="52" t="s">
        <v>331</v>
      </c>
      <c r="C188" s="198">
        <f>SUM(D188:BM188)</f>
        <v>0</v>
      </c>
      <c r="D188" s="146">
        <v>0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v>0</v>
      </c>
      <c r="Q188" s="146">
        <v>0</v>
      </c>
      <c r="R188" s="146">
        <v>0</v>
      </c>
      <c r="S188" s="146">
        <v>0</v>
      </c>
      <c r="T188" s="146">
        <v>0</v>
      </c>
      <c r="U188" s="146">
        <v>0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46">
        <v>0</v>
      </c>
      <c r="AE188" s="146">
        <v>0</v>
      </c>
      <c r="AF188" s="146">
        <v>0</v>
      </c>
      <c r="AG188" s="146">
        <v>0</v>
      </c>
      <c r="AH188" s="146">
        <v>0</v>
      </c>
      <c r="AI188" s="146">
        <v>0</v>
      </c>
      <c r="AJ188" s="146">
        <v>0</v>
      </c>
      <c r="AK188" s="146">
        <v>0</v>
      </c>
      <c r="AL188" s="146">
        <v>0</v>
      </c>
      <c r="AM188" s="146">
        <v>0</v>
      </c>
      <c r="AN188" s="146">
        <v>0</v>
      </c>
      <c r="AO188" s="146">
        <v>0</v>
      </c>
      <c r="AP188" s="146">
        <v>0</v>
      </c>
      <c r="AQ188" s="146">
        <v>0</v>
      </c>
      <c r="AR188" s="146">
        <v>0</v>
      </c>
      <c r="AS188" s="146">
        <v>0</v>
      </c>
      <c r="AT188" s="146">
        <v>0</v>
      </c>
      <c r="AU188" s="146">
        <v>0</v>
      </c>
      <c r="AV188" s="146">
        <v>0</v>
      </c>
      <c r="AW188" s="146">
        <v>0</v>
      </c>
      <c r="AX188" s="146">
        <v>0</v>
      </c>
      <c r="AY188" s="146">
        <v>0</v>
      </c>
      <c r="AZ188" s="146">
        <v>0</v>
      </c>
      <c r="BA188" s="146">
        <v>0</v>
      </c>
      <c r="BB188" s="146">
        <v>0</v>
      </c>
      <c r="BC188" s="146">
        <v>0</v>
      </c>
      <c r="BD188" s="146">
        <v>0</v>
      </c>
      <c r="BE188" s="146">
        <v>0</v>
      </c>
      <c r="BF188" s="146">
        <v>0</v>
      </c>
      <c r="BG188" s="146">
        <v>0</v>
      </c>
      <c r="BH188" s="146">
        <v>0</v>
      </c>
      <c r="BI188" s="146">
        <v>0</v>
      </c>
      <c r="BJ188" s="146">
        <v>0</v>
      </c>
      <c r="BK188" s="146">
        <v>0</v>
      </c>
      <c r="BL188" s="146">
        <v>0</v>
      </c>
      <c r="BM188" s="146">
        <v>0</v>
      </c>
    </row>
    <row r="189" spans="1:65" ht="14.15" customHeight="1">
      <c r="A189" s="436">
        <f t="shared" si="638"/>
        <v>183</v>
      </c>
      <c r="B189" s="85" t="s">
        <v>487</v>
      </c>
      <c r="C189" s="16">
        <f t="shared" ref="C189:L189" si="728">SUM(C188:C188)</f>
        <v>0</v>
      </c>
      <c r="D189" s="16">
        <f t="shared" si="728"/>
        <v>0</v>
      </c>
      <c r="E189" s="16">
        <f t="shared" si="728"/>
        <v>0</v>
      </c>
      <c r="F189" s="16">
        <f t="shared" si="728"/>
        <v>0</v>
      </c>
      <c r="G189" s="16">
        <f t="shared" si="728"/>
        <v>0</v>
      </c>
      <c r="H189" s="16">
        <f t="shared" si="728"/>
        <v>0</v>
      </c>
      <c r="I189" s="16">
        <f t="shared" si="728"/>
        <v>0</v>
      </c>
      <c r="J189" s="16">
        <f t="shared" si="728"/>
        <v>0</v>
      </c>
      <c r="K189" s="16">
        <f t="shared" ref="K189" si="729">SUM(K188:K188)</f>
        <v>0</v>
      </c>
      <c r="L189" s="16">
        <f t="shared" si="728"/>
        <v>0</v>
      </c>
      <c r="M189" s="16">
        <f t="shared" ref="M189:Y189" si="730">SUM(M188:M188)</f>
        <v>0</v>
      </c>
      <c r="N189" s="16">
        <f t="shared" si="730"/>
        <v>0</v>
      </c>
      <c r="O189" s="16">
        <f t="shared" si="730"/>
        <v>0</v>
      </c>
      <c r="P189" s="16">
        <f t="shared" si="730"/>
        <v>0</v>
      </c>
      <c r="Q189" s="16">
        <f t="shared" si="730"/>
        <v>0</v>
      </c>
      <c r="R189" s="16">
        <f t="shared" si="730"/>
        <v>0</v>
      </c>
      <c r="S189" s="16">
        <f t="shared" si="730"/>
        <v>0</v>
      </c>
      <c r="T189" s="16">
        <f>SUM(T188:T188)</f>
        <v>0</v>
      </c>
      <c r="U189" s="16">
        <f t="shared" si="730"/>
        <v>0</v>
      </c>
      <c r="V189" s="16">
        <f t="shared" si="730"/>
        <v>0</v>
      </c>
      <c r="W189" s="16">
        <f t="shared" si="730"/>
        <v>0</v>
      </c>
      <c r="X189" s="16">
        <f t="shared" si="730"/>
        <v>0</v>
      </c>
      <c r="Y189" s="16">
        <f t="shared" si="730"/>
        <v>0</v>
      </c>
      <c r="Z189" s="16">
        <f t="shared" ref="Z189:AE189" si="731">SUM(Z188:Z188)</f>
        <v>0</v>
      </c>
      <c r="AA189" s="16">
        <f t="shared" si="731"/>
        <v>0</v>
      </c>
      <c r="AB189" s="16">
        <f t="shared" si="731"/>
        <v>0</v>
      </c>
      <c r="AC189" s="16">
        <f t="shared" ref="AC189" si="732">SUM(AC188:AC188)</f>
        <v>0</v>
      </c>
      <c r="AD189" s="16">
        <f t="shared" si="731"/>
        <v>0</v>
      </c>
      <c r="AE189" s="16">
        <f t="shared" si="731"/>
        <v>0</v>
      </c>
      <c r="AF189" s="16">
        <f t="shared" ref="AF189:AI189" si="733">SUM(AF188:AF188)</f>
        <v>0</v>
      </c>
      <c r="AG189" s="16">
        <f t="shared" si="733"/>
        <v>0</v>
      </c>
      <c r="AH189" s="16">
        <f t="shared" si="733"/>
        <v>0</v>
      </c>
      <c r="AI189" s="16">
        <f t="shared" si="733"/>
        <v>0</v>
      </c>
      <c r="AJ189" s="16">
        <f>SUM(AJ188:AJ188)</f>
        <v>0</v>
      </c>
      <c r="AK189" s="16">
        <f>SUM(AK188:AK188)</f>
        <v>0</v>
      </c>
      <c r="AL189" s="16">
        <f>SUM(AL188:AL188)</f>
        <v>0</v>
      </c>
      <c r="AM189" s="16">
        <f t="shared" ref="AM189:AW189" si="734">SUM(AM188:AM188)</f>
        <v>0</v>
      </c>
      <c r="AN189" s="16">
        <f t="shared" si="734"/>
        <v>0</v>
      </c>
      <c r="AO189" s="16">
        <f t="shared" si="734"/>
        <v>0</v>
      </c>
      <c r="AP189" s="16">
        <f>SUM(AP188:AP188)</f>
        <v>0</v>
      </c>
      <c r="AQ189" s="16">
        <f t="shared" ref="AQ189:AT189" si="735">SUM(AQ188:AQ188)</f>
        <v>0</v>
      </c>
      <c r="AR189" s="16">
        <f t="shared" si="735"/>
        <v>0</v>
      </c>
      <c r="AS189" s="16">
        <f t="shared" si="735"/>
        <v>0</v>
      </c>
      <c r="AT189" s="16">
        <f t="shared" si="735"/>
        <v>0</v>
      </c>
      <c r="AU189" s="16">
        <f>SUM(AU188:AU188)</f>
        <v>0</v>
      </c>
      <c r="AV189" s="16">
        <f t="shared" si="734"/>
        <v>0</v>
      </c>
      <c r="AW189" s="16">
        <f t="shared" si="734"/>
        <v>0</v>
      </c>
      <c r="AX189" s="16">
        <f>SUM(AX188:AX188)</f>
        <v>0</v>
      </c>
      <c r="AY189" s="16">
        <f>SUM(AY188:AY188)</f>
        <v>0</v>
      </c>
      <c r="AZ189" s="16">
        <f t="shared" ref="AZ189:BA189" si="736">SUM(AZ188:AZ188)</f>
        <v>0</v>
      </c>
      <c r="BA189" s="16">
        <f t="shared" si="736"/>
        <v>0</v>
      </c>
      <c r="BB189" s="16">
        <f>SUM(BB188:BB188)</f>
        <v>0</v>
      </c>
      <c r="BC189" s="16">
        <f>SUM(BC188:BC188)</f>
        <v>0</v>
      </c>
      <c r="BD189" s="16">
        <f t="shared" ref="BD189" si="737">SUM(BD188:BD188)</f>
        <v>0</v>
      </c>
      <c r="BE189" s="16">
        <f>SUM(BE188:BE188)</f>
        <v>0</v>
      </c>
      <c r="BF189" s="16">
        <f>SUM(BF188:BF188)</f>
        <v>0</v>
      </c>
      <c r="BG189" s="16">
        <f>SUM(BG188:BG188)</f>
        <v>0</v>
      </c>
      <c r="BH189" s="16">
        <f>SUM(BH188:BH188)</f>
        <v>0</v>
      </c>
      <c r="BI189" s="16">
        <f t="shared" ref="BI189" si="738">SUM(BI188:BI188)</f>
        <v>0</v>
      </c>
      <c r="BJ189" s="16">
        <f t="shared" ref="BJ189:BL189" si="739">SUM(BJ188:BJ188)</f>
        <v>0</v>
      </c>
      <c r="BK189" s="16">
        <f t="shared" si="739"/>
        <v>0</v>
      </c>
      <c r="BL189" s="16">
        <f t="shared" si="739"/>
        <v>0</v>
      </c>
      <c r="BM189" s="16">
        <f t="shared" ref="BM189" si="740">SUM(BM188:BM188)</f>
        <v>0</v>
      </c>
    </row>
    <row r="190" spans="1:65" ht="14.15" customHeight="1">
      <c r="A190" s="436">
        <f t="shared" si="638"/>
        <v>184</v>
      </c>
      <c r="B190" s="52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</row>
    <row r="191" spans="1:65" ht="14.15" customHeight="1">
      <c r="A191" s="436">
        <f t="shared" si="638"/>
        <v>185</v>
      </c>
      <c r="B191" s="85" t="s">
        <v>517</v>
      </c>
      <c r="C191" s="16">
        <f t="shared" ref="C191:L191" si="741">C186+C178+C189</f>
        <v>-152170000</v>
      </c>
      <c r="D191" s="16">
        <f t="shared" si="741"/>
        <v>0</v>
      </c>
      <c r="E191" s="16">
        <f t="shared" si="741"/>
        <v>0</v>
      </c>
      <c r="F191" s="16">
        <f t="shared" si="741"/>
        <v>0</v>
      </c>
      <c r="G191" s="16">
        <f t="shared" si="741"/>
        <v>-150195274</v>
      </c>
      <c r="H191" s="16">
        <f t="shared" si="741"/>
        <v>0</v>
      </c>
      <c r="I191" s="16">
        <f t="shared" si="741"/>
        <v>0</v>
      </c>
      <c r="J191" s="16">
        <f t="shared" si="741"/>
        <v>0</v>
      </c>
      <c r="K191" s="16">
        <f t="shared" ref="K191" si="742">K186+K178+K189</f>
        <v>0</v>
      </c>
      <c r="L191" s="16">
        <f t="shared" si="741"/>
        <v>0</v>
      </c>
      <c r="M191" s="16">
        <f t="shared" ref="M191:Y191" si="743">M186+M178+M189</f>
        <v>0</v>
      </c>
      <c r="N191" s="16">
        <f t="shared" si="743"/>
        <v>0</v>
      </c>
      <c r="O191" s="16">
        <f t="shared" si="743"/>
        <v>0</v>
      </c>
      <c r="P191" s="16">
        <f t="shared" si="743"/>
        <v>0</v>
      </c>
      <c r="Q191" s="16">
        <f t="shared" si="743"/>
        <v>0</v>
      </c>
      <c r="R191" s="16">
        <f t="shared" si="743"/>
        <v>0</v>
      </c>
      <c r="S191" s="16">
        <f t="shared" si="743"/>
        <v>0</v>
      </c>
      <c r="T191" s="16">
        <f>T186+T178+T189</f>
        <v>0</v>
      </c>
      <c r="U191" s="16">
        <f t="shared" si="743"/>
        <v>0</v>
      </c>
      <c r="V191" s="16">
        <f t="shared" si="743"/>
        <v>0</v>
      </c>
      <c r="W191" s="16">
        <f t="shared" si="743"/>
        <v>0</v>
      </c>
      <c r="X191" s="16">
        <f t="shared" si="743"/>
        <v>0</v>
      </c>
      <c r="Y191" s="16">
        <f t="shared" si="743"/>
        <v>0</v>
      </c>
      <c r="Z191" s="16">
        <f t="shared" ref="Z191:AE191" si="744">Z186+Z178+Z189</f>
        <v>0</v>
      </c>
      <c r="AA191" s="16">
        <f t="shared" si="744"/>
        <v>0</v>
      </c>
      <c r="AB191" s="16">
        <f t="shared" si="744"/>
        <v>0</v>
      </c>
      <c r="AC191" s="16">
        <f t="shared" ref="AC191" si="745">AC186+AC178+AC189</f>
        <v>0</v>
      </c>
      <c r="AD191" s="16">
        <f t="shared" si="744"/>
        <v>0</v>
      </c>
      <c r="AE191" s="16">
        <f t="shared" si="744"/>
        <v>0</v>
      </c>
      <c r="AF191" s="16">
        <f t="shared" ref="AF191:AI191" si="746">AF186+AF178+AF189</f>
        <v>0</v>
      </c>
      <c r="AG191" s="16">
        <f t="shared" si="746"/>
        <v>0</v>
      </c>
      <c r="AH191" s="16">
        <f t="shared" si="746"/>
        <v>0</v>
      </c>
      <c r="AI191" s="16">
        <f t="shared" si="746"/>
        <v>0</v>
      </c>
      <c r="AJ191" s="16">
        <f>AJ186+AJ178+AJ189</f>
        <v>0</v>
      </c>
      <c r="AK191" s="16">
        <f>AK186+AK178+AK189</f>
        <v>0</v>
      </c>
      <c r="AL191" s="16">
        <f>AL186+AL178+AL189</f>
        <v>0</v>
      </c>
      <c r="AM191" s="16">
        <f t="shared" ref="AM191:AW191" si="747">AM186+AM178+AM189</f>
        <v>0</v>
      </c>
      <c r="AN191" s="16">
        <f t="shared" si="747"/>
        <v>0</v>
      </c>
      <c r="AO191" s="16">
        <f t="shared" si="747"/>
        <v>0</v>
      </c>
      <c r="AP191" s="16">
        <f>AP186+AP178+AP189</f>
        <v>0</v>
      </c>
      <c r="AQ191" s="16">
        <f t="shared" ref="AQ191:AT191" si="748">AQ186+AQ178+AQ189</f>
        <v>0</v>
      </c>
      <c r="AR191" s="16">
        <f t="shared" si="748"/>
        <v>0</v>
      </c>
      <c r="AS191" s="16">
        <f t="shared" si="748"/>
        <v>0</v>
      </c>
      <c r="AT191" s="16">
        <f t="shared" si="748"/>
        <v>0</v>
      </c>
      <c r="AU191" s="16">
        <f>AU186+AU178+AU189</f>
        <v>0</v>
      </c>
      <c r="AV191" s="16">
        <f t="shared" si="747"/>
        <v>0</v>
      </c>
      <c r="AW191" s="16">
        <f t="shared" si="747"/>
        <v>0</v>
      </c>
      <c r="AX191" s="16">
        <f>AX186+AX178+AX189</f>
        <v>0</v>
      </c>
      <c r="AY191" s="16">
        <f>AY186+AY178+AY189</f>
        <v>-1974726</v>
      </c>
      <c r="AZ191" s="16">
        <f t="shared" ref="AZ191:BA191" si="749">AZ186+AZ178+AZ189</f>
        <v>0</v>
      </c>
      <c r="BA191" s="16">
        <f t="shared" si="749"/>
        <v>0</v>
      </c>
      <c r="BB191" s="16">
        <f>BB186+BB178+BB189</f>
        <v>0</v>
      </c>
      <c r="BC191" s="16">
        <f>BC186+BC178+BC189</f>
        <v>0</v>
      </c>
      <c r="BD191" s="16">
        <f t="shared" ref="BD191" si="750">BD186+BD178+BD189</f>
        <v>0</v>
      </c>
      <c r="BE191" s="16">
        <f>BE186+BE178+BE189</f>
        <v>0</v>
      </c>
      <c r="BF191" s="16">
        <f>BF186+BF178+BF189</f>
        <v>0</v>
      </c>
      <c r="BG191" s="16">
        <f>BG186+BG178+BG189</f>
        <v>0</v>
      </c>
      <c r="BH191" s="16">
        <f>BH186+BH178+BH189</f>
        <v>0</v>
      </c>
      <c r="BI191" s="16">
        <f t="shared" ref="BI191" si="751">BI186+BI178+BI189</f>
        <v>0</v>
      </c>
      <c r="BJ191" s="16">
        <f t="shared" ref="BJ191:BL191" si="752">BJ186+BJ178+BJ189</f>
        <v>0</v>
      </c>
      <c r="BK191" s="16">
        <f t="shared" si="752"/>
        <v>0</v>
      </c>
      <c r="BL191" s="16">
        <f t="shared" si="752"/>
        <v>0</v>
      </c>
      <c r="BM191" s="16">
        <f t="shared" ref="BM191" si="753">BM186+BM178+BM189</f>
        <v>0</v>
      </c>
    </row>
    <row r="192" spans="1:65" ht="14.15" customHeight="1">
      <c r="A192" s="436">
        <f t="shared" si="638"/>
        <v>186</v>
      </c>
      <c r="B192" s="52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</row>
    <row r="193" spans="1:65" ht="14.15" customHeight="1" thickBot="1">
      <c r="A193" s="436">
        <f t="shared" si="638"/>
        <v>187</v>
      </c>
      <c r="B193" s="54" t="s">
        <v>141</v>
      </c>
      <c r="C193" s="199">
        <f t="shared" ref="C193:L193" si="754">+C171-C191</f>
        <v>-176458780</v>
      </c>
      <c r="D193" s="199">
        <f t="shared" si="754"/>
        <v>0</v>
      </c>
      <c r="E193" s="199">
        <f t="shared" si="754"/>
        <v>0</v>
      </c>
      <c r="F193" s="87">
        <f t="shared" si="754"/>
        <v>0</v>
      </c>
      <c r="G193" s="199">
        <f t="shared" si="754"/>
        <v>-174590279</v>
      </c>
      <c r="H193" s="87">
        <f t="shared" si="754"/>
        <v>0</v>
      </c>
      <c r="I193" s="199">
        <f t="shared" si="754"/>
        <v>0</v>
      </c>
      <c r="J193" s="87">
        <f t="shared" si="754"/>
        <v>0</v>
      </c>
      <c r="K193" s="87">
        <f t="shared" ref="K193" si="755">+K171-K191</f>
        <v>0</v>
      </c>
      <c r="L193" s="87">
        <f t="shared" si="754"/>
        <v>0</v>
      </c>
      <c r="M193" s="199">
        <f t="shared" ref="M193:Y193" si="756">+M171-M191</f>
        <v>0</v>
      </c>
      <c r="N193" s="199">
        <f t="shared" si="756"/>
        <v>0</v>
      </c>
      <c r="O193" s="199">
        <f t="shared" si="756"/>
        <v>0</v>
      </c>
      <c r="P193" s="87">
        <f t="shared" si="756"/>
        <v>0</v>
      </c>
      <c r="Q193" s="87">
        <f t="shared" si="756"/>
        <v>0</v>
      </c>
      <c r="R193" s="199">
        <f t="shared" si="756"/>
        <v>0</v>
      </c>
      <c r="S193" s="199">
        <f t="shared" si="756"/>
        <v>0</v>
      </c>
      <c r="T193" s="199">
        <f>+T171-T191</f>
        <v>0</v>
      </c>
      <c r="U193" s="199">
        <f t="shared" si="756"/>
        <v>0</v>
      </c>
      <c r="V193" s="199">
        <f t="shared" si="756"/>
        <v>0</v>
      </c>
      <c r="W193" s="199">
        <f t="shared" si="756"/>
        <v>0</v>
      </c>
      <c r="X193" s="199">
        <f t="shared" si="756"/>
        <v>0</v>
      </c>
      <c r="Y193" s="199">
        <f t="shared" si="756"/>
        <v>0</v>
      </c>
      <c r="Z193" s="87">
        <f t="shared" ref="Z193:AE193" si="757">+Z171-Z191</f>
        <v>0</v>
      </c>
      <c r="AA193" s="199">
        <f t="shared" si="757"/>
        <v>0</v>
      </c>
      <c r="AB193" s="199">
        <f t="shared" si="757"/>
        <v>0</v>
      </c>
      <c r="AC193" s="199">
        <f t="shared" ref="AC193" si="758">+AC171-AC191</f>
        <v>0</v>
      </c>
      <c r="AD193" s="87">
        <f t="shared" si="757"/>
        <v>0</v>
      </c>
      <c r="AE193" s="199">
        <f t="shared" si="757"/>
        <v>0</v>
      </c>
      <c r="AF193" s="199">
        <f t="shared" ref="AF193:AI193" si="759">+AF171-AF191</f>
        <v>0</v>
      </c>
      <c r="AG193" s="87">
        <f t="shared" si="759"/>
        <v>0</v>
      </c>
      <c r="AH193" s="87">
        <f t="shared" si="759"/>
        <v>0</v>
      </c>
      <c r="AI193" s="199">
        <f t="shared" si="759"/>
        <v>0</v>
      </c>
      <c r="AJ193" s="199">
        <f>+AJ171-AJ191</f>
        <v>0</v>
      </c>
      <c r="AK193" s="199">
        <f>+AK171-AK191</f>
        <v>0</v>
      </c>
      <c r="AL193" s="199">
        <f>+AL171-AL191</f>
        <v>0</v>
      </c>
      <c r="AM193" s="87">
        <f t="shared" ref="AM193:AW193" si="760">+AM171-AM191</f>
        <v>0</v>
      </c>
      <c r="AN193" s="199">
        <f t="shared" si="760"/>
        <v>0</v>
      </c>
      <c r="AO193" s="199">
        <f t="shared" si="760"/>
        <v>0</v>
      </c>
      <c r="AP193" s="199">
        <f>+AP171-AP191</f>
        <v>0</v>
      </c>
      <c r="AQ193" s="199">
        <f t="shared" ref="AQ193:AT193" si="761">+AQ171-AQ191</f>
        <v>0</v>
      </c>
      <c r="AR193" s="199">
        <f t="shared" si="761"/>
        <v>0</v>
      </c>
      <c r="AS193" s="199">
        <f t="shared" si="761"/>
        <v>0</v>
      </c>
      <c r="AT193" s="199">
        <f t="shared" si="761"/>
        <v>0</v>
      </c>
      <c r="AU193" s="199">
        <f>+AU171-AU191</f>
        <v>0</v>
      </c>
      <c r="AV193" s="199">
        <f t="shared" si="760"/>
        <v>0</v>
      </c>
      <c r="AW193" s="199">
        <f t="shared" si="760"/>
        <v>0</v>
      </c>
      <c r="AX193" s="199">
        <f>+AX171-AX191</f>
        <v>0</v>
      </c>
      <c r="AY193" s="199">
        <f>+AY171-AY191</f>
        <v>-1868501</v>
      </c>
      <c r="AZ193" s="199">
        <f t="shared" ref="AZ193:BA193" si="762">+AZ171-AZ191</f>
        <v>0</v>
      </c>
      <c r="BA193" s="199">
        <f t="shared" si="762"/>
        <v>0</v>
      </c>
      <c r="BB193" s="199">
        <f>+BB171-BB191</f>
        <v>0</v>
      </c>
      <c r="BC193" s="87">
        <f>+BC171-BC191</f>
        <v>0</v>
      </c>
      <c r="BD193" s="87">
        <f t="shared" ref="BD193" si="763">+BD171-BD191</f>
        <v>0</v>
      </c>
      <c r="BE193" s="199">
        <f>+BE171-BE191</f>
        <v>0</v>
      </c>
      <c r="BF193" s="199">
        <f>+BF171-BF191</f>
        <v>0</v>
      </c>
      <c r="BG193" s="199">
        <f>+BG171-BG191</f>
        <v>0</v>
      </c>
      <c r="BH193" s="199">
        <f>+BH171-BH191</f>
        <v>0</v>
      </c>
      <c r="BI193" s="199">
        <f t="shared" ref="BI193" si="764">+BI171-BI191</f>
        <v>0</v>
      </c>
      <c r="BJ193" s="199">
        <f t="shared" ref="BJ193:BL193" si="765">+BJ171-BJ191</f>
        <v>0</v>
      </c>
      <c r="BK193" s="199">
        <f t="shared" si="765"/>
        <v>0</v>
      </c>
      <c r="BL193" s="199">
        <f t="shared" si="765"/>
        <v>0</v>
      </c>
      <c r="BM193" s="199">
        <f t="shared" ref="BM193" si="766">+BM171-BM191</f>
        <v>0</v>
      </c>
    </row>
    <row r="194" spans="1:65" ht="14.15" customHeight="1" thickTop="1">
      <c r="A194" s="436">
        <f t="shared" si="638"/>
        <v>188</v>
      </c>
      <c r="B194" s="25"/>
      <c r="C194" s="2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</row>
    <row r="195" spans="1:65" ht="14.15" customHeight="1">
      <c r="A195" s="436">
        <f t="shared" si="638"/>
        <v>189</v>
      </c>
      <c r="B195" s="13" t="s">
        <v>142</v>
      </c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</row>
    <row r="196" spans="1:65" ht="14.15" customHeight="1">
      <c r="A196" s="436">
        <f t="shared" si="638"/>
        <v>190</v>
      </c>
      <c r="B196" s="22" t="s">
        <v>143</v>
      </c>
      <c r="C196" s="38">
        <f>SUM(D196:BM196)</f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</row>
    <row r="197" spans="1:65" ht="14.15" customHeight="1">
      <c r="A197" s="436">
        <f t="shared" si="638"/>
        <v>191</v>
      </c>
      <c r="B197" s="56" t="s">
        <v>55</v>
      </c>
      <c r="C197" s="38">
        <f>SUM(D197:BM197)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</row>
    <row r="198" spans="1:65" ht="14.15" customHeight="1">
      <c r="A198" s="436">
        <f t="shared" si="638"/>
        <v>192</v>
      </c>
      <c r="B198" s="13" t="s">
        <v>485</v>
      </c>
      <c r="C198" s="47">
        <f t="shared" ref="C198:L198" si="767">SUM(C196:C197)</f>
        <v>0</v>
      </c>
      <c r="D198" s="47">
        <f t="shared" si="767"/>
        <v>0</v>
      </c>
      <c r="E198" s="47">
        <f t="shared" si="767"/>
        <v>0</v>
      </c>
      <c r="F198" s="47">
        <f t="shared" si="767"/>
        <v>0</v>
      </c>
      <c r="G198" s="47">
        <f t="shared" si="767"/>
        <v>0</v>
      </c>
      <c r="H198" s="47">
        <f t="shared" si="767"/>
        <v>0</v>
      </c>
      <c r="I198" s="47">
        <f t="shared" si="767"/>
        <v>0</v>
      </c>
      <c r="J198" s="47">
        <f t="shared" si="767"/>
        <v>0</v>
      </c>
      <c r="K198" s="47">
        <f t="shared" ref="K198" si="768">SUM(K196:K197)</f>
        <v>0</v>
      </c>
      <c r="L198" s="47">
        <f t="shared" si="767"/>
        <v>0</v>
      </c>
      <c r="M198" s="47">
        <f t="shared" ref="M198:Y198" si="769">SUM(M196:M197)</f>
        <v>0</v>
      </c>
      <c r="N198" s="47">
        <f t="shared" si="769"/>
        <v>0</v>
      </c>
      <c r="O198" s="47">
        <f t="shared" si="769"/>
        <v>0</v>
      </c>
      <c r="P198" s="47">
        <f t="shared" si="769"/>
        <v>0</v>
      </c>
      <c r="Q198" s="47">
        <f t="shared" si="769"/>
        <v>0</v>
      </c>
      <c r="R198" s="47">
        <f t="shared" si="769"/>
        <v>0</v>
      </c>
      <c r="S198" s="47">
        <f t="shared" si="769"/>
        <v>0</v>
      </c>
      <c r="T198" s="47">
        <f>SUM(T196:T197)</f>
        <v>0</v>
      </c>
      <c r="U198" s="47">
        <f t="shared" si="769"/>
        <v>0</v>
      </c>
      <c r="V198" s="47">
        <f t="shared" si="769"/>
        <v>0</v>
      </c>
      <c r="W198" s="47">
        <f t="shared" si="769"/>
        <v>0</v>
      </c>
      <c r="X198" s="47">
        <f t="shared" si="769"/>
        <v>0</v>
      </c>
      <c r="Y198" s="47">
        <f t="shared" si="769"/>
        <v>0</v>
      </c>
      <c r="Z198" s="47">
        <f t="shared" ref="Z198:AE198" si="770">SUM(Z196:Z197)</f>
        <v>0</v>
      </c>
      <c r="AA198" s="47">
        <f t="shared" si="770"/>
        <v>0</v>
      </c>
      <c r="AB198" s="47">
        <f t="shared" si="770"/>
        <v>0</v>
      </c>
      <c r="AC198" s="47">
        <f t="shared" ref="AC198" si="771">SUM(AC196:AC197)</f>
        <v>0</v>
      </c>
      <c r="AD198" s="47">
        <f t="shared" si="770"/>
        <v>0</v>
      </c>
      <c r="AE198" s="47">
        <f t="shared" si="770"/>
        <v>0</v>
      </c>
      <c r="AF198" s="47">
        <f t="shared" ref="AF198:AI198" si="772">SUM(AF196:AF197)</f>
        <v>0</v>
      </c>
      <c r="AG198" s="47">
        <f t="shared" si="772"/>
        <v>0</v>
      </c>
      <c r="AH198" s="47">
        <f t="shared" si="772"/>
        <v>0</v>
      </c>
      <c r="AI198" s="47">
        <f t="shared" si="772"/>
        <v>0</v>
      </c>
      <c r="AJ198" s="47">
        <f>SUM(AJ196:AJ197)</f>
        <v>0</v>
      </c>
      <c r="AK198" s="47">
        <f>SUM(AK196:AK197)</f>
        <v>0</v>
      </c>
      <c r="AL198" s="47">
        <f>SUM(AL196:AL197)</f>
        <v>0</v>
      </c>
      <c r="AM198" s="47">
        <f t="shared" ref="AM198:AW198" si="773">SUM(AM196:AM197)</f>
        <v>0</v>
      </c>
      <c r="AN198" s="47">
        <f t="shared" si="773"/>
        <v>0</v>
      </c>
      <c r="AO198" s="47">
        <f t="shared" si="773"/>
        <v>0</v>
      </c>
      <c r="AP198" s="47">
        <f>SUM(AP196:AP197)</f>
        <v>0</v>
      </c>
      <c r="AQ198" s="47">
        <f t="shared" ref="AQ198:AT198" si="774">SUM(AQ196:AQ197)</f>
        <v>0</v>
      </c>
      <c r="AR198" s="47">
        <f t="shared" si="774"/>
        <v>0</v>
      </c>
      <c r="AS198" s="47">
        <f t="shared" si="774"/>
        <v>0</v>
      </c>
      <c r="AT198" s="47">
        <f t="shared" si="774"/>
        <v>0</v>
      </c>
      <c r="AU198" s="47">
        <f>SUM(AU196:AU197)</f>
        <v>0</v>
      </c>
      <c r="AV198" s="47">
        <f t="shared" si="773"/>
        <v>0</v>
      </c>
      <c r="AW198" s="47">
        <f t="shared" si="773"/>
        <v>0</v>
      </c>
      <c r="AX198" s="47">
        <f>SUM(AX196:AX197)</f>
        <v>0</v>
      </c>
      <c r="AY198" s="47">
        <f>SUM(AY196:AY197)</f>
        <v>0</v>
      </c>
      <c r="AZ198" s="47">
        <f t="shared" ref="AZ198:BA198" si="775">SUM(AZ196:AZ197)</f>
        <v>0</v>
      </c>
      <c r="BA198" s="47">
        <f t="shared" si="775"/>
        <v>0</v>
      </c>
      <c r="BB198" s="47">
        <f>SUM(BB196:BB197)</f>
        <v>0</v>
      </c>
      <c r="BC198" s="47">
        <f>SUM(BC196:BC197)</f>
        <v>0</v>
      </c>
      <c r="BD198" s="47">
        <f t="shared" ref="BD198" si="776">SUM(BD196:BD197)</f>
        <v>0</v>
      </c>
      <c r="BE198" s="47">
        <f>SUM(BE196:BE197)</f>
        <v>0</v>
      </c>
      <c r="BF198" s="47">
        <f>SUM(BF196:BF197)</f>
        <v>0</v>
      </c>
      <c r="BG198" s="47">
        <f>SUM(BG196:BG197)</f>
        <v>0</v>
      </c>
      <c r="BH198" s="47">
        <f>SUM(BH196:BH197)</f>
        <v>0</v>
      </c>
      <c r="BI198" s="47">
        <f t="shared" ref="BI198" si="777">SUM(BI196:BI197)</f>
        <v>0</v>
      </c>
      <c r="BJ198" s="47">
        <f t="shared" ref="BJ198:BL198" si="778">SUM(BJ196:BJ197)</f>
        <v>0</v>
      </c>
      <c r="BK198" s="47">
        <f t="shared" si="778"/>
        <v>0</v>
      </c>
      <c r="BL198" s="47">
        <f t="shared" si="778"/>
        <v>0</v>
      </c>
      <c r="BM198" s="47">
        <f t="shared" ref="BM198" si="779">SUM(BM196:BM197)</f>
        <v>0</v>
      </c>
    </row>
    <row r="199" spans="1:65" ht="14.15" customHeight="1">
      <c r="A199" s="436">
        <f t="shared" si="638"/>
        <v>193</v>
      </c>
      <c r="B199" s="22"/>
      <c r="C199" s="2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</row>
    <row r="200" spans="1:65" ht="14.15" customHeight="1">
      <c r="A200" s="436">
        <f t="shared" si="638"/>
        <v>194</v>
      </c>
      <c r="B200" s="22" t="s">
        <v>136</v>
      </c>
      <c r="C200" s="38">
        <f>SUM(D200:BM200)</f>
        <v>-11100396</v>
      </c>
      <c r="D200" s="10">
        <v>0</v>
      </c>
      <c r="E200" s="10">
        <v>0</v>
      </c>
      <c r="F200" s="10">
        <v>0</v>
      </c>
      <c r="G200" s="10">
        <v>-11100396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0">
        <v>0</v>
      </c>
    </row>
    <row r="201" spans="1:65" ht="14.15" customHeight="1">
      <c r="A201" s="436">
        <f t="shared" si="638"/>
        <v>195</v>
      </c>
      <c r="B201" s="56" t="s">
        <v>144</v>
      </c>
      <c r="C201" s="38">
        <f>SUM(D201:BM201)</f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</row>
    <row r="202" spans="1:65" ht="14.15" customHeight="1">
      <c r="A202" s="436">
        <f t="shared" si="638"/>
        <v>196</v>
      </c>
      <c r="B202" s="85" t="s">
        <v>486</v>
      </c>
      <c r="C202" s="47">
        <f t="shared" ref="C202:L202" si="780">SUM(C200:C201)</f>
        <v>-11100396</v>
      </c>
      <c r="D202" s="47">
        <f t="shared" si="780"/>
        <v>0</v>
      </c>
      <c r="E202" s="47">
        <f t="shared" si="780"/>
        <v>0</v>
      </c>
      <c r="F202" s="47">
        <f t="shared" si="780"/>
        <v>0</v>
      </c>
      <c r="G202" s="47">
        <f t="shared" si="780"/>
        <v>-11100396</v>
      </c>
      <c r="H202" s="47">
        <f t="shared" si="780"/>
        <v>0</v>
      </c>
      <c r="I202" s="47">
        <f t="shared" si="780"/>
        <v>0</v>
      </c>
      <c r="J202" s="47">
        <f t="shared" si="780"/>
        <v>0</v>
      </c>
      <c r="K202" s="47">
        <f t="shared" ref="K202" si="781">SUM(K200:K201)</f>
        <v>0</v>
      </c>
      <c r="L202" s="47">
        <f t="shared" si="780"/>
        <v>0</v>
      </c>
      <c r="M202" s="47">
        <f t="shared" ref="M202:Y202" si="782">SUM(M200:M201)</f>
        <v>0</v>
      </c>
      <c r="N202" s="47">
        <f t="shared" si="782"/>
        <v>0</v>
      </c>
      <c r="O202" s="47">
        <f t="shared" si="782"/>
        <v>0</v>
      </c>
      <c r="P202" s="47">
        <f t="shared" si="782"/>
        <v>0</v>
      </c>
      <c r="Q202" s="47">
        <f t="shared" si="782"/>
        <v>0</v>
      </c>
      <c r="R202" s="47">
        <f t="shared" si="782"/>
        <v>0</v>
      </c>
      <c r="S202" s="47">
        <f t="shared" si="782"/>
        <v>0</v>
      </c>
      <c r="T202" s="47">
        <f>SUM(T200:T201)</f>
        <v>0</v>
      </c>
      <c r="U202" s="47">
        <f t="shared" si="782"/>
        <v>0</v>
      </c>
      <c r="V202" s="47">
        <f t="shared" si="782"/>
        <v>0</v>
      </c>
      <c r="W202" s="47">
        <f t="shared" si="782"/>
        <v>0</v>
      </c>
      <c r="X202" s="47">
        <f t="shared" si="782"/>
        <v>0</v>
      </c>
      <c r="Y202" s="47">
        <f t="shared" si="782"/>
        <v>0</v>
      </c>
      <c r="Z202" s="47">
        <f t="shared" ref="Z202:AE202" si="783">SUM(Z200:Z201)</f>
        <v>0</v>
      </c>
      <c r="AA202" s="47">
        <f t="shared" si="783"/>
        <v>0</v>
      </c>
      <c r="AB202" s="47">
        <f t="shared" si="783"/>
        <v>0</v>
      </c>
      <c r="AC202" s="47">
        <f t="shared" ref="AC202" si="784">SUM(AC200:AC201)</f>
        <v>0</v>
      </c>
      <c r="AD202" s="47">
        <f t="shared" si="783"/>
        <v>0</v>
      </c>
      <c r="AE202" s="47">
        <f t="shared" si="783"/>
        <v>0</v>
      </c>
      <c r="AF202" s="47">
        <f t="shared" ref="AF202:AI202" si="785">SUM(AF200:AF201)</f>
        <v>0</v>
      </c>
      <c r="AG202" s="47">
        <f t="shared" si="785"/>
        <v>0</v>
      </c>
      <c r="AH202" s="47">
        <f t="shared" si="785"/>
        <v>0</v>
      </c>
      <c r="AI202" s="47">
        <f t="shared" si="785"/>
        <v>0</v>
      </c>
      <c r="AJ202" s="47">
        <f>SUM(AJ200:AJ201)</f>
        <v>0</v>
      </c>
      <c r="AK202" s="47">
        <f>SUM(AK200:AK201)</f>
        <v>0</v>
      </c>
      <c r="AL202" s="47">
        <f>SUM(AL200:AL201)</f>
        <v>0</v>
      </c>
      <c r="AM202" s="47">
        <f t="shared" ref="AM202:AW202" si="786">SUM(AM200:AM201)</f>
        <v>0</v>
      </c>
      <c r="AN202" s="47">
        <f t="shared" si="786"/>
        <v>0</v>
      </c>
      <c r="AO202" s="47">
        <f t="shared" si="786"/>
        <v>0</v>
      </c>
      <c r="AP202" s="47">
        <f>SUM(AP200:AP201)</f>
        <v>0</v>
      </c>
      <c r="AQ202" s="47">
        <f t="shared" ref="AQ202:AT202" si="787">SUM(AQ200:AQ201)</f>
        <v>0</v>
      </c>
      <c r="AR202" s="47">
        <f t="shared" si="787"/>
        <v>0</v>
      </c>
      <c r="AS202" s="47">
        <f t="shared" si="787"/>
        <v>0</v>
      </c>
      <c r="AT202" s="47">
        <f t="shared" si="787"/>
        <v>0</v>
      </c>
      <c r="AU202" s="47">
        <f>SUM(AU200:AU201)</f>
        <v>0</v>
      </c>
      <c r="AV202" s="47">
        <f t="shared" si="786"/>
        <v>0</v>
      </c>
      <c r="AW202" s="47">
        <f t="shared" si="786"/>
        <v>0</v>
      </c>
      <c r="AX202" s="47">
        <f>SUM(AX200:AX201)</f>
        <v>0</v>
      </c>
      <c r="AY202" s="47">
        <f>SUM(AY200:AY201)</f>
        <v>0</v>
      </c>
      <c r="AZ202" s="47">
        <f t="shared" ref="AZ202:BA202" si="788">SUM(AZ200:AZ201)</f>
        <v>0</v>
      </c>
      <c r="BA202" s="47">
        <f t="shared" si="788"/>
        <v>0</v>
      </c>
      <c r="BB202" s="47">
        <f>SUM(BB200:BB201)</f>
        <v>0</v>
      </c>
      <c r="BC202" s="47">
        <f>SUM(BC200:BC201)</f>
        <v>0</v>
      </c>
      <c r="BD202" s="47">
        <f t="shared" ref="BD202" si="789">SUM(BD200:BD201)</f>
        <v>0</v>
      </c>
      <c r="BE202" s="47">
        <f>SUM(BE200:BE201)</f>
        <v>0</v>
      </c>
      <c r="BF202" s="47">
        <f>SUM(BF200:BF201)</f>
        <v>0</v>
      </c>
      <c r="BG202" s="47">
        <f>SUM(BG200:BG201)</f>
        <v>0</v>
      </c>
      <c r="BH202" s="47">
        <f>SUM(BH200:BH201)</f>
        <v>0</v>
      </c>
      <c r="BI202" s="47">
        <f t="shared" ref="BI202" si="790">SUM(BI200:BI201)</f>
        <v>0</v>
      </c>
      <c r="BJ202" s="47">
        <f t="shared" ref="BJ202:BL202" si="791">SUM(BJ200:BJ201)</f>
        <v>0</v>
      </c>
      <c r="BK202" s="47">
        <f t="shared" si="791"/>
        <v>0</v>
      </c>
      <c r="BL202" s="47">
        <f t="shared" si="791"/>
        <v>0</v>
      </c>
      <c r="BM202" s="47">
        <f t="shared" ref="BM202" si="792">SUM(BM200:BM201)</f>
        <v>0</v>
      </c>
    </row>
    <row r="203" spans="1:65" ht="14.15" customHeight="1">
      <c r="A203" s="436">
        <f t="shared" si="638"/>
        <v>197</v>
      </c>
      <c r="B203" s="25"/>
      <c r="C203" s="38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</row>
    <row r="204" spans="1:65" ht="14.15" customHeight="1">
      <c r="A204" s="436">
        <f t="shared" si="638"/>
        <v>198</v>
      </c>
      <c r="B204" s="22" t="s">
        <v>145</v>
      </c>
      <c r="C204" s="38">
        <f>SUM(D204:BM204)</f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</row>
    <row r="205" spans="1:65" ht="14.15" customHeight="1">
      <c r="A205" s="436">
        <f t="shared" ref="A205:A270" si="793">+A204+1</f>
        <v>199</v>
      </c>
      <c r="B205" s="52" t="s">
        <v>55</v>
      </c>
      <c r="C205" s="38">
        <f>SUM(D205:BM205)</f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</row>
    <row r="206" spans="1:65" ht="14.15" customHeight="1">
      <c r="A206" s="436">
        <f t="shared" si="793"/>
        <v>200</v>
      </c>
      <c r="B206" s="13" t="s">
        <v>481</v>
      </c>
      <c r="C206" s="47">
        <f t="shared" ref="C206:L206" si="794">SUM(C204:C205)</f>
        <v>0</v>
      </c>
      <c r="D206" s="47">
        <f t="shared" si="794"/>
        <v>0</v>
      </c>
      <c r="E206" s="47">
        <f t="shared" si="794"/>
        <v>0</v>
      </c>
      <c r="F206" s="47">
        <f t="shared" si="794"/>
        <v>0</v>
      </c>
      <c r="G206" s="47">
        <f t="shared" si="794"/>
        <v>0</v>
      </c>
      <c r="H206" s="47">
        <f t="shared" si="794"/>
        <v>0</v>
      </c>
      <c r="I206" s="47">
        <f t="shared" si="794"/>
        <v>0</v>
      </c>
      <c r="J206" s="47">
        <f t="shared" si="794"/>
        <v>0</v>
      </c>
      <c r="K206" s="47">
        <f t="shared" ref="K206" si="795">SUM(K204:K205)</f>
        <v>0</v>
      </c>
      <c r="L206" s="47">
        <f t="shared" si="794"/>
        <v>0</v>
      </c>
      <c r="M206" s="47">
        <f t="shared" ref="M206:Y206" si="796">SUM(M204:M205)</f>
        <v>0</v>
      </c>
      <c r="N206" s="47">
        <f t="shared" si="796"/>
        <v>0</v>
      </c>
      <c r="O206" s="47">
        <f t="shared" si="796"/>
        <v>0</v>
      </c>
      <c r="P206" s="47">
        <f t="shared" si="796"/>
        <v>0</v>
      </c>
      <c r="Q206" s="47">
        <f t="shared" si="796"/>
        <v>0</v>
      </c>
      <c r="R206" s="47">
        <f t="shared" si="796"/>
        <v>0</v>
      </c>
      <c r="S206" s="47">
        <f t="shared" si="796"/>
        <v>0</v>
      </c>
      <c r="T206" s="47">
        <f>SUM(T204:T205)</f>
        <v>0</v>
      </c>
      <c r="U206" s="47">
        <f t="shared" si="796"/>
        <v>0</v>
      </c>
      <c r="V206" s="47">
        <f t="shared" si="796"/>
        <v>0</v>
      </c>
      <c r="W206" s="47">
        <f t="shared" si="796"/>
        <v>0</v>
      </c>
      <c r="X206" s="47">
        <f t="shared" si="796"/>
        <v>0</v>
      </c>
      <c r="Y206" s="47">
        <f t="shared" si="796"/>
        <v>0</v>
      </c>
      <c r="Z206" s="47">
        <f t="shared" ref="Z206:AE206" si="797">SUM(Z204:Z205)</f>
        <v>0</v>
      </c>
      <c r="AA206" s="47">
        <f t="shared" si="797"/>
        <v>0</v>
      </c>
      <c r="AB206" s="47">
        <f t="shared" si="797"/>
        <v>0</v>
      </c>
      <c r="AC206" s="47">
        <f t="shared" ref="AC206" si="798">SUM(AC204:AC205)</f>
        <v>0</v>
      </c>
      <c r="AD206" s="47">
        <f t="shared" si="797"/>
        <v>0</v>
      </c>
      <c r="AE206" s="47">
        <f t="shared" si="797"/>
        <v>0</v>
      </c>
      <c r="AF206" s="47">
        <f t="shared" ref="AF206:AI206" si="799">SUM(AF204:AF205)</f>
        <v>0</v>
      </c>
      <c r="AG206" s="47">
        <f t="shared" si="799"/>
        <v>0</v>
      </c>
      <c r="AH206" s="47">
        <f t="shared" si="799"/>
        <v>0</v>
      </c>
      <c r="AI206" s="47">
        <f t="shared" si="799"/>
        <v>0</v>
      </c>
      <c r="AJ206" s="47">
        <f>SUM(AJ204:AJ205)</f>
        <v>0</v>
      </c>
      <c r="AK206" s="47">
        <f>SUM(AK204:AK205)</f>
        <v>0</v>
      </c>
      <c r="AL206" s="47">
        <f>SUM(AL204:AL205)</f>
        <v>0</v>
      </c>
      <c r="AM206" s="47">
        <f t="shared" ref="AM206:AW206" si="800">SUM(AM204:AM205)</f>
        <v>0</v>
      </c>
      <c r="AN206" s="47">
        <f t="shared" si="800"/>
        <v>0</v>
      </c>
      <c r="AO206" s="47">
        <f t="shared" si="800"/>
        <v>0</v>
      </c>
      <c r="AP206" s="47">
        <f>SUM(AP204:AP205)</f>
        <v>0</v>
      </c>
      <c r="AQ206" s="47">
        <f t="shared" ref="AQ206:AT206" si="801">SUM(AQ204:AQ205)</f>
        <v>0</v>
      </c>
      <c r="AR206" s="47">
        <f t="shared" si="801"/>
        <v>0</v>
      </c>
      <c r="AS206" s="47">
        <f t="shared" si="801"/>
        <v>0</v>
      </c>
      <c r="AT206" s="47">
        <f t="shared" si="801"/>
        <v>0</v>
      </c>
      <c r="AU206" s="47">
        <f>SUM(AU204:AU205)</f>
        <v>0</v>
      </c>
      <c r="AV206" s="47">
        <f t="shared" si="800"/>
        <v>0</v>
      </c>
      <c r="AW206" s="47">
        <f t="shared" si="800"/>
        <v>0</v>
      </c>
      <c r="AX206" s="47">
        <f>SUM(AX204:AX205)</f>
        <v>0</v>
      </c>
      <c r="AY206" s="47">
        <f>SUM(AY204:AY205)</f>
        <v>0</v>
      </c>
      <c r="AZ206" s="47">
        <f t="shared" ref="AZ206:BA206" si="802">SUM(AZ204:AZ205)</f>
        <v>0</v>
      </c>
      <c r="BA206" s="47">
        <f t="shared" si="802"/>
        <v>0</v>
      </c>
      <c r="BB206" s="47">
        <f>SUM(BB204:BB205)</f>
        <v>0</v>
      </c>
      <c r="BC206" s="47">
        <f>SUM(BC204:BC205)</f>
        <v>0</v>
      </c>
      <c r="BD206" s="47">
        <f t="shared" ref="BD206" si="803">SUM(BD204:BD205)</f>
        <v>0</v>
      </c>
      <c r="BE206" s="47">
        <f>SUM(BE204:BE205)</f>
        <v>0</v>
      </c>
      <c r="BF206" s="47">
        <f>SUM(BF204:BF205)</f>
        <v>0</v>
      </c>
      <c r="BG206" s="47">
        <f>SUM(BG204:BG205)</f>
        <v>0</v>
      </c>
      <c r="BH206" s="47">
        <f>SUM(BH204:BH205)</f>
        <v>0</v>
      </c>
      <c r="BI206" s="47">
        <f t="shared" ref="BI206" si="804">SUM(BI204:BI205)</f>
        <v>0</v>
      </c>
      <c r="BJ206" s="47">
        <f t="shared" ref="BJ206:BL206" si="805">SUM(BJ204:BJ205)</f>
        <v>0</v>
      </c>
      <c r="BK206" s="47">
        <f t="shared" si="805"/>
        <v>0</v>
      </c>
      <c r="BL206" s="47">
        <f t="shared" si="805"/>
        <v>0</v>
      </c>
      <c r="BM206" s="47">
        <f t="shared" ref="BM206" si="806">SUM(BM204:BM205)</f>
        <v>0</v>
      </c>
    </row>
    <row r="207" spans="1:65" ht="14.15" customHeight="1">
      <c r="A207" s="436">
        <f t="shared" si="793"/>
        <v>201</v>
      </c>
      <c r="B207" s="22"/>
      <c r="C207" s="2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</row>
    <row r="208" spans="1:65" s="18" customFormat="1" ht="14.15" customHeight="1">
      <c r="A208" s="436">
        <f t="shared" si="793"/>
        <v>202</v>
      </c>
      <c r="B208" s="22" t="s">
        <v>138</v>
      </c>
      <c r="C208" s="38">
        <f>SUM(D208:BM208)</f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</row>
    <row r="209" spans="1:65" s="18" customFormat="1" ht="14.15" customHeight="1">
      <c r="A209" s="436">
        <f t="shared" si="793"/>
        <v>203</v>
      </c>
      <c r="B209" s="56" t="s">
        <v>55</v>
      </c>
      <c r="C209" s="38">
        <f>SUM(D209:BM209)</f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</row>
    <row r="210" spans="1:65" s="18" customFormat="1" ht="14.15" customHeight="1">
      <c r="A210" s="436">
        <f t="shared" si="793"/>
        <v>204</v>
      </c>
      <c r="B210" s="13" t="s">
        <v>482</v>
      </c>
      <c r="C210" s="47">
        <f t="shared" ref="C210:L210" si="807">SUM(C208:C209)</f>
        <v>0</v>
      </c>
      <c r="D210" s="47">
        <f t="shared" si="807"/>
        <v>0</v>
      </c>
      <c r="E210" s="47">
        <f t="shared" si="807"/>
        <v>0</v>
      </c>
      <c r="F210" s="47">
        <f t="shared" si="807"/>
        <v>0</v>
      </c>
      <c r="G210" s="47">
        <f t="shared" si="807"/>
        <v>0</v>
      </c>
      <c r="H210" s="47">
        <f t="shared" si="807"/>
        <v>0</v>
      </c>
      <c r="I210" s="47">
        <f t="shared" si="807"/>
        <v>0</v>
      </c>
      <c r="J210" s="47">
        <f t="shared" si="807"/>
        <v>0</v>
      </c>
      <c r="K210" s="47">
        <f t="shared" ref="K210" si="808">SUM(K208:K209)</f>
        <v>0</v>
      </c>
      <c r="L210" s="47">
        <f t="shared" si="807"/>
        <v>0</v>
      </c>
      <c r="M210" s="47">
        <f t="shared" ref="M210:Y210" si="809">SUM(M208:M209)</f>
        <v>0</v>
      </c>
      <c r="N210" s="47">
        <f t="shared" si="809"/>
        <v>0</v>
      </c>
      <c r="O210" s="47">
        <f t="shared" si="809"/>
        <v>0</v>
      </c>
      <c r="P210" s="47">
        <f t="shared" si="809"/>
        <v>0</v>
      </c>
      <c r="Q210" s="47">
        <f t="shared" si="809"/>
        <v>0</v>
      </c>
      <c r="R210" s="47">
        <f t="shared" si="809"/>
        <v>0</v>
      </c>
      <c r="S210" s="47">
        <f t="shared" si="809"/>
        <v>0</v>
      </c>
      <c r="T210" s="47">
        <f>SUM(T208:T209)</f>
        <v>0</v>
      </c>
      <c r="U210" s="47">
        <f t="shared" si="809"/>
        <v>0</v>
      </c>
      <c r="V210" s="47">
        <f t="shared" si="809"/>
        <v>0</v>
      </c>
      <c r="W210" s="47">
        <f t="shared" si="809"/>
        <v>0</v>
      </c>
      <c r="X210" s="47">
        <f t="shared" si="809"/>
        <v>0</v>
      </c>
      <c r="Y210" s="47">
        <f t="shared" si="809"/>
        <v>0</v>
      </c>
      <c r="Z210" s="47">
        <f t="shared" ref="Z210:AE210" si="810">SUM(Z208:Z209)</f>
        <v>0</v>
      </c>
      <c r="AA210" s="47">
        <f t="shared" si="810"/>
        <v>0</v>
      </c>
      <c r="AB210" s="47">
        <f t="shared" si="810"/>
        <v>0</v>
      </c>
      <c r="AC210" s="47">
        <f t="shared" ref="AC210" si="811">SUM(AC208:AC209)</f>
        <v>0</v>
      </c>
      <c r="AD210" s="47">
        <f t="shared" si="810"/>
        <v>0</v>
      </c>
      <c r="AE210" s="47">
        <f t="shared" si="810"/>
        <v>0</v>
      </c>
      <c r="AF210" s="47">
        <f t="shared" ref="AF210:AI210" si="812">SUM(AF208:AF209)</f>
        <v>0</v>
      </c>
      <c r="AG210" s="47">
        <f t="shared" si="812"/>
        <v>0</v>
      </c>
      <c r="AH210" s="47">
        <f t="shared" si="812"/>
        <v>0</v>
      </c>
      <c r="AI210" s="47">
        <f t="shared" si="812"/>
        <v>0</v>
      </c>
      <c r="AJ210" s="47">
        <f>SUM(AJ208:AJ209)</f>
        <v>0</v>
      </c>
      <c r="AK210" s="47">
        <f>SUM(AK208:AK209)</f>
        <v>0</v>
      </c>
      <c r="AL210" s="47">
        <f>SUM(AL208:AL209)</f>
        <v>0</v>
      </c>
      <c r="AM210" s="47">
        <f t="shared" ref="AM210:AW210" si="813">SUM(AM208:AM209)</f>
        <v>0</v>
      </c>
      <c r="AN210" s="47">
        <f t="shared" si="813"/>
        <v>0</v>
      </c>
      <c r="AO210" s="47">
        <f t="shared" si="813"/>
        <v>0</v>
      </c>
      <c r="AP210" s="47">
        <f>SUM(AP208:AP209)</f>
        <v>0</v>
      </c>
      <c r="AQ210" s="47">
        <f t="shared" ref="AQ210:AT210" si="814">SUM(AQ208:AQ209)</f>
        <v>0</v>
      </c>
      <c r="AR210" s="47">
        <f t="shared" si="814"/>
        <v>0</v>
      </c>
      <c r="AS210" s="47">
        <f t="shared" si="814"/>
        <v>0</v>
      </c>
      <c r="AT210" s="47">
        <f t="shared" si="814"/>
        <v>0</v>
      </c>
      <c r="AU210" s="47">
        <f>SUM(AU208:AU209)</f>
        <v>0</v>
      </c>
      <c r="AV210" s="47">
        <f t="shared" si="813"/>
        <v>0</v>
      </c>
      <c r="AW210" s="47">
        <f t="shared" si="813"/>
        <v>0</v>
      </c>
      <c r="AX210" s="47">
        <f>SUM(AX208:AX209)</f>
        <v>0</v>
      </c>
      <c r="AY210" s="47">
        <f>SUM(AY208:AY209)</f>
        <v>0</v>
      </c>
      <c r="AZ210" s="47">
        <f t="shared" ref="AZ210:BA210" si="815">SUM(AZ208:AZ209)</f>
        <v>0</v>
      </c>
      <c r="BA210" s="47">
        <f t="shared" si="815"/>
        <v>0</v>
      </c>
      <c r="BB210" s="47">
        <f>SUM(BB208:BB209)</f>
        <v>0</v>
      </c>
      <c r="BC210" s="47">
        <f>SUM(BC208:BC209)</f>
        <v>0</v>
      </c>
      <c r="BD210" s="47">
        <f t="shared" ref="BD210" si="816">SUM(BD208:BD209)</f>
        <v>0</v>
      </c>
      <c r="BE210" s="47">
        <f>SUM(BE208:BE209)</f>
        <v>0</v>
      </c>
      <c r="BF210" s="47">
        <f>SUM(BF208:BF209)</f>
        <v>0</v>
      </c>
      <c r="BG210" s="47">
        <f>SUM(BG208:BG209)</f>
        <v>0</v>
      </c>
      <c r="BH210" s="47">
        <f>SUM(BH208:BH209)</f>
        <v>0</v>
      </c>
      <c r="BI210" s="47">
        <f t="shared" ref="BI210" si="817">SUM(BI208:BI209)</f>
        <v>0</v>
      </c>
      <c r="BJ210" s="47">
        <f t="shared" ref="BJ210:BL210" si="818">SUM(BJ208:BJ209)</f>
        <v>0</v>
      </c>
      <c r="BK210" s="47">
        <f t="shared" si="818"/>
        <v>0</v>
      </c>
      <c r="BL210" s="47">
        <f t="shared" si="818"/>
        <v>0</v>
      </c>
      <c r="BM210" s="47">
        <f t="shared" ref="BM210" si="819">SUM(BM208:BM209)</f>
        <v>0</v>
      </c>
    </row>
    <row r="211" spans="1:65" s="18" customFormat="1" ht="14.15" customHeight="1">
      <c r="A211" s="436">
        <f t="shared" si="793"/>
        <v>205</v>
      </c>
      <c r="B211" s="22"/>
      <c r="C211" s="2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</row>
    <row r="212" spans="1:65" s="18" customFormat="1" ht="14.15" customHeight="1">
      <c r="A212" s="436">
        <f t="shared" si="793"/>
        <v>206</v>
      </c>
      <c r="B212" s="22" t="s">
        <v>139</v>
      </c>
      <c r="C212" s="38">
        <f>SUM(D212:BM212)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</row>
    <row r="213" spans="1:65" s="18" customFormat="1" ht="14.15" customHeight="1">
      <c r="A213" s="436">
        <f t="shared" si="793"/>
        <v>207</v>
      </c>
      <c r="B213" s="56" t="s">
        <v>55</v>
      </c>
      <c r="C213" s="38">
        <f>SUM(D213:BM213)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</row>
    <row r="214" spans="1:65" s="18" customFormat="1" ht="14.15" customHeight="1">
      <c r="A214" s="436">
        <f t="shared" si="793"/>
        <v>208</v>
      </c>
      <c r="B214" s="13" t="s">
        <v>483</v>
      </c>
      <c r="C214" s="47">
        <f t="shared" ref="C214:L214" si="820">SUM(C212:C213)</f>
        <v>0</v>
      </c>
      <c r="D214" s="47">
        <f t="shared" si="820"/>
        <v>0</v>
      </c>
      <c r="E214" s="47">
        <f t="shared" si="820"/>
        <v>0</v>
      </c>
      <c r="F214" s="47">
        <f t="shared" si="820"/>
        <v>0</v>
      </c>
      <c r="G214" s="47">
        <f t="shared" si="820"/>
        <v>0</v>
      </c>
      <c r="H214" s="47">
        <f t="shared" si="820"/>
        <v>0</v>
      </c>
      <c r="I214" s="47">
        <f t="shared" si="820"/>
        <v>0</v>
      </c>
      <c r="J214" s="47">
        <f t="shared" si="820"/>
        <v>0</v>
      </c>
      <c r="K214" s="47">
        <f t="shared" ref="K214" si="821">SUM(K212:K213)</f>
        <v>0</v>
      </c>
      <c r="L214" s="47">
        <f t="shared" si="820"/>
        <v>0</v>
      </c>
      <c r="M214" s="47">
        <f t="shared" ref="M214:Y214" si="822">SUM(M212:M213)</f>
        <v>0</v>
      </c>
      <c r="N214" s="47">
        <f t="shared" si="822"/>
        <v>0</v>
      </c>
      <c r="O214" s="47">
        <f t="shared" si="822"/>
        <v>0</v>
      </c>
      <c r="P214" s="47">
        <f t="shared" si="822"/>
        <v>0</v>
      </c>
      <c r="Q214" s="47">
        <f t="shared" si="822"/>
        <v>0</v>
      </c>
      <c r="R214" s="47">
        <f t="shared" si="822"/>
        <v>0</v>
      </c>
      <c r="S214" s="47">
        <f t="shared" si="822"/>
        <v>0</v>
      </c>
      <c r="T214" s="47">
        <f>SUM(T212:T213)</f>
        <v>0</v>
      </c>
      <c r="U214" s="47">
        <f t="shared" si="822"/>
        <v>0</v>
      </c>
      <c r="V214" s="47">
        <f t="shared" si="822"/>
        <v>0</v>
      </c>
      <c r="W214" s="47">
        <f t="shared" si="822"/>
        <v>0</v>
      </c>
      <c r="X214" s="47">
        <f t="shared" si="822"/>
        <v>0</v>
      </c>
      <c r="Y214" s="47">
        <f t="shared" si="822"/>
        <v>0</v>
      </c>
      <c r="Z214" s="47">
        <f t="shared" ref="Z214:AE214" si="823">SUM(Z212:Z213)</f>
        <v>0</v>
      </c>
      <c r="AA214" s="47">
        <f t="shared" si="823"/>
        <v>0</v>
      </c>
      <c r="AB214" s="47">
        <f t="shared" si="823"/>
        <v>0</v>
      </c>
      <c r="AC214" s="47">
        <f t="shared" ref="AC214" si="824">SUM(AC212:AC213)</f>
        <v>0</v>
      </c>
      <c r="AD214" s="47">
        <f t="shared" si="823"/>
        <v>0</v>
      </c>
      <c r="AE214" s="47">
        <f t="shared" si="823"/>
        <v>0</v>
      </c>
      <c r="AF214" s="47">
        <f t="shared" ref="AF214:AI214" si="825">SUM(AF212:AF213)</f>
        <v>0</v>
      </c>
      <c r="AG214" s="47">
        <f t="shared" si="825"/>
        <v>0</v>
      </c>
      <c r="AH214" s="47">
        <f t="shared" si="825"/>
        <v>0</v>
      </c>
      <c r="AI214" s="47">
        <f t="shared" si="825"/>
        <v>0</v>
      </c>
      <c r="AJ214" s="47">
        <f>SUM(AJ212:AJ213)</f>
        <v>0</v>
      </c>
      <c r="AK214" s="47">
        <f>SUM(AK212:AK213)</f>
        <v>0</v>
      </c>
      <c r="AL214" s="47">
        <f>SUM(AL212:AL213)</f>
        <v>0</v>
      </c>
      <c r="AM214" s="47">
        <f t="shared" ref="AM214:AW214" si="826">SUM(AM212:AM213)</f>
        <v>0</v>
      </c>
      <c r="AN214" s="47">
        <f t="shared" si="826"/>
        <v>0</v>
      </c>
      <c r="AO214" s="47">
        <f t="shared" si="826"/>
        <v>0</v>
      </c>
      <c r="AP214" s="47">
        <f>SUM(AP212:AP213)</f>
        <v>0</v>
      </c>
      <c r="AQ214" s="47">
        <f t="shared" ref="AQ214:AT214" si="827">SUM(AQ212:AQ213)</f>
        <v>0</v>
      </c>
      <c r="AR214" s="47">
        <f t="shared" si="827"/>
        <v>0</v>
      </c>
      <c r="AS214" s="47">
        <f t="shared" si="827"/>
        <v>0</v>
      </c>
      <c r="AT214" s="47">
        <f t="shared" si="827"/>
        <v>0</v>
      </c>
      <c r="AU214" s="47">
        <f>SUM(AU212:AU213)</f>
        <v>0</v>
      </c>
      <c r="AV214" s="47">
        <f t="shared" si="826"/>
        <v>0</v>
      </c>
      <c r="AW214" s="47">
        <f t="shared" si="826"/>
        <v>0</v>
      </c>
      <c r="AX214" s="47">
        <f>SUM(AX212:AX213)</f>
        <v>0</v>
      </c>
      <c r="AY214" s="47">
        <f>SUM(AY212:AY213)</f>
        <v>0</v>
      </c>
      <c r="AZ214" s="47">
        <f t="shared" ref="AZ214:BA214" si="828">SUM(AZ212:AZ213)</f>
        <v>0</v>
      </c>
      <c r="BA214" s="47">
        <f t="shared" si="828"/>
        <v>0</v>
      </c>
      <c r="BB214" s="47">
        <f>SUM(BB212:BB213)</f>
        <v>0</v>
      </c>
      <c r="BC214" s="47">
        <f>SUM(BC212:BC213)</f>
        <v>0</v>
      </c>
      <c r="BD214" s="47">
        <f t="shared" ref="BD214" si="829">SUM(BD212:BD213)</f>
        <v>0</v>
      </c>
      <c r="BE214" s="47">
        <f>SUM(BE212:BE213)</f>
        <v>0</v>
      </c>
      <c r="BF214" s="47">
        <f>SUM(BF212:BF213)</f>
        <v>0</v>
      </c>
      <c r="BG214" s="47">
        <f>SUM(BG212:BG213)</f>
        <v>0</v>
      </c>
      <c r="BH214" s="47">
        <f>SUM(BH212:BH213)</f>
        <v>0</v>
      </c>
      <c r="BI214" s="47">
        <f t="shared" ref="BI214" si="830">SUM(BI212:BI213)</f>
        <v>0</v>
      </c>
      <c r="BJ214" s="47">
        <f t="shared" ref="BJ214:BL214" si="831">SUM(BJ212:BJ213)</f>
        <v>0</v>
      </c>
      <c r="BK214" s="47">
        <f t="shared" si="831"/>
        <v>0</v>
      </c>
      <c r="BL214" s="47">
        <f t="shared" si="831"/>
        <v>0</v>
      </c>
      <c r="BM214" s="47">
        <f t="shared" ref="BM214" si="832">SUM(BM212:BM213)</f>
        <v>0</v>
      </c>
    </row>
    <row r="215" spans="1:65" s="18" customFormat="1" ht="14.15" customHeight="1">
      <c r="A215" s="436">
        <f t="shared" si="793"/>
        <v>209</v>
      </c>
      <c r="B215" s="56"/>
      <c r="C215" s="56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</row>
    <row r="216" spans="1:65" s="18" customFormat="1" ht="14.15" customHeight="1">
      <c r="A216" s="436">
        <f t="shared" si="793"/>
        <v>210</v>
      </c>
      <c r="B216" s="85" t="s">
        <v>146</v>
      </c>
      <c r="C216" s="16">
        <f t="shared" ref="C216:L216" si="833">C202+C206+C210+C214+C198</f>
        <v>-11100396</v>
      </c>
      <c r="D216" s="16">
        <f t="shared" si="833"/>
        <v>0</v>
      </c>
      <c r="E216" s="16">
        <f t="shared" si="833"/>
        <v>0</v>
      </c>
      <c r="F216" s="16">
        <f t="shared" si="833"/>
        <v>0</v>
      </c>
      <c r="G216" s="16">
        <f t="shared" si="833"/>
        <v>-11100396</v>
      </c>
      <c r="H216" s="16">
        <f t="shared" si="833"/>
        <v>0</v>
      </c>
      <c r="I216" s="16">
        <f t="shared" si="833"/>
        <v>0</v>
      </c>
      <c r="J216" s="16">
        <f t="shared" si="833"/>
        <v>0</v>
      </c>
      <c r="K216" s="16">
        <f t="shared" ref="K216" si="834">K202+K206+K210+K214+K198</f>
        <v>0</v>
      </c>
      <c r="L216" s="16">
        <f t="shared" si="833"/>
        <v>0</v>
      </c>
      <c r="M216" s="16">
        <f t="shared" ref="M216:Y216" si="835">M202+M206+M210+M214+M198</f>
        <v>0</v>
      </c>
      <c r="N216" s="16">
        <f t="shared" si="835"/>
        <v>0</v>
      </c>
      <c r="O216" s="16">
        <f t="shared" si="835"/>
        <v>0</v>
      </c>
      <c r="P216" s="16">
        <f t="shared" si="835"/>
        <v>0</v>
      </c>
      <c r="Q216" s="16">
        <f t="shared" si="835"/>
        <v>0</v>
      </c>
      <c r="R216" s="16">
        <f t="shared" si="835"/>
        <v>0</v>
      </c>
      <c r="S216" s="16">
        <f t="shared" si="835"/>
        <v>0</v>
      </c>
      <c r="T216" s="16">
        <f>T202+T206+T210+T214+T198</f>
        <v>0</v>
      </c>
      <c r="U216" s="16">
        <f t="shared" si="835"/>
        <v>0</v>
      </c>
      <c r="V216" s="16">
        <f t="shared" si="835"/>
        <v>0</v>
      </c>
      <c r="W216" s="16">
        <f t="shared" si="835"/>
        <v>0</v>
      </c>
      <c r="X216" s="16">
        <f t="shared" si="835"/>
        <v>0</v>
      </c>
      <c r="Y216" s="16">
        <f t="shared" si="835"/>
        <v>0</v>
      </c>
      <c r="Z216" s="16">
        <f t="shared" ref="Z216:AE216" si="836">Z202+Z206+Z210+Z214+Z198</f>
        <v>0</v>
      </c>
      <c r="AA216" s="16">
        <f t="shared" si="836"/>
        <v>0</v>
      </c>
      <c r="AB216" s="16">
        <f t="shared" si="836"/>
        <v>0</v>
      </c>
      <c r="AC216" s="16">
        <f t="shared" ref="AC216" si="837">AC202+AC206+AC210+AC214+AC198</f>
        <v>0</v>
      </c>
      <c r="AD216" s="16">
        <f t="shared" si="836"/>
        <v>0</v>
      </c>
      <c r="AE216" s="16">
        <f t="shared" si="836"/>
        <v>0</v>
      </c>
      <c r="AF216" s="16">
        <f t="shared" ref="AF216:AI216" si="838">AF202+AF206+AF210+AF214+AF198</f>
        <v>0</v>
      </c>
      <c r="AG216" s="16">
        <f t="shared" si="838"/>
        <v>0</v>
      </c>
      <c r="AH216" s="16">
        <f t="shared" si="838"/>
        <v>0</v>
      </c>
      <c r="AI216" s="16">
        <f t="shared" si="838"/>
        <v>0</v>
      </c>
      <c r="AJ216" s="16">
        <f>AJ202+AJ206+AJ210+AJ214+AJ198</f>
        <v>0</v>
      </c>
      <c r="AK216" s="16">
        <f>AK202+AK206+AK210+AK214+AK198</f>
        <v>0</v>
      </c>
      <c r="AL216" s="16">
        <f>AL202+AL206+AL210+AL214+AL198</f>
        <v>0</v>
      </c>
      <c r="AM216" s="16">
        <f t="shared" ref="AM216:AW216" si="839">AM202+AM206+AM210+AM214+AM198</f>
        <v>0</v>
      </c>
      <c r="AN216" s="16">
        <f t="shared" si="839"/>
        <v>0</v>
      </c>
      <c r="AO216" s="16">
        <f t="shared" si="839"/>
        <v>0</v>
      </c>
      <c r="AP216" s="16">
        <f>AP202+AP206+AP210+AP214+AP198</f>
        <v>0</v>
      </c>
      <c r="AQ216" s="16">
        <f t="shared" ref="AQ216:AT216" si="840">AQ202+AQ206+AQ210+AQ214+AQ198</f>
        <v>0</v>
      </c>
      <c r="AR216" s="16">
        <f t="shared" si="840"/>
        <v>0</v>
      </c>
      <c r="AS216" s="16">
        <f t="shared" si="840"/>
        <v>0</v>
      </c>
      <c r="AT216" s="16">
        <f t="shared" si="840"/>
        <v>0</v>
      </c>
      <c r="AU216" s="16">
        <f>AU202+AU206+AU210+AU214+AU198</f>
        <v>0</v>
      </c>
      <c r="AV216" s="16">
        <f t="shared" si="839"/>
        <v>0</v>
      </c>
      <c r="AW216" s="16">
        <f t="shared" si="839"/>
        <v>0</v>
      </c>
      <c r="AX216" s="16">
        <f>AX202+AX206+AX210+AX214+AX198</f>
        <v>0</v>
      </c>
      <c r="AY216" s="16">
        <f>AY202+AY206+AY210+AY214+AY198</f>
        <v>0</v>
      </c>
      <c r="AZ216" s="16">
        <f t="shared" ref="AZ216:BA216" si="841">AZ202+AZ206+AZ210+AZ214+AZ198</f>
        <v>0</v>
      </c>
      <c r="BA216" s="16">
        <f t="shared" si="841"/>
        <v>0</v>
      </c>
      <c r="BB216" s="16">
        <f>BB202+BB206+BB210+BB214+BB198</f>
        <v>0</v>
      </c>
      <c r="BC216" s="16">
        <f>BC202+BC206+BC210+BC214+BC198</f>
        <v>0</v>
      </c>
      <c r="BD216" s="16">
        <f t="shared" ref="BD216" si="842">BD202+BD206+BD210+BD214+BD198</f>
        <v>0</v>
      </c>
      <c r="BE216" s="16">
        <f>BE202+BE206+BE210+BE214+BE198</f>
        <v>0</v>
      </c>
      <c r="BF216" s="16">
        <f>BF202+BF206+BF210+BF214+BF198</f>
        <v>0</v>
      </c>
      <c r="BG216" s="16">
        <f>BG202+BG206+BG210+BG214+BG198</f>
        <v>0</v>
      </c>
      <c r="BH216" s="16">
        <f>BH202+BH206+BH210+BH214+BH198</f>
        <v>0</v>
      </c>
      <c r="BI216" s="16">
        <f t="shared" ref="BI216" si="843">BI202+BI206+BI210+BI214+BI198</f>
        <v>0</v>
      </c>
      <c r="BJ216" s="16">
        <f t="shared" ref="BJ216:BL216" si="844">BJ202+BJ206+BJ210+BJ214+BJ198</f>
        <v>0</v>
      </c>
      <c r="BK216" s="16">
        <f t="shared" si="844"/>
        <v>0</v>
      </c>
      <c r="BL216" s="16">
        <f t="shared" si="844"/>
        <v>0</v>
      </c>
      <c r="BM216" s="16">
        <f t="shared" ref="BM216" si="845">BM202+BM206+BM210+BM214+BM198</f>
        <v>0</v>
      </c>
    </row>
    <row r="217" spans="1:65" ht="14.15" customHeight="1">
      <c r="A217" s="436">
        <f t="shared" si="793"/>
        <v>211</v>
      </c>
      <c r="B217" s="25"/>
      <c r="C217" s="2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</row>
    <row r="218" spans="1:65" ht="14.15" customHeight="1">
      <c r="A218" s="436">
        <f t="shared" si="793"/>
        <v>212</v>
      </c>
      <c r="B218" s="13" t="s">
        <v>152</v>
      </c>
      <c r="C218" s="1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</row>
    <row r="219" spans="1:65" ht="14.15" customHeight="1">
      <c r="A219" s="436">
        <f t="shared" si="793"/>
        <v>213</v>
      </c>
      <c r="B219" s="22" t="s">
        <v>136</v>
      </c>
      <c r="C219" s="38">
        <f>SUM(D219:BM219)</f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</row>
    <row r="220" spans="1:65" ht="14.15" customHeight="1">
      <c r="A220" s="436">
        <f t="shared" si="793"/>
        <v>214</v>
      </c>
      <c r="B220" s="22" t="s">
        <v>145</v>
      </c>
      <c r="C220" s="38">
        <f t="shared" ref="C220:C222" si="846">SUM(D220:BM220)</f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</row>
    <row r="221" spans="1:65" ht="14.15" customHeight="1">
      <c r="A221" s="436">
        <f t="shared" si="793"/>
        <v>215</v>
      </c>
      <c r="B221" s="22" t="s">
        <v>138</v>
      </c>
      <c r="C221" s="38">
        <f t="shared" si="846"/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0</v>
      </c>
    </row>
    <row r="222" spans="1:65" ht="14.15" customHeight="1">
      <c r="A222" s="436">
        <f t="shared" si="793"/>
        <v>216</v>
      </c>
      <c r="B222" s="56" t="s">
        <v>139</v>
      </c>
      <c r="C222" s="38">
        <f t="shared" si="846"/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</row>
    <row r="223" spans="1:65" ht="14.15" customHeight="1">
      <c r="A223" s="436">
        <f t="shared" si="793"/>
        <v>217</v>
      </c>
      <c r="B223" s="85" t="s">
        <v>488</v>
      </c>
      <c r="C223" s="80">
        <f t="shared" ref="C223:L223" si="847">SUM(C219:C222)</f>
        <v>0</v>
      </c>
      <c r="D223" s="80">
        <f t="shared" si="847"/>
        <v>0</v>
      </c>
      <c r="E223" s="80">
        <f t="shared" si="847"/>
        <v>0</v>
      </c>
      <c r="F223" s="80">
        <f t="shared" si="847"/>
        <v>0</v>
      </c>
      <c r="G223" s="80">
        <f t="shared" si="847"/>
        <v>0</v>
      </c>
      <c r="H223" s="80">
        <f t="shared" si="847"/>
        <v>0</v>
      </c>
      <c r="I223" s="80">
        <f t="shared" si="847"/>
        <v>0</v>
      </c>
      <c r="J223" s="80">
        <f t="shared" si="847"/>
        <v>0</v>
      </c>
      <c r="K223" s="80">
        <f t="shared" ref="K223" si="848">SUM(K219:K222)</f>
        <v>0</v>
      </c>
      <c r="L223" s="80">
        <f t="shared" si="847"/>
        <v>0</v>
      </c>
      <c r="M223" s="80">
        <f t="shared" ref="M223:Y223" si="849">SUM(M219:M222)</f>
        <v>0</v>
      </c>
      <c r="N223" s="80">
        <f t="shared" si="849"/>
        <v>0</v>
      </c>
      <c r="O223" s="80">
        <f t="shared" si="849"/>
        <v>0</v>
      </c>
      <c r="P223" s="80">
        <f t="shared" si="849"/>
        <v>0</v>
      </c>
      <c r="Q223" s="80">
        <f t="shared" si="849"/>
        <v>0</v>
      </c>
      <c r="R223" s="80">
        <f t="shared" si="849"/>
        <v>0</v>
      </c>
      <c r="S223" s="80">
        <f t="shared" si="849"/>
        <v>0</v>
      </c>
      <c r="T223" s="80">
        <f>SUM(T219:T222)</f>
        <v>0</v>
      </c>
      <c r="U223" s="80">
        <f t="shared" si="849"/>
        <v>0</v>
      </c>
      <c r="V223" s="80">
        <f t="shared" si="849"/>
        <v>0</v>
      </c>
      <c r="W223" s="80">
        <f t="shared" si="849"/>
        <v>0</v>
      </c>
      <c r="X223" s="80">
        <f t="shared" si="849"/>
        <v>0</v>
      </c>
      <c r="Y223" s="80">
        <f t="shared" si="849"/>
        <v>0</v>
      </c>
      <c r="Z223" s="80">
        <f t="shared" ref="Z223:AE223" si="850">SUM(Z219:Z222)</f>
        <v>0</v>
      </c>
      <c r="AA223" s="80">
        <f t="shared" si="850"/>
        <v>0</v>
      </c>
      <c r="AB223" s="80">
        <f t="shared" si="850"/>
        <v>0</v>
      </c>
      <c r="AC223" s="80">
        <f t="shared" ref="AC223" si="851">SUM(AC219:AC222)</f>
        <v>0</v>
      </c>
      <c r="AD223" s="80">
        <f t="shared" si="850"/>
        <v>0</v>
      </c>
      <c r="AE223" s="80">
        <f t="shared" si="850"/>
        <v>0</v>
      </c>
      <c r="AF223" s="80">
        <f t="shared" ref="AF223:AI223" si="852">SUM(AF219:AF222)</f>
        <v>0</v>
      </c>
      <c r="AG223" s="80">
        <f t="shared" si="852"/>
        <v>0</v>
      </c>
      <c r="AH223" s="80">
        <f t="shared" si="852"/>
        <v>0</v>
      </c>
      <c r="AI223" s="80">
        <f t="shared" si="852"/>
        <v>0</v>
      </c>
      <c r="AJ223" s="80">
        <f>SUM(AJ219:AJ222)</f>
        <v>0</v>
      </c>
      <c r="AK223" s="80">
        <f>SUM(AK219:AK222)</f>
        <v>0</v>
      </c>
      <c r="AL223" s="80">
        <f>SUM(AL219:AL222)</f>
        <v>0</v>
      </c>
      <c r="AM223" s="80">
        <f t="shared" ref="AM223:AW223" si="853">SUM(AM219:AM222)</f>
        <v>0</v>
      </c>
      <c r="AN223" s="80">
        <f t="shared" si="853"/>
        <v>0</v>
      </c>
      <c r="AO223" s="80">
        <f t="shared" si="853"/>
        <v>0</v>
      </c>
      <c r="AP223" s="80">
        <f>SUM(AP219:AP222)</f>
        <v>0</v>
      </c>
      <c r="AQ223" s="80">
        <f t="shared" ref="AQ223:AT223" si="854">SUM(AQ219:AQ222)</f>
        <v>0</v>
      </c>
      <c r="AR223" s="80">
        <f t="shared" si="854"/>
        <v>0</v>
      </c>
      <c r="AS223" s="80">
        <f t="shared" si="854"/>
        <v>0</v>
      </c>
      <c r="AT223" s="80">
        <f t="shared" si="854"/>
        <v>0</v>
      </c>
      <c r="AU223" s="80">
        <f>SUM(AU219:AU222)</f>
        <v>0</v>
      </c>
      <c r="AV223" s="80">
        <f t="shared" si="853"/>
        <v>0</v>
      </c>
      <c r="AW223" s="80">
        <f t="shared" si="853"/>
        <v>0</v>
      </c>
      <c r="AX223" s="80">
        <f>SUM(AX219:AX222)</f>
        <v>0</v>
      </c>
      <c r="AY223" s="80">
        <f>SUM(AY219:AY222)</f>
        <v>0</v>
      </c>
      <c r="AZ223" s="80">
        <f t="shared" ref="AZ223:BA223" si="855">SUM(AZ219:AZ222)</f>
        <v>0</v>
      </c>
      <c r="BA223" s="80">
        <f t="shared" si="855"/>
        <v>0</v>
      </c>
      <c r="BB223" s="80">
        <f>SUM(BB219:BB222)</f>
        <v>0</v>
      </c>
      <c r="BC223" s="80">
        <f>SUM(BC219:BC222)</f>
        <v>0</v>
      </c>
      <c r="BD223" s="80">
        <f t="shared" ref="BD223" si="856">SUM(BD219:BD222)</f>
        <v>0</v>
      </c>
      <c r="BE223" s="80">
        <f>SUM(BE219:BE222)</f>
        <v>0</v>
      </c>
      <c r="BF223" s="80">
        <f>SUM(BF219:BF222)</f>
        <v>0</v>
      </c>
      <c r="BG223" s="80">
        <f>SUM(BG219:BG222)</f>
        <v>0</v>
      </c>
      <c r="BH223" s="80">
        <f>SUM(BH219:BH222)</f>
        <v>0</v>
      </c>
      <c r="BI223" s="80">
        <f t="shared" ref="BI223" si="857">SUM(BI219:BI222)</f>
        <v>0</v>
      </c>
      <c r="BJ223" s="80">
        <f t="shared" ref="BJ223:BL223" si="858">SUM(BJ219:BJ222)</f>
        <v>0</v>
      </c>
      <c r="BK223" s="80">
        <f t="shared" si="858"/>
        <v>0</v>
      </c>
      <c r="BL223" s="80">
        <f t="shared" si="858"/>
        <v>0</v>
      </c>
      <c r="BM223" s="80">
        <f t="shared" ref="BM223" si="859">SUM(BM219:BM222)</f>
        <v>0</v>
      </c>
    </row>
    <row r="224" spans="1:65" ht="14.15" customHeight="1">
      <c r="A224" s="436">
        <f t="shared" si="793"/>
        <v>218</v>
      </c>
      <c r="B224" s="25"/>
      <c r="C224" s="2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</row>
    <row r="225" spans="1:65" s="18" customFormat="1" ht="14.15" customHeight="1">
      <c r="A225" s="436">
        <f t="shared" si="793"/>
        <v>219</v>
      </c>
      <c r="B225" s="13" t="s">
        <v>374</v>
      </c>
      <c r="C225" s="1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</row>
    <row r="226" spans="1:65" ht="14.15" customHeight="1">
      <c r="A226" s="436">
        <f t="shared" si="793"/>
        <v>220</v>
      </c>
      <c r="B226" s="22" t="s">
        <v>153</v>
      </c>
      <c r="C226" s="38">
        <f>SUM(D226:BM226)</f>
        <v>-16290160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-16290160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</row>
    <row r="227" spans="1:65" ht="14.15" customHeight="1">
      <c r="A227" s="436">
        <f t="shared" si="793"/>
        <v>221</v>
      </c>
      <c r="B227" s="22" t="s">
        <v>155</v>
      </c>
      <c r="C227" s="38">
        <f t="shared" ref="C227:C230" si="860">SUM(D227:BM227)</f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</row>
    <row r="228" spans="1:65" ht="14.15" customHeight="1">
      <c r="A228" s="436">
        <f t="shared" si="793"/>
        <v>222</v>
      </c>
      <c r="B228" s="22" t="s">
        <v>155</v>
      </c>
      <c r="C228" s="38">
        <f t="shared" si="860"/>
        <v>-1844518</v>
      </c>
      <c r="D228" s="10">
        <v>0</v>
      </c>
      <c r="E228" s="10">
        <v>0</v>
      </c>
      <c r="F228" s="10">
        <v>0</v>
      </c>
      <c r="G228" s="10">
        <v>-1844518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</row>
    <row r="229" spans="1:65" ht="14.15" customHeight="1">
      <c r="A229" s="436">
        <f t="shared" si="793"/>
        <v>223</v>
      </c>
      <c r="B229" s="22" t="s">
        <v>156</v>
      </c>
      <c r="C229" s="38">
        <f t="shared" si="860"/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</row>
    <row r="230" spans="1:65" ht="14.15" customHeight="1">
      <c r="A230" s="436">
        <f t="shared" si="793"/>
        <v>224</v>
      </c>
      <c r="B230" s="56" t="s">
        <v>157</v>
      </c>
      <c r="C230" s="198">
        <f t="shared" si="860"/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>
        <v>0</v>
      </c>
      <c r="AG230" s="64">
        <v>0</v>
      </c>
      <c r="AH230" s="64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4">
        <v>0</v>
      </c>
      <c r="AV230" s="64">
        <v>0</v>
      </c>
      <c r="AW230" s="64">
        <v>0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>
        <v>0</v>
      </c>
      <c r="BD230" s="64">
        <v>0</v>
      </c>
      <c r="BE230" s="64">
        <v>0</v>
      </c>
      <c r="BF230" s="64">
        <v>0</v>
      </c>
      <c r="BG230" s="64">
        <v>0</v>
      </c>
      <c r="BH230" s="64">
        <v>0</v>
      </c>
      <c r="BI230" s="64">
        <v>0</v>
      </c>
      <c r="BJ230" s="64">
        <v>0</v>
      </c>
      <c r="BK230" s="64">
        <v>0</v>
      </c>
      <c r="BL230" s="64">
        <v>0</v>
      </c>
      <c r="BM230" s="64">
        <v>0</v>
      </c>
    </row>
    <row r="231" spans="1:65" ht="14.15" customHeight="1">
      <c r="A231" s="436">
        <f t="shared" si="793"/>
        <v>225</v>
      </c>
      <c r="B231" s="13" t="s">
        <v>518</v>
      </c>
      <c r="C231" s="10">
        <f t="shared" ref="C231:H231" si="861">SUM(C226:C230)</f>
        <v>-18134678</v>
      </c>
      <c r="D231" s="10">
        <f t="shared" si="861"/>
        <v>0</v>
      </c>
      <c r="E231" s="10">
        <f>SUM(E226:E230)</f>
        <v>0</v>
      </c>
      <c r="F231" s="10">
        <f>SUM(F226:F230)</f>
        <v>0</v>
      </c>
      <c r="G231" s="10">
        <f>SUM(G226:G230)</f>
        <v>-1844518</v>
      </c>
      <c r="H231" s="10">
        <f t="shared" si="861"/>
        <v>0</v>
      </c>
      <c r="I231" s="10">
        <f>SUM(I226:I230)</f>
        <v>0</v>
      </c>
      <c r="J231" s="10">
        <f>SUM(J226:J230)</f>
        <v>0</v>
      </c>
      <c r="K231" s="10">
        <f>SUM(K226:K230)</f>
        <v>0</v>
      </c>
      <c r="L231" s="10">
        <f>SUM(L226:L230)</f>
        <v>0</v>
      </c>
      <c r="M231" s="10">
        <f t="shared" ref="M231:Y231" si="862">SUM(M226:M230)</f>
        <v>0</v>
      </c>
      <c r="N231" s="10">
        <f t="shared" si="862"/>
        <v>0</v>
      </c>
      <c r="O231" s="10">
        <f t="shared" si="862"/>
        <v>0</v>
      </c>
      <c r="P231" s="10">
        <f t="shared" si="862"/>
        <v>0</v>
      </c>
      <c r="Q231" s="10">
        <f t="shared" si="862"/>
        <v>0</v>
      </c>
      <c r="R231" s="10">
        <f t="shared" si="862"/>
        <v>0</v>
      </c>
      <c r="S231" s="10">
        <f t="shared" si="862"/>
        <v>0</v>
      </c>
      <c r="T231" s="10">
        <f>SUM(T226:T230)</f>
        <v>0</v>
      </c>
      <c r="U231" s="10">
        <f t="shared" si="862"/>
        <v>0</v>
      </c>
      <c r="V231" s="10">
        <f t="shared" si="862"/>
        <v>0</v>
      </c>
      <c r="W231" s="10">
        <f t="shared" si="862"/>
        <v>0</v>
      </c>
      <c r="X231" s="10">
        <f t="shared" si="862"/>
        <v>0</v>
      </c>
      <c r="Y231" s="10">
        <f t="shared" si="862"/>
        <v>0</v>
      </c>
      <c r="Z231" s="10">
        <f t="shared" ref="Z231:AE231" si="863">SUM(Z226:Z230)</f>
        <v>0</v>
      </c>
      <c r="AA231" s="10">
        <f t="shared" si="863"/>
        <v>0</v>
      </c>
      <c r="AB231" s="10">
        <f t="shared" si="863"/>
        <v>0</v>
      </c>
      <c r="AC231" s="10">
        <f t="shared" ref="AC231" si="864">SUM(AC226:AC230)</f>
        <v>0</v>
      </c>
      <c r="AD231" s="10">
        <f t="shared" si="863"/>
        <v>0</v>
      </c>
      <c r="AE231" s="10">
        <f t="shared" si="863"/>
        <v>0</v>
      </c>
      <c r="AF231" s="10">
        <f t="shared" ref="AF231:AI231" si="865">SUM(AF226:AF230)</f>
        <v>0</v>
      </c>
      <c r="AG231" s="10">
        <f t="shared" si="865"/>
        <v>0</v>
      </c>
      <c r="AH231" s="10">
        <f t="shared" si="865"/>
        <v>0</v>
      </c>
      <c r="AI231" s="10">
        <f t="shared" si="865"/>
        <v>0</v>
      </c>
      <c r="AJ231" s="10">
        <f>SUM(AJ226:AJ230)</f>
        <v>0</v>
      </c>
      <c r="AK231" s="10">
        <f>SUM(AK226:AK230)</f>
        <v>-16290160</v>
      </c>
      <c r="AL231" s="10">
        <f>SUM(AL226:AL230)</f>
        <v>0</v>
      </c>
      <c r="AM231" s="10">
        <f t="shared" ref="AM231:AW231" si="866">SUM(AM226:AM230)</f>
        <v>0</v>
      </c>
      <c r="AN231" s="10">
        <f t="shared" si="866"/>
        <v>0</v>
      </c>
      <c r="AO231" s="10">
        <f t="shared" si="866"/>
        <v>0</v>
      </c>
      <c r="AP231" s="10">
        <f>SUM(AP226:AP230)</f>
        <v>0</v>
      </c>
      <c r="AQ231" s="10">
        <f t="shared" ref="AQ231:AT231" si="867">SUM(AQ226:AQ230)</f>
        <v>0</v>
      </c>
      <c r="AR231" s="10">
        <f t="shared" si="867"/>
        <v>0</v>
      </c>
      <c r="AS231" s="10">
        <f t="shared" si="867"/>
        <v>0</v>
      </c>
      <c r="AT231" s="10">
        <f t="shared" si="867"/>
        <v>0</v>
      </c>
      <c r="AU231" s="10">
        <f>SUM(AU226:AU230)</f>
        <v>0</v>
      </c>
      <c r="AV231" s="10">
        <f t="shared" si="866"/>
        <v>0</v>
      </c>
      <c r="AW231" s="10">
        <f t="shared" si="866"/>
        <v>0</v>
      </c>
      <c r="AX231" s="10">
        <f>SUM(AX226:AX230)</f>
        <v>0</v>
      </c>
      <c r="AY231" s="10">
        <f>SUM(AY226:AY230)</f>
        <v>0</v>
      </c>
      <c r="AZ231" s="10">
        <f t="shared" ref="AZ231:BA231" si="868">SUM(AZ226:AZ230)</f>
        <v>0</v>
      </c>
      <c r="BA231" s="10">
        <f t="shared" si="868"/>
        <v>0</v>
      </c>
      <c r="BB231" s="10">
        <f>SUM(BB226:BB230)</f>
        <v>0</v>
      </c>
      <c r="BC231" s="10">
        <f>SUM(BC226:BC230)</f>
        <v>0</v>
      </c>
      <c r="BD231" s="10">
        <f t="shared" ref="BD231" si="869">SUM(BD226:BD230)</f>
        <v>0</v>
      </c>
      <c r="BE231" s="10">
        <f>SUM(BE226:BE230)</f>
        <v>0</v>
      </c>
      <c r="BF231" s="10">
        <f>SUM(BF226:BF230)</f>
        <v>0</v>
      </c>
      <c r="BG231" s="10">
        <f>SUM(BG226:BG230)</f>
        <v>0</v>
      </c>
      <c r="BH231" s="10">
        <f>SUM(BH226:BH230)</f>
        <v>0</v>
      </c>
      <c r="BI231" s="10">
        <f t="shared" ref="BI231" si="870">SUM(BI226:BI230)</f>
        <v>0</v>
      </c>
      <c r="BJ231" s="10">
        <f t="shared" ref="BJ231:BL231" si="871">SUM(BJ226:BJ230)</f>
        <v>0</v>
      </c>
      <c r="BK231" s="10">
        <f t="shared" si="871"/>
        <v>0</v>
      </c>
      <c r="BL231" s="10">
        <f t="shared" si="871"/>
        <v>0</v>
      </c>
      <c r="BM231" s="10">
        <f t="shared" ref="BM231" si="872">SUM(BM226:BM230)</f>
        <v>0</v>
      </c>
    </row>
    <row r="232" spans="1:65" ht="14.15" customHeight="1">
      <c r="A232" s="436">
        <f t="shared" si="793"/>
        <v>226</v>
      </c>
      <c r="B232" s="22"/>
      <c r="C232" s="3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</row>
    <row r="233" spans="1:65" ht="14.15" customHeight="1">
      <c r="A233" s="436">
        <f t="shared" si="793"/>
        <v>227</v>
      </c>
      <c r="B233" s="13" t="s">
        <v>373</v>
      </c>
      <c r="C233" s="3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</row>
    <row r="234" spans="1:65" ht="14.15" customHeight="1">
      <c r="A234" s="436">
        <f t="shared" si="793"/>
        <v>228</v>
      </c>
      <c r="B234" s="22" t="s">
        <v>158</v>
      </c>
      <c r="C234" s="38">
        <f>SUM(D234:BM234)</f>
        <v>-41081399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-41081399</v>
      </c>
      <c r="BK234" s="10">
        <v>0</v>
      </c>
      <c r="BL234" s="10">
        <v>0</v>
      </c>
      <c r="BM234" s="10">
        <v>0</v>
      </c>
    </row>
    <row r="235" spans="1:65" ht="14.15" customHeight="1">
      <c r="A235" s="436">
        <f t="shared" si="793"/>
        <v>229</v>
      </c>
      <c r="B235" s="56" t="s">
        <v>159</v>
      </c>
      <c r="C235" s="38">
        <f>SUM(D235:BM235)</f>
        <v>-9915482.0700000003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f>-9844913.07+-70569</f>
        <v>-9915482.0700000003</v>
      </c>
      <c r="BK235" s="10">
        <v>0</v>
      </c>
      <c r="BL235" s="10">
        <v>0</v>
      </c>
      <c r="BM235" s="10">
        <v>0</v>
      </c>
    </row>
    <row r="236" spans="1:65" ht="14.15" customHeight="1">
      <c r="A236" s="436">
        <f t="shared" si="793"/>
        <v>230</v>
      </c>
      <c r="B236" s="85" t="s">
        <v>519</v>
      </c>
      <c r="C236" s="80">
        <f t="shared" ref="C236:L236" si="873">SUM(C234:C235)</f>
        <v>-50996881.07</v>
      </c>
      <c r="D236" s="80">
        <f t="shared" si="873"/>
        <v>0</v>
      </c>
      <c r="E236" s="80">
        <f t="shared" si="873"/>
        <v>0</v>
      </c>
      <c r="F236" s="80">
        <f t="shared" si="873"/>
        <v>0</v>
      </c>
      <c r="G236" s="80">
        <f>SUM(G234:G235)</f>
        <v>0</v>
      </c>
      <c r="H236" s="80">
        <f t="shared" si="873"/>
        <v>0</v>
      </c>
      <c r="I236" s="80">
        <f t="shared" si="873"/>
        <v>0</v>
      </c>
      <c r="J236" s="80">
        <f t="shared" si="873"/>
        <v>0</v>
      </c>
      <c r="K236" s="80">
        <f t="shared" ref="K236" si="874">SUM(K234:K235)</f>
        <v>0</v>
      </c>
      <c r="L236" s="80">
        <f t="shared" si="873"/>
        <v>0</v>
      </c>
      <c r="M236" s="80">
        <f t="shared" ref="M236:Y236" si="875">SUM(M234:M235)</f>
        <v>0</v>
      </c>
      <c r="N236" s="80">
        <f t="shared" si="875"/>
        <v>0</v>
      </c>
      <c r="O236" s="80">
        <f t="shared" si="875"/>
        <v>0</v>
      </c>
      <c r="P236" s="80">
        <f t="shared" si="875"/>
        <v>0</v>
      </c>
      <c r="Q236" s="80">
        <f t="shared" si="875"/>
        <v>0</v>
      </c>
      <c r="R236" s="80">
        <f t="shared" si="875"/>
        <v>0</v>
      </c>
      <c r="S236" s="80">
        <f t="shared" si="875"/>
        <v>0</v>
      </c>
      <c r="T236" s="80">
        <f>SUM(T234:T235)</f>
        <v>0</v>
      </c>
      <c r="U236" s="80">
        <f t="shared" si="875"/>
        <v>0</v>
      </c>
      <c r="V236" s="80">
        <f t="shared" si="875"/>
        <v>0</v>
      </c>
      <c r="W236" s="80">
        <f t="shared" si="875"/>
        <v>0</v>
      </c>
      <c r="X236" s="80">
        <f t="shared" si="875"/>
        <v>0</v>
      </c>
      <c r="Y236" s="80">
        <f t="shared" si="875"/>
        <v>0</v>
      </c>
      <c r="Z236" s="80">
        <f t="shared" ref="Z236:AE236" si="876">SUM(Z234:Z235)</f>
        <v>0</v>
      </c>
      <c r="AA236" s="80">
        <f t="shared" si="876"/>
        <v>0</v>
      </c>
      <c r="AB236" s="80">
        <f t="shared" si="876"/>
        <v>0</v>
      </c>
      <c r="AC236" s="80">
        <f t="shared" ref="AC236" si="877">SUM(AC234:AC235)</f>
        <v>0</v>
      </c>
      <c r="AD236" s="80">
        <f t="shared" si="876"/>
        <v>0</v>
      </c>
      <c r="AE236" s="80">
        <f t="shared" si="876"/>
        <v>0</v>
      </c>
      <c r="AF236" s="80">
        <f t="shared" ref="AF236:AI236" si="878">SUM(AF234:AF235)</f>
        <v>0</v>
      </c>
      <c r="AG236" s="80">
        <f t="shared" si="878"/>
        <v>0</v>
      </c>
      <c r="AH236" s="80">
        <f t="shared" si="878"/>
        <v>0</v>
      </c>
      <c r="AI236" s="80">
        <f t="shared" si="878"/>
        <v>0</v>
      </c>
      <c r="AJ236" s="80">
        <f>SUM(AJ234:AJ235)</f>
        <v>0</v>
      </c>
      <c r="AK236" s="80">
        <f>SUM(AK234:AK235)</f>
        <v>0</v>
      </c>
      <c r="AL236" s="80">
        <f>SUM(AL234:AL235)</f>
        <v>0</v>
      </c>
      <c r="AM236" s="80">
        <f t="shared" ref="AM236:AW236" si="879">SUM(AM234:AM235)</f>
        <v>0</v>
      </c>
      <c r="AN236" s="80">
        <f t="shared" si="879"/>
        <v>0</v>
      </c>
      <c r="AO236" s="80">
        <f t="shared" si="879"/>
        <v>0</v>
      </c>
      <c r="AP236" s="80">
        <f>SUM(AP234:AP235)</f>
        <v>0</v>
      </c>
      <c r="AQ236" s="80">
        <f t="shared" ref="AQ236:AT236" si="880">SUM(AQ234:AQ235)</f>
        <v>0</v>
      </c>
      <c r="AR236" s="80">
        <f t="shared" si="880"/>
        <v>0</v>
      </c>
      <c r="AS236" s="80">
        <f t="shared" si="880"/>
        <v>0</v>
      </c>
      <c r="AT236" s="80">
        <f t="shared" si="880"/>
        <v>0</v>
      </c>
      <c r="AU236" s="80">
        <f>SUM(AU234:AU235)</f>
        <v>0</v>
      </c>
      <c r="AV236" s="80">
        <f t="shared" si="879"/>
        <v>0</v>
      </c>
      <c r="AW236" s="80">
        <f t="shared" si="879"/>
        <v>0</v>
      </c>
      <c r="AX236" s="80">
        <f>SUM(AX234:AX235)</f>
        <v>0</v>
      </c>
      <c r="AY236" s="80">
        <f>SUM(AY234:AY235)</f>
        <v>0</v>
      </c>
      <c r="AZ236" s="80">
        <f t="shared" ref="AZ236:BA236" si="881">SUM(AZ234:AZ235)</f>
        <v>0</v>
      </c>
      <c r="BA236" s="80">
        <f t="shared" si="881"/>
        <v>0</v>
      </c>
      <c r="BB236" s="80">
        <f>SUM(BB234:BB235)</f>
        <v>0</v>
      </c>
      <c r="BC236" s="80">
        <f>SUM(BC234:BC235)</f>
        <v>0</v>
      </c>
      <c r="BD236" s="80">
        <f t="shared" ref="BD236" si="882">SUM(BD234:BD235)</f>
        <v>0</v>
      </c>
      <c r="BE236" s="80">
        <f>SUM(BE234:BE235)</f>
        <v>0</v>
      </c>
      <c r="BF236" s="80">
        <f>SUM(BF234:BF235)</f>
        <v>0</v>
      </c>
      <c r="BG236" s="80">
        <f>SUM(BG234:BG235)</f>
        <v>0</v>
      </c>
      <c r="BH236" s="80">
        <f>SUM(BH234:BH235)</f>
        <v>0</v>
      </c>
      <c r="BI236" s="80">
        <f t="shared" ref="BI236" si="883">SUM(BI234:BI235)</f>
        <v>0</v>
      </c>
      <c r="BJ236" s="80">
        <f t="shared" ref="BJ236:BL236" si="884">SUM(BJ234:BJ235)</f>
        <v>-50996881.07</v>
      </c>
      <c r="BK236" s="80">
        <f t="shared" si="884"/>
        <v>0</v>
      </c>
      <c r="BL236" s="80">
        <f t="shared" si="884"/>
        <v>0</v>
      </c>
      <c r="BM236" s="80">
        <f t="shared" ref="BM236" si="885">SUM(BM234:BM235)</f>
        <v>0</v>
      </c>
    </row>
    <row r="237" spans="1:65" ht="14.15" customHeight="1">
      <c r="A237" s="436">
        <f t="shared" si="793"/>
        <v>231</v>
      </c>
      <c r="B237" s="25"/>
      <c r="C237" s="2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</row>
    <row r="238" spans="1:65" ht="14.15" customHeight="1">
      <c r="A238" s="436">
        <f t="shared" si="793"/>
        <v>232</v>
      </c>
      <c r="B238" s="25"/>
      <c r="C238" s="2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</row>
    <row r="239" spans="1:65" ht="14.15" customHeight="1">
      <c r="A239" s="436">
        <f t="shared" si="793"/>
        <v>233</v>
      </c>
      <c r="B239" s="13" t="s">
        <v>160</v>
      </c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</row>
    <row r="240" spans="1:65" s="18" customFormat="1" ht="14.15" customHeight="1">
      <c r="A240" s="436">
        <f t="shared" si="793"/>
        <v>234</v>
      </c>
      <c r="B240" s="22" t="s">
        <v>161</v>
      </c>
      <c r="C240" s="38">
        <f>SUM(D240:BM240)</f>
        <v>68478082.195299998</v>
      </c>
      <c r="D240" s="10">
        <v>0</v>
      </c>
      <c r="E240" s="10">
        <v>0</v>
      </c>
      <c r="F240" s="10">
        <v>0</v>
      </c>
      <c r="G240" s="10">
        <v>39784726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28693356.195299998</v>
      </c>
      <c r="BJ240" s="10">
        <v>0</v>
      </c>
      <c r="BK240" s="10">
        <v>0</v>
      </c>
      <c r="BL240" s="10"/>
      <c r="BM240" s="10"/>
    </row>
    <row r="241" spans="1:65" s="18" customFormat="1" ht="14.15" customHeight="1">
      <c r="A241" s="436">
        <f t="shared" si="793"/>
        <v>235</v>
      </c>
      <c r="B241" s="22" t="s">
        <v>162</v>
      </c>
      <c r="C241" s="38">
        <f>SUM(D241:BM241)</f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</row>
    <row r="242" spans="1:65" s="18" customFormat="1" ht="14.15" customHeight="1">
      <c r="A242" s="436">
        <f t="shared" si="793"/>
        <v>236</v>
      </c>
      <c r="B242" s="22" t="s">
        <v>163</v>
      </c>
      <c r="C242" s="38">
        <f t="shared" ref="C242:C247" si="886">SUM(D242:BM242)</f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</row>
    <row r="243" spans="1:65" s="18" customFormat="1" ht="14.15" customHeight="1">
      <c r="A243" s="436">
        <f t="shared" si="793"/>
        <v>237</v>
      </c>
      <c r="B243" s="83" t="s">
        <v>1109</v>
      </c>
      <c r="C243" s="38">
        <f t="shared" si="886"/>
        <v>0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</row>
    <row r="244" spans="1:65" s="18" customFormat="1" ht="14.15" customHeight="1">
      <c r="A244" s="436">
        <f t="shared" si="793"/>
        <v>238</v>
      </c>
      <c r="B244" s="22" t="s">
        <v>376</v>
      </c>
      <c r="C244" s="38">
        <f t="shared" si="886"/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</row>
    <row r="245" spans="1:65" ht="14.15" customHeight="1">
      <c r="A245" s="436">
        <f t="shared" si="793"/>
        <v>239</v>
      </c>
      <c r="B245" s="22" t="s">
        <v>164</v>
      </c>
      <c r="C245" s="38">
        <f t="shared" si="886"/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0</v>
      </c>
    </row>
    <row r="246" spans="1:65" ht="14.15" customHeight="1">
      <c r="A246" s="436">
        <f t="shared" si="793"/>
        <v>240</v>
      </c>
      <c r="B246" s="22" t="str">
        <f>'Sch 4'!B259</f>
        <v xml:space="preserve">     Other Rate Base</v>
      </c>
      <c r="C246" s="38">
        <f t="shared" si="886"/>
        <v>0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</row>
    <row r="247" spans="1:65" ht="14.15" customHeight="1">
      <c r="A247" s="436">
        <f t="shared" si="793"/>
        <v>241</v>
      </c>
      <c r="B247" s="56" t="s">
        <v>165</v>
      </c>
      <c r="C247" s="38">
        <f t="shared" si="886"/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</row>
    <row r="248" spans="1:65" ht="14.15" customHeight="1">
      <c r="A248" s="436">
        <f t="shared" si="793"/>
        <v>242</v>
      </c>
      <c r="B248" s="85" t="s">
        <v>166</v>
      </c>
      <c r="C248" s="80">
        <f t="shared" ref="C248:L248" si="887">SUM(C240:C247)</f>
        <v>68478082.195299998</v>
      </c>
      <c r="D248" s="80">
        <f t="shared" si="887"/>
        <v>0</v>
      </c>
      <c r="E248" s="80">
        <f t="shared" si="887"/>
        <v>0</v>
      </c>
      <c r="F248" s="80">
        <f t="shared" si="887"/>
        <v>0</v>
      </c>
      <c r="G248" s="80">
        <f t="shared" si="887"/>
        <v>39784726</v>
      </c>
      <c r="H248" s="80">
        <f t="shared" si="887"/>
        <v>0</v>
      </c>
      <c r="I248" s="80">
        <f t="shared" si="887"/>
        <v>0</v>
      </c>
      <c r="J248" s="80">
        <f t="shared" si="887"/>
        <v>0</v>
      </c>
      <c r="K248" s="80">
        <f t="shared" ref="K248" si="888">SUM(K240:K247)</f>
        <v>0</v>
      </c>
      <c r="L248" s="80">
        <f t="shared" si="887"/>
        <v>0</v>
      </c>
      <c r="M248" s="80">
        <f t="shared" ref="M248:Y248" si="889">SUM(M240:M247)</f>
        <v>0</v>
      </c>
      <c r="N248" s="80">
        <f t="shared" si="889"/>
        <v>0</v>
      </c>
      <c r="O248" s="80">
        <f t="shared" si="889"/>
        <v>0</v>
      </c>
      <c r="P248" s="80">
        <f t="shared" si="889"/>
        <v>0</v>
      </c>
      <c r="Q248" s="80">
        <f t="shared" si="889"/>
        <v>0</v>
      </c>
      <c r="R248" s="80">
        <f t="shared" si="889"/>
        <v>0</v>
      </c>
      <c r="S248" s="80">
        <f t="shared" si="889"/>
        <v>0</v>
      </c>
      <c r="T248" s="80">
        <f>SUM(T240:T247)</f>
        <v>0</v>
      </c>
      <c r="U248" s="80">
        <f t="shared" si="889"/>
        <v>0</v>
      </c>
      <c r="V248" s="80">
        <f t="shared" si="889"/>
        <v>0</v>
      </c>
      <c r="W248" s="80">
        <f t="shared" si="889"/>
        <v>0</v>
      </c>
      <c r="X248" s="80">
        <f t="shared" si="889"/>
        <v>0</v>
      </c>
      <c r="Y248" s="80">
        <f t="shared" si="889"/>
        <v>0</v>
      </c>
      <c r="Z248" s="80">
        <f t="shared" ref="Z248:AE248" si="890">SUM(Z240:Z247)</f>
        <v>0</v>
      </c>
      <c r="AA248" s="80">
        <f t="shared" si="890"/>
        <v>0</v>
      </c>
      <c r="AB248" s="80">
        <f t="shared" si="890"/>
        <v>0</v>
      </c>
      <c r="AC248" s="80">
        <f t="shared" ref="AC248" si="891">SUM(AC240:AC247)</f>
        <v>0</v>
      </c>
      <c r="AD248" s="80">
        <f t="shared" si="890"/>
        <v>0</v>
      </c>
      <c r="AE248" s="80">
        <f t="shared" si="890"/>
        <v>0</v>
      </c>
      <c r="AF248" s="80">
        <f t="shared" ref="AF248:AI248" si="892">SUM(AF240:AF247)</f>
        <v>0</v>
      </c>
      <c r="AG248" s="80">
        <f t="shared" si="892"/>
        <v>0</v>
      </c>
      <c r="AH248" s="80">
        <f t="shared" si="892"/>
        <v>0</v>
      </c>
      <c r="AI248" s="80">
        <f t="shared" si="892"/>
        <v>0</v>
      </c>
      <c r="AJ248" s="80">
        <f>SUM(AJ240:AJ247)</f>
        <v>0</v>
      </c>
      <c r="AK248" s="80">
        <f>SUM(AK240:AK247)</f>
        <v>0</v>
      </c>
      <c r="AL248" s="80">
        <f>SUM(AL240:AL247)</f>
        <v>0</v>
      </c>
      <c r="AM248" s="80">
        <f t="shared" ref="AM248:AW248" si="893">SUM(AM240:AM247)</f>
        <v>0</v>
      </c>
      <c r="AN248" s="80">
        <f t="shared" si="893"/>
        <v>0</v>
      </c>
      <c r="AO248" s="80">
        <f t="shared" si="893"/>
        <v>0</v>
      </c>
      <c r="AP248" s="80">
        <f>SUM(AP240:AP247)</f>
        <v>0</v>
      </c>
      <c r="AQ248" s="80">
        <f t="shared" ref="AQ248:AT248" si="894">SUM(AQ240:AQ247)</f>
        <v>0</v>
      </c>
      <c r="AR248" s="80">
        <f t="shared" si="894"/>
        <v>0</v>
      </c>
      <c r="AS248" s="80">
        <f t="shared" si="894"/>
        <v>0</v>
      </c>
      <c r="AT248" s="80">
        <f t="shared" si="894"/>
        <v>0</v>
      </c>
      <c r="AU248" s="80">
        <f>SUM(AU240:AU247)</f>
        <v>0</v>
      </c>
      <c r="AV248" s="80">
        <f t="shared" si="893"/>
        <v>0</v>
      </c>
      <c r="AW248" s="80">
        <f t="shared" si="893"/>
        <v>0</v>
      </c>
      <c r="AX248" s="80">
        <f>SUM(AX240:AX247)</f>
        <v>0</v>
      </c>
      <c r="AY248" s="80">
        <f>SUM(AY240:AY247)</f>
        <v>0</v>
      </c>
      <c r="AZ248" s="80">
        <f t="shared" ref="AZ248:BA248" si="895">SUM(AZ240:AZ247)</f>
        <v>0</v>
      </c>
      <c r="BA248" s="80">
        <f t="shared" si="895"/>
        <v>0</v>
      </c>
      <c r="BB248" s="80">
        <f>SUM(BB240:BB247)</f>
        <v>0</v>
      </c>
      <c r="BC248" s="80">
        <f>SUM(BC240:BC247)</f>
        <v>0</v>
      </c>
      <c r="BD248" s="80">
        <f t="shared" ref="BD248" si="896">SUM(BD240:BD247)</f>
        <v>0</v>
      </c>
      <c r="BE248" s="80">
        <f>SUM(BE240:BE247)</f>
        <v>0</v>
      </c>
      <c r="BF248" s="80">
        <f>SUM(BF240:BF247)</f>
        <v>0</v>
      </c>
      <c r="BG248" s="80">
        <f>SUM(BG240:BG247)</f>
        <v>0</v>
      </c>
      <c r="BH248" s="80">
        <f>SUM(BH240:BH247)</f>
        <v>0</v>
      </c>
      <c r="BI248" s="80">
        <f t="shared" ref="BI248" si="897">SUM(BI240:BI247)</f>
        <v>28693356.195299998</v>
      </c>
      <c r="BJ248" s="80">
        <f t="shared" ref="BJ248:BL248" si="898">SUM(BJ240:BJ247)</f>
        <v>0</v>
      </c>
      <c r="BK248" s="80">
        <f t="shared" si="898"/>
        <v>0</v>
      </c>
      <c r="BL248" s="80">
        <f t="shared" si="898"/>
        <v>0</v>
      </c>
      <c r="BM248" s="80">
        <f t="shared" ref="BM248" si="899">SUM(BM240:BM247)</f>
        <v>0</v>
      </c>
    </row>
    <row r="249" spans="1:65" ht="14.15" customHeight="1">
      <c r="A249" s="436">
        <f t="shared" si="793"/>
        <v>243</v>
      </c>
      <c r="B249" s="52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</row>
    <row r="250" spans="1:65" s="3" customFormat="1" ht="14.15" customHeight="1" thickBot="1">
      <c r="A250" s="436">
        <f t="shared" si="793"/>
        <v>244</v>
      </c>
      <c r="B250" s="54" t="s">
        <v>916</v>
      </c>
      <c r="C250" s="87">
        <f>C193+C216+C165+C223+C236+C248+C231</f>
        <v>-188212652.87470001</v>
      </c>
      <c r="D250" s="87">
        <f t="shared" ref="D250:AW250" si="900">D193+D216+D165+D223+D236+D248</f>
        <v>0</v>
      </c>
      <c r="E250" s="87">
        <f t="shared" si="900"/>
        <v>0</v>
      </c>
      <c r="F250" s="87">
        <f t="shared" si="900"/>
        <v>0</v>
      </c>
      <c r="G250" s="87">
        <f t="shared" si="900"/>
        <v>-145905949</v>
      </c>
      <c r="H250" s="87">
        <f t="shared" si="900"/>
        <v>0</v>
      </c>
      <c r="I250" s="87">
        <f t="shared" si="900"/>
        <v>0</v>
      </c>
      <c r="J250" s="87">
        <f t="shared" si="900"/>
        <v>0</v>
      </c>
      <c r="K250" s="87">
        <f t="shared" ref="K250" si="901">K193+K216+K165+K223+K236+K248</f>
        <v>0</v>
      </c>
      <c r="L250" s="87">
        <f t="shared" si="900"/>
        <v>0</v>
      </c>
      <c r="M250" s="87">
        <f t="shared" si="900"/>
        <v>0</v>
      </c>
      <c r="N250" s="87">
        <f t="shared" si="900"/>
        <v>0</v>
      </c>
      <c r="O250" s="87">
        <f t="shared" si="900"/>
        <v>0</v>
      </c>
      <c r="P250" s="87">
        <f t="shared" si="900"/>
        <v>0</v>
      </c>
      <c r="Q250" s="87">
        <f t="shared" si="900"/>
        <v>0</v>
      </c>
      <c r="R250" s="87">
        <f t="shared" si="900"/>
        <v>0</v>
      </c>
      <c r="S250" s="87">
        <f t="shared" si="900"/>
        <v>0</v>
      </c>
      <c r="T250" s="87">
        <f>T193+T216+T165+T223+T236+T248</f>
        <v>0</v>
      </c>
      <c r="U250" s="87">
        <f t="shared" si="900"/>
        <v>0</v>
      </c>
      <c r="V250" s="87">
        <f t="shared" si="900"/>
        <v>0</v>
      </c>
      <c r="W250" s="87">
        <f t="shared" si="900"/>
        <v>0</v>
      </c>
      <c r="X250" s="87">
        <f t="shared" si="900"/>
        <v>0</v>
      </c>
      <c r="Y250" s="87">
        <f t="shared" si="900"/>
        <v>0</v>
      </c>
      <c r="Z250" s="87">
        <f t="shared" si="900"/>
        <v>0</v>
      </c>
      <c r="AA250" s="87">
        <f t="shared" si="900"/>
        <v>0</v>
      </c>
      <c r="AB250" s="87">
        <f t="shared" si="900"/>
        <v>0</v>
      </c>
      <c r="AC250" s="87">
        <f t="shared" ref="AC250" si="902">AC193+AC216+AC165+AC223+AC236+AC248</f>
        <v>0</v>
      </c>
      <c r="AD250" s="87">
        <f t="shared" si="900"/>
        <v>0</v>
      </c>
      <c r="AE250" s="87">
        <f t="shared" si="900"/>
        <v>0</v>
      </c>
      <c r="AF250" s="87">
        <f t="shared" si="900"/>
        <v>0</v>
      </c>
      <c r="AG250" s="87">
        <f t="shared" si="900"/>
        <v>0</v>
      </c>
      <c r="AH250" s="87">
        <f t="shared" si="900"/>
        <v>0</v>
      </c>
      <c r="AI250" s="87">
        <f t="shared" si="900"/>
        <v>0</v>
      </c>
      <c r="AJ250" s="87">
        <f>AJ193+AJ216+AJ165+AJ223+AJ236+AJ248</f>
        <v>0</v>
      </c>
      <c r="AK250" s="87">
        <f>AK193+AK216+AK165+AK223+AK236+AK248</f>
        <v>0</v>
      </c>
      <c r="AL250" s="87">
        <f>AL193+AL216+AL165+AL223+AL236+AL248</f>
        <v>0</v>
      </c>
      <c r="AM250" s="87">
        <f t="shared" si="900"/>
        <v>0</v>
      </c>
      <c r="AN250" s="87">
        <f t="shared" si="900"/>
        <v>0</v>
      </c>
      <c r="AO250" s="87">
        <f t="shared" si="900"/>
        <v>0</v>
      </c>
      <c r="AP250" s="87">
        <f>AP193+AP216+AP165+AP223+AP236+AP248</f>
        <v>0</v>
      </c>
      <c r="AQ250" s="87">
        <f t="shared" ref="AQ250:AT250" si="903">AQ193+AQ216+AQ165+AQ223+AQ236+AQ248</f>
        <v>0</v>
      </c>
      <c r="AR250" s="87">
        <f t="shared" si="903"/>
        <v>0</v>
      </c>
      <c r="AS250" s="87">
        <f t="shared" si="903"/>
        <v>0</v>
      </c>
      <c r="AT250" s="87">
        <f t="shared" si="903"/>
        <v>0</v>
      </c>
      <c r="AU250" s="87">
        <f>AU193+AU216+AU165+AU223+AU236+AU248</f>
        <v>0</v>
      </c>
      <c r="AV250" s="87">
        <f t="shared" si="900"/>
        <v>0</v>
      </c>
      <c r="AW250" s="87">
        <f t="shared" si="900"/>
        <v>0</v>
      </c>
      <c r="AX250" s="87">
        <f>AX193+AX216+AX165+AX223+AX236+AX248</f>
        <v>0</v>
      </c>
      <c r="AY250" s="87">
        <f>AY193+AY216+AY165+AY223+AY236+AY248</f>
        <v>-1868501</v>
      </c>
      <c r="AZ250" s="87">
        <f t="shared" ref="AZ250:BA250" si="904">AZ193+AZ216+AZ165+AZ223+AZ236+AZ248</f>
        <v>0</v>
      </c>
      <c r="BA250" s="87">
        <f t="shared" si="904"/>
        <v>0</v>
      </c>
      <c r="BB250" s="87">
        <f>BB193+BB216+BB165+BB223+BB236+BB248</f>
        <v>0</v>
      </c>
      <c r="BC250" s="87">
        <f>BC193+BC216+BC165+BC223+BC236+BC248</f>
        <v>0</v>
      </c>
      <c r="BD250" s="87">
        <f t="shared" ref="BD250" si="905">BD193+BD216+BD165+BD223+BD236+BD248</f>
        <v>0</v>
      </c>
      <c r="BE250" s="87">
        <f>BE193+BE216+BE165+BE223+BE236+BE248</f>
        <v>0</v>
      </c>
      <c r="BF250" s="87">
        <f>BF193+BF216+BF165+BF223+BF236+BF248</f>
        <v>0</v>
      </c>
      <c r="BG250" s="87">
        <f>BG193+BG216+BG165+BG223+BG236+BG248</f>
        <v>0</v>
      </c>
      <c r="BH250" s="87">
        <f>BH193+BH216+BH165+BH223+BH236+BH248</f>
        <v>0</v>
      </c>
      <c r="BI250" s="87">
        <f t="shared" ref="BI250" si="906">BI193+BI216+BI165+BI223+BI236+BI248</f>
        <v>28693356.195299998</v>
      </c>
      <c r="BJ250" s="87">
        <f t="shared" ref="BJ250:BL250" si="907">BJ193+BJ216+BJ165+BJ223+BJ236+BJ248</f>
        <v>-50996881.07</v>
      </c>
      <c r="BK250" s="87">
        <f t="shared" si="907"/>
        <v>0</v>
      </c>
      <c r="BL250" s="87">
        <f t="shared" si="907"/>
        <v>0</v>
      </c>
      <c r="BM250" s="87">
        <f t="shared" ref="BM250" si="908">BM193+BM216+BM165+BM223+BM236+BM248</f>
        <v>0</v>
      </c>
    </row>
    <row r="251" spans="1:65" ht="14.15" customHeight="1" thickTop="1">
      <c r="A251" s="436">
        <f t="shared" si="793"/>
        <v>245</v>
      </c>
      <c r="B251" s="65"/>
      <c r="C251" s="6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14.15" customHeight="1">
      <c r="A252" s="436">
        <f t="shared" si="793"/>
        <v>246</v>
      </c>
      <c r="B252" s="22"/>
      <c r="C252" s="22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</row>
    <row r="253" spans="1:65" ht="14.15" customHeight="1">
      <c r="A253" s="436">
        <f t="shared" si="793"/>
        <v>247</v>
      </c>
      <c r="B253" s="124" t="s">
        <v>319</v>
      </c>
      <c r="C253" s="38">
        <f>SUM(D253:BM253)</f>
        <v>-188883578.01999998</v>
      </c>
      <c r="D253" s="10">
        <f>-4710424+468095</f>
        <v>-4242329</v>
      </c>
      <c r="E253" s="10">
        <v>-28713724</v>
      </c>
      <c r="F253" s="10">
        <v>0</v>
      </c>
      <c r="G253" s="10">
        <v>0</v>
      </c>
      <c r="H253" s="10">
        <v>-46964573</v>
      </c>
      <c r="I253" s="10">
        <v>-142562415</v>
      </c>
      <c r="J253" s="10">
        <v>3497570.8</v>
      </c>
      <c r="K253" s="10">
        <v>0</v>
      </c>
      <c r="L253" s="10">
        <v>-21021955</v>
      </c>
      <c r="M253" s="10">
        <v>0</v>
      </c>
      <c r="N253" s="10">
        <v>-476213</v>
      </c>
      <c r="O253" s="10">
        <v>-372763</v>
      </c>
      <c r="P253" s="10">
        <v>1882916</v>
      </c>
      <c r="Q253" s="10">
        <v>12333767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-364641</v>
      </c>
      <c r="AN253" s="10">
        <v>-732523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38853304.18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</row>
    <row r="254" spans="1:65" ht="14.15" customHeight="1">
      <c r="A254" s="436">
        <f t="shared" si="793"/>
        <v>248</v>
      </c>
      <c r="B254" s="124" t="s">
        <v>368</v>
      </c>
      <c r="C254" s="38">
        <f>SUM(D254:BM254)</f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0</v>
      </c>
    </row>
    <row r="255" spans="1:65" ht="14.15" customHeight="1">
      <c r="A255" s="436">
        <f t="shared" si="793"/>
        <v>249</v>
      </c>
      <c r="B255" s="124" t="s">
        <v>15</v>
      </c>
      <c r="C255" s="38">
        <f>SUM(D255:BM255)</f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</row>
    <row r="256" spans="1:65" ht="14.15" customHeight="1">
      <c r="A256" s="436">
        <f t="shared" si="793"/>
        <v>250</v>
      </c>
      <c r="B256" s="124"/>
      <c r="C256" s="124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</row>
    <row r="257" spans="1:65" ht="14.15" customHeight="1">
      <c r="A257" s="436">
        <f t="shared" si="793"/>
        <v>251</v>
      </c>
      <c r="B257" s="3" t="s">
        <v>168</v>
      </c>
      <c r="C257" s="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</row>
    <row r="258" spans="1:65" ht="14.15" customHeight="1">
      <c r="A258" s="436">
        <f t="shared" si="793"/>
        <v>252</v>
      </c>
      <c r="B258" s="83" t="s">
        <v>169</v>
      </c>
      <c r="C258" s="38">
        <f>SUM(D258:BM258)</f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0</v>
      </c>
    </row>
    <row r="259" spans="1:65" ht="14.15" customHeight="1">
      <c r="A259" s="436">
        <f t="shared" si="793"/>
        <v>253</v>
      </c>
      <c r="B259" s="83" t="s">
        <v>170</v>
      </c>
      <c r="C259" s="38">
        <f>SUM(D259:BM259)</f>
        <v>-9021444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-9021444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0">
        <v>0</v>
      </c>
    </row>
    <row r="260" spans="1:65" ht="14.15" customHeight="1">
      <c r="A260" s="436">
        <f t="shared" si="793"/>
        <v>254</v>
      </c>
      <c r="B260" s="56" t="s">
        <v>171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</row>
    <row r="261" spans="1:65" ht="14.15" customHeight="1">
      <c r="A261" s="436">
        <f t="shared" si="793"/>
        <v>255</v>
      </c>
      <c r="B261" s="20" t="s">
        <v>490</v>
      </c>
      <c r="C261" s="80">
        <f t="shared" ref="C261:L261" si="909">+C258+C259</f>
        <v>-9021444</v>
      </c>
      <c r="D261" s="80">
        <f t="shared" si="909"/>
        <v>0</v>
      </c>
      <c r="E261" s="80">
        <f t="shared" si="909"/>
        <v>0</v>
      </c>
      <c r="F261" s="80">
        <f t="shared" si="909"/>
        <v>0</v>
      </c>
      <c r="G261" s="80">
        <f t="shared" si="909"/>
        <v>0</v>
      </c>
      <c r="H261" s="80">
        <f t="shared" si="909"/>
        <v>0</v>
      </c>
      <c r="I261" s="80">
        <f t="shared" si="909"/>
        <v>0</v>
      </c>
      <c r="J261" s="80">
        <f t="shared" si="909"/>
        <v>0</v>
      </c>
      <c r="K261" s="80">
        <f t="shared" ref="K261" si="910">+K258+K259</f>
        <v>-9021444</v>
      </c>
      <c r="L261" s="80">
        <f t="shared" si="909"/>
        <v>0</v>
      </c>
      <c r="M261" s="80">
        <f t="shared" ref="M261:Y261" si="911">+M258+M259</f>
        <v>0</v>
      </c>
      <c r="N261" s="80">
        <f t="shared" si="911"/>
        <v>0</v>
      </c>
      <c r="O261" s="80">
        <f t="shared" si="911"/>
        <v>0</v>
      </c>
      <c r="P261" s="80">
        <f t="shared" si="911"/>
        <v>0</v>
      </c>
      <c r="Q261" s="80">
        <f t="shared" si="911"/>
        <v>0</v>
      </c>
      <c r="R261" s="80">
        <f t="shared" si="911"/>
        <v>0</v>
      </c>
      <c r="S261" s="80">
        <f t="shared" si="911"/>
        <v>0</v>
      </c>
      <c r="T261" s="80">
        <f>+T258+T259</f>
        <v>0</v>
      </c>
      <c r="U261" s="80">
        <f t="shared" si="911"/>
        <v>0</v>
      </c>
      <c r="V261" s="80">
        <f t="shared" si="911"/>
        <v>0</v>
      </c>
      <c r="W261" s="80">
        <f t="shared" si="911"/>
        <v>0</v>
      </c>
      <c r="X261" s="80">
        <f t="shared" si="911"/>
        <v>0</v>
      </c>
      <c r="Y261" s="80">
        <f t="shared" si="911"/>
        <v>0</v>
      </c>
      <c r="Z261" s="80">
        <f t="shared" ref="Z261:AE261" si="912">+Z258+Z259</f>
        <v>0</v>
      </c>
      <c r="AA261" s="80">
        <f t="shared" si="912"/>
        <v>0</v>
      </c>
      <c r="AB261" s="80">
        <f t="shared" si="912"/>
        <v>0</v>
      </c>
      <c r="AC261" s="80">
        <f t="shared" ref="AC261" si="913">+AC258+AC259</f>
        <v>0</v>
      </c>
      <c r="AD261" s="80">
        <f t="shared" si="912"/>
        <v>0</v>
      </c>
      <c r="AE261" s="80">
        <f t="shared" si="912"/>
        <v>0</v>
      </c>
      <c r="AF261" s="80">
        <f t="shared" ref="AF261:AI261" si="914">+AF258+AF259</f>
        <v>0</v>
      </c>
      <c r="AG261" s="80">
        <f t="shared" si="914"/>
        <v>0</v>
      </c>
      <c r="AH261" s="80">
        <f t="shared" si="914"/>
        <v>0</v>
      </c>
      <c r="AI261" s="80">
        <f t="shared" si="914"/>
        <v>0</v>
      </c>
      <c r="AJ261" s="80">
        <f>+AJ258+AJ259</f>
        <v>0</v>
      </c>
      <c r="AK261" s="80">
        <f>+AK258+AK259</f>
        <v>0</v>
      </c>
      <c r="AL261" s="80">
        <f>+AL258+AL259</f>
        <v>0</v>
      </c>
      <c r="AM261" s="80">
        <f t="shared" ref="AM261:AW261" si="915">+AM258+AM259</f>
        <v>0</v>
      </c>
      <c r="AN261" s="80">
        <f t="shared" si="915"/>
        <v>0</v>
      </c>
      <c r="AO261" s="80">
        <f t="shared" si="915"/>
        <v>0</v>
      </c>
      <c r="AP261" s="80">
        <f>+AP258+AP259</f>
        <v>0</v>
      </c>
      <c r="AQ261" s="80">
        <f t="shared" ref="AQ261:AT261" si="916">+AQ258+AQ259</f>
        <v>0</v>
      </c>
      <c r="AR261" s="80">
        <f t="shared" si="916"/>
        <v>0</v>
      </c>
      <c r="AS261" s="80">
        <f t="shared" si="916"/>
        <v>0</v>
      </c>
      <c r="AT261" s="80">
        <f t="shared" si="916"/>
        <v>0</v>
      </c>
      <c r="AU261" s="80">
        <f>+AU258+AU259</f>
        <v>0</v>
      </c>
      <c r="AV261" s="80">
        <f t="shared" si="915"/>
        <v>0</v>
      </c>
      <c r="AW261" s="80">
        <f t="shared" si="915"/>
        <v>0</v>
      </c>
      <c r="AX261" s="80">
        <f>+AX258+AX259</f>
        <v>0</v>
      </c>
      <c r="AY261" s="80">
        <f>+AY258+AY259</f>
        <v>0</v>
      </c>
      <c r="AZ261" s="80">
        <f t="shared" ref="AZ261:BA261" si="917">+AZ258+AZ259</f>
        <v>0</v>
      </c>
      <c r="BA261" s="80">
        <f t="shared" si="917"/>
        <v>0</v>
      </c>
      <c r="BB261" s="80">
        <f>+BB258+BB259</f>
        <v>0</v>
      </c>
      <c r="BC261" s="80">
        <f>+BC258+BC259</f>
        <v>0</v>
      </c>
      <c r="BD261" s="80">
        <f t="shared" ref="BD261" si="918">+BD258+BD259</f>
        <v>0</v>
      </c>
      <c r="BE261" s="80">
        <f>+BE258+BE259</f>
        <v>0</v>
      </c>
      <c r="BF261" s="80">
        <f>+BF258+BF259</f>
        <v>0</v>
      </c>
      <c r="BG261" s="80">
        <f>+BG258+BG259</f>
        <v>0</v>
      </c>
      <c r="BH261" s="80">
        <f>+BH258+BH259</f>
        <v>0</v>
      </c>
      <c r="BI261" s="80">
        <f t="shared" ref="BI261" si="919">+BI258+BI259</f>
        <v>0</v>
      </c>
      <c r="BJ261" s="80">
        <f t="shared" ref="BJ261:BL261" si="920">+BJ258+BJ259</f>
        <v>0</v>
      </c>
      <c r="BK261" s="80">
        <f t="shared" si="920"/>
        <v>0</v>
      </c>
      <c r="BL261" s="80">
        <f t="shared" si="920"/>
        <v>0</v>
      </c>
      <c r="BM261" s="80">
        <f t="shared" ref="BM261" si="921">+BM258+BM259</f>
        <v>0</v>
      </c>
    </row>
    <row r="262" spans="1:65" ht="14.15" customHeight="1">
      <c r="A262" s="436">
        <f t="shared" si="793"/>
        <v>256</v>
      </c>
      <c r="B262" s="124"/>
      <c r="C262" s="12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</row>
    <row r="263" spans="1:65" ht="14.15" customHeight="1">
      <c r="A263" s="436">
        <f t="shared" si="793"/>
        <v>257</v>
      </c>
      <c r="B263" s="13" t="s">
        <v>172</v>
      </c>
      <c r="C263" s="13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</row>
    <row r="264" spans="1:65" ht="14.15" customHeight="1">
      <c r="A264" s="436">
        <f t="shared" si="793"/>
        <v>258</v>
      </c>
      <c r="B264" s="22" t="s">
        <v>173</v>
      </c>
      <c r="C264" s="38">
        <f>SUM(D264:BM264)</f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</row>
    <row r="265" spans="1:65" ht="14.15" customHeight="1">
      <c r="A265" s="436">
        <f t="shared" si="793"/>
        <v>259</v>
      </c>
      <c r="B265" s="22" t="s">
        <v>174</v>
      </c>
      <c r="C265" s="38">
        <f t="shared" ref="C265:C275" si="922">SUM(D265:BM265)</f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0">
        <v>0</v>
      </c>
    </row>
    <row r="266" spans="1:65" ht="14.15" customHeight="1">
      <c r="A266" s="436">
        <f t="shared" si="793"/>
        <v>260</v>
      </c>
      <c r="B266" s="13" t="s">
        <v>175</v>
      </c>
      <c r="C266" s="3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</row>
    <row r="267" spans="1:65" s="21" customFormat="1" ht="14.15" customHeight="1">
      <c r="A267" s="436">
        <f t="shared" si="793"/>
        <v>261</v>
      </c>
      <c r="B267" s="22" t="s">
        <v>176</v>
      </c>
      <c r="C267" s="38">
        <f t="shared" si="922"/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</row>
    <row r="268" spans="1:65" ht="14.15" customHeight="1">
      <c r="A268" s="436">
        <f t="shared" si="793"/>
        <v>262</v>
      </c>
      <c r="B268" s="22" t="s">
        <v>177</v>
      </c>
      <c r="C268" s="38">
        <f t="shared" si="922"/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</row>
    <row r="269" spans="1:65" ht="14.15" customHeight="1">
      <c r="A269" s="436">
        <f t="shared" si="793"/>
        <v>263</v>
      </c>
      <c r="B269" s="22" t="s">
        <v>178</v>
      </c>
      <c r="C269" s="38">
        <f t="shared" si="922"/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</row>
    <row r="270" spans="1:65" ht="14.15" customHeight="1">
      <c r="A270" s="436">
        <f t="shared" si="793"/>
        <v>264</v>
      </c>
      <c r="B270" s="22" t="s">
        <v>179</v>
      </c>
      <c r="C270" s="38">
        <f t="shared" si="922"/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0</v>
      </c>
    </row>
    <row r="271" spans="1:65" ht="14.15" customHeight="1">
      <c r="A271" s="436">
        <f t="shared" ref="A271:A336" si="923">+A270+1</f>
        <v>265</v>
      </c>
      <c r="B271" s="22" t="s">
        <v>180</v>
      </c>
      <c r="C271" s="38">
        <f t="shared" si="922"/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</row>
    <row r="272" spans="1:65" ht="14.15" customHeight="1">
      <c r="A272" s="436">
        <f t="shared" si="923"/>
        <v>266</v>
      </c>
      <c r="B272" s="22" t="s">
        <v>181</v>
      </c>
      <c r="C272" s="38">
        <f t="shared" si="922"/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0">
        <v>0</v>
      </c>
    </row>
    <row r="273" spans="1:65" ht="14.15" customHeight="1">
      <c r="A273" s="436">
        <f t="shared" si="923"/>
        <v>267</v>
      </c>
      <c r="B273" s="22" t="s">
        <v>182</v>
      </c>
      <c r="C273" s="38">
        <f t="shared" si="922"/>
        <v>4266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4266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</row>
    <row r="274" spans="1:65" ht="14.15" customHeight="1">
      <c r="A274" s="436">
        <f t="shared" si="923"/>
        <v>268</v>
      </c>
      <c r="B274" s="22" t="s">
        <v>183</v>
      </c>
      <c r="C274" s="38">
        <f t="shared" si="922"/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</row>
    <row r="275" spans="1:65" ht="14.15" customHeight="1">
      <c r="A275" s="436">
        <f t="shared" si="923"/>
        <v>269</v>
      </c>
      <c r="B275" s="56" t="s">
        <v>184</v>
      </c>
      <c r="C275" s="38">
        <f t="shared" si="922"/>
        <v>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  <c r="AU275" s="43">
        <v>0</v>
      </c>
      <c r="AV275" s="43">
        <v>0</v>
      </c>
      <c r="AW275" s="43">
        <v>0</v>
      </c>
      <c r="AX275" s="43">
        <v>0</v>
      </c>
      <c r="AY275" s="43">
        <v>0</v>
      </c>
      <c r="AZ275" s="43">
        <v>0</v>
      </c>
      <c r="BA275" s="43">
        <v>0</v>
      </c>
      <c r="BB275" s="43">
        <v>0</v>
      </c>
      <c r="BC275" s="43">
        <v>0</v>
      </c>
      <c r="BD275" s="43">
        <v>0</v>
      </c>
      <c r="BE275" s="43">
        <v>0</v>
      </c>
      <c r="BF275" s="43">
        <v>0</v>
      </c>
      <c r="BG275" s="43">
        <v>0</v>
      </c>
      <c r="BH275" s="43">
        <v>0</v>
      </c>
      <c r="BI275" s="43">
        <v>0</v>
      </c>
      <c r="BJ275" s="43">
        <v>0</v>
      </c>
      <c r="BK275" s="43">
        <v>0</v>
      </c>
      <c r="BL275" s="43">
        <v>0</v>
      </c>
      <c r="BM275" s="43">
        <v>0</v>
      </c>
    </row>
    <row r="276" spans="1:65" s="21" customFormat="1" ht="14.15" customHeight="1">
      <c r="A276" s="436">
        <f t="shared" si="923"/>
        <v>270</v>
      </c>
      <c r="B276" s="20" t="s">
        <v>491</v>
      </c>
      <c r="C276" s="80">
        <f t="shared" ref="C276:L276" si="924">SUM(C267:C275)</f>
        <v>4266</v>
      </c>
      <c r="D276" s="80">
        <f t="shared" si="924"/>
        <v>0</v>
      </c>
      <c r="E276" s="80">
        <f t="shared" si="924"/>
        <v>0</v>
      </c>
      <c r="F276" s="80">
        <f t="shared" si="924"/>
        <v>0</v>
      </c>
      <c r="G276" s="80">
        <f t="shared" si="924"/>
        <v>0</v>
      </c>
      <c r="H276" s="80">
        <f t="shared" si="924"/>
        <v>0</v>
      </c>
      <c r="I276" s="80">
        <f t="shared" si="924"/>
        <v>0</v>
      </c>
      <c r="J276" s="80">
        <f t="shared" si="924"/>
        <v>0</v>
      </c>
      <c r="K276" s="80">
        <f t="shared" ref="K276" si="925">SUM(K267:K275)</f>
        <v>0</v>
      </c>
      <c r="L276" s="80">
        <f t="shared" si="924"/>
        <v>0</v>
      </c>
      <c r="M276" s="80">
        <f t="shared" ref="M276:Y276" si="926">SUM(M267:M275)</f>
        <v>0</v>
      </c>
      <c r="N276" s="80">
        <f t="shared" si="926"/>
        <v>0</v>
      </c>
      <c r="O276" s="80">
        <f t="shared" si="926"/>
        <v>0</v>
      </c>
      <c r="P276" s="80">
        <f t="shared" si="926"/>
        <v>0</v>
      </c>
      <c r="Q276" s="80">
        <f t="shared" si="926"/>
        <v>0</v>
      </c>
      <c r="R276" s="80">
        <f t="shared" si="926"/>
        <v>0</v>
      </c>
      <c r="S276" s="80">
        <f t="shared" si="926"/>
        <v>0</v>
      </c>
      <c r="T276" s="80">
        <f>SUM(T267:T275)</f>
        <v>0</v>
      </c>
      <c r="U276" s="80">
        <f t="shared" si="926"/>
        <v>0</v>
      </c>
      <c r="V276" s="80">
        <f t="shared" si="926"/>
        <v>0</v>
      </c>
      <c r="W276" s="80">
        <f t="shared" si="926"/>
        <v>0</v>
      </c>
      <c r="X276" s="80">
        <f t="shared" si="926"/>
        <v>0</v>
      </c>
      <c r="Y276" s="80">
        <f t="shared" si="926"/>
        <v>0</v>
      </c>
      <c r="Z276" s="80">
        <f t="shared" ref="Z276:AE276" si="927">SUM(Z267:Z275)</f>
        <v>0</v>
      </c>
      <c r="AA276" s="80">
        <f t="shared" si="927"/>
        <v>0</v>
      </c>
      <c r="AB276" s="80">
        <f t="shared" si="927"/>
        <v>0</v>
      </c>
      <c r="AC276" s="80">
        <f t="shared" ref="AC276" si="928">SUM(AC267:AC275)</f>
        <v>0</v>
      </c>
      <c r="AD276" s="80">
        <f t="shared" si="927"/>
        <v>0</v>
      </c>
      <c r="AE276" s="80">
        <f t="shared" si="927"/>
        <v>0</v>
      </c>
      <c r="AF276" s="80">
        <f t="shared" ref="AF276:AI276" si="929">SUM(AF267:AF275)</f>
        <v>0</v>
      </c>
      <c r="AG276" s="80">
        <f t="shared" si="929"/>
        <v>0</v>
      </c>
      <c r="AH276" s="80">
        <f t="shared" si="929"/>
        <v>0</v>
      </c>
      <c r="AI276" s="80">
        <f t="shared" si="929"/>
        <v>0</v>
      </c>
      <c r="AJ276" s="80">
        <f>SUM(AJ267:AJ275)</f>
        <v>0</v>
      </c>
      <c r="AK276" s="80">
        <f>SUM(AK267:AK275)</f>
        <v>0</v>
      </c>
      <c r="AL276" s="80">
        <f>SUM(AL267:AL275)</f>
        <v>0</v>
      </c>
      <c r="AM276" s="80">
        <f t="shared" ref="AM276:AW276" si="930">SUM(AM267:AM275)</f>
        <v>0</v>
      </c>
      <c r="AN276" s="80">
        <f t="shared" si="930"/>
        <v>0</v>
      </c>
      <c r="AO276" s="80">
        <f t="shared" si="930"/>
        <v>0</v>
      </c>
      <c r="AP276" s="80">
        <f>SUM(AP267:AP275)</f>
        <v>4266</v>
      </c>
      <c r="AQ276" s="80">
        <f t="shared" ref="AQ276:AT276" si="931">SUM(AQ267:AQ275)</f>
        <v>0</v>
      </c>
      <c r="AR276" s="80">
        <f t="shared" si="931"/>
        <v>0</v>
      </c>
      <c r="AS276" s="80">
        <f t="shared" si="931"/>
        <v>0</v>
      </c>
      <c r="AT276" s="80">
        <f t="shared" si="931"/>
        <v>0</v>
      </c>
      <c r="AU276" s="80">
        <f>SUM(AU267:AU275)</f>
        <v>0</v>
      </c>
      <c r="AV276" s="80">
        <f t="shared" si="930"/>
        <v>0</v>
      </c>
      <c r="AW276" s="80">
        <f t="shared" si="930"/>
        <v>0</v>
      </c>
      <c r="AX276" s="80">
        <f>SUM(AX267:AX275)</f>
        <v>0</v>
      </c>
      <c r="AY276" s="80">
        <f>SUM(AY267:AY275)</f>
        <v>0</v>
      </c>
      <c r="AZ276" s="80">
        <f t="shared" ref="AZ276:BA276" si="932">SUM(AZ267:AZ275)</f>
        <v>0</v>
      </c>
      <c r="BA276" s="80">
        <f t="shared" si="932"/>
        <v>0</v>
      </c>
      <c r="BB276" s="80">
        <f>SUM(BB267:BB275)</f>
        <v>0</v>
      </c>
      <c r="BC276" s="80">
        <f>SUM(BC267:BC275)</f>
        <v>0</v>
      </c>
      <c r="BD276" s="80">
        <f t="shared" ref="BD276" si="933">SUM(BD267:BD275)</f>
        <v>0</v>
      </c>
      <c r="BE276" s="80">
        <f>SUM(BE267:BE275)</f>
        <v>0</v>
      </c>
      <c r="BF276" s="80">
        <f>SUM(BF267:BF275)</f>
        <v>0</v>
      </c>
      <c r="BG276" s="80">
        <f>SUM(BG267:BG275)</f>
        <v>0</v>
      </c>
      <c r="BH276" s="80">
        <f>SUM(BH267:BH275)</f>
        <v>0</v>
      </c>
      <c r="BI276" s="80">
        <f t="shared" ref="BI276" si="934">SUM(BI267:BI275)</f>
        <v>0</v>
      </c>
      <c r="BJ276" s="80">
        <f t="shared" ref="BJ276:BL276" si="935">SUM(BJ267:BJ275)</f>
        <v>0</v>
      </c>
      <c r="BK276" s="80">
        <f t="shared" si="935"/>
        <v>0</v>
      </c>
      <c r="BL276" s="80">
        <f t="shared" si="935"/>
        <v>0</v>
      </c>
      <c r="BM276" s="80">
        <f t="shared" ref="BM276" si="936">SUM(BM267:BM275)</f>
        <v>0</v>
      </c>
    </row>
    <row r="277" spans="1:65" s="21" customFormat="1" ht="14.15" customHeight="1">
      <c r="A277" s="436">
        <f t="shared" si="923"/>
        <v>271</v>
      </c>
      <c r="B277" s="124"/>
      <c r="C277" s="12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</row>
    <row r="278" spans="1:65" s="21" customFormat="1" ht="14.15" customHeight="1">
      <c r="A278" s="436">
        <f t="shared" si="923"/>
        <v>272</v>
      </c>
      <c r="B278" s="13" t="s">
        <v>185</v>
      </c>
      <c r="C278" s="13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1:65" s="21" customFormat="1" ht="14.15" customHeight="1">
      <c r="A279" s="436">
        <f t="shared" si="923"/>
        <v>273</v>
      </c>
      <c r="B279" s="22" t="s">
        <v>186</v>
      </c>
      <c r="C279" s="38">
        <f>SUM(D279:BM279)</f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</row>
    <row r="280" spans="1:65" ht="14.15" customHeight="1">
      <c r="A280" s="436">
        <f t="shared" si="923"/>
        <v>274</v>
      </c>
      <c r="B280" s="22" t="s">
        <v>809</v>
      </c>
      <c r="C280" s="38">
        <f t="shared" ref="C280:C287" si="937">SUM(D280:BM280)</f>
        <v>-307780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-307780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</row>
    <row r="281" spans="1:65" ht="14.15" customHeight="1">
      <c r="A281" s="436">
        <f t="shared" si="923"/>
        <v>275</v>
      </c>
      <c r="B281" s="22" t="s">
        <v>806</v>
      </c>
      <c r="C281" s="38">
        <f t="shared" si="937"/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</row>
    <row r="282" spans="1:65" ht="14.15" customHeight="1">
      <c r="A282" s="436">
        <f t="shared" si="923"/>
        <v>276</v>
      </c>
      <c r="B282" s="22" t="s">
        <v>802</v>
      </c>
      <c r="C282" s="38">
        <f t="shared" si="937"/>
        <v>-6321080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f>-6321080</f>
        <v>-6321080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0">
        <v>0</v>
      </c>
    </row>
    <row r="283" spans="1:65" ht="14.15" customHeight="1">
      <c r="A283" s="436">
        <f t="shared" si="923"/>
        <v>277</v>
      </c>
      <c r="B283" s="22" t="s">
        <v>803</v>
      </c>
      <c r="C283" s="38">
        <f t="shared" si="937"/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0">
        <v>0</v>
      </c>
    </row>
    <row r="284" spans="1:65" ht="14.15" customHeight="1">
      <c r="A284" s="436">
        <f t="shared" si="923"/>
        <v>278</v>
      </c>
      <c r="B284" s="22" t="s">
        <v>807</v>
      </c>
      <c r="C284" s="38">
        <f t="shared" si="937"/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</row>
    <row r="285" spans="1:65" ht="14.15" customHeight="1">
      <c r="A285" s="436">
        <f t="shared" si="923"/>
        <v>279</v>
      </c>
      <c r="B285" s="22" t="s">
        <v>804</v>
      </c>
      <c r="C285" s="38">
        <f t="shared" si="937"/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</row>
    <row r="286" spans="1:65" ht="14.15" customHeight="1">
      <c r="A286" s="436">
        <f t="shared" si="923"/>
        <v>280</v>
      </c>
      <c r="B286" s="22" t="s">
        <v>805</v>
      </c>
      <c r="C286" s="38">
        <f t="shared" si="937"/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0">
        <v>0</v>
      </c>
    </row>
    <row r="287" spans="1:65" ht="14.15" customHeight="1">
      <c r="A287" s="436">
        <f t="shared" si="923"/>
        <v>281</v>
      </c>
      <c r="B287" s="56" t="s">
        <v>808</v>
      </c>
      <c r="C287" s="38">
        <f t="shared" si="937"/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0">
        <v>0</v>
      </c>
    </row>
    <row r="288" spans="1:65" ht="14.15" customHeight="1">
      <c r="A288" s="436">
        <f t="shared" si="923"/>
        <v>282</v>
      </c>
      <c r="B288" s="20" t="s">
        <v>492</v>
      </c>
      <c r="C288" s="80">
        <f t="shared" ref="C288:L288" si="938">SUM(C279:C287)</f>
        <v>-6628860</v>
      </c>
      <c r="D288" s="80">
        <f t="shared" si="938"/>
        <v>0</v>
      </c>
      <c r="E288" s="80">
        <f t="shared" si="938"/>
        <v>0</v>
      </c>
      <c r="F288" s="80">
        <f t="shared" si="938"/>
        <v>0</v>
      </c>
      <c r="G288" s="80">
        <f t="shared" si="938"/>
        <v>0</v>
      </c>
      <c r="H288" s="80">
        <f t="shared" si="938"/>
        <v>0</v>
      </c>
      <c r="I288" s="80">
        <f t="shared" si="938"/>
        <v>0</v>
      </c>
      <c r="J288" s="80">
        <f t="shared" si="938"/>
        <v>0</v>
      </c>
      <c r="K288" s="80">
        <f t="shared" ref="K288" si="939">SUM(K279:K287)</f>
        <v>0</v>
      </c>
      <c r="L288" s="80">
        <f t="shared" si="938"/>
        <v>0</v>
      </c>
      <c r="M288" s="80">
        <f t="shared" ref="M288:Y288" si="940">SUM(M279:M287)</f>
        <v>-307780</v>
      </c>
      <c r="N288" s="80">
        <f t="shared" si="940"/>
        <v>0</v>
      </c>
      <c r="O288" s="80">
        <f t="shared" si="940"/>
        <v>0</v>
      </c>
      <c r="P288" s="80">
        <f t="shared" si="940"/>
        <v>0</v>
      </c>
      <c r="Q288" s="80">
        <f t="shared" si="940"/>
        <v>0</v>
      </c>
      <c r="R288" s="80">
        <f t="shared" si="940"/>
        <v>0</v>
      </c>
      <c r="S288" s="80">
        <f t="shared" si="940"/>
        <v>0</v>
      </c>
      <c r="T288" s="80">
        <f>SUM(T279:T287)</f>
        <v>0</v>
      </c>
      <c r="U288" s="80">
        <f t="shared" si="940"/>
        <v>0</v>
      </c>
      <c r="V288" s="80">
        <f t="shared" si="940"/>
        <v>0</v>
      </c>
      <c r="W288" s="80">
        <f t="shared" si="940"/>
        <v>0</v>
      </c>
      <c r="X288" s="80">
        <f t="shared" si="940"/>
        <v>0</v>
      </c>
      <c r="Y288" s="80">
        <f t="shared" si="940"/>
        <v>0</v>
      </c>
      <c r="Z288" s="80">
        <f t="shared" ref="Z288:AE288" si="941">SUM(Z279:Z287)</f>
        <v>-6321080</v>
      </c>
      <c r="AA288" s="80">
        <f t="shared" si="941"/>
        <v>0</v>
      </c>
      <c r="AB288" s="80">
        <f t="shared" si="941"/>
        <v>0</v>
      </c>
      <c r="AC288" s="80">
        <f t="shared" ref="AC288" si="942">SUM(AC279:AC287)</f>
        <v>0</v>
      </c>
      <c r="AD288" s="80">
        <f t="shared" si="941"/>
        <v>0</v>
      </c>
      <c r="AE288" s="80">
        <f t="shared" si="941"/>
        <v>0</v>
      </c>
      <c r="AF288" s="80">
        <f t="shared" ref="AF288:AI288" si="943">SUM(AF279:AF287)</f>
        <v>0</v>
      </c>
      <c r="AG288" s="80">
        <f t="shared" si="943"/>
        <v>0</v>
      </c>
      <c r="AH288" s="80">
        <f t="shared" si="943"/>
        <v>0</v>
      </c>
      <c r="AI288" s="80">
        <f t="shared" si="943"/>
        <v>0</v>
      </c>
      <c r="AJ288" s="80">
        <f>SUM(AJ279:AJ287)</f>
        <v>0</v>
      </c>
      <c r="AK288" s="80">
        <f>SUM(AK279:AK287)</f>
        <v>0</v>
      </c>
      <c r="AL288" s="80">
        <f>SUM(AL279:AL287)</f>
        <v>0</v>
      </c>
      <c r="AM288" s="80">
        <f t="shared" ref="AM288:AW288" si="944">SUM(AM279:AM287)</f>
        <v>0</v>
      </c>
      <c r="AN288" s="80">
        <f t="shared" si="944"/>
        <v>0</v>
      </c>
      <c r="AO288" s="80">
        <f t="shared" si="944"/>
        <v>0</v>
      </c>
      <c r="AP288" s="80">
        <f>SUM(AP279:AP287)</f>
        <v>0</v>
      </c>
      <c r="AQ288" s="80">
        <f t="shared" ref="AQ288:AT288" si="945">SUM(AQ279:AQ287)</f>
        <v>0</v>
      </c>
      <c r="AR288" s="80">
        <f t="shared" si="945"/>
        <v>0</v>
      </c>
      <c r="AS288" s="80">
        <f t="shared" si="945"/>
        <v>0</v>
      </c>
      <c r="AT288" s="80">
        <f t="shared" si="945"/>
        <v>0</v>
      </c>
      <c r="AU288" s="80">
        <f>SUM(AU279:AU287)</f>
        <v>0</v>
      </c>
      <c r="AV288" s="80">
        <f t="shared" si="944"/>
        <v>0</v>
      </c>
      <c r="AW288" s="80">
        <f t="shared" si="944"/>
        <v>0</v>
      </c>
      <c r="AX288" s="80">
        <f>SUM(AX279:AX287)</f>
        <v>0</v>
      </c>
      <c r="AY288" s="80">
        <f>SUM(AY279:AY287)</f>
        <v>0</v>
      </c>
      <c r="AZ288" s="80">
        <f t="shared" ref="AZ288:BA288" si="946">SUM(AZ279:AZ287)</f>
        <v>0</v>
      </c>
      <c r="BA288" s="80">
        <f t="shared" si="946"/>
        <v>0</v>
      </c>
      <c r="BB288" s="80">
        <f>SUM(BB279:BB287)</f>
        <v>0</v>
      </c>
      <c r="BC288" s="80">
        <f>SUM(BC279:BC287)</f>
        <v>0</v>
      </c>
      <c r="BD288" s="80">
        <f t="shared" ref="BD288" si="947">SUM(BD279:BD287)</f>
        <v>0</v>
      </c>
      <c r="BE288" s="80">
        <f>SUM(BE279:BE287)</f>
        <v>0</v>
      </c>
      <c r="BF288" s="80">
        <f>SUM(BF279:BF287)</f>
        <v>0</v>
      </c>
      <c r="BG288" s="80">
        <f>SUM(BG279:BG287)</f>
        <v>0</v>
      </c>
      <c r="BH288" s="80">
        <f>SUM(BH279:BH287)</f>
        <v>0</v>
      </c>
      <c r="BI288" s="80">
        <f t="shared" ref="BI288" si="948">SUM(BI279:BI287)</f>
        <v>0</v>
      </c>
      <c r="BJ288" s="80">
        <f t="shared" ref="BJ288:BL288" si="949">SUM(BJ279:BJ287)</f>
        <v>0</v>
      </c>
      <c r="BK288" s="80">
        <f t="shared" si="949"/>
        <v>0</v>
      </c>
      <c r="BL288" s="80">
        <f t="shared" si="949"/>
        <v>0</v>
      </c>
      <c r="BM288" s="80">
        <f t="shared" ref="BM288" si="950">SUM(BM279:BM287)</f>
        <v>0</v>
      </c>
    </row>
    <row r="289" spans="1:65" ht="14.15" customHeight="1">
      <c r="A289" s="436">
        <f t="shared" si="923"/>
        <v>283</v>
      </c>
      <c r="B289" s="57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</row>
    <row r="290" spans="1:65" ht="14.15" customHeight="1">
      <c r="A290" s="436">
        <f t="shared" si="923"/>
        <v>284</v>
      </c>
      <c r="B290" s="20" t="s">
        <v>493</v>
      </c>
      <c r="C290" s="16">
        <f t="shared" ref="C290:N290" si="951">SUM(C264:C265,C276,C288)</f>
        <v>-6624594</v>
      </c>
      <c r="D290" s="16">
        <f t="shared" si="951"/>
        <v>0</v>
      </c>
      <c r="E290" s="16">
        <f t="shared" si="951"/>
        <v>0</v>
      </c>
      <c r="F290" s="16">
        <f t="shared" si="951"/>
        <v>0</v>
      </c>
      <c r="G290" s="16">
        <f t="shared" si="951"/>
        <v>0</v>
      </c>
      <c r="H290" s="16">
        <f t="shared" si="951"/>
        <v>0</v>
      </c>
      <c r="I290" s="16">
        <f t="shared" si="951"/>
        <v>0</v>
      </c>
      <c r="J290" s="16">
        <f t="shared" si="951"/>
        <v>0</v>
      </c>
      <c r="K290" s="16">
        <f t="shared" ref="K290" si="952">SUM(K264:K265,K276,K288)</f>
        <v>0</v>
      </c>
      <c r="L290" s="16">
        <f t="shared" si="951"/>
        <v>0</v>
      </c>
      <c r="M290" s="16">
        <f t="shared" si="951"/>
        <v>-307780</v>
      </c>
      <c r="N290" s="16">
        <f t="shared" si="951"/>
        <v>0</v>
      </c>
      <c r="O290" s="16">
        <f t="shared" ref="O290:Y290" si="953">SUM(O264:O265,O276,O288)</f>
        <v>0</v>
      </c>
      <c r="P290" s="16">
        <f t="shared" si="953"/>
        <v>0</v>
      </c>
      <c r="Q290" s="16">
        <f t="shared" si="953"/>
        <v>0</v>
      </c>
      <c r="R290" s="16">
        <f t="shared" si="953"/>
        <v>0</v>
      </c>
      <c r="S290" s="16">
        <f t="shared" si="953"/>
        <v>0</v>
      </c>
      <c r="T290" s="16">
        <f>SUM(T264:T265,T276,T288)</f>
        <v>0</v>
      </c>
      <c r="U290" s="16">
        <f t="shared" si="953"/>
        <v>0</v>
      </c>
      <c r="V290" s="16">
        <f t="shared" si="953"/>
        <v>0</v>
      </c>
      <c r="W290" s="16">
        <f t="shared" si="953"/>
        <v>0</v>
      </c>
      <c r="X290" s="16">
        <f t="shared" si="953"/>
        <v>0</v>
      </c>
      <c r="Y290" s="16">
        <f t="shared" si="953"/>
        <v>0</v>
      </c>
      <c r="Z290" s="16">
        <f t="shared" ref="Z290:AE290" si="954">SUM(Z264:Z265,Z276,Z288)</f>
        <v>-6321080</v>
      </c>
      <c r="AA290" s="16">
        <f t="shared" si="954"/>
        <v>0</v>
      </c>
      <c r="AB290" s="16">
        <f t="shared" si="954"/>
        <v>0</v>
      </c>
      <c r="AC290" s="16">
        <f t="shared" ref="AC290" si="955">SUM(AC264:AC265,AC276,AC288)</f>
        <v>0</v>
      </c>
      <c r="AD290" s="16">
        <f t="shared" si="954"/>
        <v>0</v>
      </c>
      <c r="AE290" s="16">
        <f t="shared" si="954"/>
        <v>0</v>
      </c>
      <c r="AF290" s="16">
        <f t="shared" ref="AF290:AI290" si="956">SUM(AF264:AF265,AF276,AF288)</f>
        <v>0</v>
      </c>
      <c r="AG290" s="16">
        <f t="shared" si="956"/>
        <v>0</v>
      </c>
      <c r="AH290" s="16">
        <f t="shared" si="956"/>
        <v>0</v>
      </c>
      <c r="AI290" s="16">
        <f t="shared" si="956"/>
        <v>0</v>
      </c>
      <c r="AJ290" s="16">
        <f>SUM(AJ264:AJ265,AJ276,AJ288)</f>
        <v>0</v>
      </c>
      <c r="AK290" s="16">
        <f>SUM(AK264:AK265,AK276,AK288)</f>
        <v>0</v>
      </c>
      <c r="AL290" s="16">
        <f>SUM(AL264:AL265,AL276,AL288)</f>
        <v>0</v>
      </c>
      <c r="AM290" s="16">
        <f t="shared" ref="AM290:AW290" si="957">SUM(AM264:AM265,AM276,AM288)</f>
        <v>0</v>
      </c>
      <c r="AN290" s="16">
        <f t="shared" si="957"/>
        <v>0</v>
      </c>
      <c r="AO290" s="16">
        <f t="shared" si="957"/>
        <v>0</v>
      </c>
      <c r="AP290" s="16">
        <f>SUM(AP264:AP265,AP276,AP288)</f>
        <v>4266</v>
      </c>
      <c r="AQ290" s="16">
        <f t="shared" ref="AQ290:AT290" si="958">SUM(AQ264:AQ265,AQ276,AQ288)</f>
        <v>0</v>
      </c>
      <c r="AR290" s="16">
        <f t="shared" si="958"/>
        <v>0</v>
      </c>
      <c r="AS290" s="16">
        <f t="shared" si="958"/>
        <v>0</v>
      </c>
      <c r="AT290" s="16">
        <f t="shared" si="958"/>
        <v>0</v>
      </c>
      <c r="AU290" s="16">
        <f>SUM(AU264:AU265,AU276,AU288)</f>
        <v>0</v>
      </c>
      <c r="AV290" s="16">
        <f t="shared" si="957"/>
        <v>0</v>
      </c>
      <c r="AW290" s="16">
        <f t="shared" si="957"/>
        <v>0</v>
      </c>
      <c r="AX290" s="16">
        <f>SUM(AX264:AX265,AX276,AX288)</f>
        <v>0</v>
      </c>
      <c r="AY290" s="16">
        <f>SUM(AY264:AY265,AY276,AY288)</f>
        <v>0</v>
      </c>
      <c r="AZ290" s="16">
        <f t="shared" ref="AZ290:BA290" si="959">SUM(AZ264:AZ265,AZ276,AZ288)</f>
        <v>0</v>
      </c>
      <c r="BA290" s="16">
        <f t="shared" si="959"/>
        <v>0</v>
      </c>
      <c r="BB290" s="16">
        <f>SUM(BB264:BB265,BB276,BB288)</f>
        <v>0</v>
      </c>
      <c r="BC290" s="16">
        <f>SUM(BC264:BC265,BC276,BC288)</f>
        <v>0</v>
      </c>
      <c r="BD290" s="16">
        <f t="shared" ref="BD290" si="960">SUM(BD264:BD265,BD276,BD288)</f>
        <v>0</v>
      </c>
      <c r="BE290" s="16">
        <f>SUM(BE264:BE265,BE276,BE288)</f>
        <v>0</v>
      </c>
      <c r="BF290" s="16">
        <f>SUM(BF264:BF265,BF276,BF288)</f>
        <v>0</v>
      </c>
      <c r="BG290" s="16">
        <f>SUM(BG264:BG265,BG276,BG288)</f>
        <v>0</v>
      </c>
      <c r="BH290" s="16">
        <f>SUM(BH264:BH265,BH276,BH288)</f>
        <v>0</v>
      </c>
      <c r="BI290" s="16">
        <f t="shared" ref="BI290" si="961">SUM(BI264:BI265,BI276,BI288)</f>
        <v>0</v>
      </c>
      <c r="BJ290" s="16">
        <f t="shared" ref="BJ290:BL290" si="962">SUM(BJ264:BJ265,BJ276,BJ288)</f>
        <v>0</v>
      </c>
      <c r="BK290" s="16">
        <f t="shared" si="962"/>
        <v>0</v>
      </c>
      <c r="BL290" s="16">
        <f t="shared" si="962"/>
        <v>0</v>
      </c>
      <c r="BM290" s="16">
        <f t="shared" ref="BM290" si="963">SUM(BM264:BM265,BM276,BM288)</f>
        <v>0</v>
      </c>
    </row>
    <row r="291" spans="1:65" ht="14.15" customHeight="1">
      <c r="A291" s="436">
        <f t="shared" si="923"/>
        <v>285</v>
      </c>
      <c r="B291" s="57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</row>
    <row r="292" spans="1:65" ht="14.15" customHeight="1">
      <c r="A292" s="436">
        <f t="shared" si="923"/>
        <v>286</v>
      </c>
      <c r="B292" s="20" t="s">
        <v>494</v>
      </c>
      <c r="C292" s="16">
        <f t="shared" ref="C292:L292" si="964">+C253+C254+C255+C261+C290</f>
        <v>-204529616.01999998</v>
      </c>
      <c r="D292" s="16">
        <f t="shared" si="964"/>
        <v>-4242329</v>
      </c>
      <c r="E292" s="16">
        <f t="shared" si="964"/>
        <v>-28713724</v>
      </c>
      <c r="F292" s="16">
        <f t="shared" si="964"/>
        <v>0</v>
      </c>
      <c r="G292" s="16">
        <f t="shared" si="964"/>
        <v>0</v>
      </c>
      <c r="H292" s="16">
        <f t="shared" si="964"/>
        <v>-46964573</v>
      </c>
      <c r="I292" s="16">
        <f t="shared" si="964"/>
        <v>-142562415</v>
      </c>
      <c r="J292" s="16">
        <f t="shared" si="964"/>
        <v>3497570.8</v>
      </c>
      <c r="K292" s="16">
        <f t="shared" ref="K292" si="965">+K253+K254+K255+K261+K290</f>
        <v>-9021444</v>
      </c>
      <c r="L292" s="16">
        <f t="shared" si="964"/>
        <v>-21021955</v>
      </c>
      <c r="M292" s="16">
        <f t="shared" ref="M292:Y292" si="966">+M253+M254+M255+M261+M290</f>
        <v>-307780</v>
      </c>
      <c r="N292" s="16">
        <f t="shared" si="966"/>
        <v>-476213</v>
      </c>
      <c r="O292" s="16">
        <f t="shared" si="966"/>
        <v>-372763</v>
      </c>
      <c r="P292" s="16">
        <f t="shared" si="966"/>
        <v>1882916</v>
      </c>
      <c r="Q292" s="16">
        <f t="shared" si="966"/>
        <v>12333767</v>
      </c>
      <c r="R292" s="16">
        <f t="shared" si="966"/>
        <v>0</v>
      </c>
      <c r="S292" s="50">
        <f t="shared" si="966"/>
        <v>0</v>
      </c>
      <c r="T292" s="16">
        <f>+T253+T254+T255+T261+T290</f>
        <v>0</v>
      </c>
      <c r="U292" s="50">
        <f t="shared" si="966"/>
        <v>0</v>
      </c>
      <c r="V292" s="50">
        <f t="shared" si="966"/>
        <v>0</v>
      </c>
      <c r="W292" s="50">
        <f t="shared" si="966"/>
        <v>0</v>
      </c>
      <c r="X292" s="16">
        <f t="shared" si="966"/>
        <v>0</v>
      </c>
      <c r="Y292" s="16">
        <f t="shared" si="966"/>
        <v>0</v>
      </c>
      <c r="Z292" s="16">
        <f t="shared" ref="Z292:AE292" si="967">+Z253+Z254+Z255+Z261+Z290</f>
        <v>-6321080</v>
      </c>
      <c r="AA292" s="16">
        <f t="shared" si="967"/>
        <v>0</v>
      </c>
      <c r="AB292" s="16">
        <f t="shared" si="967"/>
        <v>0</v>
      </c>
      <c r="AC292" s="16">
        <f t="shared" ref="AC292" si="968">+AC253+AC254+AC255+AC261+AC290</f>
        <v>0</v>
      </c>
      <c r="AD292" s="16">
        <f t="shared" si="967"/>
        <v>0</v>
      </c>
      <c r="AE292" s="16">
        <f t="shared" si="967"/>
        <v>0</v>
      </c>
      <c r="AF292" s="16">
        <f t="shared" ref="AF292:AI292" si="969">+AF253+AF254+AF255+AF261+AF290</f>
        <v>0</v>
      </c>
      <c r="AG292" s="16">
        <f t="shared" si="969"/>
        <v>0</v>
      </c>
      <c r="AH292" s="16">
        <f t="shared" si="969"/>
        <v>0</v>
      </c>
      <c r="AI292" s="16">
        <f t="shared" si="969"/>
        <v>0</v>
      </c>
      <c r="AJ292" s="16">
        <f>+AJ253+AJ254+AJ255+AJ261+AJ290</f>
        <v>0</v>
      </c>
      <c r="AK292" s="16">
        <f>+AK253+AK254+AK255+AK261+AK290</f>
        <v>0</v>
      </c>
      <c r="AL292" s="16">
        <f>+AL253+AL254+AL255+AL261+AL290</f>
        <v>0</v>
      </c>
      <c r="AM292" s="16">
        <f t="shared" ref="AM292:AW292" si="970">+AM253+AM254+AM255+AM261+AM290</f>
        <v>-364641</v>
      </c>
      <c r="AN292" s="16">
        <f t="shared" si="970"/>
        <v>-732523</v>
      </c>
      <c r="AO292" s="16">
        <f t="shared" si="970"/>
        <v>0</v>
      </c>
      <c r="AP292" s="16">
        <f>+AP253+AP254+AP255+AP261+AP290</f>
        <v>4266</v>
      </c>
      <c r="AQ292" s="16">
        <f t="shared" ref="AQ292:AT292" si="971">+AQ253+AQ254+AQ255+AQ261+AQ290</f>
        <v>0</v>
      </c>
      <c r="AR292" s="16">
        <f t="shared" si="971"/>
        <v>0</v>
      </c>
      <c r="AS292" s="16">
        <f t="shared" si="971"/>
        <v>0</v>
      </c>
      <c r="AT292" s="16">
        <f t="shared" si="971"/>
        <v>0</v>
      </c>
      <c r="AU292" s="16">
        <f>+AU253+AU254+AU255+AU261+AU290</f>
        <v>0</v>
      </c>
      <c r="AV292" s="16">
        <f t="shared" si="970"/>
        <v>0</v>
      </c>
      <c r="AW292" s="16">
        <f t="shared" si="970"/>
        <v>0</v>
      </c>
      <c r="AX292" s="16">
        <f>+AX253+AX254+AX255+AX261+AX290</f>
        <v>38853304.18</v>
      </c>
      <c r="AY292" s="16">
        <f>+AY253+AY254+AY255+AY261+AY290</f>
        <v>0</v>
      </c>
      <c r="AZ292" s="16">
        <f t="shared" ref="AZ292:BA292" si="972">+AZ253+AZ254+AZ255+AZ261+AZ290</f>
        <v>0</v>
      </c>
      <c r="BA292" s="16">
        <f t="shared" si="972"/>
        <v>0</v>
      </c>
      <c r="BB292" s="16">
        <f>+BB253+BB254+BB255+BB261+BB290</f>
        <v>0</v>
      </c>
      <c r="BC292" s="16">
        <f>+BC253+BC254+BC255+BC261+BC290</f>
        <v>0</v>
      </c>
      <c r="BD292" s="16">
        <f t="shared" ref="BD292" si="973">+BD253+BD254+BD255+BD261+BD290</f>
        <v>0</v>
      </c>
      <c r="BE292" s="16">
        <f>+BE253+BE254+BE255+BE261+BE290</f>
        <v>0</v>
      </c>
      <c r="BF292" s="16">
        <f>+BF253+BF254+BF255+BF261+BF290</f>
        <v>0</v>
      </c>
      <c r="BG292" s="16">
        <f>+BG253+BG254+BG255+BG261+BG290</f>
        <v>0</v>
      </c>
      <c r="BH292" s="16">
        <f>+BH253+BH254+BH255+BH261+BH290</f>
        <v>0</v>
      </c>
      <c r="BI292" s="16">
        <f t="shared" ref="BI292" si="974">+BI253+BI254+BI255+BI261+BI290</f>
        <v>0</v>
      </c>
      <c r="BJ292" s="16">
        <f t="shared" ref="BJ292:BL292" si="975">+BJ253+BJ254+BJ255+BJ261+BJ290</f>
        <v>0</v>
      </c>
      <c r="BK292" s="16">
        <f t="shared" si="975"/>
        <v>0</v>
      </c>
      <c r="BL292" s="16">
        <f t="shared" si="975"/>
        <v>0</v>
      </c>
      <c r="BM292" s="16">
        <f t="shared" ref="BM292" si="976">+BM253+BM254+BM255+BM261+BM290</f>
        <v>0</v>
      </c>
    </row>
    <row r="293" spans="1:65" ht="14.15" customHeight="1">
      <c r="A293" s="436">
        <f t="shared" si="923"/>
        <v>287</v>
      </c>
      <c r="B293" s="22"/>
      <c r="C293" s="22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</row>
    <row r="294" spans="1:65" ht="14.15" customHeight="1">
      <c r="A294" s="436">
        <f t="shared" si="923"/>
        <v>288</v>
      </c>
      <c r="B294" s="42" t="s">
        <v>187</v>
      </c>
      <c r="C294" s="42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</row>
    <row r="295" spans="1:65" ht="14.15" customHeight="1">
      <c r="A295" s="436">
        <f t="shared" si="923"/>
        <v>289</v>
      </c>
      <c r="B295" s="13" t="s">
        <v>188</v>
      </c>
      <c r="C295" s="13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1:65" ht="14.15" customHeight="1">
      <c r="A296" s="436">
        <f t="shared" si="923"/>
        <v>290</v>
      </c>
      <c r="B296" s="22" t="s">
        <v>189</v>
      </c>
      <c r="C296" s="38">
        <f>SUM(D296:BM296)</f>
        <v>-4372.9710369596723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-3436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62379.973215040322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-63316.944251999994</v>
      </c>
      <c r="BL296" s="10">
        <v>0</v>
      </c>
      <c r="BM296" s="10">
        <v>0</v>
      </c>
    </row>
    <row r="297" spans="1:65" ht="14.15" customHeight="1">
      <c r="A297" s="436">
        <f t="shared" si="923"/>
        <v>291</v>
      </c>
      <c r="B297" s="22" t="s">
        <v>383</v>
      </c>
      <c r="C297" s="38">
        <f t="shared" ref="C297:C308" si="977">SUM(D297:BM297)</f>
        <v>-48798449.643159322</v>
      </c>
      <c r="D297" s="10">
        <v>0</v>
      </c>
      <c r="E297" s="10">
        <v>-332</v>
      </c>
      <c r="F297" s="10">
        <v>0</v>
      </c>
      <c r="G297" s="10">
        <v>0</v>
      </c>
      <c r="H297" s="10">
        <v>0</v>
      </c>
      <c r="I297" s="10">
        <v>-35727718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-1651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85176.670122675001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f>-14720086+1651936</f>
        <v>-13068150</v>
      </c>
      <c r="BD297" s="10"/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-85775.313282000003</v>
      </c>
      <c r="BL297" s="10">
        <v>0</v>
      </c>
      <c r="BM297" s="10">
        <v>0</v>
      </c>
    </row>
    <row r="298" spans="1:65" ht="14.15" customHeight="1">
      <c r="A298" s="436">
        <f t="shared" si="923"/>
        <v>292</v>
      </c>
      <c r="B298" s="22" t="s">
        <v>867</v>
      </c>
      <c r="C298" s="38">
        <f t="shared" si="977"/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</row>
    <row r="299" spans="1:65" ht="14.15" customHeight="1">
      <c r="A299" s="436">
        <f t="shared" si="923"/>
        <v>293</v>
      </c>
      <c r="B299" s="22" t="s">
        <v>384</v>
      </c>
      <c r="C299" s="38">
        <f t="shared" si="977"/>
        <v>69355</v>
      </c>
      <c r="D299" s="10">
        <v>0</v>
      </c>
      <c r="E299" s="10">
        <v>0</v>
      </c>
      <c r="F299" s="10">
        <v>69355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</row>
    <row r="300" spans="1:65" s="21" customFormat="1" ht="14.15" customHeight="1">
      <c r="A300" s="436">
        <f t="shared" si="923"/>
        <v>294</v>
      </c>
      <c r="B300" s="22" t="s">
        <v>320</v>
      </c>
      <c r="C300" s="38">
        <f t="shared" si="977"/>
        <v>-10086012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f>-10086012</f>
        <v>-10086012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0">
        <v>0</v>
      </c>
    </row>
    <row r="301" spans="1:65" ht="14.15" customHeight="1">
      <c r="A301" s="436">
        <f t="shared" si="923"/>
        <v>295</v>
      </c>
      <c r="B301" s="22" t="s">
        <v>688</v>
      </c>
      <c r="C301" s="38">
        <f t="shared" si="977"/>
        <v>-1934528.95</v>
      </c>
      <c r="D301" s="10">
        <v>0</v>
      </c>
      <c r="E301" s="10">
        <v>0</v>
      </c>
      <c r="F301" s="10">
        <v>-1925230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-718.95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48530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-57110</v>
      </c>
      <c r="BL301" s="10">
        <v>0</v>
      </c>
      <c r="BM301" s="10">
        <v>0</v>
      </c>
    </row>
    <row r="302" spans="1:65" ht="14.15" customHeight="1">
      <c r="A302" s="436">
        <f t="shared" si="923"/>
        <v>296</v>
      </c>
      <c r="B302" s="22" t="s">
        <v>190</v>
      </c>
      <c r="C302" s="38">
        <f t="shared" si="977"/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0">
        <v>0</v>
      </c>
    </row>
    <row r="303" spans="1:65" ht="14.15" customHeight="1">
      <c r="A303" s="436">
        <f t="shared" si="923"/>
        <v>297</v>
      </c>
      <c r="B303" s="22" t="s">
        <v>191</v>
      </c>
      <c r="C303" s="38">
        <f t="shared" si="977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</row>
    <row r="304" spans="1:65" ht="14.15" customHeight="1">
      <c r="A304" s="436">
        <f t="shared" si="923"/>
        <v>298</v>
      </c>
      <c r="B304" s="22" t="s">
        <v>192</v>
      </c>
      <c r="C304" s="38">
        <f t="shared" si="977"/>
        <v>1298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-12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4449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-3139</v>
      </c>
      <c r="BL304" s="10">
        <v>0</v>
      </c>
      <c r="BM304" s="10">
        <v>0</v>
      </c>
    </row>
    <row r="305" spans="1:65" s="21" customFormat="1" ht="14.15" customHeight="1">
      <c r="A305" s="436">
        <f t="shared" si="923"/>
        <v>299</v>
      </c>
      <c r="B305" s="22" t="s">
        <v>193</v>
      </c>
      <c r="C305" s="38">
        <f t="shared" si="977"/>
        <v>-682928</v>
      </c>
      <c r="D305" s="10">
        <v>0</v>
      </c>
      <c r="E305" s="10">
        <v>-1491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-17087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57843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-2714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-663208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-56271</v>
      </c>
      <c r="BL305" s="10">
        <v>0</v>
      </c>
      <c r="BM305" s="10">
        <v>0</v>
      </c>
    </row>
    <row r="306" spans="1:65" s="21" customFormat="1" ht="14.15" customHeight="1">
      <c r="A306" s="436">
        <f t="shared" si="923"/>
        <v>300</v>
      </c>
      <c r="B306" s="22" t="s">
        <v>194</v>
      </c>
      <c r="C306" s="38">
        <f t="shared" si="977"/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0</v>
      </c>
    </row>
    <row r="307" spans="1:65" ht="14.15" customHeight="1">
      <c r="A307" s="436">
        <f t="shared" si="923"/>
        <v>301</v>
      </c>
      <c r="B307" s="22" t="s">
        <v>864</v>
      </c>
      <c r="C307" s="38">
        <f t="shared" si="977"/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</row>
    <row r="308" spans="1:65" ht="14.15" customHeight="1">
      <c r="A308" s="436">
        <f t="shared" si="923"/>
        <v>302</v>
      </c>
      <c r="B308" s="56" t="s">
        <v>195</v>
      </c>
      <c r="C308" s="38">
        <f t="shared" si="977"/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</row>
    <row r="309" spans="1:65" ht="14.15" customHeight="1">
      <c r="A309" s="436">
        <f t="shared" si="923"/>
        <v>303</v>
      </c>
      <c r="B309" s="20" t="s">
        <v>495</v>
      </c>
      <c r="C309" s="80">
        <f t="shared" ref="C309:H309" si="978">SUM(C296:C308)</f>
        <v>-61435638.564196289</v>
      </c>
      <c r="D309" s="80">
        <f t="shared" si="978"/>
        <v>0</v>
      </c>
      <c r="E309" s="80">
        <f t="shared" si="978"/>
        <v>-1823</v>
      </c>
      <c r="F309" s="80">
        <f>SUM(F296:F308)</f>
        <v>-1855875</v>
      </c>
      <c r="G309" s="80">
        <f>SUM(G296:G308)</f>
        <v>0</v>
      </c>
      <c r="H309" s="80">
        <f t="shared" si="978"/>
        <v>0</v>
      </c>
      <c r="I309" s="80">
        <f>SUM(I296:I308)</f>
        <v>-45813730</v>
      </c>
      <c r="J309" s="80">
        <f>SUM(J296:J308)</f>
        <v>0</v>
      </c>
      <c r="K309" s="80">
        <f>SUM(K296:K308)</f>
        <v>0</v>
      </c>
      <c r="L309" s="80">
        <f>SUM(L296:L308)</f>
        <v>0</v>
      </c>
      <c r="M309" s="80">
        <f t="shared" ref="M309:Y309" si="979">SUM(M296:M308)</f>
        <v>0</v>
      </c>
      <c r="N309" s="80">
        <f t="shared" si="979"/>
        <v>0</v>
      </c>
      <c r="O309" s="80">
        <f t="shared" si="979"/>
        <v>0</v>
      </c>
      <c r="P309" s="80">
        <f t="shared" si="979"/>
        <v>0</v>
      </c>
      <c r="Q309" s="80">
        <f t="shared" si="979"/>
        <v>0</v>
      </c>
      <c r="R309" s="80">
        <f t="shared" si="979"/>
        <v>0</v>
      </c>
      <c r="S309" s="80">
        <f t="shared" si="979"/>
        <v>0</v>
      </c>
      <c r="T309" s="80">
        <f>SUM(T296:T308)</f>
        <v>0</v>
      </c>
      <c r="U309" s="80">
        <f t="shared" si="979"/>
        <v>0</v>
      </c>
      <c r="V309" s="80">
        <f t="shared" si="979"/>
        <v>0</v>
      </c>
      <c r="W309" s="80">
        <f>SUM(W296:W308)</f>
        <v>-22904.95</v>
      </c>
      <c r="X309" s="80">
        <f t="shared" si="979"/>
        <v>0</v>
      </c>
      <c r="Y309" s="80">
        <f t="shared" si="979"/>
        <v>0</v>
      </c>
      <c r="Z309" s="80">
        <f t="shared" ref="Z309:AE309" si="980">SUM(Z296:Z308)</f>
        <v>0</v>
      </c>
      <c r="AA309" s="80">
        <f t="shared" si="980"/>
        <v>0</v>
      </c>
      <c r="AB309" s="80">
        <f t="shared" si="980"/>
        <v>0</v>
      </c>
      <c r="AC309" s="80">
        <f t="shared" ref="AC309" si="981">SUM(AC296:AC308)</f>
        <v>0</v>
      </c>
      <c r="AD309" s="80">
        <f t="shared" si="980"/>
        <v>258378.64333771533</v>
      </c>
      <c r="AE309" s="80">
        <f t="shared" si="980"/>
        <v>0</v>
      </c>
      <c r="AF309" s="80">
        <f t="shared" ref="AF309:AI309" si="982">SUM(AF296:AF308)</f>
        <v>0</v>
      </c>
      <c r="AG309" s="80">
        <f t="shared" si="982"/>
        <v>0</v>
      </c>
      <c r="AH309" s="80">
        <f t="shared" si="982"/>
        <v>0</v>
      </c>
      <c r="AI309" s="80">
        <f t="shared" si="982"/>
        <v>0</v>
      </c>
      <c r="AJ309" s="80">
        <f>SUM(AJ296:AJ308)</f>
        <v>0</v>
      </c>
      <c r="AK309" s="80">
        <f>SUM(AK296:AK308)</f>
        <v>0</v>
      </c>
      <c r="AL309" s="80">
        <f>SUM(AL296:AL308)</f>
        <v>0</v>
      </c>
      <c r="AM309" s="80">
        <f t="shared" ref="AM309:AW309" si="983">SUM(AM296:AM308)</f>
        <v>0</v>
      </c>
      <c r="AN309" s="80">
        <f t="shared" si="983"/>
        <v>0</v>
      </c>
      <c r="AO309" s="80">
        <f t="shared" si="983"/>
        <v>0</v>
      </c>
      <c r="AP309" s="80">
        <f>SUM(AP296:AP308)</f>
        <v>0</v>
      </c>
      <c r="AQ309" s="80">
        <f t="shared" ref="AQ309:AT309" si="984">SUM(AQ296:AQ308)</f>
        <v>-2714</v>
      </c>
      <c r="AR309" s="80">
        <f t="shared" si="984"/>
        <v>0</v>
      </c>
      <c r="AS309" s="80">
        <f t="shared" si="984"/>
        <v>0</v>
      </c>
      <c r="AT309" s="80">
        <f t="shared" si="984"/>
        <v>0</v>
      </c>
      <c r="AU309" s="80">
        <f>SUM(AU296:AU308)</f>
        <v>0</v>
      </c>
      <c r="AV309" s="80">
        <f t="shared" si="983"/>
        <v>0</v>
      </c>
      <c r="AW309" s="80">
        <f t="shared" si="983"/>
        <v>0</v>
      </c>
      <c r="AX309" s="80">
        <f>SUM(AX296:AX308)</f>
        <v>0</v>
      </c>
      <c r="AY309" s="80">
        <f>SUM(AY296:AY308)</f>
        <v>0</v>
      </c>
      <c r="AZ309" s="80">
        <f t="shared" ref="AZ309:BA309" si="985">SUM(AZ296:AZ308)</f>
        <v>0</v>
      </c>
      <c r="BA309" s="80">
        <f t="shared" si="985"/>
        <v>0</v>
      </c>
      <c r="BB309" s="80">
        <f>SUM(BB296:BB308)</f>
        <v>0</v>
      </c>
      <c r="BC309" s="80">
        <f>SUM(BC296:BC308)</f>
        <v>-13068150</v>
      </c>
      <c r="BD309" s="80">
        <f t="shared" ref="BD309" si="986">SUM(BD296:BD308)</f>
        <v>0</v>
      </c>
      <c r="BE309" s="80">
        <f>SUM(BE296:BE308)</f>
        <v>-663208</v>
      </c>
      <c r="BF309" s="80">
        <f>SUM(BF296:BF308)</f>
        <v>0</v>
      </c>
      <c r="BG309" s="80">
        <f>SUM(BG296:BG308)</f>
        <v>0</v>
      </c>
      <c r="BH309" s="80">
        <f>SUM(BH296:BH308)</f>
        <v>0</v>
      </c>
      <c r="BI309" s="80">
        <f t="shared" ref="BI309" si="987">SUM(BI296:BI308)</f>
        <v>0</v>
      </c>
      <c r="BJ309" s="80">
        <f t="shared" ref="BJ309:BL309" si="988">SUM(BJ296:BJ308)</f>
        <v>0</v>
      </c>
      <c r="BK309" s="80">
        <f t="shared" si="988"/>
        <v>-265612.25753399997</v>
      </c>
      <c r="BL309" s="80">
        <f t="shared" si="988"/>
        <v>0</v>
      </c>
      <c r="BM309" s="80">
        <f t="shared" ref="BM309" si="989">SUM(BM296:BM308)</f>
        <v>0</v>
      </c>
    </row>
    <row r="310" spans="1:65" ht="14.15" customHeight="1">
      <c r="A310" s="436">
        <f t="shared" si="923"/>
        <v>304</v>
      </c>
      <c r="B310" s="23"/>
      <c r="C310" s="2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</row>
    <row r="311" spans="1:65" ht="14.15" customHeight="1">
      <c r="A311" s="436">
        <f t="shared" si="923"/>
        <v>305</v>
      </c>
      <c r="B311" s="22" t="s">
        <v>197</v>
      </c>
      <c r="C311" s="38">
        <f>SUM(D311:BM311)</f>
        <v>6274.5211402908608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-1084</v>
      </c>
      <c r="X311" s="43">
        <v>0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3">
        <v>54582.521140290861</v>
      </c>
      <c r="AE311" s="43">
        <v>0</v>
      </c>
      <c r="AF311" s="43">
        <v>0</v>
      </c>
      <c r="AG311" s="43">
        <v>0</v>
      </c>
      <c r="AH311" s="43">
        <v>0</v>
      </c>
      <c r="AI311" s="43">
        <v>0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  <c r="AT311" s="43">
        <v>0</v>
      </c>
      <c r="AU311" s="43">
        <v>0</v>
      </c>
      <c r="AV311" s="43">
        <v>0</v>
      </c>
      <c r="AW311" s="43">
        <v>0</v>
      </c>
      <c r="AX311" s="43">
        <v>0</v>
      </c>
      <c r="AY311" s="43">
        <v>0</v>
      </c>
      <c r="AZ311" s="43">
        <v>0</v>
      </c>
      <c r="BA311" s="43">
        <v>0</v>
      </c>
      <c r="BB311" s="43">
        <v>0</v>
      </c>
      <c r="BC311" s="43">
        <v>0</v>
      </c>
      <c r="BD311" s="43">
        <v>0</v>
      </c>
      <c r="BE311" s="43">
        <v>0</v>
      </c>
      <c r="BF311" s="43">
        <v>0</v>
      </c>
      <c r="BG311" s="43">
        <v>0</v>
      </c>
      <c r="BH311" s="43">
        <v>0</v>
      </c>
      <c r="BI311" s="43">
        <v>0</v>
      </c>
      <c r="BJ311" s="43">
        <v>0</v>
      </c>
      <c r="BK311" s="43">
        <v>-47224</v>
      </c>
      <c r="BL311" s="43">
        <v>0</v>
      </c>
      <c r="BM311" s="43">
        <v>0</v>
      </c>
    </row>
    <row r="312" spans="1:65" ht="14.15" customHeight="1">
      <c r="A312" s="436">
        <f t="shared" si="923"/>
        <v>306</v>
      </c>
      <c r="B312" s="22" t="s">
        <v>198</v>
      </c>
      <c r="C312" s="38">
        <f t="shared" ref="C312:C315" si="990">SUM(D312:BM312)</f>
        <v>410.44332120778199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-213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43">
        <v>6657.443321207782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-6034</v>
      </c>
      <c r="BL312" s="10">
        <v>0</v>
      </c>
      <c r="BM312" s="10">
        <v>0</v>
      </c>
    </row>
    <row r="313" spans="1:65" ht="13.5" customHeight="1">
      <c r="A313" s="436">
        <f t="shared" si="923"/>
        <v>307</v>
      </c>
      <c r="B313" s="22" t="s">
        <v>199</v>
      </c>
      <c r="C313" s="38">
        <f t="shared" si="990"/>
        <v>-2021987.1336984858</v>
      </c>
      <c r="D313" s="10">
        <v>0</v>
      </c>
      <c r="E313" s="10">
        <v>3845</v>
      </c>
      <c r="F313" s="10">
        <v>-1101415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-1272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43">
        <v>74753.801847514085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-931318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-66580.935545999993</v>
      </c>
      <c r="BL313" s="10">
        <v>0</v>
      </c>
      <c r="BM313" s="10">
        <v>0</v>
      </c>
    </row>
    <row r="314" spans="1:65" ht="14.15" customHeight="1">
      <c r="A314" s="436">
        <f t="shared" si="923"/>
        <v>308</v>
      </c>
      <c r="B314" s="22" t="s">
        <v>200</v>
      </c>
      <c r="C314" s="38">
        <f t="shared" si="990"/>
        <v>46054.398293940525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-421.26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43">
        <v>26643.253703940514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50544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-30711.595409999998</v>
      </c>
      <c r="BL314" s="10">
        <v>0</v>
      </c>
      <c r="BM314" s="10">
        <v>0</v>
      </c>
    </row>
    <row r="315" spans="1:65" ht="14.15" customHeight="1">
      <c r="A315" s="436">
        <f t="shared" si="923"/>
        <v>309</v>
      </c>
      <c r="B315" s="56" t="s">
        <v>201</v>
      </c>
      <c r="C315" s="38">
        <f t="shared" si="990"/>
        <v>2876.9820875311962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-431.24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43">
        <v>16443.162035531197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10">
        <v>-13134.939948000001</v>
      </c>
      <c r="BL315" s="10">
        <v>0</v>
      </c>
      <c r="BM315" s="10">
        <v>0</v>
      </c>
    </row>
    <row r="316" spans="1:65" ht="14.15" customHeight="1">
      <c r="A316" s="436">
        <f t="shared" si="923"/>
        <v>310</v>
      </c>
      <c r="B316" s="20" t="s">
        <v>496</v>
      </c>
      <c r="C316" s="80">
        <f t="shared" ref="C316:L316" si="991">SUM(C311:C315)</f>
        <v>-1966370.7888555154</v>
      </c>
      <c r="D316" s="80">
        <f t="shared" si="991"/>
        <v>0</v>
      </c>
      <c r="E316" s="80">
        <f t="shared" si="991"/>
        <v>3845</v>
      </c>
      <c r="F316" s="80">
        <f t="shared" si="991"/>
        <v>-1101415</v>
      </c>
      <c r="G316" s="80">
        <f t="shared" si="991"/>
        <v>0</v>
      </c>
      <c r="H316" s="80">
        <f t="shared" si="991"/>
        <v>0</v>
      </c>
      <c r="I316" s="80">
        <f t="shared" si="991"/>
        <v>0</v>
      </c>
      <c r="J316" s="80">
        <f t="shared" si="991"/>
        <v>0</v>
      </c>
      <c r="K316" s="80">
        <f t="shared" ref="K316" si="992">SUM(K311:K315)</f>
        <v>0</v>
      </c>
      <c r="L316" s="80">
        <f t="shared" si="991"/>
        <v>0</v>
      </c>
      <c r="M316" s="80">
        <f t="shared" ref="M316:Y316" si="993">SUM(M311:M315)</f>
        <v>0</v>
      </c>
      <c r="N316" s="80">
        <f t="shared" si="993"/>
        <v>0</v>
      </c>
      <c r="O316" s="80">
        <f t="shared" si="993"/>
        <v>0</v>
      </c>
      <c r="P316" s="80">
        <f t="shared" si="993"/>
        <v>0</v>
      </c>
      <c r="Q316" s="80">
        <f t="shared" si="993"/>
        <v>0</v>
      </c>
      <c r="R316" s="80">
        <f t="shared" si="993"/>
        <v>0</v>
      </c>
      <c r="S316" s="80">
        <f t="shared" si="993"/>
        <v>0</v>
      </c>
      <c r="T316" s="80">
        <f>SUM(T311:T315)</f>
        <v>0</v>
      </c>
      <c r="U316" s="80">
        <f t="shared" si="993"/>
        <v>0</v>
      </c>
      <c r="V316" s="80">
        <f t="shared" si="993"/>
        <v>0</v>
      </c>
      <c r="W316" s="80">
        <f>SUM(W311:W315)</f>
        <v>-3421.5</v>
      </c>
      <c r="X316" s="80">
        <f t="shared" si="993"/>
        <v>0</v>
      </c>
      <c r="Y316" s="80">
        <f t="shared" si="993"/>
        <v>0</v>
      </c>
      <c r="Z316" s="80">
        <f t="shared" ref="Z316:AE316" si="994">SUM(Z311:Z315)</f>
        <v>0</v>
      </c>
      <c r="AA316" s="80">
        <f t="shared" si="994"/>
        <v>0</v>
      </c>
      <c r="AB316" s="80">
        <f t="shared" si="994"/>
        <v>0</v>
      </c>
      <c r="AC316" s="80">
        <f t="shared" ref="AC316" si="995">SUM(AC311:AC315)</f>
        <v>0</v>
      </c>
      <c r="AD316" s="80">
        <f t="shared" si="994"/>
        <v>179080.18204848442</v>
      </c>
      <c r="AE316" s="80">
        <f t="shared" si="994"/>
        <v>0</v>
      </c>
      <c r="AF316" s="80">
        <f t="shared" ref="AF316:AI316" si="996">SUM(AF311:AF315)</f>
        <v>0</v>
      </c>
      <c r="AG316" s="80">
        <f t="shared" si="996"/>
        <v>0</v>
      </c>
      <c r="AH316" s="80">
        <f t="shared" si="996"/>
        <v>0</v>
      </c>
      <c r="AI316" s="80">
        <f t="shared" si="996"/>
        <v>0</v>
      </c>
      <c r="AJ316" s="80">
        <f>SUM(AJ311:AJ315)</f>
        <v>0</v>
      </c>
      <c r="AK316" s="80">
        <f>SUM(AK311:AK315)</f>
        <v>0</v>
      </c>
      <c r="AL316" s="80">
        <f>SUM(AL311:AL315)</f>
        <v>0</v>
      </c>
      <c r="AM316" s="80">
        <f t="shared" ref="AM316:AW316" si="997">SUM(AM311:AM315)</f>
        <v>0</v>
      </c>
      <c r="AN316" s="80">
        <f t="shared" si="997"/>
        <v>0</v>
      </c>
      <c r="AO316" s="80">
        <f t="shared" si="997"/>
        <v>0</v>
      </c>
      <c r="AP316" s="80">
        <f>SUM(AP311:AP315)</f>
        <v>0</v>
      </c>
      <c r="AQ316" s="80">
        <f t="shared" ref="AQ316:AT316" si="998">SUM(AQ311:AQ315)</f>
        <v>0</v>
      </c>
      <c r="AR316" s="80">
        <f t="shared" si="998"/>
        <v>50544</v>
      </c>
      <c r="AS316" s="80">
        <f t="shared" si="998"/>
        <v>0</v>
      </c>
      <c r="AT316" s="80">
        <f t="shared" si="998"/>
        <v>-931318</v>
      </c>
      <c r="AU316" s="80">
        <f>SUM(AU311:AU315)</f>
        <v>0</v>
      </c>
      <c r="AV316" s="80">
        <f t="shared" si="997"/>
        <v>0</v>
      </c>
      <c r="AW316" s="80">
        <f t="shared" si="997"/>
        <v>0</v>
      </c>
      <c r="AX316" s="80">
        <f>SUM(AX311:AX315)</f>
        <v>0</v>
      </c>
      <c r="AY316" s="80">
        <f>SUM(AY311:AY315)</f>
        <v>0</v>
      </c>
      <c r="AZ316" s="80">
        <f t="shared" ref="AZ316:BA316" si="999">SUM(AZ311:AZ315)</f>
        <v>0</v>
      </c>
      <c r="BA316" s="80">
        <f t="shared" si="999"/>
        <v>0</v>
      </c>
      <c r="BB316" s="80">
        <f>SUM(BB311:BB315)</f>
        <v>0</v>
      </c>
      <c r="BC316" s="80">
        <f>SUM(BC311:BC315)</f>
        <v>0</v>
      </c>
      <c r="BD316" s="80">
        <f t="shared" ref="BD316" si="1000">SUM(BD311:BD315)</f>
        <v>0</v>
      </c>
      <c r="BE316" s="80">
        <f>SUM(BE311:BE315)</f>
        <v>0</v>
      </c>
      <c r="BF316" s="80">
        <f>SUM(BF311:BF315)</f>
        <v>0</v>
      </c>
      <c r="BG316" s="80">
        <f>SUM(BG311:BG315)</f>
        <v>0</v>
      </c>
      <c r="BH316" s="80">
        <f>SUM(BH311:BH315)</f>
        <v>0</v>
      </c>
      <c r="BI316" s="80">
        <f t="shared" ref="BI316" si="1001">SUM(BI311:BI315)</f>
        <v>0</v>
      </c>
      <c r="BJ316" s="80">
        <f t="shared" ref="BJ316:BL316" si="1002">SUM(BJ311:BJ315)</f>
        <v>0</v>
      </c>
      <c r="BK316" s="80">
        <f t="shared" si="1002"/>
        <v>-163685.47090400002</v>
      </c>
      <c r="BL316" s="80">
        <f t="shared" si="1002"/>
        <v>0</v>
      </c>
      <c r="BM316" s="80">
        <f t="shared" ref="BM316" si="1003">SUM(BM311:BM315)</f>
        <v>0</v>
      </c>
    </row>
    <row r="317" spans="1:65" ht="14.15" customHeight="1">
      <c r="A317" s="436">
        <f t="shared" si="923"/>
        <v>311</v>
      </c>
      <c r="B317" s="57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</row>
    <row r="318" spans="1:65" ht="14.15" customHeight="1">
      <c r="A318" s="436">
        <f t="shared" si="923"/>
        <v>312</v>
      </c>
      <c r="B318" s="20" t="s">
        <v>202</v>
      </c>
      <c r="C318" s="16">
        <f t="shared" ref="C318:L318" si="1004">+C316+C309</f>
        <v>-63402009.353051804</v>
      </c>
      <c r="D318" s="16">
        <f t="shared" si="1004"/>
        <v>0</v>
      </c>
      <c r="E318" s="16">
        <f>+E316+E309</f>
        <v>2022</v>
      </c>
      <c r="F318" s="16">
        <f t="shared" si="1004"/>
        <v>-2957290</v>
      </c>
      <c r="G318" s="16">
        <f t="shared" si="1004"/>
        <v>0</v>
      </c>
      <c r="H318" s="16">
        <f t="shared" si="1004"/>
        <v>0</v>
      </c>
      <c r="I318" s="16">
        <f t="shared" si="1004"/>
        <v>-45813730</v>
      </c>
      <c r="J318" s="16">
        <f t="shared" si="1004"/>
        <v>0</v>
      </c>
      <c r="K318" s="16">
        <f t="shared" ref="K318" si="1005">+K316+K309</f>
        <v>0</v>
      </c>
      <c r="L318" s="16">
        <f t="shared" si="1004"/>
        <v>0</v>
      </c>
      <c r="M318" s="16">
        <f t="shared" ref="M318:Y318" si="1006">+M316+M309</f>
        <v>0</v>
      </c>
      <c r="N318" s="16">
        <f t="shared" si="1006"/>
        <v>0</v>
      </c>
      <c r="O318" s="16">
        <f t="shared" si="1006"/>
        <v>0</v>
      </c>
      <c r="P318" s="16">
        <f t="shared" si="1006"/>
        <v>0</v>
      </c>
      <c r="Q318" s="16">
        <f t="shared" si="1006"/>
        <v>0</v>
      </c>
      <c r="R318" s="16">
        <f t="shared" si="1006"/>
        <v>0</v>
      </c>
      <c r="S318" s="16">
        <f t="shared" si="1006"/>
        <v>0</v>
      </c>
      <c r="T318" s="16">
        <f>+T316+T309</f>
        <v>0</v>
      </c>
      <c r="U318" s="16">
        <f t="shared" si="1006"/>
        <v>0</v>
      </c>
      <c r="V318" s="16">
        <f t="shared" si="1006"/>
        <v>0</v>
      </c>
      <c r="W318" s="16">
        <f>+W316+W309</f>
        <v>-26326.45</v>
      </c>
      <c r="X318" s="16">
        <f t="shared" si="1006"/>
        <v>0</v>
      </c>
      <c r="Y318" s="16">
        <f t="shared" si="1006"/>
        <v>0</v>
      </c>
      <c r="Z318" s="16">
        <f t="shared" ref="Z318:AE318" si="1007">+Z316+Z309</f>
        <v>0</v>
      </c>
      <c r="AA318" s="16">
        <f t="shared" si="1007"/>
        <v>0</v>
      </c>
      <c r="AB318" s="16">
        <f t="shared" si="1007"/>
        <v>0</v>
      </c>
      <c r="AC318" s="16">
        <f t="shared" ref="AC318" si="1008">+AC316+AC309</f>
        <v>0</v>
      </c>
      <c r="AD318" s="16">
        <f t="shared" si="1007"/>
        <v>437458.82538619975</v>
      </c>
      <c r="AE318" s="16">
        <f t="shared" si="1007"/>
        <v>0</v>
      </c>
      <c r="AF318" s="16">
        <f t="shared" ref="AF318:AI318" si="1009">+AF316+AF309</f>
        <v>0</v>
      </c>
      <c r="AG318" s="16">
        <f t="shared" si="1009"/>
        <v>0</v>
      </c>
      <c r="AH318" s="16">
        <f t="shared" si="1009"/>
        <v>0</v>
      </c>
      <c r="AI318" s="16">
        <f t="shared" si="1009"/>
        <v>0</v>
      </c>
      <c r="AJ318" s="16">
        <f>+AJ316+AJ309</f>
        <v>0</v>
      </c>
      <c r="AK318" s="16">
        <f>+AK316+AK309</f>
        <v>0</v>
      </c>
      <c r="AL318" s="16">
        <f>+AL316+AL309</f>
        <v>0</v>
      </c>
      <c r="AM318" s="16">
        <f t="shared" ref="AM318:AW318" si="1010">+AM316+AM309</f>
        <v>0</v>
      </c>
      <c r="AN318" s="16">
        <f t="shared" si="1010"/>
        <v>0</v>
      </c>
      <c r="AO318" s="16">
        <f t="shared" si="1010"/>
        <v>0</v>
      </c>
      <c r="AP318" s="16">
        <f>+AP316+AP309</f>
        <v>0</v>
      </c>
      <c r="AQ318" s="16">
        <f t="shared" ref="AQ318:AT318" si="1011">+AQ316+AQ309</f>
        <v>-2714</v>
      </c>
      <c r="AR318" s="16">
        <f t="shared" si="1011"/>
        <v>50544</v>
      </c>
      <c r="AS318" s="16">
        <f t="shared" si="1011"/>
        <v>0</v>
      </c>
      <c r="AT318" s="16">
        <f t="shared" si="1011"/>
        <v>-931318</v>
      </c>
      <c r="AU318" s="16">
        <f>+AU316+AU309</f>
        <v>0</v>
      </c>
      <c r="AV318" s="16">
        <f t="shared" si="1010"/>
        <v>0</v>
      </c>
      <c r="AW318" s="16">
        <f t="shared" si="1010"/>
        <v>0</v>
      </c>
      <c r="AX318" s="16">
        <f>+AX316+AX309</f>
        <v>0</v>
      </c>
      <c r="AY318" s="16">
        <f>+AY316+AY309</f>
        <v>0</v>
      </c>
      <c r="AZ318" s="16">
        <f t="shared" ref="AZ318:BA318" si="1012">+AZ316+AZ309</f>
        <v>0</v>
      </c>
      <c r="BA318" s="16">
        <f t="shared" si="1012"/>
        <v>0</v>
      </c>
      <c r="BB318" s="16">
        <f>+BB316+BB309</f>
        <v>0</v>
      </c>
      <c r="BC318" s="16">
        <f>+BC316+BC309</f>
        <v>-13068150</v>
      </c>
      <c r="BD318" s="16">
        <f t="shared" ref="BD318" si="1013">+BD316+BD309</f>
        <v>0</v>
      </c>
      <c r="BE318" s="16">
        <f>+BE316+BE309</f>
        <v>-663208</v>
      </c>
      <c r="BF318" s="16">
        <f>+BF316+BF309</f>
        <v>0</v>
      </c>
      <c r="BG318" s="16">
        <f>+BG316+BG309</f>
        <v>0</v>
      </c>
      <c r="BH318" s="16">
        <f>+BH316+BH309</f>
        <v>0</v>
      </c>
      <c r="BI318" s="16">
        <f t="shared" ref="BI318" si="1014">+BI316+BI309</f>
        <v>0</v>
      </c>
      <c r="BJ318" s="16">
        <f t="shared" ref="BJ318:BL318" si="1015">+BJ316+BJ309</f>
        <v>0</v>
      </c>
      <c r="BK318" s="16">
        <f t="shared" si="1015"/>
        <v>-429297.72843799996</v>
      </c>
      <c r="BL318" s="16">
        <f t="shared" si="1015"/>
        <v>0</v>
      </c>
      <c r="BM318" s="16">
        <f t="shared" ref="BM318" si="1016">+BM316+BM309</f>
        <v>0</v>
      </c>
    </row>
    <row r="319" spans="1:65" ht="14.15" customHeight="1">
      <c r="A319" s="436">
        <f t="shared" si="923"/>
        <v>313</v>
      </c>
      <c r="B319" s="124"/>
      <c r="C319" s="12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</row>
    <row r="320" spans="1:65" ht="14.15" customHeight="1">
      <c r="A320" s="436">
        <f t="shared" si="923"/>
        <v>314</v>
      </c>
      <c r="B320" s="13" t="s">
        <v>203</v>
      </c>
      <c r="C320" s="13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</row>
    <row r="321" spans="1:65" ht="14.15" customHeight="1">
      <c r="A321" s="436">
        <f t="shared" si="923"/>
        <v>315</v>
      </c>
      <c r="B321" s="22" t="str">
        <f>'Sch 4'!B334</f>
        <v xml:space="preserve">     549&amp;550-Misc Other Power Generation Expense</v>
      </c>
      <c r="C321" s="38">
        <f>SUM(D321:BM321)</f>
        <v>0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</row>
    <row r="322" spans="1:65" ht="14.15" customHeight="1">
      <c r="A322" s="436">
        <f t="shared" si="923"/>
        <v>316</v>
      </c>
      <c r="B322" s="22" t="s">
        <v>204</v>
      </c>
      <c r="C322" s="38">
        <f>SUM(D322:BM322)</f>
        <v>-38933320.959279999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885912</v>
      </c>
      <c r="Q322" s="10">
        <v>5803037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-46035951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413681.04072000011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0">
        <v>0</v>
      </c>
    </row>
    <row r="323" spans="1:65" ht="14.15" customHeight="1">
      <c r="A323" s="436">
        <f t="shared" si="923"/>
        <v>317</v>
      </c>
      <c r="B323" s="22" t="s">
        <v>205</v>
      </c>
      <c r="C323" s="38">
        <f t="shared" ref="C323:C325" si="1017">SUM(D323:BM323)</f>
        <v>-92223530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-95924991</v>
      </c>
      <c r="J323" s="10">
        <v>0</v>
      </c>
      <c r="K323" s="10">
        <v>0</v>
      </c>
      <c r="L323" s="10">
        <f>-2631871+-3989249</f>
        <v>-6621120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10322581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</v>
      </c>
      <c r="BK323" s="10">
        <v>0</v>
      </c>
      <c r="BL323" s="10">
        <v>0</v>
      </c>
      <c r="BM323" s="10">
        <v>0</v>
      </c>
    </row>
    <row r="324" spans="1:65" ht="14.15" customHeight="1">
      <c r="A324" s="436">
        <f t="shared" si="923"/>
        <v>318</v>
      </c>
      <c r="B324" s="22" t="s">
        <v>206</v>
      </c>
      <c r="C324" s="38">
        <f t="shared" si="1017"/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</v>
      </c>
      <c r="BK324" s="10">
        <v>0</v>
      </c>
      <c r="BL324" s="10">
        <v>0</v>
      </c>
      <c r="BM324" s="10">
        <v>0</v>
      </c>
    </row>
    <row r="325" spans="1:65" ht="14.15" customHeight="1">
      <c r="A325" s="436">
        <f t="shared" si="923"/>
        <v>319</v>
      </c>
      <c r="B325" s="56" t="s">
        <v>207</v>
      </c>
      <c r="C325" s="38">
        <f t="shared" si="1017"/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  <c r="AU325" s="43">
        <v>0</v>
      </c>
      <c r="AV325" s="43">
        <v>0</v>
      </c>
      <c r="AW325" s="43">
        <v>0</v>
      </c>
      <c r="AX325" s="43">
        <v>0</v>
      </c>
      <c r="AY325" s="43">
        <v>0</v>
      </c>
      <c r="AZ325" s="43">
        <v>0</v>
      </c>
      <c r="BA325" s="43">
        <v>0</v>
      </c>
      <c r="BB325" s="43">
        <v>0</v>
      </c>
      <c r="BC325" s="43">
        <v>0</v>
      </c>
      <c r="BD325" s="43">
        <v>0</v>
      </c>
      <c r="BE325" s="43">
        <v>0</v>
      </c>
      <c r="BF325" s="43">
        <v>0</v>
      </c>
      <c r="BG325" s="43">
        <v>0</v>
      </c>
      <c r="BH325" s="43">
        <v>0</v>
      </c>
      <c r="BI325" s="43">
        <v>0</v>
      </c>
      <c r="BJ325" s="43">
        <v>0</v>
      </c>
      <c r="BK325" s="43">
        <v>0</v>
      </c>
      <c r="BL325" s="43">
        <v>0</v>
      </c>
      <c r="BM325" s="43">
        <v>0</v>
      </c>
    </row>
    <row r="326" spans="1:65" s="21" customFormat="1" ht="14.15" customHeight="1">
      <c r="A326" s="436">
        <f t="shared" si="923"/>
        <v>320</v>
      </c>
      <c r="B326" s="20" t="s">
        <v>208</v>
      </c>
      <c r="C326" s="80">
        <f>SUM(C321:C325)</f>
        <v>-131156850.95928</v>
      </c>
      <c r="D326" s="80">
        <f>SUM(D321:D325)</f>
        <v>0</v>
      </c>
      <c r="E326" s="80">
        <f t="shared" ref="E326:BL326" si="1018">SUM(E321:E325)</f>
        <v>0</v>
      </c>
      <c r="F326" s="80">
        <f t="shared" si="1018"/>
        <v>0</v>
      </c>
      <c r="G326" s="80">
        <f t="shared" si="1018"/>
        <v>0</v>
      </c>
      <c r="H326" s="80">
        <f t="shared" si="1018"/>
        <v>0</v>
      </c>
      <c r="I326" s="80">
        <f t="shared" si="1018"/>
        <v>-95924991</v>
      </c>
      <c r="J326" s="80">
        <f t="shared" si="1018"/>
        <v>0</v>
      </c>
      <c r="K326" s="80">
        <f t="shared" ref="K326" si="1019">SUM(K321:K325)</f>
        <v>0</v>
      </c>
      <c r="L326" s="80">
        <f t="shared" si="1018"/>
        <v>-6621120</v>
      </c>
      <c r="M326" s="80">
        <f t="shared" si="1018"/>
        <v>0</v>
      </c>
      <c r="N326" s="80">
        <f t="shared" si="1018"/>
        <v>0</v>
      </c>
      <c r="O326" s="80">
        <f t="shared" si="1018"/>
        <v>0</v>
      </c>
      <c r="P326" s="80">
        <f t="shared" si="1018"/>
        <v>885912</v>
      </c>
      <c r="Q326" s="80">
        <f t="shared" si="1018"/>
        <v>5803037</v>
      </c>
      <c r="R326" s="80">
        <f t="shared" si="1018"/>
        <v>0</v>
      </c>
      <c r="S326" s="80">
        <f t="shared" si="1018"/>
        <v>0</v>
      </c>
      <c r="T326" s="80">
        <f t="shared" si="1018"/>
        <v>0</v>
      </c>
      <c r="U326" s="80">
        <f t="shared" si="1018"/>
        <v>0</v>
      </c>
      <c r="V326" s="80">
        <f t="shared" si="1018"/>
        <v>0</v>
      </c>
      <c r="W326" s="80">
        <f t="shared" si="1018"/>
        <v>0</v>
      </c>
      <c r="X326" s="80">
        <f t="shared" si="1018"/>
        <v>0</v>
      </c>
      <c r="Y326" s="80">
        <f t="shared" si="1018"/>
        <v>0</v>
      </c>
      <c r="Z326" s="80">
        <f t="shared" si="1018"/>
        <v>0</v>
      </c>
      <c r="AA326" s="80">
        <f t="shared" si="1018"/>
        <v>0</v>
      </c>
      <c r="AB326" s="80">
        <f t="shared" si="1018"/>
        <v>0</v>
      </c>
      <c r="AC326" s="80">
        <f t="shared" ref="AC326" si="1020">SUM(AC321:AC325)</f>
        <v>0</v>
      </c>
      <c r="AD326" s="80">
        <f t="shared" si="1018"/>
        <v>0</v>
      </c>
      <c r="AE326" s="80">
        <f t="shared" si="1018"/>
        <v>0</v>
      </c>
      <c r="AF326" s="80">
        <f t="shared" si="1018"/>
        <v>0</v>
      </c>
      <c r="AG326" s="80">
        <f t="shared" si="1018"/>
        <v>0</v>
      </c>
      <c r="AH326" s="80">
        <f t="shared" si="1018"/>
        <v>0</v>
      </c>
      <c r="AI326" s="80">
        <f t="shared" si="1018"/>
        <v>0</v>
      </c>
      <c r="AJ326" s="80">
        <f>SUM(AJ321:AJ325)</f>
        <v>0</v>
      </c>
      <c r="AK326" s="80">
        <f>SUM(AK321:AK325)</f>
        <v>0</v>
      </c>
      <c r="AL326" s="80">
        <f>SUM(AL321:AL325)</f>
        <v>0</v>
      </c>
      <c r="AM326" s="80">
        <f t="shared" si="1018"/>
        <v>0</v>
      </c>
      <c r="AN326" s="80">
        <f t="shared" si="1018"/>
        <v>0</v>
      </c>
      <c r="AO326" s="80">
        <f t="shared" si="1018"/>
        <v>0</v>
      </c>
      <c r="AP326" s="80">
        <f>SUM(AP321:AP325)</f>
        <v>0</v>
      </c>
      <c r="AQ326" s="80">
        <f t="shared" si="1018"/>
        <v>0</v>
      </c>
      <c r="AR326" s="80">
        <f t="shared" si="1018"/>
        <v>0</v>
      </c>
      <c r="AS326" s="80">
        <f t="shared" si="1018"/>
        <v>-35713370</v>
      </c>
      <c r="AT326" s="80">
        <f t="shared" si="1018"/>
        <v>0</v>
      </c>
      <c r="AU326" s="80">
        <f t="shared" si="1018"/>
        <v>0</v>
      </c>
      <c r="AV326" s="80">
        <f t="shared" si="1018"/>
        <v>0</v>
      </c>
      <c r="AW326" s="80">
        <f t="shared" si="1018"/>
        <v>0</v>
      </c>
      <c r="AX326" s="80">
        <f>SUM(AX321:AX325)</f>
        <v>0</v>
      </c>
      <c r="AY326" s="80">
        <f>SUM(AY321:AY325)</f>
        <v>0</v>
      </c>
      <c r="AZ326" s="80">
        <f t="shared" ref="AZ326:BA326" si="1021">SUM(AZ321:AZ325)</f>
        <v>0</v>
      </c>
      <c r="BA326" s="80">
        <f t="shared" si="1021"/>
        <v>0</v>
      </c>
      <c r="BB326" s="80">
        <f>SUM(BB321:BB325)</f>
        <v>413681.04072000011</v>
      </c>
      <c r="BC326" s="80">
        <f>SUM(BC321:BC325)</f>
        <v>0</v>
      </c>
      <c r="BD326" s="80">
        <f t="shared" ref="BD326" si="1022">SUM(BD321:BD325)</f>
        <v>0</v>
      </c>
      <c r="BE326" s="80">
        <f>SUM(BE321:BE325)</f>
        <v>0</v>
      </c>
      <c r="BF326" s="80">
        <f>SUM(BF321:BF325)</f>
        <v>0</v>
      </c>
      <c r="BG326" s="80">
        <f>SUM(BG321:BG325)</f>
        <v>0</v>
      </c>
      <c r="BH326" s="80">
        <f t="shared" si="1018"/>
        <v>0</v>
      </c>
      <c r="BI326" s="80">
        <f t="shared" si="1018"/>
        <v>0</v>
      </c>
      <c r="BJ326" s="80">
        <f t="shared" si="1018"/>
        <v>0</v>
      </c>
      <c r="BK326" s="80">
        <f t="shared" si="1018"/>
        <v>0</v>
      </c>
      <c r="BL326" s="80">
        <f t="shared" si="1018"/>
        <v>0</v>
      </c>
      <c r="BM326" s="80">
        <f t="shared" ref="BM326" si="1023">SUM(BM321:BM325)</f>
        <v>0</v>
      </c>
    </row>
    <row r="327" spans="1:65" s="21" customFormat="1" ht="14.15" customHeight="1">
      <c r="A327" s="436">
        <f t="shared" si="923"/>
        <v>321</v>
      </c>
      <c r="B327" s="57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</row>
    <row r="328" spans="1:65" ht="14.15" customHeight="1">
      <c r="A328" s="436">
        <f t="shared" si="923"/>
        <v>322</v>
      </c>
      <c r="B328" s="20" t="s">
        <v>209</v>
      </c>
      <c r="C328" s="16">
        <f t="shared" ref="C328:L328" si="1024">C326+C318</f>
        <v>-194558860.3123318</v>
      </c>
      <c r="D328" s="16">
        <f t="shared" si="1024"/>
        <v>0</v>
      </c>
      <c r="E328" s="16">
        <f t="shared" si="1024"/>
        <v>2022</v>
      </c>
      <c r="F328" s="16">
        <f t="shared" si="1024"/>
        <v>-2957290</v>
      </c>
      <c r="G328" s="16">
        <f t="shared" si="1024"/>
        <v>0</v>
      </c>
      <c r="H328" s="16">
        <f t="shared" si="1024"/>
        <v>0</v>
      </c>
      <c r="I328" s="16">
        <f t="shared" si="1024"/>
        <v>-141738721</v>
      </c>
      <c r="J328" s="16">
        <f t="shared" si="1024"/>
        <v>0</v>
      </c>
      <c r="K328" s="16">
        <f t="shared" ref="K328" si="1025">K326+K318</f>
        <v>0</v>
      </c>
      <c r="L328" s="16">
        <f t="shared" si="1024"/>
        <v>-6621120</v>
      </c>
      <c r="M328" s="16">
        <f t="shared" ref="M328:Y328" si="1026">M326+M318</f>
        <v>0</v>
      </c>
      <c r="N328" s="16">
        <f t="shared" si="1026"/>
        <v>0</v>
      </c>
      <c r="O328" s="16">
        <f t="shared" si="1026"/>
        <v>0</v>
      </c>
      <c r="P328" s="16">
        <f t="shared" si="1026"/>
        <v>885912</v>
      </c>
      <c r="Q328" s="16">
        <f t="shared" si="1026"/>
        <v>5803037</v>
      </c>
      <c r="R328" s="16">
        <f t="shared" si="1026"/>
        <v>0</v>
      </c>
      <c r="S328" s="16">
        <f t="shared" si="1026"/>
        <v>0</v>
      </c>
      <c r="T328" s="16">
        <f>T326+T318</f>
        <v>0</v>
      </c>
      <c r="U328" s="16">
        <f t="shared" si="1026"/>
        <v>0</v>
      </c>
      <c r="V328" s="16">
        <f t="shared" si="1026"/>
        <v>0</v>
      </c>
      <c r="W328" s="16">
        <f t="shared" si="1026"/>
        <v>-26326.45</v>
      </c>
      <c r="X328" s="16">
        <f t="shared" si="1026"/>
        <v>0</v>
      </c>
      <c r="Y328" s="16">
        <f t="shared" si="1026"/>
        <v>0</v>
      </c>
      <c r="Z328" s="16">
        <f t="shared" ref="Z328:AE328" si="1027">Z326+Z318</f>
        <v>0</v>
      </c>
      <c r="AA328" s="16">
        <f t="shared" si="1027"/>
        <v>0</v>
      </c>
      <c r="AB328" s="16">
        <f t="shared" si="1027"/>
        <v>0</v>
      </c>
      <c r="AC328" s="16">
        <f t="shared" ref="AC328" si="1028">AC326+AC318</f>
        <v>0</v>
      </c>
      <c r="AD328" s="16">
        <f t="shared" si="1027"/>
        <v>437458.82538619975</v>
      </c>
      <c r="AE328" s="16">
        <f t="shared" si="1027"/>
        <v>0</v>
      </c>
      <c r="AF328" s="16">
        <f t="shared" ref="AF328:AI328" si="1029">AF326+AF318</f>
        <v>0</v>
      </c>
      <c r="AG328" s="16">
        <f t="shared" si="1029"/>
        <v>0</v>
      </c>
      <c r="AH328" s="16">
        <f t="shared" si="1029"/>
        <v>0</v>
      </c>
      <c r="AI328" s="16">
        <f t="shared" si="1029"/>
        <v>0</v>
      </c>
      <c r="AJ328" s="16">
        <f>AJ326+AJ318</f>
        <v>0</v>
      </c>
      <c r="AK328" s="16">
        <f>AK326+AK318</f>
        <v>0</v>
      </c>
      <c r="AL328" s="16">
        <f>AL326+AL318</f>
        <v>0</v>
      </c>
      <c r="AM328" s="16">
        <f t="shared" ref="AM328:AW328" si="1030">AM326+AM318</f>
        <v>0</v>
      </c>
      <c r="AN328" s="16">
        <f t="shared" si="1030"/>
        <v>0</v>
      </c>
      <c r="AO328" s="16">
        <f t="shared" si="1030"/>
        <v>0</v>
      </c>
      <c r="AP328" s="16">
        <f>AP326+AP318</f>
        <v>0</v>
      </c>
      <c r="AQ328" s="16">
        <f t="shared" ref="AQ328:AT328" si="1031">AQ326+AQ318</f>
        <v>-2714</v>
      </c>
      <c r="AR328" s="16">
        <f t="shared" si="1031"/>
        <v>50544</v>
      </c>
      <c r="AS328" s="16">
        <f t="shared" si="1031"/>
        <v>-35713370</v>
      </c>
      <c r="AT328" s="16">
        <f t="shared" si="1031"/>
        <v>-931318</v>
      </c>
      <c r="AU328" s="16">
        <f>AU326+AU318</f>
        <v>0</v>
      </c>
      <c r="AV328" s="16">
        <f t="shared" si="1030"/>
        <v>0</v>
      </c>
      <c r="AW328" s="16">
        <f t="shared" si="1030"/>
        <v>0</v>
      </c>
      <c r="AX328" s="16">
        <f>AX326+AX318</f>
        <v>0</v>
      </c>
      <c r="AY328" s="16">
        <f>AY326+AY318</f>
        <v>0</v>
      </c>
      <c r="AZ328" s="16">
        <f t="shared" ref="AZ328:BA328" si="1032">AZ326+AZ318</f>
        <v>0</v>
      </c>
      <c r="BA328" s="16">
        <f t="shared" si="1032"/>
        <v>0</v>
      </c>
      <c r="BB328" s="16">
        <f>BB326+BB318</f>
        <v>413681.04072000011</v>
      </c>
      <c r="BC328" s="16">
        <f>BC326+BC318</f>
        <v>-13068150</v>
      </c>
      <c r="BD328" s="16">
        <f t="shared" ref="BD328" si="1033">BD326+BD318</f>
        <v>0</v>
      </c>
      <c r="BE328" s="16">
        <f>BE326+BE318</f>
        <v>-663208</v>
      </c>
      <c r="BF328" s="16">
        <f>BF326+BF318</f>
        <v>0</v>
      </c>
      <c r="BG328" s="16">
        <f>BG326+BG318</f>
        <v>0</v>
      </c>
      <c r="BH328" s="16">
        <f>BH326+BH318</f>
        <v>0</v>
      </c>
      <c r="BI328" s="16">
        <f t="shared" ref="BI328" si="1034">BI326+BI318</f>
        <v>0</v>
      </c>
      <c r="BJ328" s="16">
        <f t="shared" ref="BJ328:BL328" si="1035">BJ326+BJ318</f>
        <v>0</v>
      </c>
      <c r="BK328" s="16">
        <f t="shared" si="1035"/>
        <v>-429297.72843799996</v>
      </c>
      <c r="BL328" s="16">
        <f t="shared" si="1035"/>
        <v>0</v>
      </c>
      <c r="BM328" s="16">
        <f t="shared" ref="BM328" si="1036">BM326+BM318</f>
        <v>0</v>
      </c>
    </row>
    <row r="329" spans="1:65" ht="14.15" customHeight="1">
      <c r="A329" s="436">
        <f t="shared" si="923"/>
        <v>323</v>
      </c>
      <c r="B329" s="124"/>
      <c r="C329" s="124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</row>
    <row r="330" spans="1:65" ht="14.15" customHeight="1">
      <c r="A330" s="436">
        <f t="shared" si="923"/>
        <v>324</v>
      </c>
      <c r="B330" s="13" t="s">
        <v>210</v>
      </c>
      <c r="C330" s="13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</row>
    <row r="331" spans="1:65" ht="14.15" customHeight="1">
      <c r="A331" s="436">
        <f t="shared" si="923"/>
        <v>325</v>
      </c>
      <c r="B331" s="22" t="s">
        <v>211</v>
      </c>
      <c r="C331" s="38">
        <f>SUM(D331:BM331)</f>
        <v>-108860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-46042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-62818</v>
      </c>
      <c r="BL331" s="10">
        <v>0</v>
      </c>
      <c r="BM331" s="10">
        <v>0</v>
      </c>
    </row>
    <row r="332" spans="1:65" ht="14.15" customHeight="1">
      <c r="A332" s="436">
        <f t="shared" si="923"/>
        <v>326</v>
      </c>
      <c r="B332" s="22" t="s">
        <v>321</v>
      </c>
      <c r="C332" s="38">
        <f t="shared" ref="C332:C342" si="1037">SUM(D332:BM332)</f>
        <v>-117604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f>-16451+-101153</f>
        <v>-117604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0</v>
      </c>
      <c r="BM332" s="10">
        <v>0</v>
      </c>
    </row>
    <row r="333" spans="1:65" ht="14.15" customHeight="1">
      <c r="A333" s="436">
        <f t="shared" si="923"/>
        <v>327</v>
      </c>
      <c r="B333" s="22" t="s">
        <v>994</v>
      </c>
      <c r="C333" s="38">
        <f t="shared" si="1037"/>
        <v>0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</row>
    <row r="334" spans="1:65" ht="14.15" customHeight="1">
      <c r="A334" s="436">
        <f>+A332+1</f>
        <v>327</v>
      </c>
      <c r="B334" s="22" t="s">
        <v>212</v>
      </c>
      <c r="C334" s="38">
        <f t="shared" si="1037"/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0">
        <v>0</v>
      </c>
    </row>
    <row r="335" spans="1:65" s="21" customFormat="1" ht="14.15" customHeight="1">
      <c r="A335" s="436">
        <f t="shared" si="923"/>
        <v>328</v>
      </c>
      <c r="B335" s="22" t="s">
        <v>213</v>
      </c>
      <c r="C335" s="38">
        <f t="shared" si="1037"/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  <c r="BM335" s="10">
        <v>0</v>
      </c>
    </row>
    <row r="336" spans="1:65" s="21" customFormat="1" ht="14.15" customHeight="1">
      <c r="A336" s="436">
        <f t="shared" si="923"/>
        <v>329</v>
      </c>
      <c r="B336" s="22" t="s">
        <v>214</v>
      </c>
      <c r="C336" s="38">
        <f t="shared" si="1037"/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0">
        <v>0</v>
      </c>
    </row>
    <row r="337" spans="1:65" s="21" customFormat="1" ht="14.15" customHeight="1">
      <c r="A337" s="436">
        <f t="shared" ref="A337:A400" si="1038">+A336+1</f>
        <v>330</v>
      </c>
      <c r="B337" s="22" t="s">
        <v>811</v>
      </c>
      <c r="C337" s="38">
        <f t="shared" si="1037"/>
        <v>7893781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f>7893781</f>
        <v>7893781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  <c r="BM337" s="10">
        <v>0</v>
      </c>
    </row>
    <row r="338" spans="1:65" s="21" customFormat="1" ht="14.15" customHeight="1">
      <c r="A338" s="436">
        <f t="shared" si="1038"/>
        <v>331</v>
      </c>
      <c r="B338" s="22" t="s">
        <v>862</v>
      </c>
      <c r="C338" s="38">
        <f t="shared" si="1037"/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  <c r="BM338" s="10">
        <v>0</v>
      </c>
    </row>
    <row r="339" spans="1:65" s="21" customFormat="1" ht="14.15" customHeight="1">
      <c r="A339" s="436">
        <f t="shared" si="1038"/>
        <v>332</v>
      </c>
      <c r="B339" s="22" t="s">
        <v>810</v>
      </c>
      <c r="C339" s="38">
        <f t="shared" si="1037"/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0</v>
      </c>
      <c r="BJ339" s="10">
        <v>0</v>
      </c>
      <c r="BK339" s="10">
        <v>0</v>
      </c>
      <c r="BL339" s="10">
        <v>0</v>
      </c>
      <c r="BM339" s="10">
        <v>0</v>
      </c>
    </row>
    <row r="340" spans="1:65" s="21" customFormat="1" ht="14.15" customHeight="1">
      <c r="A340" s="436">
        <f t="shared" si="1038"/>
        <v>333</v>
      </c>
      <c r="B340" s="22" t="s">
        <v>863</v>
      </c>
      <c r="C340" s="38">
        <f t="shared" si="1037"/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0</v>
      </c>
      <c r="BJ340" s="10">
        <v>0</v>
      </c>
      <c r="BK340" s="10">
        <v>0</v>
      </c>
      <c r="BL340" s="10">
        <v>0</v>
      </c>
      <c r="BM340" s="10">
        <v>0</v>
      </c>
    </row>
    <row r="341" spans="1:65" s="21" customFormat="1" ht="14.15" customHeight="1">
      <c r="A341" s="436">
        <f t="shared" si="1038"/>
        <v>334</v>
      </c>
      <c r="B341" s="22" t="s">
        <v>215</v>
      </c>
      <c r="C341" s="38">
        <f t="shared" si="1037"/>
        <v>6726967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f>6727358</f>
        <v>6727358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-391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f>1-1</f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0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0">
        <v>0</v>
      </c>
    </row>
    <row r="342" spans="1:65" ht="14.15" customHeight="1">
      <c r="A342" s="436">
        <f t="shared" si="1038"/>
        <v>335</v>
      </c>
      <c r="B342" s="56" t="s">
        <v>216</v>
      </c>
      <c r="C342" s="38">
        <f t="shared" si="1037"/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43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  <c r="AT342" s="43">
        <v>0</v>
      </c>
      <c r="AU342" s="43">
        <v>0</v>
      </c>
      <c r="AV342" s="43">
        <v>0</v>
      </c>
      <c r="AW342" s="43">
        <v>0</v>
      </c>
      <c r="AX342" s="43">
        <v>0</v>
      </c>
      <c r="AY342" s="43">
        <v>0</v>
      </c>
      <c r="AZ342" s="43">
        <v>0</v>
      </c>
      <c r="BA342" s="43">
        <v>0</v>
      </c>
      <c r="BB342" s="43">
        <v>0</v>
      </c>
      <c r="BC342" s="43">
        <v>0</v>
      </c>
      <c r="BD342" s="43">
        <v>0</v>
      </c>
      <c r="BE342" s="43">
        <v>0</v>
      </c>
      <c r="BF342" s="43">
        <v>0</v>
      </c>
      <c r="BG342" s="43">
        <v>0</v>
      </c>
      <c r="BH342" s="43">
        <v>0</v>
      </c>
      <c r="BI342" s="43">
        <v>0</v>
      </c>
      <c r="BJ342" s="43">
        <v>0</v>
      </c>
      <c r="BK342" s="43">
        <v>0</v>
      </c>
      <c r="BL342" s="43">
        <v>0</v>
      </c>
      <c r="BM342" s="43">
        <v>0</v>
      </c>
    </row>
    <row r="343" spans="1:65" ht="14.15" customHeight="1">
      <c r="A343" s="436">
        <f t="shared" si="1038"/>
        <v>336</v>
      </c>
      <c r="B343" s="20" t="s">
        <v>217</v>
      </c>
      <c r="C343" s="80">
        <f t="shared" ref="C343:L343" si="1039">SUM(C331:C342)</f>
        <v>14394284</v>
      </c>
      <c r="D343" s="80">
        <f t="shared" si="1039"/>
        <v>0</v>
      </c>
      <c r="E343" s="80">
        <f t="shared" si="1039"/>
        <v>0</v>
      </c>
      <c r="F343" s="80">
        <f t="shared" si="1039"/>
        <v>0</v>
      </c>
      <c r="G343" s="80">
        <f t="shared" si="1039"/>
        <v>0</v>
      </c>
      <c r="H343" s="80">
        <f t="shared" si="1039"/>
        <v>0</v>
      </c>
      <c r="I343" s="80">
        <f t="shared" si="1039"/>
        <v>0</v>
      </c>
      <c r="J343" s="80">
        <f t="shared" si="1039"/>
        <v>0</v>
      </c>
      <c r="K343" s="80">
        <f t="shared" ref="K343" si="1040">SUM(K331:K342)</f>
        <v>0</v>
      </c>
      <c r="L343" s="80">
        <f t="shared" si="1039"/>
        <v>6727358</v>
      </c>
      <c r="M343" s="80">
        <f t="shared" ref="M343:Y343" si="1041">SUM(M331:M342)</f>
        <v>0</v>
      </c>
      <c r="N343" s="80">
        <f t="shared" si="1041"/>
        <v>0</v>
      </c>
      <c r="O343" s="80">
        <f t="shared" si="1041"/>
        <v>0</v>
      </c>
      <c r="P343" s="80">
        <f t="shared" si="1041"/>
        <v>0</v>
      </c>
      <c r="Q343" s="80">
        <f t="shared" si="1041"/>
        <v>0</v>
      </c>
      <c r="R343" s="80">
        <f t="shared" si="1041"/>
        <v>0</v>
      </c>
      <c r="S343" s="80">
        <f t="shared" si="1041"/>
        <v>0</v>
      </c>
      <c r="T343" s="80">
        <f>SUM(T331:T342)</f>
        <v>0</v>
      </c>
      <c r="U343" s="80">
        <f t="shared" si="1041"/>
        <v>0</v>
      </c>
      <c r="V343" s="80">
        <f t="shared" si="1041"/>
        <v>0</v>
      </c>
      <c r="W343" s="80">
        <f t="shared" si="1041"/>
        <v>-391</v>
      </c>
      <c r="X343" s="80">
        <f t="shared" si="1041"/>
        <v>0</v>
      </c>
      <c r="Y343" s="80">
        <f t="shared" si="1041"/>
        <v>0</v>
      </c>
      <c r="Z343" s="80">
        <f t="shared" ref="Z343:AE343" si="1042">SUM(Z331:Z342)</f>
        <v>7893781</v>
      </c>
      <c r="AA343" s="80">
        <f t="shared" si="1042"/>
        <v>0</v>
      </c>
      <c r="AB343" s="80">
        <f t="shared" si="1042"/>
        <v>0</v>
      </c>
      <c r="AC343" s="80">
        <f t="shared" ref="AC343" si="1043">SUM(AC331:AC342)</f>
        <v>0</v>
      </c>
      <c r="AD343" s="80">
        <f t="shared" si="1042"/>
        <v>-46042</v>
      </c>
      <c r="AE343" s="80">
        <f t="shared" si="1042"/>
        <v>0</v>
      </c>
      <c r="AF343" s="80">
        <f t="shared" ref="AF343:AI343" si="1044">SUM(AF331:AF342)</f>
        <v>0</v>
      </c>
      <c r="AG343" s="80">
        <f t="shared" si="1044"/>
        <v>0</v>
      </c>
      <c r="AH343" s="80">
        <f t="shared" si="1044"/>
        <v>0</v>
      </c>
      <c r="AI343" s="80">
        <f t="shared" si="1044"/>
        <v>0</v>
      </c>
      <c r="AJ343" s="80">
        <f>SUM(AJ331:AJ342)</f>
        <v>0</v>
      </c>
      <c r="AK343" s="80">
        <f>SUM(AK331:AK342)</f>
        <v>0</v>
      </c>
      <c r="AL343" s="80">
        <f>SUM(AL331:AL342)</f>
        <v>0</v>
      </c>
      <c r="AM343" s="80">
        <f t="shared" ref="AM343:AW343" si="1045">SUM(AM331:AM342)</f>
        <v>0</v>
      </c>
      <c r="AN343" s="80">
        <f t="shared" si="1045"/>
        <v>0</v>
      </c>
      <c r="AO343" s="80">
        <f t="shared" si="1045"/>
        <v>0</v>
      </c>
      <c r="AP343" s="80">
        <f>SUM(AP331:AP342)</f>
        <v>0</v>
      </c>
      <c r="AQ343" s="80">
        <f t="shared" ref="AQ343:AT343" si="1046">SUM(AQ331:AQ342)</f>
        <v>0</v>
      </c>
      <c r="AR343" s="80">
        <f t="shared" si="1046"/>
        <v>0</v>
      </c>
      <c r="AS343" s="80">
        <f t="shared" si="1046"/>
        <v>0</v>
      </c>
      <c r="AT343" s="80">
        <f t="shared" si="1046"/>
        <v>0</v>
      </c>
      <c r="AU343" s="80">
        <f>SUM(AU331:AU342)</f>
        <v>0</v>
      </c>
      <c r="AV343" s="80">
        <f t="shared" si="1045"/>
        <v>0</v>
      </c>
      <c r="AW343" s="80">
        <f t="shared" si="1045"/>
        <v>0</v>
      </c>
      <c r="AX343" s="80">
        <f>SUM(AX331:AX342)</f>
        <v>0</v>
      </c>
      <c r="AY343" s="80">
        <f>SUM(AY331:AY342)</f>
        <v>0</v>
      </c>
      <c r="AZ343" s="80">
        <f t="shared" ref="AZ343:BA343" si="1047">SUM(AZ331:AZ342)</f>
        <v>0</v>
      </c>
      <c r="BA343" s="80">
        <f t="shared" si="1047"/>
        <v>0</v>
      </c>
      <c r="BB343" s="80">
        <f>SUM(BB331:BB342)</f>
        <v>0</v>
      </c>
      <c r="BC343" s="80">
        <f>SUM(BC331:BC342)</f>
        <v>0</v>
      </c>
      <c r="BD343" s="80">
        <f t="shared" ref="BD343" si="1048">SUM(BD331:BD342)</f>
        <v>0</v>
      </c>
      <c r="BE343" s="80">
        <f>SUM(BE331:BE342)</f>
        <v>-117604</v>
      </c>
      <c r="BF343" s="80">
        <f>SUM(BF331:BF342)</f>
        <v>0</v>
      </c>
      <c r="BG343" s="80">
        <f>SUM(BG331:BG342)</f>
        <v>0</v>
      </c>
      <c r="BH343" s="80">
        <f>SUM(BH331:BH342)</f>
        <v>0</v>
      </c>
      <c r="BI343" s="80">
        <f t="shared" ref="BI343" si="1049">SUM(BI331:BI342)</f>
        <v>0</v>
      </c>
      <c r="BJ343" s="80">
        <f t="shared" ref="BJ343:BL343" si="1050">SUM(BJ331:BJ342)</f>
        <v>0</v>
      </c>
      <c r="BK343" s="80">
        <f t="shared" si="1050"/>
        <v>-62818</v>
      </c>
      <c r="BL343" s="80">
        <f t="shared" si="1050"/>
        <v>0</v>
      </c>
      <c r="BM343" s="80">
        <f t="shared" ref="BM343" si="1051">SUM(BM331:BM342)</f>
        <v>0</v>
      </c>
    </row>
    <row r="344" spans="1:65" ht="14.15" customHeight="1">
      <c r="A344" s="436">
        <f t="shared" si="1038"/>
        <v>337</v>
      </c>
      <c r="B344" s="124"/>
      <c r="C344" s="158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</row>
    <row r="345" spans="1:65" ht="14.15" customHeight="1">
      <c r="A345" s="436">
        <f t="shared" si="1038"/>
        <v>338</v>
      </c>
      <c r="B345" s="20" t="s">
        <v>218</v>
      </c>
      <c r="C345" s="2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</row>
    <row r="346" spans="1:65" ht="14.15" customHeight="1">
      <c r="A346" s="436">
        <f t="shared" si="1038"/>
        <v>339</v>
      </c>
      <c r="B346" s="22" t="s">
        <v>219</v>
      </c>
      <c r="C346" s="38">
        <f>SUM(D346:BM346)</f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0">
        <v>0</v>
      </c>
    </row>
    <row r="347" spans="1:65" ht="14.15" customHeight="1">
      <c r="A347" s="436">
        <f t="shared" si="1038"/>
        <v>340</v>
      </c>
      <c r="B347" s="22" t="s">
        <v>220</v>
      </c>
      <c r="C347" s="38">
        <f t="shared" ref="C347:C352" si="1052">SUM(D347:BM347)</f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0</v>
      </c>
    </row>
    <row r="348" spans="1:65" ht="14.15" customHeight="1">
      <c r="A348" s="436">
        <f t="shared" si="1038"/>
        <v>341</v>
      </c>
      <c r="B348" s="22" t="s">
        <v>221</v>
      </c>
      <c r="C348" s="38">
        <f t="shared" si="1052"/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</v>
      </c>
      <c r="BK348" s="10">
        <v>0</v>
      </c>
      <c r="BL348" s="10">
        <v>0</v>
      </c>
      <c r="BM348" s="10">
        <v>0</v>
      </c>
    </row>
    <row r="349" spans="1:65" ht="14.15" customHeight="1">
      <c r="A349" s="436">
        <f t="shared" si="1038"/>
        <v>342</v>
      </c>
      <c r="B349" s="22" t="s">
        <v>222</v>
      </c>
      <c r="C349" s="38">
        <f t="shared" si="1052"/>
        <v>-71.099999999999994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-54.1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5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</v>
      </c>
      <c r="BK349" s="10">
        <v>-22</v>
      </c>
      <c r="BL349" s="10">
        <v>0</v>
      </c>
      <c r="BM349" s="10">
        <v>0</v>
      </c>
    </row>
    <row r="350" spans="1:65" ht="14.15" customHeight="1">
      <c r="A350" s="436">
        <f t="shared" si="1038"/>
        <v>343</v>
      </c>
      <c r="B350" s="22" t="s">
        <v>223</v>
      </c>
      <c r="C350" s="38">
        <f t="shared" si="1052"/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10">
        <v>0</v>
      </c>
      <c r="BL350" s="10">
        <v>0</v>
      </c>
      <c r="BM350" s="10">
        <v>0</v>
      </c>
    </row>
    <row r="351" spans="1:65" ht="14.15" customHeight="1">
      <c r="A351" s="436">
        <f t="shared" si="1038"/>
        <v>344</v>
      </c>
      <c r="B351" s="22" t="s">
        <v>224</v>
      </c>
      <c r="C351" s="38">
        <f t="shared" si="1052"/>
        <v>0</v>
      </c>
      <c r="D351" s="43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  <c r="AU351" s="43">
        <v>0</v>
      </c>
      <c r="AV351" s="43">
        <v>0</v>
      </c>
      <c r="AW351" s="43">
        <v>0</v>
      </c>
      <c r="AX351" s="43">
        <v>0</v>
      </c>
      <c r="AY351" s="43">
        <v>0</v>
      </c>
      <c r="AZ351" s="43">
        <v>0</v>
      </c>
      <c r="BA351" s="43">
        <v>0</v>
      </c>
      <c r="BB351" s="43">
        <v>0</v>
      </c>
      <c r="BC351" s="43">
        <v>0</v>
      </c>
      <c r="BD351" s="43">
        <v>0</v>
      </c>
      <c r="BE351" s="43">
        <v>0</v>
      </c>
      <c r="BF351" s="43">
        <v>0</v>
      </c>
      <c r="BG351" s="43">
        <v>0</v>
      </c>
      <c r="BH351" s="43">
        <v>0</v>
      </c>
      <c r="BI351" s="43">
        <v>0</v>
      </c>
      <c r="BJ351" s="43">
        <v>0</v>
      </c>
      <c r="BK351" s="43">
        <v>0</v>
      </c>
      <c r="BL351" s="43">
        <v>0</v>
      </c>
      <c r="BM351" s="43">
        <v>0</v>
      </c>
    </row>
    <row r="352" spans="1:65" ht="14.15" customHeight="1">
      <c r="A352" s="436">
        <f t="shared" si="1038"/>
        <v>345</v>
      </c>
      <c r="B352" s="56" t="s">
        <v>225</v>
      </c>
      <c r="C352" s="38">
        <f t="shared" si="1052"/>
        <v>0</v>
      </c>
      <c r="D352" s="43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  <c r="AM352" s="43">
        <v>0</v>
      </c>
      <c r="AN352" s="43">
        <v>0</v>
      </c>
      <c r="AO352" s="43">
        <v>0</v>
      </c>
      <c r="AP352" s="43">
        <v>0</v>
      </c>
      <c r="AQ352" s="43">
        <v>0</v>
      </c>
      <c r="AR352" s="43">
        <v>0</v>
      </c>
      <c r="AS352" s="43">
        <v>0</v>
      </c>
      <c r="AT352" s="43">
        <v>0</v>
      </c>
      <c r="AU352" s="43">
        <v>0</v>
      </c>
      <c r="AV352" s="43">
        <v>0</v>
      </c>
      <c r="AW352" s="43">
        <v>0</v>
      </c>
      <c r="AX352" s="43">
        <v>0</v>
      </c>
      <c r="AY352" s="43">
        <v>0</v>
      </c>
      <c r="AZ352" s="43">
        <v>0</v>
      </c>
      <c r="BA352" s="43">
        <v>0</v>
      </c>
      <c r="BB352" s="43">
        <v>0</v>
      </c>
      <c r="BC352" s="43">
        <v>0</v>
      </c>
      <c r="BD352" s="43">
        <v>0</v>
      </c>
      <c r="BE352" s="43">
        <v>0</v>
      </c>
      <c r="BF352" s="43">
        <v>0</v>
      </c>
      <c r="BG352" s="43">
        <v>0</v>
      </c>
      <c r="BH352" s="43">
        <v>0</v>
      </c>
      <c r="BI352" s="43">
        <v>0</v>
      </c>
      <c r="BJ352" s="43">
        <v>0</v>
      </c>
      <c r="BK352" s="43">
        <v>0</v>
      </c>
      <c r="BL352" s="43">
        <v>0</v>
      </c>
      <c r="BM352" s="43">
        <v>0</v>
      </c>
    </row>
    <row r="353" spans="1:65" ht="14.15" customHeight="1">
      <c r="A353" s="436">
        <f t="shared" si="1038"/>
        <v>346</v>
      </c>
      <c r="B353" s="20" t="s">
        <v>226</v>
      </c>
      <c r="C353" s="200">
        <f t="shared" ref="C353:L353" si="1053">SUM(C346:C352)</f>
        <v>-71.099999999999994</v>
      </c>
      <c r="D353" s="200">
        <f t="shared" si="1053"/>
        <v>0</v>
      </c>
      <c r="E353" s="200">
        <f t="shared" si="1053"/>
        <v>0</v>
      </c>
      <c r="F353" s="200">
        <f t="shared" si="1053"/>
        <v>0</v>
      </c>
      <c r="G353" s="200">
        <f t="shared" si="1053"/>
        <v>0</v>
      </c>
      <c r="H353" s="200">
        <f t="shared" si="1053"/>
        <v>0</v>
      </c>
      <c r="I353" s="200">
        <f t="shared" si="1053"/>
        <v>0</v>
      </c>
      <c r="J353" s="200">
        <f t="shared" si="1053"/>
        <v>0</v>
      </c>
      <c r="K353" s="200">
        <f t="shared" ref="K353" si="1054">SUM(K346:K352)</f>
        <v>0</v>
      </c>
      <c r="L353" s="200">
        <f t="shared" si="1053"/>
        <v>0</v>
      </c>
      <c r="M353" s="200">
        <f t="shared" ref="M353:Y353" si="1055">SUM(M346:M352)</f>
        <v>0</v>
      </c>
      <c r="N353" s="200">
        <f t="shared" si="1055"/>
        <v>0</v>
      </c>
      <c r="O353" s="200">
        <f t="shared" si="1055"/>
        <v>0</v>
      </c>
      <c r="P353" s="200">
        <f t="shared" si="1055"/>
        <v>0</v>
      </c>
      <c r="Q353" s="200">
        <f t="shared" si="1055"/>
        <v>0</v>
      </c>
      <c r="R353" s="200">
        <f t="shared" si="1055"/>
        <v>0</v>
      </c>
      <c r="S353" s="200">
        <f t="shared" si="1055"/>
        <v>0</v>
      </c>
      <c r="T353" s="200">
        <f>SUM(T346:T352)</f>
        <v>0</v>
      </c>
      <c r="U353" s="200">
        <f t="shared" si="1055"/>
        <v>0</v>
      </c>
      <c r="V353" s="200">
        <f t="shared" si="1055"/>
        <v>0</v>
      </c>
      <c r="W353" s="200">
        <f t="shared" si="1055"/>
        <v>-54.1</v>
      </c>
      <c r="X353" s="200">
        <f t="shared" si="1055"/>
        <v>0</v>
      </c>
      <c r="Y353" s="200">
        <f t="shared" si="1055"/>
        <v>0</v>
      </c>
      <c r="Z353" s="200">
        <f t="shared" ref="Z353:AE353" si="1056">SUM(Z346:Z352)</f>
        <v>0</v>
      </c>
      <c r="AA353" s="200">
        <f t="shared" si="1056"/>
        <v>0</v>
      </c>
      <c r="AB353" s="200">
        <f t="shared" si="1056"/>
        <v>0</v>
      </c>
      <c r="AC353" s="200">
        <f t="shared" ref="AC353" si="1057">SUM(AC346:AC352)</f>
        <v>0</v>
      </c>
      <c r="AD353" s="200">
        <f t="shared" si="1056"/>
        <v>5</v>
      </c>
      <c r="AE353" s="200">
        <f t="shared" si="1056"/>
        <v>0</v>
      </c>
      <c r="AF353" s="200">
        <f t="shared" ref="AF353:AI353" si="1058">SUM(AF346:AF352)</f>
        <v>0</v>
      </c>
      <c r="AG353" s="200">
        <f t="shared" si="1058"/>
        <v>0</v>
      </c>
      <c r="AH353" s="200">
        <f t="shared" si="1058"/>
        <v>0</v>
      </c>
      <c r="AI353" s="200">
        <f t="shared" si="1058"/>
        <v>0</v>
      </c>
      <c r="AJ353" s="200">
        <f>SUM(AJ346:AJ352)</f>
        <v>0</v>
      </c>
      <c r="AK353" s="200">
        <f>SUM(AK346:AK352)</f>
        <v>0</v>
      </c>
      <c r="AL353" s="200">
        <f>SUM(AL346:AL352)</f>
        <v>0</v>
      </c>
      <c r="AM353" s="200">
        <f t="shared" ref="AM353:AW353" si="1059">SUM(AM346:AM352)</f>
        <v>0</v>
      </c>
      <c r="AN353" s="200">
        <f t="shared" si="1059"/>
        <v>0</v>
      </c>
      <c r="AO353" s="200">
        <f t="shared" si="1059"/>
        <v>0</v>
      </c>
      <c r="AP353" s="200">
        <f>SUM(AP346:AP352)</f>
        <v>0</v>
      </c>
      <c r="AQ353" s="200">
        <f t="shared" ref="AQ353:AT353" si="1060">SUM(AQ346:AQ352)</f>
        <v>0</v>
      </c>
      <c r="AR353" s="200">
        <f t="shared" si="1060"/>
        <v>0</v>
      </c>
      <c r="AS353" s="200">
        <f t="shared" si="1060"/>
        <v>0</v>
      </c>
      <c r="AT353" s="200">
        <f t="shared" si="1060"/>
        <v>0</v>
      </c>
      <c r="AU353" s="200">
        <f>SUM(AU346:AU352)</f>
        <v>0</v>
      </c>
      <c r="AV353" s="200">
        <f t="shared" si="1059"/>
        <v>0</v>
      </c>
      <c r="AW353" s="200">
        <f t="shared" si="1059"/>
        <v>0</v>
      </c>
      <c r="AX353" s="200">
        <f>SUM(AX346:AX352)</f>
        <v>0</v>
      </c>
      <c r="AY353" s="200">
        <f>SUM(AY346:AY352)</f>
        <v>0</v>
      </c>
      <c r="AZ353" s="200">
        <f t="shared" ref="AZ353:BA353" si="1061">SUM(AZ346:AZ352)</f>
        <v>0</v>
      </c>
      <c r="BA353" s="200">
        <f t="shared" si="1061"/>
        <v>0</v>
      </c>
      <c r="BB353" s="200">
        <f>SUM(BB346:BB352)</f>
        <v>0</v>
      </c>
      <c r="BC353" s="200">
        <f>SUM(BC346:BC352)</f>
        <v>0</v>
      </c>
      <c r="BD353" s="200">
        <f t="shared" ref="BD353" si="1062">SUM(BD346:BD352)</f>
        <v>0</v>
      </c>
      <c r="BE353" s="200">
        <f>SUM(BE346:BE352)</f>
        <v>0</v>
      </c>
      <c r="BF353" s="200">
        <f>SUM(BF346:BF352)</f>
        <v>0</v>
      </c>
      <c r="BG353" s="200">
        <f>SUM(BG346:BG352)</f>
        <v>0</v>
      </c>
      <c r="BH353" s="200">
        <f>SUM(BH346:BH352)</f>
        <v>0</v>
      </c>
      <c r="BI353" s="200">
        <f t="shared" ref="BI353" si="1063">SUM(BI346:BI352)</f>
        <v>0</v>
      </c>
      <c r="BJ353" s="200">
        <f t="shared" ref="BJ353:BL353" si="1064">SUM(BJ346:BJ352)</f>
        <v>0</v>
      </c>
      <c r="BK353" s="200">
        <f t="shared" si="1064"/>
        <v>-22</v>
      </c>
      <c r="BL353" s="200">
        <f t="shared" si="1064"/>
        <v>0</v>
      </c>
      <c r="BM353" s="200">
        <f t="shared" ref="BM353" si="1065">SUM(BM346:BM352)</f>
        <v>0</v>
      </c>
    </row>
    <row r="354" spans="1:65" ht="14.15" customHeight="1">
      <c r="A354" s="436">
        <f t="shared" si="1038"/>
        <v>347</v>
      </c>
      <c r="B354" s="57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</row>
    <row r="355" spans="1:65" ht="14.15" customHeight="1">
      <c r="A355" s="436">
        <f t="shared" si="1038"/>
        <v>348</v>
      </c>
      <c r="B355" s="20" t="s">
        <v>227</v>
      </c>
      <c r="C355" s="163">
        <f t="shared" ref="C355:L355" si="1066">C343+C353</f>
        <v>14394212.9</v>
      </c>
      <c r="D355" s="163">
        <f t="shared" si="1066"/>
        <v>0</v>
      </c>
      <c r="E355" s="163">
        <f t="shared" si="1066"/>
        <v>0</v>
      </c>
      <c r="F355" s="163">
        <f t="shared" si="1066"/>
        <v>0</v>
      </c>
      <c r="G355" s="163">
        <f t="shared" si="1066"/>
        <v>0</v>
      </c>
      <c r="H355" s="163">
        <f t="shared" si="1066"/>
        <v>0</v>
      </c>
      <c r="I355" s="163">
        <f t="shared" si="1066"/>
        <v>0</v>
      </c>
      <c r="J355" s="163">
        <f t="shared" si="1066"/>
        <v>0</v>
      </c>
      <c r="K355" s="163">
        <f t="shared" ref="K355" si="1067">K343+K353</f>
        <v>0</v>
      </c>
      <c r="L355" s="163">
        <f t="shared" si="1066"/>
        <v>6727358</v>
      </c>
      <c r="M355" s="163">
        <f t="shared" ref="M355:Y355" si="1068">M343+M353</f>
        <v>0</v>
      </c>
      <c r="N355" s="163">
        <f t="shared" si="1068"/>
        <v>0</v>
      </c>
      <c r="O355" s="163">
        <f t="shared" si="1068"/>
        <v>0</v>
      </c>
      <c r="P355" s="163">
        <f t="shared" si="1068"/>
        <v>0</v>
      </c>
      <c r="Q355" s="163">
        <f t="shared" si="1068"/>
        <v>0</v>
      </c>
      <c r="R355" s="163">
        <f t="shared" si="1068"/>
        <v>0</v>
      </c>
      <c r="S355" s="163">
        <f t="shared" si="1068"/>
        <v>0</v>
      </c>
      <c r="T355" s="163">
        <f>T343+T353</f>
        <v>0</v>
      </c>
      <c r="U355" s="163">
        <f t="shared" si="1068"/>
        <v>0</v>
      </c>
      <c r="V355" s="163">
        <f t="shared" si="1068"/>
        <v>0</v>
      </c>
      <c r="W355" s="163">
        <f t="shared" si="1068"/>
        <v>-445.1</v>
      </c>
      <c r="X355" s="163">
        <f t="shared" si="1068"/>
        <v>0</v>
      </c>
      <c r="Y355" s="163">
        <f t="shared" si="1068"/>
        <v>0</v>
      </c>
      <c r="Z355" s="163">
        <f t="shared" ref="Z355:AE355" si="1069">Z343+Z353</f>
        <v>7893781</v>
      </c>
      <c r="AA355" s="163">
        <f t="shared" si="1069"/>
        <v>0</v>
      </c>
      <c r="AB355" s="163">
        <f t="shared" si="1069"/>
        <v>0</v>
      </c>
      <c r="AC355" s="163">
        <f t="shared" ref="AC355" si="1070">AC343+AC353</f>
        <v>0</v>
      </c>
      <c r="AD355" s="163">
        <f t="shared" si="1069"/>
        <v>-46037</v>
      </c>
      <c r="AE355" s="163">
        <f t="shared" si="1069"/>
        <v>0</v>
      </c>
      <c r="AF355" s="163">
        <f t="shared" ref="AF355:AI355" si="1071">AF343+AF353</f>
        <v>0</v>
      </c>
      <c r="AG355" s="163">
        <f t="shared" si="1071"/>
        <v>0</v>
      </c>
      <c r="AH355" s="163">
        <f t="shared" si="1071"/>
        <v>0</v>
      </c>
      <c r="AI355" s="163">
        <f t="shared" si="1071"/>
        <v>0</v>
      </c>
      <c r="AJ355" s="163">
        <f>AJ343+AJ353</f>
        <v>0</v>
      </c>
      <c r="AK355" s="163">
        <f>AK343+AK353</f>
        <v>0</v>
      </c>
      <c r="AL355" s="163">
        <f>AL343+AL353</f>
        <v>0</v>
      </c>
      <c r="AM355" s="163">
        <f t="shared" ref="AM355:AW355" si="1072">AM343+AM353</f>
        <v>0</v>
      </c>
      <c r="AN355" s="163">
        <f t="shared" si="1072"/>
        <v>0</v>
      </c>
      <c r="AO355" s="163">
        <f t="shared" si="1072"/>
        <v>0</v>
      </c>
      <c r="AP355" s="163">
        <f>AP343+AP353</f>
        <v>0</v>
      </c>
      <c r="AQ355" s="163">
        <f t="shared" ref="AQ355:AT355" si="1073">AQ343+AQ353</f>
        <v>0</v>
      </c>
      <c r="AR355" s="163">
        <f t="shared" si="1073"/>
        <v>0</v>
      </c>
      <c r="AS355" s="163">
        <f t="shared" si="1073"/>
        <v>0</v>
      </c>
      <c r="AT355" s="163">
        <f t="shared" si="1073"/>
        <v>0</v>
      </c>
      <c r="AU355" s="163">
        <f>AU343+AU353</f>
        <v>0</v>
      </c>
      <c r="AV355" s="163">
        <f t="shared" si="1072"/>
        <v>0</v>
      </c>
      <c r="AW355" s="163">
        <f t="shared" si="1072"/>
        <v>0</v>
      </c>
      <c r="AX355" s="163">
        <f>AX343+AX353</f>
        <v>0</v>
      </c>
      <c r="AY355" s="163">
        <f>AY343+AY353</f>
        <v>0</v>
      </c>
      <c r="AZ355" s="163">
        <f t="shared" ref="AZ355:BA355" si="1074">AZ343+AZ353</f>
        <v>0</v>
      </c>
      <c r="BA355" s="163">
        <f t="shared" si="1074"/>
        <v>0</v>
      </c>
      <c r="BB355" s="163">
        <f>BB343+BB353</f>
        <v>0</v>
      </c>
      <c r="BC355" s="163">
        <f>BC343+BC353</f>
        <v>0</v>
      </c>
      <c r="BD355" s="163">
        <f t="shared" ref="BD355" si="1075">BD343+BD353</f>
        <v>0</v>
      </c>
      <c r="BE355" s="163">
        <f>BE343+BE353</f>
        <v>-117604</v>
      </c>
      <c r="BF355" s="163">
        <f>BF343+BF353</f>
        <v>0</v>
      </c>
      <c r="BG355" s="163">
        <f>BG343+BG353</f>
        <v>0</v>
      </c>
      <c r="BH355" s="163">
        <f>BH343+BH353</f>
        <v>0</v>
      </c>
      <c r="BI355" s="163">
        <f t="shared" ref="BI355" si="1076">BI343+BI353</f>
        <v>0</v>
      </c>
      <c r="BJ355" s="163">
        <f t="shared" ref="BJ355:BL355" si="1077">BJ343+BJ353</f>
        <v>0</v>
      </c>
      <c r="BK355" s="163">
        <f t="shared" si="1077"/>
        <v>-62840</v>
      </c>
      <c r="BL355" s="163">
        <f t="shared" si="1077"/>
        <v>0</v>
      </c>
      <c r="BM355" s="163">
        <f t="shared" ref="BM355" si="1078">BM343+BM353</f>
        <v>0</v>
      </c>
    </row>
    <row r="356" spans="1:65" ht="14.15" customHeight="1">
      <c r="A356" s="436">
        <f t="shared" si="1038"/>
        <v>349</v>
      </c>
      <c r="B356" s="124"/>
      <c r="C356" s="158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</row>
    <row r="357" spans="1:65" ht="14.15" customHeight="1">
      <c r="A357" s="436">
        <f t="shared" si="1038"/>
        <v>350</v>
      </c>
      <c r="B357" s="13" t="s">
        <v>228</v>
      </c>
      <c r="C357" s="61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</row>
    <row r="358" spans="1:65" ht="14.15" customHeight="1">
      <c r="A358" s="436">
        <f t="shared" si="1038"/>
        <v>351</v>
      </c>
      <c r="B358" s="22" t="s">
        <v>229</v>
      </c>
      <c r="C358" s="38">
        <f>SUM(D358:BM358)</f>
        <v>6441.5299999999988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-1290.47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19457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-11725</v>
      </c>
      <c r="BL358" s="10">
        <v>0</v>
      </c>
      <c r="BM358" s="10">
        <v>0</v>
      </c>
    </row>
    <row r="359" spans="1:65" ht="14.15" customHeight="1">
      <c r="A359" s="436">
        <f t="shared" si="1038"/>
        <v>352</v>
      </c>
      <c r="B359" s="22" t="s">
        <v>230</v>
      </c>
      <c r="C359" s="38">
        <f t="shared" ref="C359:C367" si="1079">SUM(D359:BM359)</f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10">
        <v>0</v>
      </c>
      <c r="BL359" s="10">
        <v>0</v>
      </c>
      <c r="BM359" s="10">
        <v>0</v>
      </c>
    </row>
    <row r="360" spans="1:65" ht="14.15" customHeight="1">
      <c r="A360" s="436">
        <f t="shared" si="1038"/>
        <v>353</v>
      </c>
      <c r="B360" s="22" t="s">
        <v>231</v>
      </c>
      <c r="C360" s="38">
        <f t="shared" si="1079"/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  <c r="BM360" s="10">
        <v>0</v>
      </c>
    </row>
    <row r="361" spans="1:65" ht="14.15" customHeight="1">
      <c r="A361" s="436">
        <f t="shared" si="1038"/>
        <v>354</v>
      </c>
      <c r="B361" s="22" t="s">
        <v>232</v>
      </c>
      <c r="C361" s="38">
        <f t="shared" si="1079"/>
        <v>-45422.850570295013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-8949.4599999999991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-5853.3605702950153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-1308.03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10">
        <v>-29312</v>
      </c>
      <c r="BL361" s="10">
        <v>0</v>
      </c>
      <c r="BM361" s="10">
        <v>0</v>
      </c>
    </row>
    <row r="362" spans="1:65" ht="14.15" customHeight="1">
      <c r="A362" s="436">
        <f t="shared" si="1038"/>
        <v>355</v>
      </c>
      <c r="B362" s="22" t="s">
        <v>233</v>
      </c>
      <c r="C362" s="38">
        <f t="shared" si="1079"/>
        <v>-37.69674588870609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-54.57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156.6934441112939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-139.82019</v>
      </c>
      <c r="BL362" s="10">
        <v>0</v>
      </c>
      <c r="BM362" s="10">
        <v>0</v>
      </c>
    </row>
    <row r="363" spans="1:65" ht="14.15" customHeight="1">
      <c r="A363" s="436">
        <f t="shared" si="1038"/>
        <v>356</v>
      </c>
      <c r="B363" s="22" t="s">
        <v>234</v>
      </c>
      <c r="C363" s="38">
        <f t="shared" si="1079"/>
        <v>48.22550746901743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-79.87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213.47412146901743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10">
        <v>-85.378613999999999</v>
      </c>
      <c r="BL363" s="10">
        <v>0</v>
      </c>
      <c r="BM363" s="10">
        <v>0</v>
      </c>
    </row>
    <row r="364" spans="1:65" ht="14.15" customHeight="1">
      <c r="A364" s="436">
        <f t="shared" si="1038"/>
        <v>357</v>
      </c>
      <c r="B364" s="22" t="s">
        <v>235</v>
      </c>
      <c r="C364" s="38">
        <f t="shared" si="1079"/>
        <v>-12312.926108763888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-25844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56667.847121236111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-43136.773229999999</v>
      </c>
      <c r="BL364" s="10">
        <v>0</v>
      </c>
      <c r="BM364" s="10">
        <v>0</v>
      </c>
    </row>
    <row r="365" spans="1:65" ht="14.15" customHeight="1">
      <c r="A365" s="436">
        <f t="shared" si="1038"/>
        <v>358</v>
      </c>
      <c r="B365" s="22" t="s">
        <v>236</v>
      </c>
      <c r="C365" s="38">
        <f t="shared" si="1079"/>
        <v>3197.7001755540887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-1809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13003.095031554089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10">
        <v>-7996.3948559999999</v>
      </c>
      <c r="BL365" s="10">
        <v>0</v>
      </c>
      <c r="BM365" s="10">
        <v>0</v>
      </c>
    </row>
    <row r="366" spans="1:65" s="21" customFormat="1" ht="14.15" customHeight="1">
      <c r="A366" s="436">
        <f t="shared" si="1038"/>
        <v>359</v>
      </c>
      <c r="B366" s="22" t="s">
        <v>237</v>
      </c>
      <c r="C366" s="38">
        <f t="shared" si="1079"/>
        <v>32359.60968853136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-32626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167865.13179253135</v>
      </c>
      <c r="AE366" s="10">
        <v>-3199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-6691.48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</v>
      </c>
      <c r="BK366" s="10">
        <v>-92989.042103999993</v>
      </c>
      <c r="BL366" s="10">
        <v>0</v>
      </c>
      <c r="BM366" s="10">
        <v>0</v>
      </c>
    </row>
    <row r="367" spans="1:65" s="21" customFormat="1" ht="14.15" customHeight="1">
      <c r="A367" s="436">
        <f t="shared" si="1038"/>
        <v>360</v>
      </c>
      <c r="B367" s="56" t="s">
        <v>238</v>
      </c>
      <c r="C367" s="38">
        <f t="shared" si="1079"/>
        <v>9065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43">
        <v>0</v>
      </c>
      <c r="AP367" s="43">
        <v>9065</v>
      </c>
      <c r="AQ367" s="43">
        <v>0</v>
      </c>
      <c r="AR367" s="43">
        <v>0</v>
      </c>
      <c r="AS367" s="43">
        <v>0</v>
      </c>
      <c r="AT367" s="43">
        <v>0</v>
      </c>
      <c r="AU367" s="43">
        <v>0</v>
      </c>
      <c r="AV367" s="43">
        <v>0</v>
      </c>
      <c r="AW367" s="43">
        <v>0</v>
      </c>
      <c r="AX367" s="43">
        <v>0</v>
      </c>
      <c r="AY367" s="43">
        <v>0</v>
      </c>
      <c r="AZ367" s="43">
        <v>0</v>
      </c>
      <c r="BA367" s="43">
        <v>0</v>
      </c>
      <c r="BB367" s="43">
        <v>0</v>
      </c>
      <c r="BC367" s="43">
        <v>0</v>
      </c>
      <c r="BD367" s="43">
        <v>0</v>
      </c>
      <c r="BE367" s="43">
        <v>0</v>
      </c>
      <c r="BF367" s="43">
        <v>0</v>
      </c>
      <c r="BG367" s="43">
        <v>0</v>
      </c>
      <c r="BH367" s="43">
        <v>0</v>
      </c>
      <c r="BI367" s="43">
        <v>0</v>
      </c>
      <c r="BJ367" s="43">
        <v>0</v>
      </c>
      <c r="BK367" s="43">
        <v>0</v>
      </c>
      <c r="BL367" s="43">
        <v>0</v>
      </c>
      <c r="BM367" s="43">
        <v>0</v>
      </c>
    </row>
    <row r="368" spans="1:65" ht="14.15" customHeight="1">
      <c r="A368" s="436">
        <f t="shared" si="1038"/>
        <v>361</v>
      </c>
      <c r="B368" s="20" t="s">
        <v>502</v>
      </c>
      <c r="C368" s="80">
        <f t="shared" ref="C368:L368" si="1080">SUM(C358:C367)</f>
        <v>-6661.408053393141</v>
      </c>
      <c r="D368" s="80">
        <f t="shared" si="1080"/>
        <v>0</v>
      </c>
      <c r="E368" s="80">
        <f t="shared" si="1080"/>
        <v>0</v>
      </c>
      <c r="F368" s="80">
        <f t="shared" si="1080"/>
        <v>0</v>
      </c>
      <c r="G368" s="80">
        <f t="shared" si="1080"/>
        <v>0</v>
      </c>
      <c r="H368" s="80">
        <f t="shared" si="1080"/>
        <v>0</v>
      </c>
      <c r="I368" s="80">
        <f t="shared" si="1080"/>
        <v>0</v>
      </c>
      <c r="J368" s="80">
        <f t="shared" si="1080"/>
        <v>0</v>
      </c>
      <c r="K368" s="80">
        <f t="shared" ref="K368" si="1081">SUM(K358:K367)</f>
        <v>0</v>
      </c>
      <c r="L368" s="80">
        <f t="shared" si="1080"/>
        <v>0</v>
      </c>
      <c r="M368" s="80">
        <f t="shared" ref="M368:Y368" si="1082">SUM(M358:M367)</f>
        <v>0</v>
      </c>
      <c r="N368" s="80">
        <f t="shared" si="1082"/>
        <v>0</v>
      </c>
      <c r="O368" s="80">
        <f t="shared" si="1082"/>
        <v>0</v>
      </c>
      <c r="P368" s="80">
        <f t="shared" si="1082"/>
        <v>0</v>
      </c>
      <c r="Q368" s="80">
        <f t="shared" si="1082"/>
        <v>0</v>
      </c>
      <c r="R368" s="80">
        <f t="shared" si="1082"/>
        <v>0</v>
      </c>
      <c r="S368" s="80">
        <f t="shared" si="1082"/>
        <v>0</v>
      </c>
      <c r="T368" s="80">
        <f>SUM(T358:T367)</f>
        <v>0</v>
      </c>
      <c r="U368" s="80">
        <f t="shared" si="1082"/>
        <v>0</v>
      </c>
      <c r="V368" s="80">
        <f t="shared" si="1082"/>
        <v>0</v>
      </c>
      <c r="W368" s="80">
        <f t="shared" si="1082"/>
        <v>-70653.37</v>
      </c>
      <c r="X368" s="80">
        <f t="shared" si="1082"/>
        <v>0</v>
      </c>
      <c r="Y368" s="80">
        <f t="shared" si="1082"/>
        <v>0</v>
      </c>
      <c r="Z368" s="80">
        <f t="shared" ref="Z368:AE368" si="1083">SUM(Z358:Z367)</f>
        <v>0</v>
      </c>
      <c r="AA368" s="80">
        <f t="shared" si="1083"/>
        <v>0</v>
      </c>
      <c r="AB368" s="80">
        <f t="shared" si="1083"/>
        <v>0</v>
      </c>
      <c r="AC368" s="80">
        <f t="shared" ref="AC368" si="1084">SUM(AC358:AC367)</f>
        <v>0</v>
      </c>
      <c r="AD368" s="80">
        <f t="shared" si="1083"/>
        <v>251509.88094060682</v>
      </c>
      <c r="AE368" s="80">
        <f t="shared" si="1083"/>
        <v>-3199</v>
      </c>
      <c r="AF368" s="80">
        <f t="shared" ref="AF368:AI368" si="1085">SUM(AF358:AF367)</f>
        <v>0</v>
      </c>
      <c r="AG368" s="80">
        <f t="shared" si="1085"/>
        <v>0</v>
      </c>
      <c r="AH368" s="80">
        <f t="shared" si="1085"/>
        <v>0</v>
      </c>
      <c r="AI368" s="80">
        <f t="shared" si="1085"/>
        <v>0</v>
      </c>
      <c r="AJ368" s="80">
        <f>SUM(AJ358:AJ367)</f>
        <v>0</v>
      </c>
      <c r="AK368" s="80">
        <f>SUM(AK358:AK367)</f>
        <v>0</v>
      </c>
      <c r="AL368" s="80">
        <f>SUM(AL358:AL367)</f>
        <v>0</v>
      </c>
      <c r="AM368" s="80">
        <f t="shared" ref="AM368:AW368" si="1086">SUM(AM358:AM367)</f>
        <v>0</v>
      </c>
      <c r="AN368" s="80">
        <f t="shared" si="1086"/>
        <v>0</v>
      </c>
      <c r="AO368" s="80">
        <f t="shared" si="1086"/>
        <v>0</v>
      </c>
      <c r="AP368" s="80">
        <f>SUM(AP358:AP367)</f>
        <v>9065</v>
      </c>
      <c r="AQ368" s="80">
        <f t="shared" ref="AQ368:AT368" si="1087">SUM(AQ358:AQ367)</f>
        <v>-7999.5099999999993</v>
      </c>
      <c r="AR368" s="80">
        <f t="shared" si="1087"/>
        <v>0</v>
      </c>
      <c r="AS368" s="80">
        <f t="shared" si="1087"/>
        <v>0</v>
      </c>
      <c r="AT368" s="80">
        <f t="shared" si="1087"/>
        <v>0</v>
      </c>
      <c r="AU368" s="80">
        <f>SUM(AU358:AU367)</f>
        <v>0</v>
      </c>
      <c r="AV368" s="80">
        <f t="shared" si="1086"/>
        <v>0</v>
      </c>
      <c r="AW368" s="80">
        <f t="shared" si="1086"/>
        <v>0</v>
      </c>
      <c r="AX368" s="80">
        <f>SUM(AX358:AX367)</f>
        <v>0</v>
      </c>
      <c r="AY368" s="80">
        <f>SUM(AY358:AY367)</f>
        <v>0</v>
      </c>
      <c r="AZ368" s="80">
        <f t="shared" ref="AZ368:BA368" si="1088">SUM(AZ358:AZ367)</f>
        <v>0</v>
      </c>
      <c r="BA368" s="80">
        <f t="shared" si="1088"/>
        <v>0</v>
      </c>
      <c r="BB368" s="80">
        <f>SUM(BB358:BB367)</f>
        <v>0</v>
      </c>
      <c r="BC368" s="80">
        <f>SUM(BC358:BC367)</f>
        <v>0</v>
      </c>
      <c r="BD368" s="80">
        <f t="shared" ref="BD368" si="1089">SUM(BD358:BD367)</f>
        <v>0</v>
      </c>
      <c r="BE368" s="80">
        <f>SUM(BE358:BE367)</f>
        <v>0</v>
      </c>
      <c r="BF368" s="80">
        <f>SUM(BF358:BF367)</f>
        <v>0</v>
      </c>
      <c r="BG368" s="80">
        <f>SUM(BG358:BG367)</f>
        <v>0</v>
      </c>
      <c r="BH368" s="80">
        <f>SUM(BH358:BH367)</f>
        <v>0</v>
      </c>
      <c r="BI368" s="80">
        <f t="shared" ref="BI368" si="1090">SUM(BI358:BI367)</f>
        <v>0</v>
      </c>
      <c r="BJ368" s="80">
        <f t="shared" ref="BJ368:BL368" si="1091">SUM(BJ358:BJ367)</f>
        <v>0</v>
      </c>
      <c r="BK368" s="80">
        <f t="shared" si="1091"/>
        <v>-185384.408994</v>
      </c>
      <c r="BL368" s="80">
        <f t="shared" si="1091"/>
        <v>0</v>
      </c>
      <c r="BM368" s="80">
        <f t="shared" ref="BM368" si="1092">SUM(BM358:BM367)</f>
        <v>0</v>
      </c>
    </row>
    <row r="369" spans="1:65" ht="14.15" customHeight="1">
      <c r="A369" s="436">
        <f t="shared" si="1038"/>
        <v>362</v>
      </c>
      <c r="B369" s="158"/>
      <c r="C369" s="158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</row>
    <row r="370" spans="1:65" ht="14.15" customHeight="1">
      <c r="A370" s="436">
        <f t="shared" si="1038"/>
        <v>363</v>
      </c>
      <c r="B370" s="22" t="s">
        <v>239</v>
      </c>
      <c r="C370" s="38">
        <f>SUM(D370:BM370)</f>
        <v>219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12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269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-62</v>
      </c>
      <c r="BL370" s="10">
        <v>0</v>
      </c>
      <c r="BM370" s="10">
        <v>0</v>
      </c>
    </row>
    <row r="371" spans="1:65" ht="14.15" customHeight="1">
      <c r="A371" s="436">
        <f t="shared" si="1038"/>
        <v>364</v>
      </c>
      <c r="B371" s="22" t="s">
        <v>240</v>
      </c>
      <c r="C371" s="38">
        <f t="shared" ref="C371:C380" si="1093">SUM(D371:BM371)</f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</row>
    <row r="372" spans="1:65" ht="13.15" customHeight="1">
      <c r="A372" s="436">
        <f t="shared" si="1038"/>
        <v>365</v>
      </c>
      <c r="B372" s="22" t="s">
        <v>241</v>
      </c>
      <c r="C372" s="38">
        <f t="shared" si="1093"/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0">
        <v>0</v>
      </c>
    </row>
    <row r="373" spans="1:65" ht="14.15" customHeight="1">
      <c r="A373" s="436">
        <f t="shared" si="1038"/>
        <v>366</v>
      </c>
      <c r="B373" s="22" t="s">
        <v>242</v>
      </c>
      <c r="C373" s="38">
        <f t="shared" si="1093"/>
        <v>-6356356.0049999999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-6313675.0049999999</v>
      </c>
      <c r="T373" s="10">
        <v>0</v>
      </c>
      <c r="U373" s="10">
        <v>0</v>
      </c>
      <c r="V373" s="10">
        <v>0</v>
      </c>
      <c r="W373" s="10">
        <v>-102560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311655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0</v>
      </c>
      <c r="BK373" s="10">
        <v>-251776</v>
      </c>
      <c r="BL373" s="10">
        <v>0</v>
      </c>
      <c r="BM373" s="10">
        <v>0</v>
      </c>
    </row>
    <row r="374" spans="1:65" ht="12.75" customHeight="1">
      <c r="A374" s="436">
        <f t="shared" si="1038"/>
        <v>367</v>
      </c>
      <c r="B374" s="22" t="s">
        <v>322</v>
      </c>
      <c r="C374" s="38">
        <f t="shared" si="1093"/>
        <v>-1649913.72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-1649913.72</v>
      </c>
      <c r="BF374" s="10">
        <v>0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0</v>
      </c>
      <c r="BM374" s="10">
        <v>0</v>
      </c>
    </row>
    <row r="375" spans="1:65" ht="14.15" customHeight="1">
      <c r="A375" s="436">
        <f t="shared" si="1038"/>
        <v>368</v>
      </c>
      <c r="B375" s="22" t="s">
        <v>243</v>
      </c>
      <c r="C375" s="38">
        <f t="shared" si="1093"/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0</v>
      </c>
      <c r="BL375" s="10">
        <v>0</v>
      </c>
      <c r="BM375" s="10">
        <v>0</v>
      </c>
    </row>
    <row r="376" spans="1:65" ht="14.15" customHeight="1">
      <c r="A376" s="436">
        <f t="shared" si="1038"/>
        <v>369</v>
      </c>
      <c r="B376" s="22" t="s">
        <v>244</v>
      </c>
      <c r="C376" s="38">
        <f t="shared" si="1093"/>
        <v>-538.07250102123669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-462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35.74202897876328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0</v>
      </c>
      <c r="BK376" s="10">
        <v>-111.81452999999999</v>
      </c>
      <c r="BL376" s="10">
        <v>0</v>
      </c>
      <c r="BM376" s="10">
        <v>0</v>
      </c>
    </row>
    <row r="377" spans="1:65" ht="14.15" customHeight="1">
      <c r="A377" s="436">
        <f t="shared" si="1038"/>
        <v>370</v>
      </c>
      <c r="B377" s="22" t="s">
        <v>245</v>
      </c>
      <c r="C377" s="38">
        <f t="shared" si="1093"/>
        <v>396.88039273848983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186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774.87038473848975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-563.98999199999992</v>
      </c>
      <c r="BL377" s="10">
        <v>0</v>
      </c>
      <c r="BM377" s="10">
        <v>0</v>
      </c>
    </row>
    <row r="378" spans="1:65" s="21" customFormat="1" ht="14.15" customHeight="1">
      <c r="A378" s="436">
        <f t="shared" si="1038"/>
        <v>371</v>
      </c>
      <c r="B378" s="22" t="s">
        <v>246</v>
      </c>
      <c r="C378" s="38">
        <f t="shared" si="1093"/>
        <v>243.12106731476581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-387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1405.9254173147658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-775.80435</v>
      </c>
      <c r="BL378" s="10">
        <v>0</v>
      </c>
      <c r="BM378" s="10">
        <v>0</v>
      </c>
    </row>
    <row r="379" spans="1:65" ht="14.15" customHeight="1">
      <c r="A379" s="436">
        <f t="shared" si="1038"/>
        <v>372</v>
      </c>
      <c r="B379" s="22" t="s">
        <v>247</v>
      </c>
      <c r="C379" s="38">
        <f t="shared" si="1093"/>
        <v>533.43013670769164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-397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2122.0739427076915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0</v>
      </c>
      <c r="BK379" s="10">
        <v>-1191.6438059999998</v>
      </c>
      <c r="BL379" s="10">
        <v>0</v>
      </c>
      <c r="BM379" s="10">
        <v>0</v>
      </c>
    </row>
    <row r="380" spans="1:65" ht="14.15" customHeight="1">
      <c r="A380" s="436">
        <f t="shared" si="1038"/>
        <v>373</v>
      </c>
      <c r="B380" s="56" t="s">
        <v>248</v>
      </c>
      <c r="C380" s="38">
        <f t="shared" si="1093"/>
        <v>-21.039722804634948</v>
      </c>
      <c r="D380" s="43">
        <v>0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-341</v>
      </c>
      <c r="X380" s="43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734.77107519536503</v>
      </c>
      <c r="AE380" s="43">
        <v>0</v>
      </c>
      <c r="AF380" s="43">
        <v>0</v>
      </c>
      <c r="AG380" s="43">
        <v>0</v>
      </c>
      <c r="AH380" s="43">
        <v>0</v>
      </c>
      <c r="AI380" s="43">
        <v>0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0</v>
      </c>
      <c r="AR380" s="43">
        <v>0</v>
      </c>
      <c r="AS380" s="43">
        <v>0</v>
      </c>
      <c r="AT380" s="43">
        <v>0</v>
      </c>
      <c r="AU380" s="43">
        <v>0</v>
      </c>
      <c r="AV380" s="43">
        <v>0</v>
      </c>
      <c r="AW380" s="43">
        <v>0</v>
      </c>
      <c r="AX380" s="43">
        <v>0</v>
      </c>
      <c r="AY380" s="43">
        <v>0</v>
      </c>
      <c r="AZ380" s="43">
        <v>0</v>
      </c>
      <c r="BA380" s="43">
        <v>0</v>
      </c>
      <c r="BB380" s="43">
        <v>0</v>
      </c>
      <c r="BC380" s="43">
        <v>0</v>
      </c>
      <c r="BD380" s="43">
        <v>0</v>
      </c>
      <c r="BE380" s="43">
        <v>0</v>
      </c>
      <c r="BF380" s="43">
        <v>0</v>
      </c>
      <c r="BG380" s="43">
        <v>0</v>
      </c>
      <c r="BH380" s="43">
        <v>0</v>
      </c>
      <c r="BI380" s="43">
        <v>0</v>
      </c>
      <c r="BJ380" s="43">
        <v>0</v>
      </c>
      <c r="BK380" s="43">
        <v>-414.81079799999998</v>
      </c>
      <c r="BL380" s="43">
        <v>0</v>
      </c>
      <c r="BM380" s="43">
        <v>0</v>
      </c>
    </row>
    <row r="381" spans="1:65" ht="14.15" customHeight="1">
      <c r="A381" s="436">
        <f t="shared" si="1038"/>
        <v>374</v>
      </c>
      <c r="B381" s="20" t="s">
        <v>503</v>
      </c>
      <c r="C381" s="47">
        <f t="shared" ref="C381:L381" si="1094">SUM(C370:C380)</f>
        <v>-8005436.4056270653</v>
      </c>
      <c r="D381" s="47">
        <f t="shared" si="1094"/>
        <v>0</v>
      </c>
      <c r="E381" s="47">
        <f t="shared" si="1094"/>
        <v>0</v>
      </c>
      <c r="F381" s="47">
        <f t="shared" si="1094"/>
        <v>0</v>
      </c>
      <c r="G381" s="47">
        <f t="shared" si="1094"/>
        <v>0</v>
      </c>
      <c r="H381" s="47">
        <f t="shared" si="1094"/>
        <v>0</v>
      </c>
      <c r="I381" s="47">
        <f t="shared" si="1094"/>
        <v>0</v>
      </c>
      <c r="J381" s="47">
        <f t="shared" si="1094"/>
        <v>0</v>
      </c>
      <c r="K381" s="47">
        <f t="shared" ref="K381" si="1095">SUM(K370:K380)</f>
        <v>0</v>
      </c>
      <c r="L381" s="47">
        <f t="shared" si="1094"/>
        <v>0</v>
      </c>
      <c r="M381" s="47">
        <f t="shared" ref="M381:Y381" si="1096">SUM(M370:M380)</f>
        <v>0</v>
      </c>
      <c r="N381" s="47">
        <f t="shared" si="1096"/>
        <v>0</v>
      </c>
      <c r="O381" s="47">
        <f t="shared" si="1096"/>
        <v>0</v>
      </c>
      <c r="P381" s="47">
        <f t="shared" si="1096"/>
        <v>0</v>
      </c>
      <c r="Q381" s="47">
        <f t="shared" si="1096"/>
        <v>0</v>
      </c>
      <c r="R381" s="47">
        <f t="shared" si="1096"/>
        <v>0</v>
      </c>
      <c r="S381" s="47">
        <f t="shared" si="1096"/>
        <v>-6313675.0049999999</v>
      </c>
      <c r="T381" s="47">
        <f>SUM(T370:T380)</f>
        <v>0</v>
      </c>
      <c r="U381" s="47">
        <f t="shared" si="1096"/>
        <v>0</v>
      </c>
      <c r="V381" s="47">
        <f t="shared" si="1096"/>
        <v>0</v>
      </c>
      <c r="W381" s="47">
        <f t="shared" si="1096"/>
        <v>-103949</v>
      </c>
      <c r="X381" s="47">
        <f t="shared" si="1096"/>
        <v>0</v>
      </c>
      <c r="Y381" s="47">
        <f t="shared" si="1096"/>
        <v>0</v>
      </c>
      <c r="Z381" s="47">
        <f t="shared" ref="Z381:AE381" si="1097">SUM(Z370:Z380)</f>
        <v>0</v>
      </c>
      <c r="AA381" s="47">
        <f t="shared" si="1097"/>
        <v>0</v>
      </c>
      <c r="AB381" s="47">
        <f t="shared" si="1097"/>
        <v>0</v>
      </c>
      <c r="AC381" s="47">
        <f t="shared" ref="AC381" si="1098">SUM(AC370:AC380)</f>
        <v>0</v>
      </c>
      <c r="AD381" s="47">
        <f t="shared" si="1097"/>
        <v>316997.38284893503</v>
      </c>
      <c r="AE381" s="47">
        <f t="shared" si="1097"/>
        <v>0</v>
      </c>
      <c r="AF381" s="47">
        <f t="shared" ref="AF381:AI381" si="1099">SUM(AF370:AF380)</f>
        <v>0</v>
      </c>
      <c r="AG381" s="47">
        <f t="shared" si="1099"/>
        <v>0</v>
      </c>
      <c r="AH381" s="47">
        <f t="shared" si="1099"/>
        <v>0</v>
      </c>
      <c r="AI381" s="47">
        <f t="shared" si="1099"/>
        <v>0</v>
      </c>
      <c r="AJ381" s="47">
        <f>SUM(AJ370:AJ380)</f>
        <v>0</v>
      </c>
      <c r="AK381" s="47">
        <f>SUM(AK370:AK380)</f>
        <v>0</v>
      </c>
      <c r="AL381" s="47">
        <f>SUM(AL370:AL380)</f>
        <v>0</v>
      </c>
      <c r="AM381" s="47">
        <f t="shared" ref="AM381:AW381" si="1100">SUM(AM370:AM380)</f>
        <v>0</v>
      </c>
      <c r="AN381" s="47">
        <f t="shared" si="1100"/>
        <v>0</v>
      </c>
      <c r="AO381" s="47">
        <f t="shared" si="1100"/>
        <v>0</v>
      </c>
      <c r="AP381" s="47">
        <f>SUM(AP370:AP380)</f>
        <v>0</v>
      </c>
      <c r="AQ381" s="47">
        <f t="shared" ref="AQ381:AT381" si="1101">SUM(AQ370:AQ380)</f>
        <v>0</v>
      </c>
      <c r="AR381" s="47">
        <f t="shared" si="1101"/>
        <v>0</v>
      </c>
      <c r="AS381" s="47">
        <f t="shared" si="1101"/>
        <v>0</v>
      </c>
      <c r="AT381" s="47">
        <f t="shared" si="1101"/>
        <v>0</v>
      </c>
      <c r="AU381" s="47">
        <f>SUM(AU370:AU380)</f>
        <v>0</v>
      </c>
      <c r="AV381" s="47">
        <f t="shared" si="1100"/>
        <v>0</v>
      </c>
      <c r="AW381" s="47">
        <f t="shared" si="1100"/>
        <v>0</v>
      </c>
      <c r="AX381" s="47">
        <f>SUM(AX370:AX380)</f>
        <v>0</v>
      </c>
      <c r="AY381" s="47">
        <f>SUM(AY370:AY380)</f>
        <v>0</v>
      </c>
      <c r="AZ381" s="47">
        <f t="shared" ref="AZ381:BA381" si="1102">SUM(AZ370:AZ380)</f>
        <v>0</v>
      </c>
      <c r="BA381" s="47">
        <f t="shared" si="1102"/>
        <v>0</v>
      </c>
      <c r="BB381" s="47">
        <f>SUM(BB370:BB380)</f>
        <v>0</v>
      </c>
      <c r="BC381" s="47">
        <f>SUM(BC370:BC380)</f>
        <v>0</v>
      </c>
      <c r="BD381" s="47">
        <f t="shared" ref="BD381" si="1103">SUM(BD370:BD380)</f>
        <v>0</v>
      </c>
      <c r="BE381" s="47">
        <f>SUM(BE370:BE380)</f>
        <v>-1649913.72</v>
      </c>
      <c r="BF381" s="47">
        <f>SUM(BF370:BF380)</f>
        <v>0</v>
      </c>
      <c r="BG381" s="47">
        <f>SUM(BG370:BG380)</f>
        <v>0</v>
      </c>
      <c r="BH381" s="47">
        <f>SUM(BH370:BH380)</f>
        <v>0</v>
      </c>
      <c r="BI381" s="47">
        <f t="shared" ref="BI381" si="1104">SUM(BI370:BI380)</f>
        <v>0</v>
      </c>
      <c r="BJ381" s="47">
        <f t="shared" ref="BJ381:BL381" si="1105">SUM(BJ370:BJ380)</f>
        <v>0</v>
      </c>
      <c r="BK381" s="47">
        <f t="shared" si="1105"/>
        <v>-254896.06347599998</v>
      </c>
      <c r="BL381" s="47">
        <f t="shared" si="1105"/>
        <v>0</v>
      </c>
      <c r="BM381" s="47">
        <f t="shared" ref="BM381" si="1106">SUM(BM370:BM380)</f>
        <v>0</v>
      </c>
    </row>
    <row r="382" spans="1:65" ht="14.15" customHeight="1">
      <c r="A382" s="436">
        <f t="shared" si="1038"/>
        <v>375</v>
      </c>
      <c r="B382" s="159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</row>
    <row r="383" spans="1:65" ht="14.15" customHeight="1">
      <c r="A383" s="436">
        <f t="shared" si="1038"/>
        <v>376</v>
      </c>
      <c r="B383" s="20" t="s">
        <v>249</v>
      </c>
      <c r="C383" s="16">
        <f t="shared" ref="C383:L383" si="1107">C368+C381</f>
        <v>-8012097.8136804588</v>
      </c>
      <c r="D383" s="16">
        <f t="shared" si="1107"/>
        <v>0</v>
      </c>
      <c r="E383" s="16">
        <f t="shared" si="1107"/>
        <v>0</v>
      </c>
      <c r="F383" s="16">
        <f t="shared" si="1107"/>
        <v>0</v>
      </c>
      <c r="G383" s="16">
        <f t="shared" si="1107"/>
        <v>0</v>
      </c>
      <c r="H383" s="16">
        <f t="shared" si="1107"/>
        <v>0</v>
      </c>
      <c r="I383" s="16">
        <f t="shared" si="1107"/>
        <v>0</v>
      </c>
      <c r="J383" s="16">
        <f t="shared" si="1107"/>
        <v>0</v>
      </c>
      <c r="K383" s="16">
        <f t="shared" ref="K383" si="1108">K368+K381</f>
        <v>0</v>
      </c>
      <c r="L383" s="16">
        <f t="shared" si="1107"/>
        <v>0</v>
      </c>
      <c r="M383" s="16">
        <f t="shared" ref="M383:Y383" si="1109">M368+M381</f>
        <v>0</v>
      </c>
      <c r="N383" s="16">
        <f t="shared" si="1109"/>
        <v>0</v>
      </c>
      <c r="O383" s="16">
        <f t="shared" si="1109"/>
        <v>0</v>
      </c>
      <c r="P383" s="16">
        <f t="shared" si="1109"/>
        <v>0</v>
      </c>
      <c r="Q383" s="16">
        <f t="shared" si="1109"/>
        <v>0</v>
      </c>
      <c r="R383" s="16">
        <f t="shared" si="1109"/>
        <v>0</v>
      </c>
      <c r="S383" s="16">
        <f t="shared" si="1109"/>
        <v>-6313675.0049999999</v>
      </c>
      <c r="T383" s="16">
        <f>T368+T381</f>
        <v>0</v>
      </c>
      <c r="U383" s="16">
        <f t="shared" si="1109"/>
        <v>0</v>
      </c>
      <c r="V383" s="16">
        <f t="shared" si="1109"/>
        <v>0</v>
      </c>
      <c r="W383" s="16">
        <f t="shared" si="1109"/>
        <v>-174602.37</v>
      </c>
      <c r="X383" s="16">
        <f t="shared" si="1109"/>
        <v>0</v>
      </c>
      <c r="Y383" s="16">
        <f t="shared" si="1109"/>
        <v>0</v>
      </c>
      <c r="Z383" s="16">
        <f t="shared" ref="Z383:AE383" si="1110">Z368+Z381</f>
        <v>0</v>
      </c>
      <c r="AA383" s="16">
        <f t="shared" si="1110"/>
        <v>0</v>
      </c>
      <c r="AB383" s="16">
        <f t="shared" si="1110"/>
        <v>0</v>
      </c>
      <c r="AC383" s="16">
        <f t="shared" ref="AC383" si="1111">AC368+AC381</f>
        <v>0</v>
      </c>
      <c r="AD383" s="16">
        <f t="shared" si="1110"/>
        <v>568507.26378954179</v>
      </c>
      <c r="AE383" s="16">
        <f t="shared" si="1110"/>
        <v>-3199</v>
      </c>
      <c r="AF383" s="16">
        <f t="shared" ref="AF383:AI383" si="1112">AF368+AF381</f>
        <v>0</v>
      </c>
      <c r="AG383" s="16">
        <f t="shared" si="1112"/>
        <v>0</v>
      </c>
      <c r="AH383" s="16">
        <f t="shared" si="1112"/>
        <v>0</v>
      </c>
      <c r="AI383" s="16">
        <f t="shared" si="1112"/>
        <v>0</v>
      </c>
      <c r="AJ383" s="16">
        <f>AJ368+AJ381</f>
        <v>0</v>
      </c>
      <c r="AK383" s="16">
        <f>AK368+AK381</f>
        <v>0</v>
      </c>
      <c r="AL383" s="16">
        <f>AL368+AL381</f>
        <v>0</v>
      </c>
      <c r="AM383" s="16">
        <f t="shared" ref="AM383:AW383" si="1113">AM368+AM381</f>
        <v>0</v>
      </c>
      <c r="AN383" s="16">
        <f t="shared" si="1113"/>
        <v>0</v>
      </c>
      <c r="AO383" s="16">
        <f t="shared" si="1113"/>
        <v>0</v>
      </c>
      <c r="AP383" s="16">
        <f>AP368+AP381</f>
        <v>9065</v>
      </c>
      <c r="AQ383" s="16">
        <f t="shared" ref="AQ383:AT383" si="1114">AQ368+AQ381</f>
        <v>-7999.5099999999993</v>
      </c>
      <c r="AR383" s="16">
        <f t="shared" si="1114"/>
        <v>0</v>
      </c>
      <c r="AS383" s="16">
        <f t="shared" si="1114"/>
        <v>0</v>
      </c>
      <c r="AT383" s="16">
        <f t="shared" si="1114"/>
        <v>0</v>
      </c>
      <c r="AU383" s="16">
        <f>AU368+AU381</f>
        <v>0</v>
      </c>
      <c r="AV383" s="16">
        <f t="shared" si="1113"/>
        <v>0</v>
      </c>
      <c r="AW383" s="16">
        <f t="shared" si="1113"/>
        <v>0</v>
      </c>
      <c r="AX383" s="16">
        <f>AX368+AX381</f>
        <v>0</v>
      </c>
      <c r="AY383" s="16">
        <f>AY368+AY381</f>
        <v>0</v>
      </c>
      <c r="AZ383" s="16">
        <f t="shared" ref="AZ383:BA383" si="1115">AZ368+AZ381</f>
        <v>0</v>
      </c>
      <c r="BA383" s="16">
        <f t="shared" si="1115"/>
        <v>0</v>
      </c>
      <c r="BB383" s="16">
        <f>BB368+BB381</f>
        <v>0</v>
      </c>
      <c r="BC383" s="16">
        <f>BC368+BC381</f>
        <v>0</v>
      </c>
      <c r="BD383" s="16">
        <f t="shared" ref="BD383" si="1116">BD368+BD381</f>
        <v>0</v>
      </c>
      <c r="BE383" s="16">
        <f>BE368+BE381</f>
        <v>-1649913.72</v>
      </c>
      <c r="BF383" s="16">
        <f>BF368+BF381</f>
        <v>0</v>
      </c>
      <c r="BG383" s="16">
        <f>BG368+BG381</f>
        <v>0</v>
      </c>
      <c r="BH383" s="16">
        <f>BH368+BH381</f>
        <v>0</v>
      </c>
      <c r="BI383" s="16">
        <f t="shared" ref="BI383" si="1117">BI368+BI381</f>
        <v>0</v>
      </c>
      <c r="BJ383" s="16">
        <f t="shared" ref="BJ383:BL383" si="1118">BJ368+BJ381</f>
        <v>0</v>
      </c>
      <c r="BK383" s="16">
        <f t="shared" si="1118"/>
        <v>-440280.47246999998</v>
      </c>
      <c r="BL383" s="16">
        <f t="shared" si="1118"/>
        <v>0</v>
      </c>
      <c r="BM383" s="16">
        <f t="shared" ref="BM383" si="1119">BM368+BM381</f>
        <v>0</v>
      </c>
    </row>
    <row r="384" spans="1:65" ht="14.15" customHeight="1">
      <c r="A384" s="436">
        <f t="shared" si="1038"/>
        <v>377</v>
      </c>
      <c r="B384" s="124"/>
      <c r="C384" s="158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</row>
    <row r="385" spans="1:65" ht="14.15" customHeight="1">
      <c r="A385" s="436">
        <f t="shared" si="1038"/>
        <v>378</v>
      </c>
      <c r="B385" s="13" t="s">
        <v>250</v>
      </c>
      <c r="C385" s="61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</row>
    <row r="386" spans="1:65" ht="14.15" customHeight="1">
      <c r="A386" s="436">
        <f t="shared" si="1038"/>
        <v>379</v>
      </c>
      <c r="B386" s="22" t="s">
        <v>251</v>
      </c>
      <c r="C386" s="38">
        <f>SUM(D386:BM386)</f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</row>
    <row r="387" spans="1:65" ht="14.15" customHeight="1">
      <c r="A387" s="436">
        <f t="shared" si="1038"/>
        <v>380</v>
      </c>
      <c r="B387" s="22" t="s">
        <v>252</v>
      </c>
      <c r="C387" s="38">
        <f t="shared" ref="C387:C391" si="1120">SUM(D387:BM387)</f>
        <v>-2414.706407876205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-5926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7612.1368181237949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-4100.843226</v>
      </c>
      <c r="BL387" s="10">
        <v>0</v>
      </c>
      <c r="BM387" s="10">
        <v>0</v>
      </c>
    </row>
    <row r="388" spans="1:65" ht="14.15" customHeight="1">
      <c r="A388" s="436">
        <f t="shared" si="1038"/>
        <v>381</v>
      </c>
      <c r="B388" s="22" t="s">
        <v>253</v>
      </c>
      <c r="C388" s="38">
        <f t="shared" si="1120"/>
        <v>4922.4710723627213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-15884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62772.89906836272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-41966.427995999999</v>
      </c>
      <c r="BL388" s="10">
        <v>0</v>
      </c>
      <c r="BM388" s="10">
        <v>0</v>
      </c>
    </row>
    <row r="389" spans="1:65" ht="14.15" customHeight="1">
      <c r="A389" s="436">
        <f t="shared" si="1038"/>
        <v>382</v>
      </c>
      <c r="B389" s="22" t="s">
        <v>254</v>
      </c>
      <c r="C389" s="38">
        <f t="shared" si="1120"/>
        <v>398035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398035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0</v>
      </c>
      <c r="BJ389" s="10">
        <v>0</v>
      </c>
      <c r="BK389" s="10">
        <v>0</v>
      </c>
      <c r="BL389" s="10">
        <v>0</v>
      </c>
      <c r="BM389" s="10">
        <v>0</v>
      </c>
    </row>
    <row r="390" spans="1:65" s="21" customFormat="1" ht="14.15" customHeight="1">
      <c r="A390" s="436">
        <f t="shared" si="1038"/>
        <v>383</v>
      </c>
      <c r="B390" s="22" t="s">
        <v>255</v>
      </c>
      <c r="C390" s="38">
        <f t="shared" si="1120"/>
        <v>-482443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-482443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0</v>
      </c>
    </row>
    <row r="391" spans="1:65" ht="14.15" customHeight="1">
      <c r="A391" s="436">
        <f t="shared" si="1038"/>
        <v>384</v>
      </c>
      <c r="B391" s="56" t="s">
        <v>256</v>
      </c>
      <c r="C391" s="38">
        <f t="shared" si="1120"/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10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0</v>
      </c>
      <c r="AU391" s="43">
        <v>0</v>
      </c>
      <c r="AV391" s="43">
        <v>0</v>
      </c>
      <c r="AW391" s="43">
        <v>0</v>
      </c>
      <c r="AX391" s="43">
        <v>0</v>
      </c>
      <c r="AY391" s="43">
        <v>0</v>
      </c>
      <c r="AZ391" s="43">
        <v>0</v>
      </c>
      <c r="BA391" s="43">
        <v>0</v>
      </c>
      <c r="BB391" s="43">
        <v>0</v>
      </c>
      <c r="BC391" s="43">
        <v>0</v>
      </c>
      <c r="BD391" s="43">
        <v>0</v>
      </c>
      <c r="BE391" s="43">
        <v>0</v>
      </c>
      <c r="BF391" s="43">
        <v>0</v>
      </c>
      <c r="BG391" s="43">
        <v>0</v>
      </c>
      <c r="BH391" s="43">
        <v>0</v>
      </c>
      <c r="BI391" s="43">
        <v>0</v>
      </c>
      <c r="BJ391" s="43">
        <v>0</v>
      </c>
      <c r="BK391" s="43">
        <v>0</v>
      </c>
      <c r="BL391" s="43">
        <v>0</v>
      </c>
      <c r="BM391" s="43">
        <v>0</v>
      </c>
    </row>
    <row r="392" spans="1:65" ht="14.15" customHeight="1">
      <c r="A392" s="436">
        <f t="shared" si="1038"/>
        <v>385</v>
      </c>
      <c r="B392" s="20" t="s">
        <v>504</v>
      </c>
      <c r="C392" s="80">
        <f t="shared" ref="C392:L392" si="1121">SUM(C386:C391)</f>
        <v>-81900.235335513484</v>
      </c>
      <c r="D392" s="80">
        <f t="shared" si="1121"/>
        <v>0</v>
      </c>
      <c r="E392" s="80">
        <f t="shared" si="1121"/>
        <v>0</v>
      </c>
      <c r="F392" s="80">
        <f t="shared" si="1121"/>
        <v>0</v>
      </c>
      <c r="G392" s="80">
        <f t="shared" si="1121"/>
        <v>0</v>
      </c>
      <c r="H392" s="80">
        <f t="shared" si="1121"/>
        <v>0</v>
      </c>
      <c r="I392" s="80">
        <f t="shared" si="1121"/>
        <v>0</v>
      </c>
      <c r="J392" s="80">
        <f t="shared" si="1121"/>
        <v>0</v>
      </c>
      <c r="K392" s="80">
        <f t="shared" ref="K392" si="1122">SUM(K386:K391)</f>
        <v>0</v>
      </c>
      <c r="L392" s="80">
        <f t="shared" si="1121"/>
        <v>0</v>
      </c>
      <c r="M392" s="80">
        <f t="shared" ref="M392:Y392" si="1123">SUM(M386:M391)</f>
        <v>0</v>
      </c>
      <c r="N392" s="80">
        <f t="shared" si="1123"/>
        <v>0</v>
      </c>
      <c r="O392" s="80">
        <f t="shared" si="1123"/>
        <v>0</v>
      </c>
      <c r="P392" s="80">
        <f t="shared" si="1123"/>
        <v>0</v>
      </c>
      <c r="Q392" s="80">
        <f t="shared" si="1123"/>
        <v>0</v>
      </c>
      <c r="R392" s="80">
        <f t="shared" si="1123"/>
        <v>0</v>
      </c>
      <c r="S392" s="80">
        <f t="shared" si="1123"/>
        <v>0</v>
      </c>
      <c r="T392" s="80">
        <f>SUM(T386:T391)</f>
        <v>0</v>
      </c>
      <c r="U392" s="80">
        <f t="shared" si="1123"/>
        <v>0</v>
      </c>
      <c r="V392" s="80">
        <f t="shared" si="1123"/>
        <v>0</v>
      </c>
      <c r="W392" s="80">
        <f t="shared" si="1123"/>
        <v>-21810</v>
      </c>
      <c r="X392" s="80">
        <f t="shared" si="1123"/>
        <v>0</v>
      </c>
      <c r="Y392" s="80">
        <f t="shared" si="1123"/>
        <v>0</v>
      </c>
      <c r="Z392" s="80">
        <f t="shared" ref="Z392:AE392" si="1124">SUM(Z386:Z391)</f>
        <v>0</v>
      </c>
      <c r="AA392" s="80">
        <f t="shared" si="1124"/>
        <v>0</v>
      </c>
      <c r="AB392" s="80">
        <f t="shared" si="1124"/>
        <v>0</v>
      </c>
      <c r="AC392" s="80">
        <f t="shared" ref="AC392" si="1125">SUM(AC386:AC391)</f>
        <v>-84408</v>
      </c>
      <c r="AD392" s="80">
        <f t="shared" si="1124"/>
        <v>70385.035886486512</v>
      </c>
      <c r="AE392" s="80">
        <f t="shared" si="1124"/>
        <v>0</v>
      </c>
      <c r="AF392" s="80">
        <f t="shared" ref="AF392:AI392" si="1126">SUM(AF386:AF391)</f>
        <v>0</v>
      </c>
      <c r="AG392" s="80">
        <f t="shared" si="1126"/>
        <v>0</v>
      </c>
      <c r="AH392" s="80">
        <f t="shared" si="1126"/>
        <v>0</v>
      </c>
      <c r="AI392" s="80">
        <f t="shared" si="1126"/>
        <v>0</v>
      </c>
      <c r="AJ392" s="80">
        <f>SUM(AJ386:AJ391)</f>
        <v>0</v>
      </c>
      <c r="AK392" s="80">
        <f>SUM(AK386:AK391)</f>
        <v>0</v>
      </c>
      <c r="AL392" s="80">
        <f>SUM(AL386:AL391)</f>
        <v>0</v>
      </c>
      <c r="AM392" s="80">
        <f t="shared" ref="AM392:AW392" si="1127">SUM(AM386:AM391)</f>
        <v>0</v>
      </c>
      <c r="AN392" s="80">
        <f t="shared" si="1127"/>
        <v>0</v>
      </c>
      <c r="AO392" s="80">
        <f t="shared" si="1127"/>
        <v>0</v>
      </c>
      <c r="AP392" s="80">
        <f>SUM(AP386:AP391)</f>
        <v>0</v>
      </c>
      <c r="AQ392" s="80">
        <f t="shared" ref="AQ392:AT392" si="1128">SUM(AQ386:AQ391)</f>
        <v>0</v>
      </c>
      <c r="AR392" s="80">
        <f t="shared" si="1128"/>
        <v>0</v>
      </c>
      <c r="AS392" s="80">
        <f t="shared" si="1128"/>
        <v>0</v>
      </c>
      <c r="AT392" s="80">
        <f t="shared" si="1128"/>
        <v>0</v>
      </c>
      <c r="AU392" s="80">
        <f>SUM(AU386:AU391)</f>
        <v>0</v>
      </c>
      <c r="AV392" s="80">
        <f t="shared" si="1127"/>
        <v>0</v>
      </c>
      <c r="AW392" s="80">
        <f t="shared" si="1127"/>
        <v>0</v>
      </c>
      <c r="AX392" s="80">
        <f>SUM(AX386:AX391)</f>
        <v>0</v>
      </c>
      <c r="AY392" s="80">
        <f>SUM(AY386:AY391)</f>
        <v>0</v>
      </c>
      <c r="AZ392" s="80">
        <f t="shared" ref="AZ392:BA392" si="1129">SUM(AZ386:AZ391)</f>
        <v>0</v>
      </c>
      <c r="BA392" s="80">
        <f t="shared" si="1129"/>
        <v>0</v>
      </c>
      <c r="BB392" s="80">
        <f>SUM(BB386:BB391)</f>
        <v>0</v>
      </c>
      <c r="BC392" s="80">
        <f>SUM(BC386:BC391)</f>
        <v>0</v>
      </c>
      <c r="BD392" s="80">
        <f t="shared" ref="BD392" si="1130">SUM(BD386:BD391)</f>
        <v>0</v>
      </c>
      <c r="BE392" s="80">
        <f>SUM(BE386:BE391)</f>
        <v>0</v>
      </c>
      <c r="BF392" s="80">
        <f>SUM(BF386:BF391)</f>
        <v>0</v>
      </c>
      <c r="BG392" s="80">
        <f>SUM(BG386:BG391)</f>
        <v>0</v>
      </c>
      <c r="BH392" s="80">
        <f>SUM(BH386:BH391)</f>
        <v>0</v>
      </c>
      <c r="BI392" s="80">
        <f t="shared" ref="BI392" si="1131">SUM(BI386:BI391)</f>
        <v>0</v>
      </c>
      <c r="BJ392" s="80">
        <f t="shared" ref="BJ392:BL392" si="1132">SUM(BJ386:BJ391)</f>
        <v>0</v>
      </c>
      <c r="BK392" s="80">
        <f t="shared" si="1132"/>
        <v>-46067.271221999996</v>
      </c>
      <c r="BL392" s="80">
        <f t="shared" si="1132"/>
        <v>0</v>
      </c>
      <c r="BM392" s="80">
        <f t="shared" ref="BM392" si="1133">SUM(BM386:BM391)</f>
        <v>0</v>
      </c>
    </row>
    <row r="393" spans="1:65" ht="14.15" customHeight="1">
      <c r="A393" s="436">
        <f t="shared" si="1038"/>
        <v>386</v>
      </c>
      <c r="B393" s="124"/>
      <c r="C393" s="12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</row>
    <row r="394" spans="1:65" ht="14.15" customHeight="1">
      <c r="A394" s="436">
        <f t="shared" si="1038"/>
        <v>387</v>
      </c>
      <c r="B394" s="13" t="s">
        <v>257</v>
      </c>
      <c r="C394" s="1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</row>
    <row r="395" spans="1:65" ht="14.15" customHeight="1">
      <c r="A395" s="436">
        <f t="shared" si="1038"/>
        <v>388</v>
      </c>
      <c r="B395" s="22" t="s">
        <v>258</v>
      </c>
      <c r="C395" s="38">
        <f>SUM(D395:BM395)</f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  <c r="AU395" s="43">
        <v>0</v>
      </c>
      <c r="AV395" s="43">
        <v>0</v>
      </c>
      <c r="AW395" s="43">
        <v>0</v>
      </c>
      <c r="AX395" s="43">
        <v>0</v>
      </c>
      <c r="AY395" s="43">
        <v>0</v>
      </c>
      <c r="AZ395" s="43">
        <v>0</v>
      </c>
      <c r="BA395" s="43">
        <v>0</v>
      </c>
      <c r="BB395" s="43">
        <v>0</v>
      </c>
      <c r="BC395" s="43">
        <v>0</v>
      </c>
      <c r="BD395" s="43">
        <v>0</v>
      </c>
      <c r="BE395" s="43">
        <v>0</v>
      </c>
      <c r="BF395" s="43">
        <v>0</v>
      </c>
      <c r="BG395" s="43">
        <v>0</v>
      </c>
      <c r="BH395" s="43">
        <v>0</v>
      </c>
      <c r="BI395" s="43">
        <v>0</v>
      </c>
      <c r="BJ395" s="43">
        <v>0</v>
      </c>
      <c r="BK395" s="43">
        <v>0</v>
      </c>
      <c r="BL395" s="43">
        <v>0</v>
      </c>
      <c r="BM395" s="43">
        <v>0</v>
      </c>
    </row>
    <row r="396" spans="1:65" ht="13.5" customHeight="1">
      <c r="A396" s="436">
        <f t="shared" si="1038"/>
        <v>389</v>
      </c>
      <c r="B396" s="22" t="s">
        <v>259</v>
      </c>
      <c r="C396" s="38">
        <f t="shared" ref="C396:C398" si="1134">SUM(D396:BM396)</f>
        <v>-1133771.07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-289397</v>
      </c>
      <c r="N396" s="10">
        <v>-476213</v>
      </c>
      <c r="O396" s="10">
        <f>-372763</f>
        <v>-372763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-333.07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12320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0</v>
      </c>
      <c r="BJ396" s="10">
        <v>0</v>
      </c>
      <c r="BK396" s="10">
        <v>-7385</v>
      </c>
      <c r="BL396" s="10">
        <v>0</v>
      </c>
      <c r="BM396" s="10">
        <v>0</v>
      </c>
    </row>
    <row r="397" spans="1:65" ht="14.15" customHeight="1">
      <c r="A397" s="436">
        <f t="shared" si="1038"/>
        <v>390</v>
      </c>
      <c r="B397" s="22" t="s">
        <v>260</v>
      </c>
      <c r="C397" s="38">
        <f t="shared" si="1134"/>
        <v>-116530.22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-116530.22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>
        <v>0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10">
        <v>0</v>
      </c>
      <c r="BJ397" s="10">
        <v>0</v>
      </c>
      <c r="BK397" s="10">
        <v>0</v>
      </c>
      <c r="BL397" s="10">
        <v>0</v>
      </c>
      <c r="BM397" s="10">
        <v>0</v>
      </c>
    </row>
    <row r="398" spans="1:65" ht="14.15" customHeight="1">
      <c r="A398" s="436">
        <f t="shared" si="1038"/>
        <v>391</v>
      </c>
      <c r="B398" s="56" t="s">
        <v>261</v>
      </c>
      <c r="C398" s="38">
        <f t="shared" si="1134"/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  <c r="AT398" s="43">
        <v>0</v>
      </c>
      <c r="AU398" s="43">
        <v>0</v>
      </c>
      <c r="AV398" s="43">
        <v>0</v>
      </c>
      <c r="AW398" s="43">
        <v>0</v>
      </c>
      <c r="AX398" s="43">
        <v>0</v>
      </c>
      <c r="AY398" s="43">
        <v>0</v>
      </c>
      <c r="AZ398" s="43">
        <v>0</v>
      </c>
      <c r="BA398" s="43">
        <v>0</v>
      </c>
      <c r="BB398" s="43">
        <v>0</v>
      </c>
      <c r="BC398" s="43">
        <v>0</v>
      </c>
      <c r="BD398" s="43">
        <v>0</v>
      </c>
      <c r="BE398" s="43">
        <v>0</v>
      </c>
      <c r="BF398" s="43">
        <v>0</v>
      </c>
      <c r="BG398" s="43">
        <v>0</v>
      </c>
      <c r="BH398" s="43">
        <v>0</v>
      </c>
      <c r="BI398" s="43">
        <v>0</v>
      </c>
      <c r="BJ398" s="43">
        <v>0</v>
      </c>
      <c r="BK398" s="43">
        <v>0</v>
      </c>
      <c r="BL398" s="43">
        <v>0</v>
      </c>
      <c r="BM398" s="43">
        <v>0</v>
      </c>
    </row>
    <row r="399" spans="1:65" ht="14.15" customHeight="1">
      <c r="A399" s="436">
        <f t="shared" si="1038"/>
        <v>392</v>
      </c>
      <c r="B399" s="20" t="s">
        <v>505</v>
      </c>
      <c r="C399" s="80">
        <f t="shared" ref="C399:L399" si="1135">SUM(C395:C398)</f>
        <v>-1250301.29</v>
      </c>
      <c r="D399" s="80">
        <f t="shared" si="1135"/>
        <v>0</v>
      </c>
      <c r="E399" s="80">
        <f t="shared" si="1135"/>
        <v>0</v>
      </c>
      <c r="F399" s="80">
        <f t="shared" si="1135"/>
        <v>0</v>
      </c>
      <c r="G399" s="80">
        <f t="shared" si="1135"/>
        <v>0</v>
      </c>
      <c r="H399" s="80">
        <f t="shared" si="1135"/>
        <v>0</v>
      </c>
      <c r="I399" s="80">
        <f t="shared" si="1135"/>
        <v>0</v>
      </c>
      <c r="J399" s="80">
        <f t="shared" si="1135"/>
        <v>0</v>
      </c>
      <c r="K399" s="80">
        <f t="shared" ref="K399" si="1136">SUM(K395:K398)</f>
        <v>0</v>
      </c>
      <c r="L399" s="80">
        <f t="shared" si="1135"/>
        <v>0</v>
      </c>
      <c r="M399" s="80">
        <f t="shared" ref="M399:Y399" si="1137">SUM(M395:M398)</f>
        <v>-289397</v>
      </c>
      <c r="N399" s="80">
        <f t="shared" si="1137"/>
        <v>-476213</v>
      </c>
      <c r="O399" s="80">
        <f t="shared" si="1137"/>
        <v>-372763</v>
      </c>
      <c r="P399" s="80">
        <f t="shared" si="1137"/>
        <v>0</v>
      </c>
      <c r="Q399" s="80">
        <f t="shared" si="1137"/>
        <v>0</v>
      </c>
      <c r="R399" s="80">
        <f t="shared" si="1137"/>
        <v>0</v>
      </c>
      <c r="S399" s="80">
        <f t="shared" si="1137"/>
        <v>0</v>
      </c>
      <c r="T399" s="80">
        <f>SUM(T395:T398)</f>
        <v>0</v>
      </c>
      <c r="U399" s="80">
        <f t="shared" si="1137"/>
        <v>0</v>
      </c>
      <c r="V399" s="80">
        <f t="shared" si="1137"/>
        <v>-116530.22</v>
      </c>
      <c r="W399" s="80">
        <f t="shared" si="1137"/>
        <v>-333.07</v>
      </c>
      <c r="X399" s="80">
        <f t="shared" si="1137"/>
        <v>0</v>
      </c>
      <c r="Y399" s="80">
        <f t="shared" si="1137"/>
        <v>0</v>
      </c>
      <c r="Z399" s="80">
        <f t="shared" ref="Z399:AE399" si="1138">SUM(Z395:Z398)</f>
        <v>0</v>
      </c>
      <c r="AA399" s="80">
        <f t="shared" si="1138"/>
        <v>0</v>
      </c>
      <c r="AB399" s="80">
        <f t="shared" si="1138"/>
        <v>0</v>
      </c>
      <c r="AC399" s="80">
        <f t="shared" ref="AC399" si="1139">SUM(AC395:AC398)</f>
        <v>0</v>
      </c>
      <c r="AD399" s="80">
        <f t="shared" si="1138"/>
        <v>12320</v>
      </c>
      <c r="AE399" s="80">
        <f t="shared" si="1138"/>
        <v>0</v>
      </c>
      <c r="AF399" s="80">
        <f t="shared" ref="AF399:AI399" si="1140">SUM(AF395:AF398)</f>
        <v>0</v>
      </c>
      <c r="AG399" s="80">
        <f t="shared" si="1140"/>
        <v>0</v>
      </c>
      <c r="AH399" s="80">
        <f t="shared" si="1140"/>
        <v>0</v>
      </c>
      <c r="AI399" s="80">
        <f t="shared" si="1140"/>
        <v>0</v>
      </c>
      <c r="AJ399" s="80">
        <f>SUM(AJ395:AJ398)</f>
        <v>0</v>
      </c>
      <c r="AK399" s="80">
        <f>SUM(AK395:AK398)</f>
        <v>0</v>
      </c>
      <c r="AL399" s="80">
        <f>SUM(AL395:AL398)</f>
        <v>0</v>
      </c>
      <c r="AM399" s="80">
        <f t="shared" ref="AM399:AW399" si="1141">SUM(AM395:AM398)</f>
        <v>0</v>
      </c>
      <c r="AN399" s="80">
        <f t="shared" si="1141"/>
        <v>0</v>
      </c>
      <c r="AO399" s="80">
        <f t="shared" si="1141"/>
        <v>0</v>
      </c>
      <c r="AP399" s="80">
        <f>SUM(AP395:AP398)</f>
        <v>0</v>
      </c>
      <c r="AQ399" s="80">
        <f t="shared" ref="AQ399:AT399" si="1142">SUM(AQ395:AQ398)</f>
        <v>0</v>
      </c>
      <c r="AR399" s="80">
        <f t="shared" si="1142"/>
        <v>0</v>
      </c>
      <c r="AS399" s="80">
        <f t="shared" si="1142"/>
        <v>0</v>
      </c>
      <c r="AT399" s="80">
        <f t="shared" si="1142"/>
        <v>0</v>
      </c>
      <c r="AU399" s="80">
        <f>SUM(AU395:AU398)</f>
        <v>0</v>
      </c>
      <c r="AV399" s="80">
        <f t="shared" si="1141"/>
        <v>0</v>
      </c>
      <c r="AW399" s="80">
        <f t="shared" si="1141"/>
        <v>0</v>
      </c>
      <c r="AX399" s="80">
        <f>SUM(AX395:AX398)</f>
        <v>0</v>
      </c>
      <c r="AY399" s="80">
        <f>SUM(AY395:AY398)</f>
        <v>0</v>
      </c>
      <c r="AZ399" s="80">
        <f t="shared" ref="AZ399:BA399" si="1143">SUM(AZ395:AZ398)</f>
        <v>0</v>
      </c>
      <c r="BA399" s="80">
        <f t="shared" si="1143"/>
        <v>0</v>
      </c>
      <c r="BB399" s="80">
        <f>SUM(BB395:BB398)</f>
        <v>0</v>
      </c>
      <c r="BC399" s="80">
        <f>SUM(BC395:BC398)</f>
        <v>0</v>
      </c>
      <c r="BD399" s="80">
        <f t="shared" ref="BD399" si="1144">SUM(BD395:BD398)</f>
        <v>0</v>
      </c>
      <c r="BE399" s="80">
        <f>SUM(BE395:BE398)</f>
        <v>0</v>
      </c>
      <c r="BF399" s="80">
        <f>SUM(BF395:BF398)</f>
        <v>0</v>
      </c>
      <c r="BG399" s="80">
        <f>SUM(BG395:BG398)</f>
        <v>0</v>
      </c>
      <c r="BH399" s="80">
        <f>SUM(BH395:BH398)</f>
        <v>0</v>
      </c>
      <c r="BI399" s="80">
        <f t="shared" ref="BI399" si="1145">SUM(BI395:BI398)</f>
        <v>0</v>
      </c>
      <c r="BJ399" s="80">
        <f t="shared" ref="BJ399:BL399" si="1146">SUM(BJ395:BJ398)</f>
        <v>0</v>
      </c>
      <c r="BK399" s="80">
        <f t="shared" si="1146"/>
        <v>-7385</v>
      </c>
      <c r="BL399" s="80">
        <f t="shared" si="1146"/>
        <v>0</v>
      </c>
      <c r="BM399" s="80">
        <f t="shared" ref="BM399" si="1147">SUM(BM395:BM398)</f>
        <v>0</v>
      </c>
    </row>
    <row r="400" spans="1:65" ht="14.15" customHeight="1">
      <c r="A400" s="436">
        <f t="shared" si="1038"/>
        <v>393</v>
      </c>
      <c r="B400" s="124"/>
      <c r="C400" s="12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</row>
    <row r="401" spans="1:65" ht="14.15" customHeight="1">
      <c r="A401" s="436">
        <f t="shared" ref="A401:A464" si="1148">+A400+1</f>
        <v>394</v>
      </c>
      <c r="B401" s="13" t="s">
        <v>262</v>
      </c>
      <c r="C401" s="1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</row>
    <row r="402" spans="1:65" ht="14.15" customHeight="1">
      <c r="A402" s="436">
        <f t="shared" si="1148"/>
        <v>395</v>
      </c>
      <c r="B402" s="22" t="s">
        <v>263</v>
      </c>
      <c r="C402" s="38">
        <f>SUM(D402:BM402)</f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  <c r="AT402" s="43">
        <v>0</v>
      </c>
      <c r="AU402" s="43">
        <v>0</v>
      </c>
      <c r="AV402" s="43">
        <v>0</v>
      </c>
      <c r="AW402" s="43">
        <v>0</v>
      </c>
      <c r="AX402" s="43">
        <v>0</v>
      </c>
      <c r="AY402" s="43">
        <v>0</v>
      </c>
      <c r="AZ402" s="43">
        <v>0</v>
      </c>
      <c r="BA402" s="43">
        <v>0</v>
      </c>
      <c r="BB402" s="43">
        <v>0</v>
      </c>
      <c r="BC402" s="43">
        <v>0</v>
      </c>
      <c r="BD402" s="43">
        <v>0</v>
      </c>
      <c r="BE402" s="43">
        <v>0</v>
      </c>
      <c r="BF402" s="43">
        <v>0</v>
      </c>
      <c r="BG402" s="43">
        <v>0</v>
      </c>
      <c r="BH402" s="43">
        <v>0</v>
      </c>
      <c r="BI402" s="43">
        <v>0</v>
      </c>
      <c r="BJ402" s="43">
        <v>0</v>
      </c>
      <c r="BK402" s="43">
        <v>0</v>
      </c>
      <c r="BL402" s="43">
        <v>0</v>
      </c>
      <c r="BM402" s="43">
        <v>0</v>
      </c>
    </row>
    <row r="403" spans="1:65" ht="14.15" customHeight="1">
      <c r="A403" s="436">
        <f t="shared" si="1148"/>
        <v>396</v>
      </c>
      <c r="B403" s="22" t="s">
        <v>264</v>
      </c>
      <c r="C403" s="38">
        <f t="shared" ref="C403:C405" si="1149">SUM(D403:BM403)</f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0</v>
      </c>
      <c r="BH403" s="10">
        <v>0</v>
      </c>
      <c r="BI403" s="10">
        <v>0</v>
      </c>
      <c r="BJ403" s="10">
        <v>0</v>
      </c>
      <c r="BK403" s="10">
        <v>0</v>
      </c>
      <c r="BL403" s="10">
        <v>0</v>
      </c>
      <c r="BM403" s="10">
        <v>0</v>
      </c>
    </row>
    <row r="404" spans="1:65" ht="14.15" customHeight="1">
      <c r="A404" s="436">
        <f t="shared" si="1148"/>
        <v>397</v>
      </c>
      <c r="B404" s="22" t="s">
        <v>265</v>
      </c>
      <c r="C404" s="38">
        <f t="shared" si="1149"/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0</v>
      </c>
      <c r="BH404" s="10">
        <v>0</v>
      </c>
      <c r="BI404" s="10">
        <v>0</v>
      </c>
      <c r="BJ404" s="10">
        <v>0</v>
      </c>
      <c r="BK404" s="10">
        <v>0</v>
      </c>
      <c r="BL404" s="10">
        <v>0</v>
      </c>
      <c r="BM404" s="10">
        <v>0</v>
      </c>
    </row>
    <row r="405" spans="1:65" ht="14.15" customHeight="1">
      <c r="A405" s="436">
        <f t="shared" si="1148"/>
        <v>398</v>
      </c>
      <c r="B405" s="56" t="s">
        <v>266</v>
      </c>
      <c r="C405" s="38">
        <f t="shared" si="1149"/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0</v>
      </c>
      <c r="AJ405" s="43">
        <v>0</v>
      </c>
      <c r="AK405" s="43">
        <v>0</v>
      </c>
      <c r="AL405" s="43">
        <v>0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  <c r="AT405" s="43">
        <v>0</v>
      </c>
      <c r="AU405" s="43">
        <v>0</v>
      </c>
      <c r="AV405" s="43">
        <v>0</v>
      </c>
      <c r="AW405" s="43">
        <v>0</v>
      </c>
      <c r="AX405" s="43">
        <v>0</v>
      </c>
      <c r="AY405" s="43">
        <v>0</v>
      </c>
      <c r="AZ405" s="43">
        <v>0</v>
      </c>
      <c r="BA405" s="43">
        <v>0</v>
      </c>
      <c r="BB405" s="43">
        <v>0</v>
      </c>
      <c r="BC405" s="43">
        <v>0</v>
      </c>
      <c r="BD405" s="43">
        <v>0</v>
      </c>
      <c r="BE405" s="43">
        <v>0</v>
      </c>
      <c r="BF405" s="43">
        <v>0</v>
      </c>
      <c r="BG405" s="43">
        <v>0</v>
      </c>
      <c r="BH405" s="43">
        <v>0</v>
      </c>
      <c r="BI405" s="43">
        <v>0</v>
      </c>
      <c r="BJ405" s="43">
        <v>0</v>
      </c>
      <c r="BK405" s="43">
        <v>0</v>
      </c>
      <c r="BL405" s="43">
        <v>0</v>
      </c>
      <c r="BM405" s="43">
        <v>0</v>
      </c>
    </row>
    <row r="406" spans="1:65" ht="14.15" customHeight="1">
      <c r="A406" s="436">
        <f t="shared" si="1148"/>
        <v>399</v>
      </c>
      <c r="B406" s="20" t="s">
        <v>506</v>
      </c>
      <c r="C406" s="80">
        <f t="shared" ref="C406:L406" si="1150">SUM(C401:C405)</f>
        <v>0</v>
      </c>
      <c r="D406" s="80">
        <f t="shared" si="1150"/>
        <v>0</v>
      </c>
      <c r="E406" s="80">
        <f t="shared" si="1150"/>
        <v>0</v>
      </c>
      <c r="F406" s="80">
        <f t="shared" si="1150"/>
        <v>0</v>
      </c>
      <c r="G406" s="80">
        <f t="shared" si="1150"/>
        <v>0</v>
      </c>
      <c r="H406" s="80">
        <f t="shared" si="1150"/>
        <v>0</v>
      </c>
      <c r="I406" s="80">
        <f t="shared" si="1150"/>
        <v>0</v>
      </c>
      <c r="J406" s="80">
        <f t="shared" si="1150"/>
        <v>0</v>
      </c>
      <c r="K406" s="80">
        <f t="shared" ref="K406" si="1151">SUM(K401:K405)</f>
        <v>0</v>
      </c>
      <c r="L406" s="80">
        <f t="shared" si="1150"/>
        <v>0</v>
      </c>
      <c r="M406" s="80">
        <f t="shared" ref="M406:Y406" si="1152">SUM(M401:M405)</f>
        <v>0</v>
      </c>
      <c r="N406" s="80">
        <f t="shared" si="1152"/>
        <v>0</v>
      </c>
      <c r="O406" s="80">
        <f t="shared" si="1152"/>
        <v>0</v>
      </c>
      <c r="P406" s="80">
        <f t="shared" si="1152"/>
        <v>0</v>
      </c>
      <c r="Q406" s="80">
        <f t="shared" si="1152"/>
        <v>0</v>
      </c>
      <c r="R406" s="80">
        <f t="shared" si="1152"/>
        <v>0</v>
      </c>
      <c r="S406" s="80">
        <f t="shared" si="1152"/>
        <v>0</v>
      </c>
      <c r="T406" s="80">
        <f>SUM(T401:T405)</f>
        <v>0</v>
      </c>
      <c r="U406" s="80">
        <f t="shared" si="1152"/>
        <v>0</v>
      </c>
      <c r="V406" s="80">
        <f t="shared" si="1152"/>
        <v>0</v>
      </c>
      <c r="W406" s="80">
        <f t="shared" si="1152"/>
        <v>0</v>
      </c>
      <c r="X406" s="80">
        <f t="shared" si="1152"/>
        <v>0</v>
      </c>
      <c r="Y406" s="80">
        <f t="shared" si="1152"/>
        <v>0</v>
      </c>
      <c r="Z406" s="80">
        <f t="shared" ref="Z406:AE406" si="1153">SUM(Z401:Z405)</f>
        <v>0</v>
      </c>
      <c r="AA406" s="80">
        <f t="shared" si="1153"/>
        <v>0</v>
      </c>
      <c r="AB406" s="80">
        <f t="shared" si="1153"/>
        <v>0</v>
      </c>
      <c r="AC406" s="80">
        <f t="shared" ref="AC406" si="1154">SUM(AC401:AC405)</f>
        <v>0</v>
      </c>
      <c r="AD406" s="80">
        <f t="shared" si="1153"/>
        <v>0</v>
      </c>
      <c r="AE406" s="80">
        <f t="shared" si="1153"/>
        <v>0</v>
      </c>
      <c r="AF406" s="80">
        <f t="shared" ref="AF406:AI406" si="1155">SUM(AF401:AF405)</f>
        <v>0</v>
      </c>
      <c r="AG406" s="80">
        <f t="shared" si="1155"/>
        <v>0</v>
      </c>
      <c r="AH406" s="80">
        <f t="shared" si="1155"/>
        <v>0</v>
      </c>
      <c r="AI406" s="80">
        <f t="shared" si="1155"/>
        <v>0</v>
      </c>
      <c r="AJ406" s="80">
        <f>SUM(AJ401:AJ405)</f>
        <v>0</v>
      </c>
      <c r="AK406" s="80">
        <f>SUM(AK401:AK405)</f>
        <v>0</v>
      </c>
      <c r="AL406" s="80">
        <f>SUM(AL401:AL405)</f>
        <v>0</v>
      </c>
      <c r="AM406" s="80">
        <f t="shared" ref="AM406:AW406" si="1156">SUM(AM401:AM405)</f>
        <v>0</v>
      </c>
      <c r="AN406" s="80">
        <f t="shared" si="1156"/>
        <v>0</v>
      </c>
      <c r="AO406" s="80">
        <f t="shared" si="1156"/>
        <v>0</v>
      </c>
      <c r="AP406" s="80">
        <f>SUM(AP401:AP405)</f>
        <v>0</v>
      </c>
      <c r="AQ406" s="80">
        <f t="shared" ref="AQ406:AT406" si="1157">SUM(AQ401:AQ405)</f>
        <v>0</v>
      </c>
      <c r="AR406" s="80">
        <f t="shared" si="1157"/>
        <v>0</v>
      </c>
      <c r="AS406" s="80">
        <f t="shared" si="1157"/>
        <v>0</v>
      </c>
      <c r="AT406" s="80">
        <f t="shared" si="1157"/>
        <v>0</v>
      </c>
      <c r="AU406" s="80">
        <f>SUM(AU401:AU405)</f>
        <v>0</v>
      </c>
      <c r="AV406" s="80">
        <f t="shared" si="1156"/>
        <v>0</v>
      </c>
      <c r="AW406" s="80">
        <f t="shared" si="1156"/>
        <v>0</v>
      </c>
      <c r="AX406" s="80">
        <f>SUM(AX401:AX405)</f>
        <v>0</v>
      </c>
      <c r="AY406" s="80">
        <f>SUM(AY401:AY405)</f>
        <v>0</v>
      </c>
      <c r="AZ406" s="80">
        <f t="shared" ref="AZ406:BA406" si="1158">SUM(AZ401:AZ405)</f>
        <v>0</v>
      </c>
      <c r="BA406" s="80">
        <f t="shared" si="1158"/>
        <v>0</v>
      </c>
      <c r="BB406" s="80">
        <f>SUM(BB401:BB405)</f>
        <v>0</v>
      </c>
      <c r="BC406" s="80">
        <f>SUM(BC401:BC405)</f>
        <v>0</v>
      </c>
      <c r="BD406" s="80">
        <f t="shared" ref="BD406" si="1159">SUM(BD401:BD405)</f>
        <v>0</v>
      </c>
      <c r="BE406" s="80">
        <f>SUM(BE401:BE405)</f>
        <v>0</v>
      </c>
      <c r="BF406" s="80">
        <f>SUM(BF401:BF405)</f>
        <v>0</v>
      </c>
      <c r="BG406" s="80">
        <f>SUM(BG401:BG405)</f>
        <v>0</v>
      </c>
      <c r="BH406" s="80">
        <f>SUM(BH401:BH405)</f>
        <v>0</v>
      </c>
      <c r="BI406" s="80">
        <f t="shared" ref="BI406" si="1160">SUM(BI401:BI405)</f>
        <v>0</v>
      </c>
      <c r="BJ406" s="80">
        <f t="shared" ref="BJ406:BL406" si="1161">SUM(BJ401:BJ405)</f>
        <v>0</v>
      </c>
      <c r="BK406" s="80">
        <f t="shared" si="1161"/>
        <v>0</v>
      </c>
      <c r="BL406" s="80">
        <f t="shared" si="1161"/>
        <v>0</v>
      </c>
      <c r="BM406" s="80">
        <f t="shared" ref="BM406" si="1162">SUM(BM401:BM405)</f>
        <v>0</v>
      </c>
    </row>
    <row r="407" spans="1:65" ht="14.15" customHeight="1">
      <c r="A407" s="436">
        <f t="shared" si="1148"/>
        <v>400</v>
      </c>
      <c r="B407" s="124"/>
      <c r="C407" s="12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</row>
    <row r="408" spans="1:65" ht="14.15" customHeight="1">
      <c r="A408" s="436">
        <f t="shared" si="1148"/>
        <v>401</v>
      </c>
      <c r="B408" s="13" t="s">
        <v>267</v>
      </c>
      <c r="C408" s="1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</row>
    <row r="409" spans="1:65" ht="14.15" customHeight="1">
      <c r="A409" s="436">
        <f t="shared" si="1148"/>
        <v>402</v>
      </c>
      <c r="B409" s="22" t="s">
        <v>268</v>
      </c>
      <c r="C409" s="38">
        <f>SUM(D409:BM409)</f>
        <v>-3194055.2112411158</v>
      </c>
      <c r="D409" s="65">
        <v>0</v>
      </c>
      <c r="E409" s="65">
        <v>-2022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65">
        <v>0</v>
      </c>
      <c r="O409" s="65">
        <v>0</v>
      </c>
      <c r="P409" s="43">
        <v>0</v>
      </c>
      <c r="Q409" s="43">
        <v>0</v>
      </c>
      <c r="R409" s="65">
        <v>0</v>
      </c>
      <c r="S409" s="43">
        <v>0</v>
      </c>
      <c r="T409" s="65">
        <v>0</v>
      </c>
      <c r="U409" s="43">
        <v>0</v>
      </c>
      <c r="V409" s="43">
        <v>0</v>
      </c>
      <c r="W409" s="43">
        <v>-37</v>
      </c>
      <c r="X409" s="43">
        <v>0</v>
      </c>
      <c r="Y409" s="43">
        <v>0</v>
      </c>
      <c r="Z409" s="43">
        <v>0</v>
      </c>
      <c r="AA409" s="43">
        <v>0</v>
      </c>
      <c r="AB409" s="43">
        <v>0</v>
      </c>
      <c r="AC409" s="43">
        <v>0</v>
      </c>
      <c r="AD409" s="43">
        <v>150039.12708288417</v>
      </c>
      <c r="AE409" s="65">
        <v>0</v>
      </c>
      <c r="AF409" s="43">
        <v>0</v>
      </c>
      <c r="AG409" s="43">
        <v>0</v>
      </c>
      <c r="AH409" s="43">
        <v>0</v>
      </c>
      <c r="AI409" s="65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0</v>
      </c>
      <c r="AP409" s="43">
        <v>0</v>
      </c>
      <c r="AQ409" s="43">
        <v>-15730</v>
      </c>
      <c r="AR409" s="43">
        <v>0</v>
      </c>
      <c r="AS409" s="43">
        <v>0</v>
      </c>
      <c r="AT409" s="43">
        <v>0</v>
      </c>
      <c r="AU409" s="43">
        <v>0</v>
      </c>
      <c r="AV409" s="43">
        <v>0</v>
      </c>
      <c r="AW409" s="43">
        <v>0</v>
      </c>
      <c r="AX409" s="43">
        <v>0</v>
      </c>
      <c r="AY409" s="43">
        <v>0</v>
      </c>
      <c r="AZ409" s="43">
        <v>0</v>
      </c>
      <c r="BA409" s="43">
        <v>0</v>
      </c>
      <c r="BB409" s="43">
        <v>0</v>
      </c>
      <c r="BC409" s="43">
        <v>0</v>
      </c>
      <c r="BD409" s="43">
        <v>0</v>
      </c>
      <c r="BE409" s="43">
        <v>0</v>
      </c>
      <c r="BF409" s="43">
        <v>0</v>
      </c>
      <c r="BG409" s="43">
        <v>0</v>
      </c>
      <c r="BH409" s="43">
        <v>0</v>
      </c>
      <c r="BI409" s="43">
        <v>0</v>
      </c>
      <c r="BJ409" s="43">
        <v>0</v>
      </c>
      <c r="BK409" s="43">
        <v>-3326305.3383240001</v>
      </c>
      <c r="BL409" s="43">
        <v>0</v>
      </c>
      <c r="BM409" s="43">
        <v>0</v>
      </c>
    </row>
    <row r="410" spans="1:65" ht="14.15" customHeight="1">
      <c r="A410" s="436">
        <f t="shared" si="1148"/>
        <v>403</v>
      </c>
      <c r="B410" s="22" t="s">
        <v>269</v>
      </c>
      <c r="C410" s="38">
        <f t="shared" ref="C410:C422" si="1163">SUM(D410:BM410)</f>
        <v>-13215.03</v>
      </c>
      <c r="D410" s="65">
        <v>0</v>
      </c>
      <c r="E410" s="65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65">
        <v>0</v>
      </c>
      <c r="O410" s="65">
        <v>0</v>
      </c>
      <c r="P410" s="43">
        <v>0</v>
      </c>
      <c r="Q410" s="43">
        <v>0</v>
      </c>
      <c r="R410" s="65">
        <v>0</v>
      </c>
      <c r="S410" s="43">
        <v>0</v>
      </c>
      <c r="T410" s="65">
        <v>0</v>
      </c>
      <c r="U410" s="43">
        <v>0</v>
      </c>
      <c r="V410" s="43">
        <v>0</v>
      </c>
      <c r="W410" s="43">
        <v>-2834.03</v>
      </c>
      <c r="X410" s="43">
        <v>0</v>
      </c>
      <c r="Y410" s="43">
        <v>0</v>
      </c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65">
        <v>0</v>
      </c>
      <c r="AF410" s="43">
        <v>0</v>
      </c>
      <c r="AG410" s="43">
        <v>0</v>
      </c>
      <c r="AH410" s="43">
        <v>0</v>
      </c>
      <c r="AI410" s="65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-10381</v>
      </c>
      <c r="AR410" s="43">
        <v>0</v>
      </c>
      <c r="AS410" s="43">
        <v>0</v>
      </c>
      <c r="AT410" s="43">
        <v>0</v>
      </c>
      <c r="AU410" s="43">
        <v>0</v>
      </c>
      <c r="AV410" s="43">
        <v>0</v>
      </c>
      <c r="AW410" s="43">
        <v>0</v>
      </c>
      <c r="AX410" s="43">
        <v>0</v>
      </c>
      <c r="AY410" s="43">
        <v>0</v>
      </c>
      <c r="AZ410" s="43">
        <v>0</v>
      </c>
      <c r="BA410" s="43">
        <v>0</v>
      </c>
      <c r="BB410" s="43">
        <v>0</v>
      </c>
      <c r="BC410" s="43">
        <v>0</v>
      </c>
      <c r="BD410" s="43">
        <v>0</v>
      </c>
      <c r="BE410" s="43">
        <v>0</v>
      </c>
      <c r="BF410" s="43">
        <v>0</v>
      </c>
      <c r="BG410" s="43">
        <v>0</v>
      </c>
      <c r="BH410" s="43">
        <v>0</v>
      </c>
      <c r="BI410" s="43">
        <v>0</v>
      </c>
      <c r="BJ410" s="43">
        <v>0</v>
      </c>
      <c r="BK410" s="43">
        <v>0</v>
      </c>
      <c r="BL410" s="43">
        <v>0</v>
      </c>
      <c r="BM410" s="43">
        <v>0</v>
      </c>
    </row>
    <row r="411" spans="1:65" ht="14.15" customHeight="1">
      <c r="A411" s="436">
        <f t="shared" si="1148"/>
        <v>404</v>
      </c>
      <c r="B411" s="22" t="s">
        <v>270</v>
      </c>
      <c r="C411" s="38">
        <f t="shared" si="1163"/>
        <v>-51013</v>
      </c>
      <c r="D411" s="65">
        <v>0</v>
      </c>
      <c r="E411" s="65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65">
        <v>0</v>
      </c>
      <c r="O411" s="65">
        <v>0</v>
      </c>
      <c r="P411" s="43">
        <v>0</v>
      </c>
      <c r="Q411" s="43">
        <v>0</v>
      </c>
      <c r="R411" s="65">
        <v>0</v>
      </c>
      <c r="S411" s="43">
        <v>0</v>
      </c>
      <c r="T411" s="65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-51013</v>
      </c>
      <c r="AE411" s="65">
        <v>0</v>
      </c>
      <c r="AF411" s="43">
        <v>0</v>
      </c>
      <c r="AG411" s="43">
        <v>0</v>
      </c>
      <c r="AH411" s="43">
        <v>0</v>
      </c>
      <c r="AI411" s="65">
        <v>0</v>
      </c>
      <c r="AJ411" s="43">
        <v>0</v>
      </c>
      <c r="AK411" s="43">
        <v>0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  <c r="AU411" s="43">
        <v>0</v>
      </c>
      <c r="AV411" s="43">
        <v>0</v>
      </c>
      <c r="AW411" s="43">
        <v>0</v>
      </c>
      <c r="AX411" s="43">
        <v>0</v>
      </c>
      <c r="AY411" s="43">
        <v>0</v>
      </c>
      <c r="AZ411" s="43">
        <v>0</v>
      </c>
      <c r="BA411" s="43">
        <v>0</v>
      </c>
      <c r="BB411" s="43">
        <v>0</v>
      </c>
      <c r="BC411" s="43">
        <v>0</v>
      </c>
      <c r="BD411" s="43">
        <v>0</v>
      </c>
      <c r="BE411" s="43">
        <v>0</v>
      </c>
      <c r="BF411" s="43">
        <v>0</v>
      </c>
      <c r="BG411" s="43">
        <v>0</v>
      </c>
      <c r="BH411" s="43">
        <v>0</v>
      </c>
      <c r="BI411" s="43">
        <v>0</v>
      </c>
      <c r="BJ411" s="43">
        <v>0</v>
      </c>
      <c r="BK411" s="43">
        <v>0</v>
      </c>
      <c r="BL411" s="43">
        <v>0</v>
      </c>
      <c r="BM411" s="43">
        <v>0</v>
      </c>
    </row>
    <row r="412" spans="1:65" s="21" customFormat="1" ht="14.15" customHeight="1">
      <c r="A412" s="436">
        <f t="shared" si="1148"/>
        <v>405</v>
      </c>
      <c r="B412" s="22" t="s">
        <v>271</v>
      </c>
      <c r="C412" s="38">
        <f t="shared" si="1163"/>
        <v>-49146</v>
      </c>
      <c r="D412" s="38">
        <v>0</v>
      </c>
      <c r="E412" s="38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38">
        <v>0</v>
      </c>
      <c r="O412" s="38">
        <v>0</v>
      </c>
      <c r="P412" s="10">
        <v>0</v>
      </c>
      <c r="Q412" s="10">
        <v>0</v>
      </c>
      <c r="R412" s="38">
        <v>0</v>
      </c>
      <c r="S412" s="10">
        <v>0</v>
      </c>
      <c r="T412" s="38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43">
        <v>0</v>
      </c>
      <c r="AE412" s="38">
        <v>0</v>
      </c>
      <c r="AF412" s="10">
        <v>0</v>
      </c>
      <c r="AG412" s="10">
        <v>0</v>
      </c>
      <c r="AH412" s="10">
        <v>0</v>
      </c>
      <c r="AI412" s="38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-49146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0">
        <v>0</v>
      </c>
    </row>
    <row r="413" spans="1:65" s="21" customFormat="1" ht="14.15" customHeight="1">
      <c r="A413" s="436">
        <f t="shared" si="1148"/>
        <v>406</v>
      </c>
      <c r="B413" s="22" t="s">
        <v>272</v>
      </c>
      <c r="C413" s="38">
        <f t="shared" si="1163"/>
        <v>0</v>
      </c>
      <c r="D413" s="38">
        <v>0</v>
      </c>
      <c r="E413" s="38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38">
        <v>0</v>
      </c>
      <c r="O413" s="38">
        <v>0</v>
      </c>
      <c r="P413" s="10">
        <v>0</v>
      </c>
      <c r="Q413" s="10">
        <v>0</v>
      </c>
      <c r="R413" s="38">
        <v>0</v>
      </c>
      <c r="S413" s="10">
        <v>0</v>
      </c>
      <c r="T413" s="38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43">
        <v>0</v>
      </c>
      <c r="AE413" s="38">
        <v>0</v>
      </c>
      <c r="AF413" s="10">
        <v>0</v>
      </c>
      <c r="AG413" s="10">
        <v>0</v>
      </c>
      <c r="AH413" s="10">
        <v>0</v>
      </c>
      <c r="AI413" s="38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  <c r="BG413" s="10">
        <v>0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  <c r="BM413" s="10">
        <v>0</v>
      </c>
    </row>
    <row r="414" spans="1:65" s="21" customFormat="1" ht="14.15" customHeight="1">
      <c r="A414" s="436">
        <f t="shared" si="1148"/>
        <v>407</v>
      </c>
      <c r="B414" s="22" t="s">
        <v>273</v>
      </c>
      <c r="C414" s="38">
        <f t="shared" si="1163"/>
        <v>-3449</v>
      </c>
      <c r="D414" s="65">
        <v>0</v>
      </c>
      <c r="E414" s="65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65">
        <v>0</v>
      </c>
      <c r="O414" s="65">
        <v>0</v>
      </c>
      <c r="P414" s="10">
        <v>0</v>
      </c>
      <c r="Q414" s="10">
        <v>0</v>
      </c>
      <c r="R414" s="65">
        <v>0</v>
      </c>
      <c r="S414" s="10">
        <v>0</v>
      </c>
      <c r="T414" s="65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43">
        <v>0</v>
      </c>
      <c r="AE414" s="65">
        <v>-3449</v>
      </c>
      <c r="AF414" s="10">
        <v>0</v>
      </c>
      <c r="AG414" s="10">
        <v>0</v>
      </c>
      <c r="AH414" s="10">
        <v>0</v>
      </c>
      <c r="AI414" s="65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0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  <c r="BM414" s="10">
        <v>0</v>
      </c>
    </row>
    <row r="415" spans="1:65" s="21" customFormat="1" ht="14.15" customHeight="1">
      <c r="A415" s="436">
        <f t="shared" si="1148"/>
        <v>408</v>
      </c>
      <c r="B415" s="22" t="s">
        <v>274</v>
      </c>
      <c r="C415" s="38">
        <f t="shared" si="1163"/>
        <v>397994.45071200002</v>
      </c>
      <c r="D415" s="65">
        <v>0</v>
      </c>
      <c r="E415" s="65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65">
        <v>0</v>
      </c>
      <c r="O415" s="65">
        <v>0</v>
      </c>
      <c r="P415" s="10">
        <v>0</v>
      </c>
      <c r="Q415" s="10">
        <v>0</v>
      </c>
      <c r="R415" s="65">
        <v>0</v>
      </c>
      <c r="S415" s="10">
        <v>0</v>
      </c>
      <c r="T415" s="65">
        <v>0</v>
      </c>
      <c r="U415" s="10">
        <v>0</v>
      </c>
      <c r="V415" s="10">
        <v>0</v>
      </c>
      <c r="W415" s="10">
        <v>0</v>
      </c>
      <c r="X415" s="10">
        <v>-811799</v>
      </c>
      <c r="Y415" s="10">
        <v>77962</v>
      </c>
      <c r="Z415" s="10">
        <v>0</v>
      </c>
      <c r="AA415" s="10">
        <v>0</v>
      </c>
      <c r="AB415" s="10">
        <v>0</v>
      </c>
      <c r="AC415" s="10">
        <v>0</v>
      </c>
      <c r="AD415" s="43">
        <v>0</v>
      </c>
      <c r="AE415" s="65">
        <v>-1819</v>
      </c>
      <c r="AF415" s="10">
        <v>0</v>
      </c>
      <c r="AG415" s="10">
        <v>0</v>
      </c>
      <c r="AH415" s="10">
        <v>0</v>
      </c>
      <c r="AI415" s="65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2750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3054678</v>
      </c>
      <c r="BK415" s="10">
        <v>-1923777.549288</v>
      </c>
      <c r="BL415" s="10">
        <v>0</v>
      </c>
      <c r="BM415" s="10">
        <v>0</v>
      </c>
    </row>
    <row r="416" spans="1:65" ht="14.15" customHeight="1">
      <c r="A416" s="436">
        <f t="shared" si="1148"/>
        <v>409</v>
      </c>
      <c r="B416" s="83" t="s">
        <v>275</v>
      </c>
      <c r="C416" s="38">
        <f t="shared" si="1163"/>
        <v>0</v>
      </c>
      <c r="D416" s="65">
        <v>0</v>
      </c>
      <c r="E416" s="65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65">
        <v>0</v>
      </c>
      <c r="O416" s="65">
        <v>0</v>
      </c>
      <c r="P416" s="10">
        <v>0</v>
      </c>
      <c r="Q416" s="10">
        <v>0</v>
      </c>
      <c r="R416" s="65">
        <v>0</v>
      </c>
      <c r="S416" s="10">
        <v>0</v>
      </c>
      <c r="T416" s="65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43">
        <v>0</v>
      </c>
      <c r="AE416" s="65">
        <v>0</v>
      </c>
      <c r="AF416" s="10">
        <v>0</v>
      </c>
      <c r="AG416" s="10">
        <v>0</v>
      </c>
      <c r="AH416" s="10">
        <v>0</v>
      </c>
      <c r="AI416" s="65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0</v>
      </c>
      <c r="BH416" s="10">
        <v>0</v>
      </c>
      <c r="BI416" s="10">
        <v>0</v>
      </c>
      <c r="BJ416" s="10">
        <v>0</v>
      </c>
      <c r="BK416" s="10">
        <v>0</v>
      </c>
      <c r="BL416" s="10">
        <v>0</v>
      </c>
      <c r="BM416" s="10">
        <v>0</v>
      </c>
    </row>
    <row r="417" spans="1:65" ht="13.5" customHeight="1">
      <c r="A417" s="436">
        <f t="shared" si="1148"/>
        <v>410</v>
      </c>
      <c r="B417" s="22" t="s">
        <v>276</v>
      </c>
      <c r="C417" s="38">
        <f t="shared" si="1163"/>
        <v>0</v>
      </c>
      <c r="D417" s="38">
        <v>0</v>
      </c>
      <c r="E417" s="38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38">
        <v>0</v>
      </c>
      <c r="O417" s="38">
        <v>0</v>
      </c>
      <c r="P417" s="10">
        <v>0</v>
      </c>
      <c r="Q417" s="10">
        <v>0</v>
      </c>
      <c r="R417" s="38">
        <v>0</v>
      </c>
      <c r="S417" s="10">
        <v>0</v>
      </c>
      <c r="T417" s="38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43">
        <v>0</v>
      </c>
      <c r="AE417" s="38">
        <v>0</v>
      </c>
      <c r="AF417" s="10">
        <v>0</v>
      </c>
      <c r="AG417" s="10">
        <v>0</v>
      </c>
      <c r="AH417" s="10">
        <v>0</v>
      </c>
      <c r="AI417" s="38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0">
        <v>0</v>
      </c>
    </row>
    <row r="418" spans="1:65" ht="14.15" customHeight="1">
      <c r="A418" s="436">
        <f t="shared" si="1148"/>
        <v>411</v>
      </c>
      <c r="B418" s="22" t="s">
        <v>277</v>
      </c>
      <c r="C418" s="38">
        <f t="shared" si="1163"/>
        <v>-31906.250000000233</v>
      </c>
      <c r="D418" s="38">
        <v>0</v>
      </c>
      <c r="E418" s="38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38">
        <v>0</v>
      </c>
      <c r="O418" s="38">
        <v>0</v>
      </c>
      <c r="P418" s="10">
        <v>0</v>
      </c>
      <c r="Q418" s="10">
        <v>0</v>
      </c>
      <c r="R418" s="38">
        <v>0</v>
      </c>
      <c r="S418" s="10">
        <v>0</v>
      </c>
      <c r="T418" s="38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43">
        <v>0</v>
      </c>
      <c r="AE418" s="38">
        <v>0</v>
      </c>
      <c r="AF418" s="10">
        <v>0</v>
      </c>
      <c r="AG418" s="10">
        <v>0</v>
      </c>
      <c r="AH418" s="10">
        <v>0</v>
      </c>
      <c r="AI418" s="38">
        <v>-29109.250000000233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-2797</v>
      </c>
      <c r="BL418" s="10">
        <v>0</v>
      </c>
      <c r="BM418" s="10">
        <v>0</v>
      </c>
    </row>
    <row r="419" spans="1:65" ht="14.15" customHeight="1">
      <c r="A419" s="436">
        <f t="shared" si="1148"/>
        <v>412</v>
      </c>
      <c r="B419" s="22" t="s">
        <v>323</v>
      </c>
      <c r="C419" s="38">
        <f t="shared" si="1163"/>
        <v>173119.62</v>
      </c>
      <c r="D419" s="65">
        <v>0</v>
      </c>
      <c r="E419" s="65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65">
        <v>0</v>
      </c>
      <c r="O419" s="65">
        <v>0</v>
      </c>
      <c r="P419" s="10">
        <v>0</v>
      </c>
      <c r="Q419" s="10">
        <v>0</v>
      </c>
      <c r="R419" s="65">
        <v>0</v>
      </c>
      <c r="S419" s="10">
        <v>0</v>
      </c>
      <c r="T419" s="65">
        <v>0</v>
      </c>
      <c r="U419" s="10">
        <v>279410</v>
      </c>
      <c r="V419" s="10">
        <v>0</v>
      </c>
      <c r="W419" s="10">
        <v>-4.38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43">
        <v>5968</v>
      </c>
      <c r="AE419" s="65">
        <v>0</v>
      </c>
      <c r="AF419" s="10">
        <v>0</v>
      </c>
      <c r="AG419" s="10">
        <v>0</v>
      </c>
      <c r="AH419" s="10">
        <v>0</v>
      </c>
      <c r="AI419" s="65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-112254</v>
      </c>
      <c r="BF419" s="10">
        <v>0</v>
      </c>
      <c r="BG419" s="10">
        <v>0</v>
      </c>
      <c r="BH419" s="10">
        <v>0</v>
      </c>
      <c r="BI419" s="10">
        <v>0</v>
      </c>
      <c r="BJ419" s="10">
        <v>0</v>
      </c>
      <c r="BK419" s="10">
        <v>0</v>
      </c>
      <c r="BL419" s="10">
        <v>0</v>
      </c>
      <c r="BM419" s="10">
        <v>0</v>
      </c>
    </row>
    <row r="420" spans="1:65" ht="14.15" customHeight="1">
      <c r="A420" s="436">
        <f t="shared" si="1148"/>
        <v>413</v>
      </c>
      <c r="B420" s="22" t="s">
        <v>278</v>
      </c>
      <c r="C420" s="38">
        <f t="shared" si="1163"/>
        <v>-53346.28</v>
      </c>
      <c r="D420" s="65">
        <v>0</v>
      </c>
      <c r="E420" s="65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65">
        <v>0</v>
      </c>
      <c r="O420" s="65">
        <v>0</v>
      </c>
      <c r="P420" s="10">
        <v>0</v>
      </c>
      <c r="Q420" s="10">
        <v>0</v>
      </c>
      <c r="R420" s="65">
        <v>0</v>
      </c>
      <c r="S420" s="10">
        <v>0</v>
      </c>
      <c r="T420" s="65">
        <v>0</v>
      </c>
      <c r="U420" s="10">
        <v>0</v>
      </c>
      <c r="V420" s="10">
        <v>-53319</v>
      </c>
      <c r="W420" s="10">
        <v>-27.28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43">
        <v>0</v>
      </c>
      <c r="AE420" s="65">
        <v>0</v>
      </c>
      <c r="AF420" s="10">
        <v>0</v>
      </c>
      <c r="AG420" s="10">
        <v>0</v>
      </c>
      <c r="AH420" s="10">
        <v>0</v>
      </c>
      <c r="AI420" s="65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0</v>
      </c>
      <c r="BH420" s="10">
        <v>0</v>
      </c>
      <c r="BI420" s="10">
        <v>0</v>
      </c>
      <c r="BJ420" s="10">
        <v>0</v>
      </c>
      <c r="BK420" s="10">
        <v>0</v>
      </c>
      <c r="BL420" s="10">
        <v>0</v>
      </c>
      <c r="BM420" s="10">
        <v>0</v>
      </c>
    </row>
    <row r="421" spans="1:65" ht="14.15" customHeight="1">
      <c r="A421" s="436">
        <f t="shared" si="1148"/>
        <v>414</v>
      </c>
      <c r="B421" s="22" t="s">
        <v>279</v>
      </c>
      <c r="C421" s="38">
        <f t="shared" si="1163"/>
        <v>-160</v>
      </c>
      <c r="D421" s="65">
        <v>0</v>
      </c>
      <c r="E421" s="65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65">
        <v>0</v>
      </c>
      <c r="O421" s="65">
        <v>0</v>
      </c>
      <c r="P421" s="10">
        <v>0</v>
      </c>
      <c r="Q421" s="10">
        <v>0</v>
      </c>
      <c r="R421" s="65">
        <v>0</v>
      </c>
      <c r="S421" s="10">
        <v>0</v>
      </c>
      <c r="T421" s="65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43">
        <v>661</v>
      </c>
      <c r="AE421" s="65">
        <v>0</v>
      </c>
      <c r="AF421" s="10">
        <v>0</v>
      </c>
      <c r="AG421" s="10">
        <v>0</v>
      </c>
      <c r="AH421" s="10">
        <v>0</v>
      </c>
      <c r="AI421" s="65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0">
        <v>0</v>
      </c>
      <c r="BJ421" s="10">
        <v>0</v>
      </c>
      <c r="BK421" s="10">
        <v>-821</v>
      </c>
      <c r="BL421" s="10">
        <v>0</v>
      </c>
      <c r="BM421" s="10">
        <v>0</v>
      </c>
    </row>
    <row r="422" spans="1:65" ht="14.15" customHeight="1">
      <c r="A422" s="436">
        <f t="shared" si="1148"/>
        <v>415</v>
      </c>
      <c r="B422" s="56" t="s">
        <v>280</v>
      </c>
      <c r="C422" s="38">
        <f t="shared" si="1163"/>
        <v>-130089</v>
      </c>
      <c r="D422" s="198">
        <v>0</v>
      </c>
      <c r="E422" s="198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198">
        <v>0</v>
      </c>
      <c r="O422" s="198">
        <v>0</v>
      </c>
      <c r="P422" s="43">
        <v>0</v>
      </c>
      <c r="Q422" s="43">
        <v>0</v>
      </c>
      <c r="R422" s="198">
        <v>0</v>
      </c>
      <c r="S422" s="43">
        <v>0</v>
      </c>
      <c r="T422" s="198">
        <v>0</v>
      </c>
      <c r="U422" s="43">
        <v>0</v>
      </c>
      <c r="V422" s="43">
        <v>0</v>
      </c>
      <c r="W422" s="43">
        <v>-130088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198">
        <v>0</v>
      </c>
      <c r="AF422" s="43">
        <v>0</v>
      </c>
      <c r="AG422" s="43">
        <v>0</v>
      </c>
      <c r="AH422" s="43">
        <v>0</v>
      </c>
      <c r="AI422" s="198">
        <v>0</v>
      </c>
      <c r="AJ422" s="43">
        <v>0</v>
      </c>
      <c r="AK422" s="43">
        <v>0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-1</v>
      </c>
      <c r="AR422" s="43">
        <v>0</v>
      </c>
      <c r="AS422" s="43">
        <v>0</v>
      </c>
      <c r="AT422" s="43">
        <v>0</v>
      </c>
      <c r="AU422" s="43">
        <v>0</v>
      </c>
      <c r="AV422" s="43">
        <v>0</v>
      </c>
      <c r="AW422" s="43">
        <v>0</v>
      </c>
      <c r="AX422" s="43">
        <v>0</v>
      </c>
      <c r="AY422" s="43">
        <v>0</v>
      </c>
      <c r="AZ422" s="43">
        <v>0</v>
      </c>
      <c r="BA422" s="43">
        <v>0</v>
      </c>
      <c r="BB422" s="43">
        <v>0</v>
      </c>
      <c r="BC422" s="43">
        <v>0</v>
      </c>
      <c r="BD422" s="43">
        <v>0</v>
      </c>
      <c r="BE422" s="43">
        <v>0</v>
      </c>
      <c r="BF422" s="43">
        <v>0</v>
      </c>
      <c r="BG422" s="43">
        <v>0</v>
      </c>
      <c r="BH422" s="43">
        <v>0</v>
      </c>
      <c r="BI422" s="43">
        <v>0</v>
      </c>
      <c r="BJ422" s="43">
        <v>0</v>
      </c>
      <c r="BK422" s="43">
        <v>0</v>
      </c>
      <c r="BL422" s="43">
        <v>0</v>
      </c>
      <c r="BM422" s="43">
        <v>0</v>
      </c>
    </row>
    <row r="423" spans="1:65" ht="14.15" customHeight="1">
      <c r="A423" s="436">
        <f t="shared" si="1148"/>
        <v>416</v>
      </c>
      <c r="B423" s="20" t="s">
        <v>507</v>
      </c>
      <c r="C423" s="80">
        <f t="shared" ref="C423:L423" si="1164">SUM(C409:C422)</f>
        <v>-2955265.7005291157</v>
      </c>
      <c r="D423" s="65">
        <f t="shared" si="1164"/>
        <v>0</v>
      </c>
      <c r="E423" s="65">
        <f t="shared" si="1164"/>
        <v>-2022</v>
      </c>
      <c r="F423" s="80">
        <f t="shared" si="1164"/>
        <v>0</v>
      </c>
      <c r="G423" s="80">
        <f t="shared" si="1164"/>
        <v>0</v>
      </c>
      <c r="H423" s="80">
        <f t="shared" si="1164"/>
        <v>0</v>
      </c>
      <c r="I423" s="80">
        <f t="shared" si="1164"/>
        <v>0</v>
      </c>
      <c r="J423" s="80">
        <f t="shared" si="1164"/>
        <v>0</v>
      </c>
      <c r="K423" s="80">
        <f t="shared" ref="K423" si="1165">SUM(K409:K422)</f>
        <v>0</v>
      </c>
      <c r="L423" s="80">
        <f t="shared" si="1164"/>
        <v>0</v>
      </c>
      <c r="M423" s="80">
        <f t="shared" ref="M423:Y423" si="1166">SUM(M409:M422)</f>
        <v>0</v>
      </c>
      <c r="N423" s="65">
        <f t="shared" si="1166"/>
        <v>0</v>
      </c>
      <c r="O423" s="65">
        <f t="shared" si="1166"/>
        <v>0</v>
      </c>
      <c r="P423" s="80">
        <f t="shared" si="1166"/>
        <v>0</v>
      </c>
      <c r="Q423" s="80">
        <f t="shared" si="1166"/>
        <v>0</v>
      </c>
      <c r="R423" s="65">
        <f t="shared" si="1166"/>
        <v>0</v>
      </c>
      <c r="S423" s="80">
        <f t="shared" si="1166"/>
        <v>0</v>
      </c>
      <c r="T423" s="65">
        <f>SUM(T409:T422)</f>
        <v>0</v>
      </c>
      <c r="U423" s="80">
        <f t="shared" si="1166"/>
        <v>279410</v>
      </c>
      <c r="V423" s="80">
        <f t="shared" si="1166"/>
        <v>-53319</v>
      </c>
      <c r="W423" s="80">
        <f t="shared" si="1166"/>
        <v>-132990.69</v>
      </c>
      <c r="X423" s="80">
        <f t="shared" si="1166"/>
        <v>-811799</v>
      </c>
      <c r="Y423" s="80">
        <f t="shared" si="1166"/>
        <v>77962</v>
      </c>
      <c r="Z423" s="80">
        <f t="shared" ref="Z423:AE423" si="1167">SUM(Z409:Z422)</f>
        <v>0</v>
      </c>
      <c r="AA423" s="80">
        <f t="shared" si="1167"/>
        <v>0</v>
      </c>
      <c r="AB423" s="80">
        <f t="shared" si="1167"/>
        <v>0</v>
      </c>
      <c r="AC423" s="80">
        <f t="shared" ref="AC423" si="1168">SUM(AC409:AC422)</f>
        <v>0</v>
      </c>
      <c r="AD423" s="80">
        <f t="shared" si="1167"/>
        <v>105655.12708288417</v>
      </c>
      <c r="AE423" s="65">
        <f t="shared" si="1167"/>
        <v>-5268</v>
      </c>
      <c r="AF423" s="80">
        <f t="shared" ref="AF423:AI423" si="1169">SUM(AF409:AF422)</f>
        <v>0</v>
      </c>
      <c r="AG423" s="80">
        <f t="shared" si="1169"/>
        <v>0</v>
      </c>
      <c r="AH423" s="80">
        <f t="shared" si="1169"/>
        <v>0</v>
      </c>
      <c r="AI423" s="65">
        <f t="shared" si="1169"/>
        <v>-29109.250000000233</v>
      </c>
      <c r="AJ423" s="80">
        <f>SUM(AJ409:AJ422)</f>
        <v>0</v>
      </c>
      <c r="AK423" s="80">
        <f>SUM(AK409:AK422)</f>
        <v>0</v>
      </c>
      <c r="AL423" s="80">
        <f>SUM(AL409:AL422)</f>
        <v>0</v>
      </c>
      <c r="AM423" s="80">
        <f t="shared" ref="AM423:AW423" si="1170">SUM(AM409:AM422)</f>
        <v>0</v>
      </c>
      <c r="AN423" s="80">
        <f t="shared" si="1170"/>
        <v>0</v>
      </c>
      <c r="AO423" s="80">
        <f t="shared" si="1170"/>
        <v>0</v>
      </c>
      <c r="AP423" s="80">
        <f>SUM(AP409:AP422)</f>
        <v>0</v>
      </c>
      <c r="AQ423" s="80">
        <f t="shared" ref="AQ423:AT423" si="1171">SUM(AQ409:AQ422)</f>
        <v>-72508</v>
      </c>
      <c r="AR423" s="80">
        <f t="shared" si="1171"/>
        <v>0</v>
      </c>
      <c r="AS423" s="80">
        <f t="shared" si="1171"/>
        <v>0</v>
      </c>
      <c r="AT423" s="80">
        <f t="shared" si="1171"/>
        <v>0</v>
      </c>
      <c r="AU423" s="80">
        <f>SUM(AU409:AU422)</f>
        <v>0</v>
      </c>
      <c r="AV423" s="80">
        <f t="shared" si="1170"/>
        <v>0</v>
      </c>
      <c r="AW423" s="80">
        <f t="shared" si="1170"/>
        <v>0</v>
      </c>
      <c r="AX423" s="80">
        <f>SUM(AX409:AX422)</f>
        <v>0</v>
      </c>
      <c r="AY423" s="80">
        <f>SUM(AY409:AY422)</f>
        <v>0</v>
      </c>
      <c r="AZ423" s="80">
        <f t="shared" ref="AZ423:BA423" si="1172">SUM(AZ409:AZ422)</f>
        <v>0</v>
      </c>
      <c r="BA423" s="80">
        <f t="shared" si="1172"/>
        <v>0</v>
      </c>
      <c r="BB423" s="80">
        <f>SUM(BB409:BB422)</f>
        <v>0</v>
      </c>
      <c r="BC423" s="80">
        <f>SUM(BC409:BC422)</f>
        <v>0</v>
      </c>
      <c r="BD423" s="80">
        <f t="shared" ref="BD423" si="1173">SUM(BD409:BD422)</f>
        <v>0</v>
      </c>
      <c r="BE423" s="80">
        <f>SUM(BE409:BE422)</f>
        <v>-112254</v>
      </c>
      <c r="BF423" s="80">
        <f>SUM(BF409:BF422)</f>
        <v>0</v>
      </c>
      <c r="BG423" s="80">
        <f>SUM(BG409:BG422)</f>
        <v>0</v>
      </c>
      <c r="BH423" s="80">
        <f>SUM(BH409:BH422)</f>
        <v>0</v>
      </c>
      <c r="BI423" s="80">
        <f t="shared" ref="BI423" si="1174">SUM(BI409:BI422)</f>
        <v>0</v>
      </c>
      <c r="BJ423" s="80">
        <f t="shared" ref="BJ423:BL423" si="1175">SUM(BJ409:BJ422)</f>
        <v>3054678</v>
      </c>
      <c r="BK423" s="80">
        <f t="shared" si="1175"/>
        <v>-5253700.8876120001</v>
      </c>
      <c r="BL423" s="80">
        <f t="shared" si="1175"/>
        <v>0</v>
      </c>
      <c r="BM423" s="80">
        <f t="shared" ref="BM423" si="1176">SUM(BM409:BM422)</f>
        <v>0</v>
      </c>
    </row>
    <row r="424" spans="1:65" ht="14.15" customHeight="1">
      <c r="A424" s="436">
        <f t="shared" si="1148"/>
        <v>417</v>
      </c>
      <c r="B424" s="22"/>
      <c r="C424" s="22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</row>
    <row r="425" spans="1:65" ht="14.15" customHeight="1">
      <c r="A425" s="436">
        <f t="shared" si="1148"/>
        <v>418</v>
      </c>
      <c r="B425" s="124" t="s">
        <v>281</v>
      </c>
      <c r="C425" s="38">
        <f>SUM(D425:BM425)</f>
        <v>-48987.48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-49989.48</v>
      </c>
      <c r="X425" s="43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19148</v>
      </c>
      <c r="AE425" s="43">
        <v>0</v>
      </c>
      <c r="AF425" s="43">
        <v>0</v>
      </c>
      <c r="AG425" s="43">
        <v>0</v>
      </c>
      <c r="AH425" s="43">
        <v>0</v>
      </c>
      <c r="AI425" s="43">
        <v>0</v>
      </c>
      <c r="AJ425" s="43">
        <v>0</v>
      </c>
      <c r="AK425" s="43">
        <v>0</v>
      </c>
      <c r="AL425" s="43">
        <v>0</v>
      </c>
      <c r="AM425" s="43">
        <v>0</v>
      </c>
      <c r="AN425" s="43">
        <v>0</v>
      </c>
      <c r="AO425" s="43">
        <v>0</v>
      </c>
      <c r="AP425" s="43">
        <v>0</v>
      </c>
      <c r="AQ425" s="43">
        <v>0</v>
      </c>
      <c r="AR425" s="43">
        <v>0</v>
      </c>
      <c r="AS425" s="43">
        <v>0</v>
      </c>
      <c r="AT425" s="43">
        <v>0</v>
      </c>
      <c r="AU425" s="43">
        <v>0</v>
      </c>
      <c r="AV425" s="43">
        <v>0</v>
      </c>
      <c r="AW425" s="43">
        <v>0</v>
      </c>
      <c r="AX425" s="43">
        <v>0</v>
      </c>
      <c r="AY425" s="43">
        <v>0</v>
      </c>
      <c r="AZ425" s="43">
        <v>0</v>
      </c>
      <c r="BA425" s="43">
        <v>0</v>
      </c>
      <c r="BB425" s="43">
        <v>0</v>
      </c>
      <c r="BC425" s="43">
        <v>0</v>
      </c>
      <c r="BD425" s="43">
        <v>0</v>
      </c>
      <c r="BE425" s="43">
        <v>0</v>
      </c>
      <c r="BF425" s="43">
        <v>0</v>
      </c>
      <c r="BG425" s="43">
        <v>0</v>
      </c>
      <c r="BH425" s="43">
        <v>0</v>
      </c>
      <c r="BI425" s="43">
        <v>0</v>
      </c>
      <c r="BJ425" s="43">
        <v>0</v>
      </c>
      <c r="BK425" s="43">
        <v>-18146</v>
      </c>
      <c r="BL425" s="43">
        <v>0</v>
      </c>
      <c r="BM425" s="43">
        <v>0</v>
      </c>
    </row>
    <row r="426" spans="1:65" ht="14.15" customHeight="1">
      <c r="A426" s="436">
        <f t="shared" si="1148"/>
        <v>419</v>
      </c>
      <c r="B426" s="57" t="s">
        <v>282</v>
      </c>
      <c r="C426" s="38">
        <f>SUM(D426:BM426)</f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  <c r="AT426" s="43">
        <v>0</v>
      </c>
      <c r="AU426" s="43">
        <v>0</v>
      </c>
      <c r="AV426" s="43">
        <v>0</v>
      </c>
      <c r="AW426" s="43">
        <v>0</v>
      </c>
      <c r="AX426" s="43">
        <v>0</v>
      </c>
      <c r="AY426" s="43">
        <v>0</v>
      </c>
      <c r="AZ426" s="43">
        <v>0</v>
      </c>
      <c r="BA426" s="43">
        <v>0</v>
      </c>
      <c r="BB426" s="43">
        <v>0</v>
      </c>
      <c r="BC426" s="43">
        <v>0</v>
      </c>
      <c r="BD426" s="43">
        <v>0</v>
      </c>
      <c r="BE426" s="43">
        <v>0</v>
      </c>
      <c r="BF426" s="43">
        <v>0</v>
      </c>
      <c r="BG426" s="43">
        <v>0</v>
      </c>
      <c r="BH426" s="43">
        <v>0</v>
      </c>
      <c r="BI426" s="43">
        <v>0</v>
      </c>
      <c r="BJ426" s="43">
        <v>0</v>
      </c>
      <c r="BK426" s="43">
        <v>0</v>
      </c>
      <c r="BL426" s="43">
        <v>0</v>
      </c>
      <c r="BM426" s="43">
        <v>0</v>
      </c>
    </row>
    <row r="427" spans="1:65" ht="14.15" customHeight="1">
      <c r="A427" s="436">
        <f t="shared" si="1148"/>
        <v>420</v>
      </c>
      <c r="B427" s="20" t="s">
        <v>283</v>
      </c>
      <c r="C427" s="80">
        <f t="shared" ref="C427:H427" si="1177">C423+SUM(C425:C426)</f>
        <v>-3004253.1805291157</v>
      </c>
      <c r="D427" s="80">
        <f t="shared" si="1177"/>
        <v>0</v>
      </c>
      <c r="E427" s="80">
        <f>E423+SUM(E425:E426)</f>
        <v>-2022</v>
      </c>
      <c r="F427" s="80">
        <f>F423+SUM(F425:F426)</f>
        <v>0</v>
      </c>
      <c r="G427" s="80">
        <f>G423+SUM(G425:G426)</f>
        <v>0</v>
      </c>
      <c r="H427" s="80">
        <f t="shared" si="1177"/>
        <v>0</v>
      </c>
      <c r="I427" s="80">
        <f>I423+SUM(I425:I426)</f>
        <v>0</v>
      </c>
      <c r="J427" s="80">
        <f>J423+SUM(J425:J426)</f>
        <v>0</v>
      </c>
      <c r="K427" s="80">
        <f>K423+SUM(K425:K426)</f>
        <v>0</v>
      </c>
      <c r="L427" s="80">
        <f>L423+SUM(L425:L426)</f>
        <v>0</v>
      </c>
      <c r="M427" s="80">
        <f t="shared" ref="M427:Y427" si="1178">M423+SUM(M425:M426)</f>
        <v>0</v>
      </c>
      <c r="N427" s="80">
        <f t="shared" si="1178"/>
        <v>0</v>
      </c>
      <c r="O427" s="80">
        <f t="shared" si="1178"/>
        <v>0</v>
      </c>
      <c r="P427" s="80">
        <f t="shared" si="1178"/>
        <v>0</v>
      </c>
      <c r="Q427" s="80">
        <f t="shared" si="1178"/>
        <v>0</v>
      </c>
      <c r="R427" s="80">
        <f t="shared" si="1178"/>
        <v>0</v>
      </c>
      <c r="S427" s="80">
        <f t="shared" si="1178"/>
        <v>0</v>
      </c>
      <c r="T427" s="80">
        <f>T423+SUM(T425:T426)</f>
        <v>0</v>
      </c>
      <c r="U427" s="80">
        <f t="shared" si="1178"/>
        <v>279410</v>
      </c>
      <c r="V427" s="80">
        <f t="shared" si="1178"/>
        <v>-53319</v>
      </c>
      <c r="W427" s="80">
        <f t="shared" si="1178"/>
        <v>-182980.17</v>
      </c>
      <c r="X427" s="80">
        <f t="shared" si="1178"/>
        <v>-811799</v>
      </c>
      <c r="Y427" s="80">
        <f t="shared" si="1178"/>
        <v>77962</v>
      </c>
      <c r="Z427" s="80">
        <f>Z423+SUM(Z425:Z426)</f>
        <v>0</v>
      </c>
      <c r="AA427" s="80">
        <f>AA423+SUM(AA425:AA426)</f>
        <v>0</v>
      </c>
      <c r="AB427" s="80">
        <f t="shared" ref="AB427:AI427" si="1179">AB423+SUM(AB425:AB426)</f>
        <v>0</v>
      </c>
      <c r="AC427" s="80">
        <f t="shared" ref="AC427" si="1180">AC423+SUM(AC425:AC426)</f>
        <v>0</v>
      </c>
      <c r="AD427" s="80">
        <f>AD423+SUM(AD425:AD426)</f>
        <v>124803.12708288417</v>
      </c>
      <c r="AE427" s="80">
        <f t="shared" si="1179"/>
        <v>-5268</v>
      </c>
      <c r="AF427" s="80">
        <f t="shared" si="1179"/>
        <v>0</v>
      </c>
      <c r="AG427" s="80">
        <f t="shared" si="1179"/>
        <v>0</v>
      </c>
      <c r="AH427" s="80">
        <f t="shared" si="1179"/>
        <v>0</v>
      </c>
      <c r="AI427" s="80">
        <f t="shared" si="1179"/>
        <v>-29109.250000000233</v>
      </c>
      <c r="AJ427" s="80">
        <f>AJ423+SUM(AJ425:AJ426)</f>
        <v>0</v>
      </c>
      <c r="AK427" s="80">
        <f>AK423+SUM(AK425:AK426)</f>
        <v>0</v>
      </c>
      <c r="AL427" s="80">
        <f>AL423+SUM(AL425:AL426)</f>
        <v>0</v>
      </c>
      <c r="AM427" s="80">
        <f t="shared" ref="AM427:AW427" si="1181">AM423+SUM(AM425:AM426)</f>
        <v>0</v>
      </c>
      <c r="AN427" s="80">
        <f t="shared" si="1181"/>
        <v>0</v>
      </c>
      <c r="AO427" s="80">
        <f t="shared" si="1181"/>
        <v>0</v>
      </c>
      <c r="AP427" s="80">
        <f>AP423+SUM(AP425:AP426)</f>
        <v>0</v>
      </c>
      <c r="AQ427" s="80">
        <f t="shared" ref="AQ427:AT427" si="1182">AQ423+SUM(AQ425:AQ426)</f>
        <v>-72508</v>
      </c>
      <c r="AR427" s="80">
        <f t="shared" si="1182"/>
        <v>0</v>
      </c>
      <c r="AS427" s="80">
        <f t="shared" si="1182"/>
        <v>0</v>
      </c>
      <c r="AT427" s="80">
        <f t="shared" si="1182"/>
        <v>0</v>
      </c>
      <c r="AU427" s="80">
        <f>AU423+SUM(AU425:AU426)</f>
        <v>0</v>
      </c>
      <c r="AV427" s="80">
        <f t="shared" si="1181"/>
        <v>0</v>
      </c>
      <c r="AW427" s="80">
        <f t="shared" si="1181"/>
        <v>0</v>
      </c>
      <c r="AX427" s="80">
        <f>AX423+SUM(AX425:AX426)</f>
        <v>0</v>
      </c>
      <c r="AY427" s="80">
        <f>AY423+SUM(AY425:AY426)</f>
        <v>0</v>
      </c>
      <c r="AZ427" s="80">
        <f t="shared" ref="AZ427:BA427" si="1183">AZ423+SUM(AZ425:AZ426)</f>
        <v>0</v>
      </c>
      <c r="BA427" s="80">
        <f t="shared" si="1183"/>
        <v>0</v>
      </c>
      <c r="BB427" s="80">
        <f>BB423+SUM(BB425:BB426)</f>
        <v>0</v>
      </c>
      <c r="BC427" s="80">
        <f>BC423+SUM(BC425:BC426)</f>
        <v>0</v>
      </c>
      <c r="BD427" s="80">
        <f t="shared" ref="BD427" si="1184">BD423+SUM(BD425:BD426)</f>
        <v>0</v>
      </c>
      <c r="BE427" s="80">
        <f>BE423+SUM(BE425:BE426)</f>
        <v>-112254</v>
      </c>
      <c r="BF427" s="80">
        <f>BF423+SUM(BF425:BF426)</f>
        <v>0</v>
      </c>
      <c r="BG427" s="80">
        <f>BG423+SUM(BG425:BG426)</f>
        <v>0</v>
      </c>
      <c r="BH427" s="80">
        <f>BH423+SUM(BH425:BH426)</f>
        <v>0</v>
      </c>
      <c r="BI427" s="80">
        <f t="shared" ref="BI427" si="1185">BI423+SUM(BI425:BI426)</f>
        <v>0</v>
      </c>
      <c r="BJ427" s="80">
        <f t="shared" ref="BJ427:BL427" si="1186">BJ423+SUM(BJ425:BJ426)</f>
        <v>3054678</v>
      </c>
      <c r="BK427" s="80">
        <f t="shared" si="1186"/>
        <v>-5271846.8876120001</v>
      </c>
      <c r="BL427" s="80">
        <f t="shared" si="1186"/>
        <v>0</v>
      </c>
      <c r="BM427" s="80">
        <f t="shared" ref="BM427" si="1187">BM423+SUM(BM425:BM426)</f>
        <v>0</v>
      </c>
    </row>
    <row r="428" spans="1:65" ht="14.15" customHeight="1">
      <c r="A428" s="436">
        <f t="shared" si="1148"/>
        <v>421</v>
      </c>
      <c r="B428" s="57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</row>
    <row r="429" spans="1:65" s="21" customFormat="1" ht="14.15" customHeight="1">
      <c r="A429" s="436">
        <f t="shared" si="1148"/>
        <v>422</v>
      </c>
      <c r="B429" s="20" t="s">
        <v>508</v>
      </c>
      <c r="C429" s="163">
        <f t="shared" ref="C429:L429" si="1188">C427+C406+C399+C392+C383+C355+C328</f>
        <v>-192513199.9318769</v>
      </c>
      <c r="D429" s="163">
        <f t="shared" si="1188"/>
        <v>0</v>
      </c>
      <c r="E429" s="163">
        <f t="shared" si="1188"/>
        <v>0</v>
      </c>
      <c r="F429" s="163">
        <f t="shared" si="1188"/>
        <v>-2957290</v>
      </c>
      <c r="G429" s="163">
        <f t="shared" si="1188"/>
        <v>0</v>
      </c>
      <c r="H429" s="163">
        <f t="shared" si="1188"/>
        <v>0</v>
      </c>
      <c r="I429" s="163">
        <f t="shared" si="1188"/>
        <v>-141738721</v>
      </c>
      <c r="J429" s="163">
        <f t="shared" si="1188"/>
        <v>0</v>
      </c>
      <c r="K429" s="163">
        <f t="shared" ref="K429" si="1189">K427+K406+K399+K392+K383+K355+K328</f>
        <v>0</v>
      </c>
      <c r="L429" s="163">
        <f t="shared" si="1188"/>
        <v>106238</v>
      </c>
      <c r="M429" s="163">
        <f t="shared" ref="M429:Y429" si="1190">M427+M406+M399+M392+M383+M355+M328</f>
        <v>-289397</v>
      </c>
      <c r="N429" s="163">
        <f t="shared" si="1190"/>
        <v>-476213</v>
      </c>
      <c r="O429" s="163">
        <f t="shared" si="1190"/>
        <v>-372763</v>
      </c>
      <c r="P429" s="163">
        <f t="shared" si="1190"/>
        <v>885912</v>
      </c>
      <c r="Q429" s="163">
        <f t="shared" si="1190"/>
        <v>5803037</v>
      </c>
      <c r="R429" s="163">
        <f t="shared" si="1190"/>
        <v>0</v>
      </c>
      <c r="S429" s="163">
        <f t="shared" si="1190"/>
        <v>-6313675.0049999999</v>
      </c>
      <c r="T429" s="163">
        <f>T427+T406+T399+T392+T383+T355+T328</f>
        <v>0</v>
      </c>
      <c r="U429" s="163">
        <f t="shared" si="1190"/>
        <v>279410</v>
      </c>
      <c r="V429" s="163">
        <f t="shared" si="1190"/>
        <v>-169849.22</v>
      </c>
      <c r="W429" s="163">
        <f t="shared" si="1190"/>
        <v>-406497.16</v>
      </c>
      <c r="X429" s="163">
        <f t="shared" si="1190"/>
        <v>-811799</v>
      </c>
      <c r="Y429" s="163">
        <f t="shared" si="1190"/>
        <v>77962</v>
      </c>
      <c r="Z429" s="163">
        <f t="shared" ref="Z429:AE429" si="1191">Z427+Z406+Z399+Z392+Z383+Z355+Z328</f>
        <v>7893781</v>
      </c>
      <c r="AA429" s="163">
        <f t="shared" si="1191"/>
        <v>0</v>
      </c>
      <c r="AB429" s="163">
        <f t="shared" si="1191"/>
        <v>0</v>
      </c>
      <c r="AC429" s="163">
        <f t="shared" ref="AC429" si="1192">AC427+AC406+AC399+AC392+AC383+AC355+AC328</f>
        <v>-84408</v>
      </c>
      <c r="AD429" s="163">
        <f>AD427+AD406+AD399+AD392+AD383+AD355+AD328</f>
        <v>1167437.252145112</v>
      </c>
      <c r="AE429" s="163">
        <f t="shared" si="1191"/>
        <v>-8467</v>
      </c>
      <c r="AF429" s="163">
        <f t="shared" ref="AF429:AI429" si="1193">AF427+AF406+AF399+AF392+AF383+AF355+AF328</f>
        <v>0</v>
      </c>
      <c r="AG429" s="163">
        <f t="shared" si="1193"/>
        <v>0</v>
      </c>
      <c r="AH429" s="163">
        <f t="shared" si="1193"/>
        <v>0</v>
      </c>
      <c r="AI429" s="163">
        <f t="shared" si="1193"/>
        <v>-29109.250000000233</v>
      </c>
      <c r="AJ429" s="163">
        <f>AJ427+AJ406+AJ399+AJ392+AJ383+AJ355+AJ328</f>
        <v>0</v>
      </c>
      <c r="AK429" s="163">
        <f>AK427+AK406+AK399+AK392+AK383+AK355+AK328</f>
        <v>0</v>
      </c>
      <c r="AL429" s="163">
        <f>AL427+AL406+AL399+AL392+AL383+AL355+AL328</f>
        <v>0</v>
      </c>
      <c r="AM429" s="163">
        <f t="shared" ref="AM429:AW429" si="1194">AM427+AM406+AM399+AM392+AM383+AM355+AM328</f>
        <v>0</v>
      </c>
      <c r="AN429" s="163">
        <f t="shared" si="1194"/>
        <v>0</v>
      </c>
      <c r="AO429" s="163">
        <f t="shared" si="1194"/>
        <v>0</v>
      </c>
      <c r="AP429" s="163">
        <f>AP427+AP406+AP399+AP392+AP383+AP355+AP328</f>
        <v>9065</v>
      </c>
      <c r="AQ429" s="163">
        <f t="shared" ref="AQ429:AT429" si="1195">AQ427+AQ406+AQ399+AQ392+AQ383+AQ355+AQ328</f>
        <v>-83221.509999999995</v>
      </c>
      <c r="AR429" s="163">
        <f t="shared" si="1195"/>
        <v>50544</v>
      </c>
      <c r="AS429" s="163">
        <f t="shared" si="1195"/>
        <v>-35713370</v>
      </c>
      <c r="AT429" s="163">
        <f t="shared" si="1195"/>
        <v>-931318</v>
      </c>
      <c r="AU429" s="163">
        <f>AU427+AU406+AU399+AU392+AU383+AU355+AU328</f>
        <v>0</v>
      </c>
      <c r="AV429" s="163">
        <f t="shared" si="1194"/>
        <v>0</v>
      </c>
      <c r="AW429" s="163">
        <f t="shared" si="1194"/>
        <v>0</v>
      </c>
      <c r="AX429" s="163">
        <f>AX427+AX406+AX399+AX392+AX383+AX355+AX328</f>
        <v>0</v>
      </c>
      <c r="AY429" s="163">
        <f>AY427+AY406+AY399+AY392+AY383+AY355+AY328</f>
        <v>0</v>
      </c>
      <c r="AZ429" s="163">
        <f t="shared" ref="AZ429:BA429" si="1196">AZ427+AZ406+AZ399+AZ392+AZ383+AZ355+AZ328</f>
        <v>0</v>
      </c>
      <c r="BA429" s="163">
        <f t="shared" si="1196"/>
        <v>0</v>
      </c>
      <c r="BB429" s="163">
        <f>BB427+BB406+BB399+BB392+BB383+BB355+BB328</f>
        <v>413681.04072000011</v>
      </c>
      <c r="BC429" s="163">
        <f>BC427+BC406+BC399+BC392+BC383+BC355+BC328</f>
        <v>-13068150</v>
      </c>
      <c r="BD429" s="163">
        <f t="shared" ref="BD429" si="1197">BD427+BD406+BD399+BD392+BD383+BD355+BD328</f>
        <v>0</v>
      </c>
      <c r="BE429" s="163">
        <f>BE427+BE406+BE399+BE392+BE383+BE355+BE328</f>
        <v>-2542979.7199999997</v>
      </c>
      <c r="BF429" s="163">
        <f>BF427+BF406+BF399+BF392+BF383+BF355+BF328</f>
        <v>0</v>
      </c>
      <c r="BG429" s="163">
        <f>BG427+BG406+BG399+BG392+BG383+BG355+BG328</f>
        <v>0</v>
      </c>
      <c r="BH429" s="163">
        <f>BH427+BH406+BH399+BH392+BH383+BH355+BH328</f>
        <v>0</v>
      </c>
      <c r="BI429" s="163">
        <f t="shared" ref="BI429" si="1198">BI427+BI406+BI399+BI392+BI383+BI355+BI328</f>
        <v>0</v>
      </c>
      <c r="BJ429" s="163">
        <f t="shared" ref="BJ429:BL429" si="1199">BJ427+BJ406+BJ399+BJ392+BJ383+BJ355+BJ328</f>
        <v>3054678</v>
      </c>
      <c r="BK429" s="163">
        <f t="shared" si="1199"/>
        <v>-6257717.3597420007</v>
      </c>
      <c r="BL429" s="163">
        <f t="shared" si="1199"/>
        <v>0</v>
      </c>
      <c r="BM429" s="163">
        <f t="shared" ref="BM429" si="1200">BM427+BM406+BM399+BM392+BM383+BM355+BM328</f>
        <v>0</v>
      </c>
    </row>
    <row r="430" spans="1:65" s="21" customFormat="1" ht="14.15" customHeight="1">
      <c r="A430" s="436">
        <f t="shared" si="1148"/>
        <v>423</v>
      </c>
      <c r="B430" s="124"/>
      <c r="C430" s="124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  <c r="BC430" s="157"/>
      <c r="BD430" s="157"/>
      <c r="BE430" s="157"/>
      <c r="BF430" s="157"/>
      <c r="BG430" s="157"/>
      <c r="BH430" s="157"/>
      <c r="BI430" s="157"/>
      <c r="BJ430" s="157"/>
      <c r="BK430" s="157"/>
      <c r="BL430" s="157"/>
      <c r="BM430" s="157"/>
    </row>
    <row r="431" spans="1:65" s="21" customFormat="1" ht="14.15" customHeight="1">
      <c r="A431" s="436">
        <f t="shared" si="1148"/>
        <v>424</v>
      </c>
      <c r="B431" s="20" t="s">
        <v>375</v>
      </c>
      <c r="C431" s="20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  <c r="BC431" s="157"/>
      <c r="BD431" s="157"/>
      <c r="BE431" s="157"/>
      <c r="BF431" s="157"/>
      <c r="BG431" s="157"/>
      <c r="BH431" s="157"/>
      <c r="BI431" s="157"/>
      <c r="BJ431" s="157"/>
      <c r="BK431" s="157"/>
      <c r="BL431" s="157"/>
      <c r="BM431" s="157"/>
    </row>
    <row r="432" spans="1:65" s="21" customFormat="1" ht="14.15" customHeight="1">
      <c r="A432" s="436">
        <f t="shared" si="1148"/>
        <v>425</v>
      </c>
      <c r="B432" s="22" t="s">
        <v>379</v>
      </c>
      <c r="C432" s="38">
        <f>SUM(D432:BM432)</f>
        <v>0</v>
      </c>
      <c r="D432" s="38"/>
      <c r="E432" s="38"/>
      <c r="F432" s="10"/>
      <c r="G432" s="10"/>
      <c r="H432" s="10"/>
      <c r="I432" s="10"/>
      <c r="J432" s="10"/>
      <c r="K432" s="10"/>
      <c r="L432" s="10"/>
      <c r="M432" s="157"/>
      <c r="N432" s="38"/>
      <c r="O432" s="38"/>
      <c r="P432" s="157"/>
      <c r="Q432" s="10"/>
      <c r="R432" s="157"/>
      <c r="S432" s="10"/>
      <c r="T432" s="38"/>
      <c r="U432" s="10"/>
      <c r="V432" s="10"/>
      <c r="W432" s="10"/>
      <c r="X432" s="157"/>
      <c r="Y432" s="10"/>
      <c r="Z432" s="10"/>
      <c r="AA432" s="10"/>
      <c r="AB432" s="10"/>
      <c r="AC432" s="10"/>
      <c r="AD432" s="10"/>
      <c r="AE432" s="38"/>
      <c r="AF432" s="10"/>
      <c r="AG432" s="10"/>
      <c r="AH432" s="10"/>
      <c r="AI432" s="38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38"/>
      <c r="BC432" s="10"/>
      <c r="BD432" s="10"/>
      <c r="BE432" s="10"/>
      <c r="BF432" s="10"/>
      <c r="BG432" s="38"/>
      <c r="BH432" s="10"/>
      <c r="BI432" s="10"/>
      <c r="BJ432" s="10"/>
      <c r="BK432" s="10"/>
      <c r="BL432" s="10"/>
      <c r="BM432" s="10"/>
    </row>
    <row r="433" spans="1:65" s="21" customFormat="1" ht="14.15" customHeight="1">
      <c r="A433" s="436">
        <f t="shared" si="1148"/>
        <v>426</v>
      </c>
      <c r="B433" s="22" t="s">
        <v>380</v>
      </c>
      <c r="C433" s="38">
        <f t="shared" ref="C433:C436" si="1201">SUM(D433:BM433)</f>
        <v>0</v>
      </c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</row>
    <row r="434" spans="1:65" s="21" customFormat="1" ht="14.15" customHeight="1">
      <c r="A434" s="436">
        <f t="shared" si="1148"/>
        <v>427</v>
      </c>
      <c r="B434" s="22" t="s">
        <v>249</v>
      </c>
      <c r="C434" s="38">
        <f t="shared" si="1201"/>
        <v>0</v>
      </c>
      <c r="D434" s="38"/>
      <c r="E434" s="38"/>
      <c r="F434" s="10"/>
      <c r="G434" s="10"/>
      <c r="H434" s="10"/>
      <c r="I434" s="10"/>
      <c r="J434" s="10"/>
      <c r="K434" s="10"/>
      <c r="L434" s="10"/>
      <c r="M434" s="10"/>
      <c r="N434" s="38"/>
      <c r="O434" s="38"/>
      <c r="P434" s="10"/>
      <c r="Q434" s="10"/>
      <c r="R434" s="38"/>
      <c r="S434" s="157"/>
      <c r="T434" s="38"/>
      <c r="U434" s="10"/>
      <c r="V434" s="10"/>
      <c r="W434" s="157"/>
      <c r="X434" s="10"/>
      <c r="Y434" s="10"/>
      <c r="Z434" s="157"/>
      <c r="AA434" s="10"/>
      <c r="AB434" s="10"/>
      <c r="AC434" s="10"/>
      <c r="AD434" s="10"/>
      <c r="AE434" s="38"/>
      <c r="AF434" s="10"/>
      <c r="AG434" s="10"/>
      <c r="AH434" s="10"/>
      <c r="AI434" s="38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</row>
    <row r="435" spans="1:65" s="21" customFormat="1" ht="14.15" customHeight="1">
      <c r="A435" s="436">
        <f t="shared" si="1148"/>
        <v>428</v>
      </c>
      <c r="B435" s="22" t="s">
        <v>381</v>
      </c>
      <c r="C435" s="38">
        <f t="shared" si="1201"/>
        <v>0</v>
      </c>
      <c r="D435" s="38"/>
      <c r="E435" s="38"/>
      <c r="F435" s="10"/>
      <c r="G435" s="10"/>
      <c r="H435" s="10"/>
      <c r="I435" s="10"/>
      <c r="J435" s="10"/>
      <c r="K435" s="10"/>
      <c r="L435" s="10"/>
      <c r="M435" s="10"/>
      <c r="N435" s="38"/>
      <c r="O435" s="38"/>
      <c r="P435" s="10"/>
      <c r="Q435" s="10"/>
      <c r="R435" s="38"/>
      <c r="S435" s="10"/>
      <c r="T435" s="38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38"/>
      <c r="AF435" s="10"/>
      <c r="AG435" s="10"/>
      <c r="AH435" s="10"/>
      <c r="AI435" s="38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</row>
    <row r="436" spans="1:65" s="21" customFormat="1" ht="14.15" customHeight="1">
      <c r="A436" s="436">
        <f t="shared" si="1148"/>
        <v>429</v>
      </c>
      <c r="B436" s="56" t="s">
        <v>382</v>
      </c>
      <c r="C436" s="38">
        <f t="shared" si="1201"/>
        <v>0</v>
      </c>
      <c r="D436" s="198"/>
      <c r="E436" s="198"/>
      <c r="F436" s="64"/>
      <c r="G436" s="64"/>
      <c r="H436" s="64"/>
      <c r="I436" s="64"/>
      <c r="J436" s="64"/>
      <c r="K436" s="64"/>
      <c r="L436" s="64"/>
      <c r="M436" s="10"/>
      <c r="N436" s="38"/>
      <c r="O436" s="198"/>
      <c r="P436" s="10"/>
      <c r="Q436" s="64"/>
      <c r="R436" s="38"/>
      <c r="S436" s="10"/>
      <c r="T436" s="198"/>
      <c r="U436" s="168"/>
      <c r="V436" s="168"/>
      <c r="W436" s="10"/>
      <c r="X436" s="10"/>
      <c r="Y436" s="168"/>
      <c r="Z436" s="10"/>
      <c r="AA436" s="64"/>
      <c r="AB436" s="168"/>
      <c r="AC436" s="168"/>
      <c r="AD436" s="64"/>
      <c r="AE436" s="198"/>
      <c r="AF436" s="64"/>
      <c r="AG436" s="64"/>
      <c r="AH436" s="64"/>
      <c r="AI436" s="198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</row>
    <row r="437" spans="1:65" s="21" customFormat="1" ht="14.15" customHeight="1">
      <c r="A437" s="436">
        <f t="shared" si="1148"/>
        <v>430</v>
      </c>
      <c r="B437" s="62" t="s">
        <v>509</v>
      </c>
      <c r="C437" s="171">
        <f t="shared" ref="C437:L437" si="1202">SUM(C432:C436)</f>
        <v>0</v>
      </c>
      <c r="D437" s="201">
        <f t="shared" si="1202"/>
        <v>0</v>
      </c>
      <c r="E437" s="201">
        <f t="shared" si="1202"/>
        <v>0</v>
      </c>
      <c r="F437" s="64">
        <f t="shared" si="1202"/>
        <v>0</v>
      </c>
      <c r="G437" s="64">
        <f t="shared" si="1202"/>
        <v>0</v>
      </c>
      <c r="H437" s="64">
        <f t="shared" si="1202"/>
        <v>0</v>
      </c>
      <c r="I437" s="172">
        <f t="shared" si="1202"/>
        <v>0</v>
      </c>
      <c r="J437" s="64">
        <f t="shared" si="1202"/>
        <v>0</v>
      </c>
      <c r="K437" s="64">
        <f t="shared" ref="K437" si="1203">SUM(K432:K436)</f>
        <v>0</v>
      </c>
      <c r="L437" s="64">
        <f t="shared" si="1202"/>
        <v>0</v>
      </c>
      <c r="M437" s="171">
        <f t="shared" ref="M437:Y437" si="1204">SUM(M432:M436)</f>
        <v>0</v>
      </c>
      <c r="N437" s="171">
        <f t="shared" si="1204"/>
        <v>0</v>
      </c>
      <c r="O437" s="198">
        <f t="shared" si="1204"/>
        <v>0</v>
      </c>
      <c r="P437" s="171">
        <f t="shared" si="1204"/>
        <v>0</v>
      </c>
      <c r="Q437" s="64">
        <f t="shared" si="1204"/>
        <v>0</v>
      </c>
      <c r="R437" s="171">
        <f t="shared" si="1204"/>
        <v>0</v>
      </c>
      <c r="S437" s="171">
        <f t="shared" si="1204"/>
        <v>0</v>
      </c>
      <c r="T437" s="198">
        <f>SUM(T432:T436)</f>
        <v>0</v>
      </c>
      <c r="U437" s="171">
        <f t="shared" si="1204"/>
        <v>0</v>
      </c>
      <c r="V437" s="171">
        <f t="shared" si="1204"/>
        <v>0</v>
      </c>
      <c r="W437" s="171">
        <f t="shared" si="1204"/>
        <v>0</v>
      </c>
      <c r="X437" s="171">
        <f t="shared" si="1204"/>
        <v>0</v>
      </c>
      <c r="Y437" s="171">
        <f t="shared" si="1204"/>
        <v>0</v>
      </c>
      <c r="Z437" s="171">
        <f t="shared" ref="Z437:AE437" si="1205">SUM(Z432:Z436)</f>
        <v>0</v>
      </c>
      <c r="AA437" s="64">
        <f t="shared" si="1205"/>
        <v>0</v>
      </c>
      <c r="AB437" s="171">
        <f t="shared" si="1205"/>
        <v>0</v>
      </c>
      <c r="AC437" s="171">
        <f t="shared" ref="AC437" si="1206">SUM(AC432:AC436)</f>
        <v>0</v>
      </c>
      <c r="AD437" s="64">
        <f t="shared" si="1205"/>
        <v>0</v>
      </c>
      <c r="AE437" s="198">
        <f t="shared" si="1205"/>
        <v>0</v>
      </c>
      <c r="AF437" s="64">
        <f t="shared" ref="AF437:AI437" si="1207">SUM(AF432:AF436)</f>
        <v>0</v>
      </c>
      <c r="AG437" s="64">
        <f t="shared" si="1207"/>
        <v>0</v>
      </c>
      <c r="AH437" s="64">
        <f t="shared" si="1207"/>
        <v>0</v>
      </c>
      <c r="AI437" s="198">
        <f t="shared" si="1207"/>
        <v>0</v>
      </c>
      <c r="AJ437" s="172">
        <f>SUM(AJ432:AJ436)</f>
        <v>0</v>
      </c>
      <c r="AK437" s="64">
        <f>SUM(AK432:AK436)</f>
        <v>0</v>
      </c>
      <c r="AL437" s="64">
        <f>SUM(AL432:AL436)</f>
        <v>0</v>
      </c>
      <c r="AM437" s="64">
        <f t="shared" ref="AM437:AW437" si="1208">SUM(AM432:AM436)</f>
        <v>0</v>
      </c>
      <c r="AN437" s="64">
        <f t="shared" si="1208"/>
        <v>0</v>
      </c>
      <c r="AO437" s="64">
        <f t="shared" si="1208"/>
        <v>0</v>
      </c>
      <c r="AP437" s="64">
        <f>SUM(AP432:AP436)</f>
        <v>0</v>
      </c>
      <c r="AQ437" s="64">
        <f t="shared" ref="AQ437:AT437" si="1209">SUM(AQ432:AQ436)</f>
        <v>0</v>
      </c>
      <c r="AR437" s="64">
        <f t="shared" si="1209"/>
        <v>0</v>
      </c>
      <c r="AS437" s="64">
        <f t="shared" si="1209"/>
        <v>0</v>
      </c>
      <c r="AT437" s="64">
        <f t="shared" si="1209"/>
        <v>0</v>
      </c>
      <c r="AU437" s="172">
        <f>SUM(AU432:AU436)</f>
        <v>0</v>
      </c>
      <c r="AV437" s="64">
        <f t="shared" si="1208"/>
        <v>0</v>
      </c>
      <c r="AW437" s="64">
        <f t="shared" si="1208"/>
        <v>0</v>
      </c>
      <c r="AX437" s="64">
        <f>SUM(AX432:AX436)</f>
        <v>0</v>
      </c>
      <c r="AY437" s="64">
        <f>SUM(AY432:AY436)</f>
        <v>0</v>
      </c>
      <c r="AZ437" s="64">
        <f t="shared" ref="AZ437:BA437" si="1210">SUM(AZ432:AZ436)</f>
        <v>0</v>
      </c>
      <c r="BA437" s="64">
        <f t="shared" si="1210"/>
        <v>0</v>
      </c>
      <c r="BB437" s="64">
        <f>SUM(BB432:BB436)</f>
        <v>0</v>
      </c>
      <c r="BC437" s="64">
        <f>SUM(BC432:BC436)</f>
        <v>0</v>
      </c>
      <c r="BD437" s="64">
        <f t="shared" ref="BD437" si="1211">SUM(BD432:BD436)</f>
        <v>0</v>
      </c>
      <c r="BE437" s="64">
        <f>SUM(BE432:BE436)</f>
        <v>0</v>
      </c>
      <c r="BF437" s="64">
        <f>SUM(BF432:BF436)</f>
        <v>0</v>
      </c>
      <c r="BG437" s="64">
        <f>CWC!J52</f>
        <v>-72923158.403071955</v>
      </c>
      <c r="BH437" s="64">
        <f>SUM(BH432:BH436)</f>
        <v>0</v>
      </c>
      <c r="BI437" s="64">
        <f t="shared" ref="BI437" si="1212">SUM(BI432:BI436)</f>
        <v>0</v>
      </c>
      <c r="BJ437" s="64">
        <f t="shared" ref="BJ437:BL437" si="1213">SUM(BJ432:BJ436)</f>
        <v>0</v>
      </c>
      <c r="BK437" s="64">
        <f t="shared" si="1213"/>
        <v>0</v>
      </c>
      <c r="BL437" s="64">
        <f t="shared" si="1213"/>
        <v>0</v>
      </c>
      <c r="BM437" s="64">
        <f t="shared" ref="BM437" si="1214">SUM(BM432:BM436)</f>
        <v>0</v>
      </c>
    </row>
    <row r="438" spans="1:65" s="21" customFormat="1" ht="14.15" customHeight="1" thickBot="1">
      <c r="A438" s="436">
        <f t="shared" si="1148"/>
        <v>431</v>
      </c>
      <c r="B438" s="63" t="s">
        <v>510</v>
      </c>
      <c r="C438" s="175">
        <f>C437</f>
        <v>0</v>
      </c>
      <c r="D438" s="175">
        <f>D437</f>
        <v>0</v>
      </c>
      <c r="E438" s="175">
        <f t="shared" ref="E438:BM438" si="1215">E437</f>
        <v>0</v>
      </c>
      <c r="F438" s="175">
        <f t="shared" si="1215"/>
        <v>0</v>
      </c>
      <c r="G438" s="175">
        <f t="shared" si="1215"/>
        <v>0</v>
      </c>
      <c r="H438" s="175">
        <f t="shared" si="1215"/>
        <v>0</v>
      </c>
      <c r="I438" s="175">
        <f t="shared" si="1215"/>
        <v>0</v>
      </c>
      <c r="J438" s="175">
        <f t="shared" si="1215"/>
        <v>0</v>
      </c>
      <c r="K438" s="175">
        <f t="shared" si="1215"/>
        <v>0</v>
      </c>
      <c r="L438" s="175">
        <f t="shared" si="1215"/>
        <v>0</v>
      </c>
      <c r="M438" s="175">
        <f t="shared" si="1215"/>
        <v>0</v>
      </c>
      <c r="N438" s="175">
        <f t="shared" si="1215"/>
        <v>0</v>
      </c>
      <c r="O438" s="175">
        <f t="shared" si="1215"/>
        <v>0</v>
      </c>
      <c r="P438" s="175">
        <f t="shared" si="1215"/>
        <v>0</v>
      </c>
      <c r="Q438" s="175">
        <f t="shared" si="1215"/>
        <v>0</v>
      </c>
      <c r="R438" s="175">
        <f t="shared" si="1215"/>
        <v>0</v>
      </c>
      <c r="S438" s="175">
        <f t="shared" si="1215"/>
        <v>0</v>
      </c>
      <c r="T438" s="175">
        <f t="shared" si="1215"/>
        <v>0</v>
      </c>
      <c r="U438" s="175">
        <f t="shared" si="1215"/>
        <v>0</v>
      </c>
      <c r="V438" s="175">
        <f t="shared" si="1215"/>
        <v>0</v>
      </c>
      <c r="W438" s="175">
        <f t="shared" si="1215"/>
        <v>0</v>
      </c>
      <c r="X438" s="175">
        <f t="shared" si="1215"/>
        <v>0</v>
      </c>
      <c r="Y438" s="175">
        <f t="shared" si="1215"/>
        <v>0</v>
      </c>
      <c r="Z438" s="175">
        <f t="shared" si="1215"/>
        <v>0</v>
      </c>
      <c r="AA438" s="175">
        <f t="shared" si="1215"/>
        <v>0</v>
      </c>
      <c r="AB438" s="175">
        <f t="shared" si="1215"/>
        <v>0</v>
      </c>
      <c r="AC438" s="175">
        <f t="shared" si="1215"/>
        <v>0</v>
      </c>
      <c r="AD438" s="175">
        <f t="shared" si="1215"/>
        <v>0</v>
      </c>
      <c r="AE438" s="175">
        <f t="shared" si="1215"/>
        <v>0</v>
      </c>
      <c r="AF438" s="175">
        <f t="shared" si="1215"/>
        <v>0</v>
      </c>
      <c r="AG438" s="175">
        <f t="shared" si="1215"/>
        <v>0</v>
      </c>
      <c r="AH438" s="175">
        <f t="shared" si="1215"/>
        <v>0</v>
      </c>
      <c r="AI438" s="175">
        <f t="shared" si="1215"/>
        <v>0</v>
      </c>
      <c r="AJ438" s="175">
        <f t="shared" si="1215"/>
        <v>0</v>
      </c>
      <c r="AK438" s="175">
        <f t="shared" si="1215"/>
        <v>0</v>
      </c>
      <c r="AL438" s="175">
        <f t="shared" si="1215"/>
        <v>0</v>
      </c>
      <c r="AM438" s="175">
        <f t="shared" si="1215"/>
        <v>0</v>
      </c>
      <c r="AN438" s="175">
        <f t="shared" si="1215"/>
        <v>0</v>
      </c>
      <c r="AO438" s="175">
        <f t="shared" si="1215"/>
        <v>0</v>
      </c>
      <c r="AP438" s="175">
        <f t="shared" si="1215"/>
        <v>0</v>
      </c>
      <c r="AQ438" s="175">
        <f t="shared" si="1215"/>
        <v>0</v>
      </c>
      <c r="AR438" s="175">
        <f t="shared" si="1215"/>
        <v>0</v>
      </c>
      <c r="AS438" s="175">
        <f t="shared" si="1215"/>
        <v>0</v>
      </c>
      <c r="AT438" s="175">
        <f t="shared" si="1215"/>
        <v>0</v>
      </c>
      <c r="AU438" s="175">
        <f t="shared" si="1215"/>
        <v>0</v>
      </c>
      <c r="AV438" s="175">
        <f t="shared" si="1215"/>
        <v>0</v>
      </c>
      <c r="AW438" s="175">
        <f t="shared" si="1215"/>
        <v>0</v>
      </c>
      <c r="AX438" s="175">
        <f t="shared" si="1215"/>
        <v>0</v>
      </c>
      <c r="AY438" s="175">
        <f t="shared" si="1215"/>
        <v>0</v>
      </c>
      <c r="AZ438" s="175">
        <f t="shared" si="1215"/>
        <v>0</v>
      </c>
      <c r="BA438" s="175">
        <f t="shared" si="1215"/>
        <v>0</v>
      </c>
      <c r="BB438" s="175">
        <f t="shared" si="1215"/>
        <v>0</v>
      </c>
      <c r="BC438" s="175">
        <f t="shared" si="1215"/>
        <v>0</v>
      </c>
      <c r="BD438" s="175">
        <f t="shared" si="1215"/>
        <v>0</v>
      </c>
      <c r="BE438" s="175">
        <f t="shared" si="1215"/>
        <v>0</v>
      </c>
      <c r="BF438" s="175">
        <f t="shared" si="1215"/>
        <v>0</v>
      </c>
      <c r="BG438" s="175">
        <f t="shared" si="1215"/>
        <v>-72923158.403071955</v>
      </c>
      <c r="BH438" s="175">
        <f t="shared" si="1215"/>
        <v>0</v>
      </c>
      <c r="BI438" s="175">
        <f t="shared" si="1215"/>
        <v>0</v>
      </c>
      <c r="BJ438" s="175">
        <f t="shared" si="1215"/>
        <v>0</v>
      </c>
      <c r="BK438" s="175">
        <f t="shared" si="1215"/>
        <v>0</v>
      </c>
      <c r="BL438" s="175">
        <f t="shared" si="1215"/>
        <v>0</v>
      </c>
      <c r="BM438" s="175">
        <f t="shared" si="1215"/>
        <v>0</v>
      </c>
    </row>
    <row r="439" spans="1:65" s="21" customFormat="1" ht="14.15" customHeight="1" thickTop="1">
      <c r="A439" s="436">
        <f t="shared" si="1148"/>
        <v>432</v>
      </c>
      <c r="B439" s="124"/>
      <c r="C439" s="124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  <c r="AR439" s="157"/>
      <c r="AS439" s="157"/>
      <c r="AT439" s="157"/>
      <c r="AU439" s="157"/>
      <c r="AV439" s="157"/>
      <c r="AW439" s="157"/>
      <c r="AX439" s="157"/>
      <c r="AY439" s="157"/>
      <c r="AZ439" s="157"/>
      <c r="BA439" s="157"/>
      <c r="BB439" s="157"/>
      <c r="BC439" s="157"/>
      <c r="BD439" s="157"/>
      <c r="BE439" s="157"/>
      <c r="BF439" s="157"/>
      <c r="BG439" s="157"/>
      <c r="BH439" s="157"/>
      <c r="BI439" s="157"/>
      <c r="BJ439" s="157"/>
      <c r="BK439" s="157"/>
      <c r="BL439" s="157"/>
      <c r="BM439" s="157"/>
    </row>
    <row r="440" spans="1:65" ht="14.15" customHeight="1">
      <c r="A440" s="436">
        <f t="shared" si="1148"/>
        <v>433</v>
      </c>
      <c r="B440" s="13" t="s">
        <v>284</v>
      </c>
      <c r="C440" s="42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</row>
    <row r="441" spans="1:65" ht="14.15" customHeight="1">
      <c r="A441" s="436">
        <f t="shared" si="1148"/>
        <v>434</v>
      </c>
      <c r="B441" s="22" t="s">
        <v>285</v>
      </c>
      <c r="C441" s="38">
        <f>SUM(D441:BM441)</f>
        <v>-11183970.592049999</v>
      </c>
      <c r="D441" s="10">
        <v>0</v>
      </c>
      <c r="E441" s="10">
        <v>0</v>
      </c>
      <c r="F441" s="10">
        <v>-9079176</v>
      </c>
      <c r="G441" s="10">
        <v>0</v>
      </c>
      <c r="H441" s="10">
        <v>-3573269.7250000001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444168</v>
      </c>
      <c r="AB441" s="10">
        <v>0</v>
      </c>
      <c r="AC441" s="10">
        <v>0</v>
      </c>
      <c r="AD441" s="10">
        <v>0</v>
      </c>
      <c r="AE441" s="10">
        <v>0</v>
      </c>
      <c r="AF441" s="10">
        <v>553061</v>
      </c>
      <c r="AG441" s="10">
        <v>471246.13294999994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0">
        <v>0</v>
      </c>
      <c r="BJ441" s="10">
        <v>0</v>
      </c>
      <c r="BK441" s="10">
        <v>0</v>
      </c>
      <c r="BL441" s="10">
        <v>0</v>
      </c>
      <c r="BM441" s="10">
        <v>0</v>
      </c>
    </row>
    <row r="442" spans="1:65" s="22" customFormat="1" ht="14.15" customHeight="1">
      <c r="A442" s="436">
        <f t="shared" si="1148"/>
        <v>435</v>
      </c>
      <c r="B442" s="22" t="s">
        <v>286</v>
      </c>
      <c r="C442" s="38">
        <f t="shared" ref="C442:C445" si="1216">SUM(D442:BM442)</f>
        <v>526787</v>
      </c>
      <c r="D442" s="43">
        <v>0</v>
      </c>
      <c r="E442" s="43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526787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  <c r="AU442" s="43">
        <v>0</v>
      </c>
      <c r="AV442" s="43">
        <v>0</v>
      </c>
      <c r="AW442" s="43">
        <v>0</v>
      </c>
      <c r="AX442" s="43">
        <v>0</v>
      </c>
      <c r="AY442" s="43">
        <v>0</v>
      </c>
      <c r="AZ442" s="43">
        <v>0</v>
      </c>
      <c r="BA442" s="43">
        <v>0</v>
      </c>
      <c r="BB442" s="43">
        <v>0</v>
      </c>
      <c r="BC442" s="43">
        <v>0</v>
      </c>
      <c r="BD442" s="43">
        <v>0</v>
      </c>
      <c r="BE442" s="43">
        <v>0</v>
      </c>
      <c r="BF442" s="43">
        <v>0</v>
      </c>
      <c r="BG442" s="43">
        <v>0</v>
      </c>
      <c r="BH442" s="43">
        <v>0</v>
      </c>
      <c r="BI442" s="43">
        <v>0</v>
      </c>
      <c r="BJ442" s="43">
        <v>0</v>
      </c>
      <c r="BK442" s="43">
        <v>0</v>
      </c>
      <c r="BL442" s="43">
        <v>0</v>
      </c>
      <c r="BM442" s="43">
        <v>0</v>
      </c>
    </row>
    <row r="443" spans="1:65" s="22" customFormat="1" ht="13.5" customHeight="1">
      <c r="A443" s="436">
        <f t="shared" si="1148"/>
        <v>436</v>
      </c>
      <c r="B443" s="22" t="s">
        <v>287</v>
      </c>
      <c r="C443" s="38">
        <f t="shared" si="1216"/>
        <v>0</v>
      </c>
      <c r="D443" s="43">
        <v>0</v>
      </c>
      <c r="E443" s="43">
        <v>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  <c r="AT443" s="43">
        <v>0</v>
      </c>
      <c r="AU443" s="43">
        <v>0</v>
      </c>
      <c r="AV443" s="43">
        <v>0</v>
      </c>
      <c r="AW443" s="43">
        <v>0</v>
      </c>
      <c r="AX443" s="43">
        <v>0</v>
      </c>
      <c r="AY443" s="43">
        <v>0</v>
      </c>
      <c r="AZ443" s="43">
        <v>0</v>
      </c>
      <c r="BA443" s="43">
        <v>0</v>
      </c>
      <c r="BB443" s="43">
        <v>0</v>
      </c>
      <c r="BC443" s="43">
        <v>0</v>
      </c>
      <c r="BD443" s="43">
        <v>0</v>
      </c>
      <c r="BE443" s="43">
        <v>0</v>
      </c>
      <c r="BF443" s="43">
        <v>0</v>
      </c>
      <c r="BG443" s="43">
        <v>0</v>
      </c>
      <c r="BH443" s="43">
        <v>0</v>
      </c>
      <c r="BI443" s="43">
        <v>0</v>
      </c>
      <c r="BJ443" s="43">
        <v>0</v>
      </c>
      <c r="BK443" s="43">
        <v>0</v>
      </c>
      <c r="BL443" s="43">
        <v>0</v>
      </c>
      <c r="BM443" s="43">
        <v>0</v>
      </c>
    </row>
    <row r="444" spans="1:65" s="22" customFormat="1" ht="14.15" customHeight="1">
      <c r="A444" s="436">
        <f t="shared" si="1148"/>
        <v>437</v>
      </c>
      <c r="B444" s="22" t="s">
        <v>138</v>
      </c>
      <c r="C444" s="38">
        <f t="shared" si="1216"/>
        <v>966467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43">
        <v>0</v>
      </c>
      <c r="AE444" s="43">
        <v>0</v>
      </c>
      <c r="AF444" s="43">
        <v>966467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  <c r="AU444" s="43">
        <v>0</v>
      </c>
      <c r="AV444" s="43">
        <v>0</v>
      </c>
      <c r="AW444" s="43">
        <v>0</v>
      </c>
      <c r="AX444" s="43">
        <v>0</v>
      </c>
      <c r="AY444" s="43">
        <v>0</v>
      </c>
      <c r="AZ444" s="43">
        <v>0</v>
      </c>
      <c r="BA444" s="43">
        <v>0</v>
      </c>
      <c r="BB444" s="43">
        <v>0</v>
      </c>
      <c r="BC444" s="43">
        <v>0</v>
      </c>
      <c r="BD444" s="43">
        <v>0</v>
      </c>
      <c r="BE444" s="43">
        <v>0</v>
      </c>
      <c r="BF444" s="43">
        <v>0</v>
      </c>
      <c r="BG444" s="43">
        <v>0</v>
      </c>
      <c r="BH444" s="43">
        <v>0</v>
      </c>
      <c r="BI444" s="43">
        <v>0</v>
      </c>
      <c r="BJ444" s="43">
        <v>0</v>
      </c>
      <c r="BK444" s="43">
        <v>0</v>
      </c>
      <c r="BL444" s="43">
        <v>0</v>
      </c>
      <c r="BM444" s="43">
        <v>0</v>
      </c>
    </row>
    <row r="445" spans="1:65" s="124" customFormat="1" ht="14.15" customHeight="1">
      <c r="A445" s="436">
        <f t="shared" si="1148"/>
        <v>438</v>
      </c>
      <c r="B445" s="56" t="s">
        <v>139</v>
      </c>
      <c r="C445" s="198">
        <f t="shared" si="1216"/>
        <v>410291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64">
        <v>0</v>
      </c>
      <c r="V445" s="64">
        <v>0</v>
      </c>
      <c r="W445" s="64">
        <v>0</v>
      </c>
      <c r="X445" s="64">
        <v>0</v>
      </c>
      <c r="Y445" s="64">
        <v>0</v>
      </c>
      <c r="Z445" s="64">
        <v>0</v>
      </c>
      <c r="AA445" s="64">
        <v>0</v>
      </c>
      <c r="AB445" s="64">
        <v>0</v>
      </c>
      <c r="AC445" s="64">
        <v>0</v>
      </c>
      <c r="AD445" s="64">
        <v>0</v>
      </c>
      <c r="AE445" s="64">
        <v>0</v>
      </c>
      <c r="AF445" s="64">
        <v>410291</v>
      </c>
      <c r="AG445" s="64">
        <v>0</v>
      </c>
      <c r="AH445" s="64">
        <v>0</v>
      </c>
      <c r="AI445" s="64">
        <v>0</v>
      </c>
      <c r="AJ445" s="64">
        <v>0</v>
      </c>
      <c r="AK445" s="64">
        <v>0</v>
      </c>
      <c r="AL445" s="64">
        <v>0</v>
      </c>
      <c r="AM445" s="64">
        <v>0</v>
      </c>
      <c r="AN445" s="64">
        <v>0</v>
      </c>
      <c r="AO445" s="64">
        <v>0</v>
      </c>
      <c r="AP445" s="64">
        <v>0</v>
      </c>
      <c r="AQ445" s="64">
        <v>0</v>
      </c>
      <c r="AR445" s="64">
        <v>0</v>
      </c>
      <c r="AS445" s="64">
        <v>0</v>
      </c>
      <c r="AT445" s="64">
        <v>0</v>
      </c>
      <c r="AU445" s="64">
        <v>0</v>
      </c>
      <c r="AV445" s="64">
        <v>0</v>
      </c>
      <c r="AW445" s="64">
        <v>0</v>
      </c>
      <c r="AX445" s="64">
        <v>0</v>
      </c>
      <c r="AY445" s="64">
        <v>0</v>
      </c>
      <c r="AZ445" s="64">
        <v>0</v>
      </c>
      <c r="BA445" s="64">
        <v>0</v>
      </c>
      <c r="BB445" s="64">
        <v>0</v>
      </c>
      <c r="BC445" s="64">
        <v>0</v>
      </c>
      <c r="BD445" s="64">
        <v>0</v>
      </c>
      <c r="BE445" s="64">
        <v>0</v>
      </c>
      <c r="BF445" s="64">
        <v>0</v>
      </c>
      <c r="BG445" s="64">
        <v>0</v>
      </c>
      <c r="BH445" s="64">
        <v>0</v>
      </c>
      <c r="BI445" s="64">
        <v>0</v>
      </c>
      <c r="BJ445" s="64">
        <v>0</v>
      </c>
      <c r="BK445" s="64">
        <v>0</v>
      </c>
      <c r="BL445" s="64">
        <v>0</v>
      </c>
      <c r="BM445" s="64">
        <v>0</v>
      </c>
    </row>
    <row r="446" spans="1:65" ht="14.15" customHeight="1">
      <c r="A446" s="436">
        <f t="shared" si="1148"/>
        <v>439</v>
      </c>
      <c r="B446" s="20" t="s">
        <v>511</v>
      </c>
      <c r="C446" s="16">
        <f t="shared" ref="C446:L446" si="1217">SUM(C441:C445)</f>
        <v>-9280425.5920499992</v>
      </c>
      <c r="D446" s="16">
        <f t="shared" si="1217"/>
        <v>0</v>
      </c>
      <c r="E446" s="16">
        <f t="shared" si="1217"/>
        <v>0</v>
      </c>
      <c r="F446" s="16">
        <f t="shared" si="1217"/>
        <v>-9079176</v>
      </c>
      <c r="G446" s="16">
        <f t="shared" si="1217"/>
        <v>0</v>
      </c>
      <c r="H446" s="16">
        <f t="shared" si="1217"/>
        <v>-3573269.7250000001</v>
      </c>
      <c r="I446" s="16">
        <f t="shared" si="1217"/>
        <v>0</v>
      </c>
      <c r="J446" s="16">
        <f t="shared" si="1217"/>
        <v>0</v>
      </c>
      <c r="K446" s="16">
        <f t="shared" ref="K446" si="1218">SUM(K441:K445)</f>
        <v>0</v>
      </c>
      <c r="L446" s="16">
        <f t="shared" si="1217"/>
        <v>0</v>
      </c>
      <c r="M446" s="16">
        <f t="shared" ref="M446:Y446" si="1219">SUM(M441:M445)</f>
        <v>0</v>
      </c>
      <c r="N446" s="16">
        <f t="shared" si="1219"/>
        <v>0</v>
      </c>
      <c r="O446" s="16">
        <f t="shared" si="1219"/>
        <v>0</v>
      </c>
      <c r="P446" s="16">
        <f t="shared" si="1219"/>
        <v>0</v>
      </c>
      <c r="Q446" s="16">
        <f t="shared" si="1219"/>
        <v>0</v>
      </c>
      <c r="R446" s="16">
        <f t="shared" si="1219"/>
        <v>0</v>
      </c>
      <c r="S446" s="16">
        <f t="shared" si="1219"/>
        <v>0</v>
      </c>
      <c r="T446" s="16">
        <f>SUM(T441:T445)</f>
        <v>0</v>
      </c>
      <c r="U446" s="16">
        <f t="shared" si="1219"/>
        <v>0</v>
      </c>
      <c r="V446" s="16">
        <f t="shared" si="1219"/>
        <v>0</v>
      </c>
      <c r="W446" s="16">
        <f t="shared" si="1219"/>
        <v>0</v>
      </c>
      <c r="X446" s="16">
        <f t="shared" si="1219"/>
        <v>0</v>
      </c>
      <c r="Y446" s="16">
        <f t="shared" si="1219"/>
        <v>0</v>
      </c>
      <c r="Z446" s="16">
        <f t="shared" ref="Z446:AE446" si="1220">SUM(Z441:Z445)</f>
        <v>0</v>
      </c>
      <c r="AA446" s="16">
        <f t="shared" si="1220"/>
        <v>444168</v>
      </c>
      <c r="AB446" s="16">
        <f t="shared" si="1220"/>
        <v>0</v>
      </c>
      <c r="AC446" s="16">
        <f t="shared" ref="AC446" si="1221">SUM(AC441:AC445)</f>
        <v>0</v>
      </c>
      <c r="AD446" s="16">
        <f t="shared" si="1220"/>
        <v>0</v>
      </c>
      <c r="AE446" s="16">
        <f t="shared" si="1220"/>
        <v>0</v>
      </c>
      <c r="AF446" s="16">
        <f t="shared" ref="AF446:AI446" si="1222">SUM(AF441:AF445)</f>
        <v>2456606</v>
      </c>
      <c r="AG446" s="16">
        <f t="shared" si="1222"/>
        <v>471246.13294999994</v>
      </c>
      <c r="AH446" s="16">
        <f t="shared" si="1222"/>
        <v>0</v>
      </c>
      <c r="AI446" s="16">
        <f t="shared" si="1222"/>
        <v>0</v>
      </c>
      <c r="AJ446" s="16">
        <f>SUM(AJ441:AJ445)</f>
        <v>0</v>
      </c>
      <c r="AK446" s="16">
        <f>SUM(AK441:AK445)</f>
        <v>0</v>
      </c>
      <c r="AL446" s="16">
        <f>SUM(AL441:AL445)</f>
        <v>0</v>
      </c>
      <c r="AM446" s="16">
        <f t="shared" ref="AM446:AW446" si="1223">SUM(AM441:AM445)</f>
        <v>0</v>
      </c>
      <c r="AN446" s="16">
        <f t="shared" si="1223"/>
        <v>0</v>
      </c>
      <c r="AO446" s="16">
        <f t="shared" si="1223"/>
        <v>0</v>
      </c>
      <c r="AP446" s="16">
        <f>SUM(AP441:AP445)</f>
        <v>0</v>
      </c>
      <c r="AQ446" s="16">
        <f t="shared" ref="AQ446:AT446" si="1224">SUM(AQ441:AQ445)</f>
        <v>0</v>
      </c>
      <c r="AR446" s="16">
        <f t="shared" si="1224"/>
        <v>0</v>
      </c>
      <c r="AS446" s="16">
        <f t="shared" si="1224"/>
        <v>0</v>
      </c>
      <c r="AT446" s="16">
        <f t="shared" si="1224"/>
        <v>0</v>
      </c>
      <c r="AU446" s="16">
        <f>SUM(AU441:AU445)</f>
        <v>0</v>
      </c>
      <c r="AV446" s="16">
        <f t="shared" si="1223"/>
        <v>0</v>
      </c>
      <c r="AW446" s="16">
        <f t="shared" si="1223"/>
        <v>0</v>
      </c>
      <c r="AX446" s="16">
        <f>SUM(AX441:AX445)</f>
        <v>0</v>
      </c>
      <c r="AY446" s="16">
        <f>SUM(AY441:AY445)</f>
        <v>0</v>
      </c>
      <c r="AZ446" s="16">
        <f t="shared" ref="AZ446:BA446" si="1225">SUM(AZ441:AZ445)</f>
        <v>0</v>
      </c>
      <c r="BA446" s="16">
        <f t="shared" si="1225"/>
        <v>0</v>
      </c>
      <c r="BB446" s="16">
        <f>SUM(BB441:BB445)</f>
        <v>0</v>
      </c>
      <c r="BC446" s="16">
        <f>SUM(BC441:BC445)</f>
        <v>0</v>
      </c>
      <c r="BD446" s="16">
        <f t="shared" ref="BD446" si="1226">SUM(BD441:BD445)</f>
        <v>0</v>
      </c>
      <c r="BE446" s="16">
        <f>SUM(BE441:BE445)</f>
        <v>0</v>
      </c>
      <c r="BF446" s="16">
        <f>SUM(BF441:BF445)</f>
        <v>0</v>
      </c>
      <c r="BG446" s="16">
        <f>SUM(BG441:BG445)</f>
        <v>0</v>
      </c>
      <c r="BH446" s="16">
        <f>SUM(BH441:BH445)</f>
        <v>0</v>
      </c>
      <c r="BI446" s="16">
        <f t="shared" ref="BI446" si="1227">SUM(BI441:BI445)</f>
        <v>0</v>
      </c>
      <c r="BJ446" s="16">
        <f t="shared" ref="BJ446:BL446" si="1228">SUM(BJ441:BJ445)</f>
        <v>0</v>
      </c>
      <c r="BK446" s="16">
        <f t="shared" si="1228"/>
        <v>0</v>
      </c>
      <c r="BL446" s="16">
        <f t="shared" si="1228"/>
        <v>0</v>
      </c>
      <c r="BM446" s="16">
        <f t="shared" ref="BM446" si="1229">SUM(BM441:BM445)</f>
        <v>0</v>
      </c>
    </row>
    <row r="447" spans="1:65" ht="14.15" customHeight="1">
      <c r="A447" s="436">
        <f t="shared" si="1148"/>
        <v>440</v>
      </c>
      <c r="B447" s="124"/>
      <c r="C447" s="12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</row>
    <row r="448" spans="1:65" ht="14.15" customHeight="1">
      <c r="A448" s="436">
        <f t="shared" si="1148"/>
        <v>441</v>
      </c>
      <c r="B448" s="13" t="s">
        <v>288</v>
      </c>
      <c r="C448" s="1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</row>
    <row r="449" spans="1:65" ht="14.15" customHeight="1">
      <c r="A449" s="436">
        <f t="shared" si="1148"/>
        <v>442</v>
      </c>
      <c r="B449" s="22" t="s">
        <v>289</v>
      </c>
      <c r="C449" s="38">
        <f>SUM(D449:BM449)</f>
        <v>-347254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-347254</v>
      </c>
      <c r="AG449" s="43">
        <v>0</v>
      </c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  <c r="AT449" s="43">
        <v>0</v>
      </c>
      <c r="AU449" s="43">
        <v>0</v>
      </c>
      <c r="AV449" s="43">
        <v>0</v>
      </c>
      <c r="AW449" s="43">
        <v>0</v>
      </c>
      <c r="AX449" s="43">
        <v>0</v>
      </c>
      <c r="AY449" s="43">
        <v>0</v>
      </c>
      <c r="AZ449" s="43">
        <v>0</v>
      </c>
      <c r="BA449" s="43">
        <v>0</v>
      </c>
      <c r="BB449" s="43">
        <v>0</v>
      </c>
      <c r="BC449" s="43">
        <v>0</v>
      </c>
      <c r="BD449" s="43">
        <v>0</v>
      </c>
      <c r="BE449" s="43">
        <v>0</v>
      </c>
      <c r="BF449" s="43">
        <v>0</v>
      </c>
      <c r="BG449" s="43">
        <v>0</v>
      </c>
      <c r="BH449" s="43">
        <v>0</v>
      </c>
      <c r="BI449" s="43">
        <v>0</v>
      </c>
      <c r="BJ449" s="43">
        <v>0</v>
      </c>
      <c r="BK449" s="43">
        <v>0</v>
      </c>
      <c r="BL449" s="43">
        <v>0</v>
      </c>
      <c r="BM449" s="43">
        <v>0</v>
      </c>
    </row>
    <row r="450" spans="1:65" s="22" customFormat="1" ht="14.15" customHeight="1">
      <c r="A450" s="436">
        <f t="shared" si="1148"/>
        <v>443</v>
      </c>
      <c r="B450" s="22" t="s">
        <v>149</v>
      </c>
      <c r="C450" s="38">
        <f t="shared" ref="C450:C453" si="1230">SUM(D450:BM450)</f>
        <v>0</v>
      </c>
      <c r="D450" s="43">
        <v>0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  <c r="AT450" s="43">
        <v>0</v>
      </c>
      <c r="AU450" s="43">
        <v>0</v>
      </c>
      <c r="AV450" s="43">
        <v>0</v>
      </c>
      <c r="AW450" s="43">
        <v>0</v>
      </c>
      <c r="AX450" s="43">
        <v>0</v>
      </c>
      <c r="AY450" s="43">
        <v>0</v>
      </c>
      <c r="AZ450" s="43">
        <v>0</v>
      </c>
      <c r="BA450" s="43">
        <v>0</v>
      </c>
      <c r="BB450" s="43">
        <v>0</v>
      </c>
      <c r="BC450" s="43">
        <v>0</v>
      </c>
      <c r="BD450" s="43">
        <v>0</v>
      </c>
      <c r="BE450" s="43">
        <v>0</v>
      </c>
      <c r="BF450" s="43">
        <v>0</v>
      </c>
      <c r="BG450" s="43">
        <v>0</v>
      </c>
      <c r="BH450" s="43">
        <v>0</v>
      </c>
      <c r="BI450" s="43">
        <v>0</v>
      </c>
      <c r="BJ450" s="43">
        <v>0</v>
      </c>
      <c r="BK450" s="43">
        <v>0</v>
      </c>
      <c r="BL450" s="43">
        <v>0</v>
      </c>
      <c r="BM450" s="43">
        <v>0</v>
      </c>
    </row>
    <row r="451" spans="1:65" s="22" customFormat="1" ht="14.15" customHeight="1">
      <c r="A451" s="436">
        <f t="shared" si="1148"/>
        <v>444</v>
      </c>
      <c r="B451" s="22" t="s">
        <v>137</v>
      </c>
      <c r="C451" s="38">
        <f t="shared" si="1230"/>
        <v>0</v>
      </c>
      <c r="D451" s="43">
        <v>0</v>
      </c>
      <c r="E451" s="43">
        <v>0</v>
      </c>
      <c r="F451" s="43">
        <v>0</v>
      </c>
      <c r="G451" s="43">
        <v>0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  <c r="AU451" s="43">
        <v>0</v>
      </c>
      <c r="AV451" s="43">
        <v>0</v>
      </c>
      <c r="AW451" s="43">
        <v>0</v>
      </c>
      <c r="AX451" s="43">
        <v>0</v>
      </c>
      <c r="AY451" s="43">
        <v>0</v>
      </c>
      <c r="AZ451" s="43">
        <v>0</v>
      </c>
      <c r="BA451" s="43">
        <v>0</v>
      </c>
      <c r="BB451" s="43">
        <v>0</v>
      </c>
      <c r="BC451" s="43">
        <v>0</v>
      </c>
      <c r="BD451" s="43">
        <v>0</v>
      </c>
      <c r="BE451" s="43">
        <v>0</v>
      </c>
      <c r="BF451" s="43">
        <v>0</v>
      </c>
      <c r="BG451" s="43">
        <v>0</v>
      </c>
      <c r="BH451" s="43">
        <v>0</v>
      </c>
      <c r="BI451" s="43">
        <v>0</v>
      </c>
      <c r="BJ451" s="43">
        <v>0</v>
      </c>
      <c r="BK451" s="43">
        <v>0</v>
      </c>
      <c r="BL451" s="43">
        <v>0</v>
      </c>
      <c r="BM451" s="43">
        <v>0</v>
      </c>
    </row>
    <row r="452" spans="1:65" s="22" customFormat="1" ht="14.15" customHeight="1">
      <c r="A452" s="436">
        <f t="shared" si="1148"/>
        <v>445</v>
      </c>
      <c r="B452" s="22" t="s">
        <v>150</v>
      </c>
      <c r="C452" s="38">
        <f t="shared" si="1230"/>
        <v>0</v>
      </c>
      <c r="D452" s="43">
        <v>0</v>
      </c>
      <c r="E452" s="43">
        <v>0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43">
        <v>0</v>
      </c>
      <c r="AJ452" s="43">
        <v>0</v>
      </c>
      <c r="AK452" s="43">
        <v>0</v>
      </c>
      <c r="AL452" s="43">
        <v>0</v>
      </c>
      <c r="AM452" s="43">
        <v>0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  <c r="AS452" s="43">
        <v>0</v>
      </c>
      <c r="AT452" s="43">
        <v>0</v>
      </c>
      <c r="AU452" s="43">
        <v>0</v>
      </c>
      <c r="AV452" s="43">
        <v>0</v>
      </c>
      <c r="AW452" s="43">
        <v>0</v>
      </c>
      <c r="AX452" s="43">
        <v>0</v>
      </c>
      <c r="AY452" s="43">
        <v>0</v>
      </c>
      <c r="AZ452" s="43">
        <v>0</v>
      </c>
      <c r="BA452" s="43">
        <v>0</v>
      </c>
      <c r="BB452" s="43">
        <v>0</v>
      </c>
      <c r="BC452" s="43">
        <v>0</v>
      </c>
      <c r="BD452" s="43">
        <v>0</v>
      </c>
      <c r="BE452" s="43">
        <v>0</v>
      </c>
      <c r="BF452" s="43">
        <v>0</v>
      </c>
      <c r="BG452" s="43">
        <v>0</v>
      </c>
      <c r="BH452" s="43">
        <v>0</v>
      </c>
      <c r="BI452" s="43">
        <v>0</v>
      </c>
      <c r="BJ452" s="43">
        <v>0</v>
      </c>
      <c r="BK452" s="43">
        <v>0</v>
      </c>
      <c r="BL452" s="43">
        <v>0</v>
      </c>
      <c r="BM452" s="43">
        <v>0</v>
      </c>
    </row>
    <row r="453" spans="1:65" s="22" customFormat="1" ht="14.15" customHeight="1">
      <c r="A453" s="436">
        <f t="shared" si="1148"/>
        <v>446</v>
      </c>
      <c r="B453" s="56" t="s">
        <v>151</v>
      </c>
      <c r="C453" s="198">
        <f t="shared" si="1230"/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64">
        <v>0</v>
      </c>
      <c r="V453" s="64">
        <v>0</v>
      </c>
      <c r="W453" s="64">
        <v>0</v>
      </c>
      <c r="X453" s="64">
        <v>0</v>
      </c>
      <c r="Y453" s="64">
        <v>0</v>
      </c>
      <c r="Z453" s="64">
        <v>0</v>
      </c>
      <c r="AA453" s="64">
        <v>0</v>
      </c>
      <c r="AB453" s="64">
        <v>0</v>
      </c>
      <c r="AC453" s="64">
        <v>0</v>
      </c>
      <c r="AD453" s="64">
        <v>0</v>
      </c>
      <c r="AE453" s="64">
        <v>0</v>
      </c>
      <c r="AF453" s="64">
        <v>0</v>
      </c>
      <c r="AG453" s="64">
        <v>0</v>
      </c>
      <c r="AH453" s="64">
        <v>0</v>
      </c>
      <c r="AI453" s="64">
        <v>0</v>
      </c>
      <c r="AJ453" s="64">
        <v>0</v>
      </c>
      <c r="AK453" s="64">
        <v>0</v>
      </c>
      <c r="AL453" s="64">
        <v>0</v>
      </c>
      <c r="AM453" s="64">
        <v>0</v>
      </c>
      <c r="AN453" s="64">
        <v>0</v>
      </c>
      <c r="AO453" s="64">
        <v>0</v>
      </c>
      <c r="AP453" s="64">
        <v>0</v>
      </c>
      <c r="AQ453" s="64">
        <v>0</v>
      </c>
      <c r="AR453" s="64">
        <v>0</v>
      </c>
      <c r="AS453" s="64">
        <v>0</v>
      </c>
      <c r="AT453" s="64">
        <v>0</v>
      </c>
      <c r="AU453" s="64">
        <v>0</v>
      </c>
      <c r="AV453" s="64">
        <v>0</v>
      </c>
      <c r="AW453" s="64">
        <v>0</v>
      </c>
      <c r="AX453" s="64">
        <v>0</v>
      </c>
      <c r="AY453" s="64">
        <v>0</v>
      </c>
      <c r="AZ453" s="64">
        <v>0</v>
      </c>
      <c r="BA453" s="64">
        <v>0</v>
      </c>
      <c r="BB453" s="64">
        <v>0</v>
      </c>
      <c r="BC453" s="64">
        <v>0</v>
      </c>
      <c r="BD453" s="64">
        <v>0</v>
      </c>
      <c r="BE453" s="64">
        <v>0</v>
      </c>
      <c r="BF453" s="64">
        <v>0</v>
      </c>
      <c r="BG453" s="64">
        <v>0</v>
      </c>
      <c r="BH453" s="64">
        <v>0</v>
      </c>
      <c r="BI453" s="64">
        <v>0</v>
      </c>
      <c r="BJ453" s="64">
        <v>0</v>
      </c>
      <c r="BK453" s="64">
        <v>0</v>
      </c>
      <c r="BL453" s="64">
        <v>0</v>
      </c>
      <c r="BM453" s="64">
        <v>0</v>
      </c>
    </row>
    <row r="454" spans="1:65" s="22" customFormat="1" ht="14.15" customHeight="1">
      <c r="A454" s="436">
        <f t="shared" si="1148"/>
        <v>447</v>
      </c>
      <c r="B454" s="20" t="s">
        <v>512</v>
      </c>
      <c r="C454" s="16">
        <f t="shared" ref="C454:L454" si="1231">SUM(C449:C453)</f>
        <v>-347254</v>
      </c>
      <c r="D454" s="16">
        <f t="shared" si="1231"/>
        <v>0</v>
      </c>
      <c r="E454" s="16">
        <f t="shared" si="1231"/>
        <v>0</v>
      </c>
      <c r="F454" s="16">
        <f t="shared" si="1231"/>
        <v>0</v>
      </c>
      <c r="G454" s="16">
        <f t="shared" si="1231"/>
        <v>0</v>
      </c>
      <c r="H454" s="16">
        <f t="shared" si="1231"/>
        <v>0</v>
      </c>
      <c r="I454" s="16">
        <f t="shared" si="1231"/>
        <v>0</v>
      </c>
      <c r="J454" s="16">
        <f t="shared" si="1231"/>
        <v>0</v>
      </c>
      <c r="K454" s="16">
        <f t="shared" ref="K454" si="1232">SUM(K449:K453)</f>
        <v>0</v>
      </c>
      <c r="L454" s="16">
        <f t="shared" si="1231"/>
        <v>0</v>
      </c>
      <c r="M454" s="16">
        <f t="shared" ref="M454:Y454" si="1233">SUM(M449:M453)</f>
        <v>0</v>
      </c>
      <c r="N454" s="16">
        <f t="shared" si="1233"/>
        <v>0</v>
      </c>
      <c r="O454" s="16">
        <f t="shared" si="1233"/>
        <v>0</v>
      </c>
      <c r="P454" s="16">
        <f t="shared" si="1233"/>
        <v>0</v>
      </c>
      <c r="Q454" s="16">
        <f t="shared" si="1233"/>
        <v>0</v>
      </c>
      <c r="R454" s="16">
        <f t="shared" si="1233"/>
        <v>0</v>
      </c>
      <c r="S454" s="16">
        <f t="shared" si="1233"/>
        <v>0</v>
      </c>
      <c r="T454" s="16">
        <f>SUM(T449:T453)</f>
        <v>0</v>
      </c>
      <c r="U454" s="16">
        <f t="shared" si="1233"/>
        <v>0</v>
      </c>
      <c r="V454" s="16">
        <f t="shared" si="1233"/>
        <v>0</v>
      </c>
      <c r="W454" s="16">
        <f t="shared" si="1233"/>
        <v>0</v>
      </c>
      <c r="X454" s="16">
        <f t="shared" si="1233"/>
        <v>0</v>
      </c>
      <c r="Y454" s="16">
        <f t="shared" si="1233"/>
        <v>0</v>
      </c>
      <c r="Z454" s="16">
        <f t="shared" ref="Z454:AE454" si="1234">SUM(Z449:Z453)</f>
        <v>0</v>
      </c>
      <c r="AA454" s="16">
        <f t="shared" si="1234"/>
        <v>0</v>
      </c>
      <c r="AB454" s="16">
        <f t="shared" si="1234"/>
        <v>0</v>
      </c>
      <c r="AC454" s="16">
        <f t="shared" ref="AC454" si="1235">SUM(AC449:AC453)</f>
        <v>0</v>
      </c>
      <c r="AD454" s="16">
        <f t="shared" si="1234"/>
        <v>0</v>
      </c>
      <c r="AE454" s="16">
        <f t="shared" si="1234"/>
        <v>0</v>
      </c>
      <c r="AF454" s="16">
        <f t="shared" ref="AF454:AI454" si="1236">SUM(AF449:AF453)</f>
        <v>-347254</v>
      </c>
      <c r="AG454" s="16">
        <f t="shared" si="1236"/>
        <v>0</v>
      </c>
      <c r="AH454" s="16">
        <f t="shared" si="1236"/>
        <v>0</v>
      </c>
      <c r="AI454" s="16">
        <f t="shared" si="1236"/>
        <v>0</v>
      </c>
      <c r="AJ454" s="16">
        <f>SUM(AJ449:AJ453)</f>
        <v>0</v>
      </c>
      <c r="AK454" s="16">
        <f>SUM(AK449:AK453)</f>
        <v>0</v>
      </c>
      <c r="AL454" s="16">
        <f>SUM(AL449:AL453)</f>
        <v>0</v>
      </c>
      <c r="AM454" s="16">
        <f t="shared" ref="AM454:AW454" si="1237">SUM(AM449:AM453)</f>
        <v>0</v>
      </c>
      <c r="AN454" s="16">
        <f t="shared" si="1237"/>
        <v>0</v>
      </c>
      <c r="AO454" s="16">
        <f t="shared" si="1237"/>
        <v>0</v>
      </c>
      <c r="AP454" s="16">
        <f>SUM(AP449:AP453)</f>
        <v>0</v>
      </c>
      <c r="AQ454" s="16">
        <f t="shared" ref="AQ454:AT454" si="1238">SUM(AQ449:AQ453)</f>
        <v>0</v>
      </c>
      <c r="AR454" s="16">
        <f t="shared" si="1238"/>
        <v>0</v>
      </c>
      <c r="AS454" s="16">
        <f t="shared" si="1238"/>
        <v>0</v>
      </c>
      <c r="AT454" s="16">
        <f t="shared" si="1238"/>
        <v>0</v>
      </c>
      <c r="AU454" s="16">
        <f>SUM(AU449:AU453)</f>
        <v>0</v>
      </c>
      <c r="AV454" s="16">
        <f t="shared" si="1237"/>
        <v>0</v>
      </c>
      <c r="AW454" s="16">
        <f t="shared" si="1237"/>
        <v>0</v>
      </c>
      <c r="AX454" s="16">
        <f>SUM(AX449:AX453)</f>
        <v>0</v>
      </c>
      <c r="AY454" s="16">
        <f>SUM(AY449:AY453)</f>
        <v>0</v>
      </c>
      <c r="AZ454" s="16">
        <f t="shared" ref="AZ454:BA454" si="1239">SUM(AZ449:AZ453)</f>
        <v>0</v>
      </c>
      <c r="BA454" s="16">
        <f t="shared" si="1239"/>
        <v>0</v>
      </c>
      <c r="BB454" s="16">
        <f>SUM(BB449:BB453)</f>
        <v>0</v>
      </c>
      <c r="BC454" s="16">
        <f>SUM(BC449:BC453)</f>
        <v>0</v>
      </c>
      <c r="BD454" s="16">
        <f t="shared" ref="BD454" si="1240">SUM(BD449:BD453)</f>
        <v>0</v>
      </c>
      <c r="BE454" s="16">
        <f>SUM(BE449:BE453)</f>
        <v>0</v>
      </c>
      <c r="BF454" s="16">
        <f>SUM(BF449:BF453)</f>
        <v>0</v>
      </c>
      <c r="BG454" s="16">
        <f>SUM(BG449:BG453)</f>
        <v>0</v>
      </c>
      <c r="BH454" s="16">
        <f>SUM(BH449:BH453)</f>
        <v>0</v>
      </c>
      <c r="BI454" s="16">
        <f t="shared" ref="BI454" si="1241">SUM(BI449:BI453)</f>
        <v>0</v>
      </c>
      <c r="BJ454" s="16">
        <f t="shared" ref="BJ454:BL454" si="1242">SUM(BJ449:BJ453)</f>
        <v>0</v>
      </c>
      <c r="BK454" s="16">
        <f t="shared" si="1242"/>
        <v>0</v>
      </c>
      <c r="BL454" s="16">
        <f t="shared" si="1242"/>
        <v>0</v>
      </c>
      <c r="BM454" s="16">
        <f t="shared" ref="BM454" si="1243">SUM(BM449:BM453)</f>
        <v>0</v>
      </c>
    </row>
    <row r="455" spans="1:65" s="22" customFormat="1" ht="14.15" customHeight="1">
      <c r="A455" s="436">
        <f t="shared" si="1148"/>
        <v>448</v>
      </c>
      <c r="B455" s="158"/>
      <c r="C455" s="158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</row>
    <row r="456" spans="1:65" s="22" customFormat="1" ht="14.15" customHeight="1">
      <c r="A456" s="436">
        <f t="shared" si="1148"/>
        <v>449</v>
      </c>
      <c r="B456" s="20" t="s">
        <v>290</v>
      </c>
      <c r="C456" s="20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</row>
    <row r="457" spans="1:65" s="22" customFormat="1" ht="14.15" customHeight="1">
      <c r="A457" s="436">
        <f t="shared" si="1148"/>
        <v>450</v>
      </c>
      <c r="B457" s="57" t="s">
        <v>324</v>
      </c>
      <c r="C457" s="198">
        <f>SUM(D457:BM457)</f>
        <v>-12810260</v>
      </c>
      <c r="D457" s="64">
        <v>0</v>
      </c>
      <c r="E457" s="64">
        <v>-13032207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221947</v>
      </c>
      <c r="U457" s="64">
        <v>0</v>
      </c>
      <c r="V457" s="64">
        <v>0</v>
      </c>
      <c r="W457" s="64">
        <v>0</v>
      </c>
      <c r="X457" s="64">
        <v>0</v>
      </c>
      <c r="Y457" s="64">
        <v>0</v>
      </c>
      <c r="Z457" s="64">
        <v>0</v>
      </c>
      <c r="AA457" s="64">
        <v>0</v>
      </c>
      <c r="AB457" s="64">
        <v>0</v>
      </c>
      <c r="AC457" s="64">
        <v>0</v>
      </c>
      <c r="AD457" s="64">
        <v>0</v>
      </c>
      <c r="AE457" s="64">
        <v>0</v>
      </c>
      <c r="AF457" s="64">
        <v>0</v>
      </c>
      <c r="AG457" s="64">
        <v>0</v>
      </c>
      <c r="AH457" s="64">
        <v>0</v>
      </c>
      <c r="AI457" s="64">
        <v>0</v>
      </c>
      <c r="AJ457" s="64">
        <v>0</v>
      </c>
      <c r="AK457" s="64">
        <v>0</v>
      </c>
      <c r="AL457" s="64">
        <v>0</v>
      </c>
      <c r="AM457" s="64">
        <v>0</v>
      </c>
      <c r="AN457" s="64">
        <v>0</v>
      </c>
      <c r="AO457" s="64">
        <v>0</v>
      </c>
      <c r="AP457" s="64">
        <v>0</v>
      </c>
      <c r="AQ457" s="64">
        <v>0</v>
      </c>
      <c r="AR457" s="64">
        <v>0</v>
      </c>
      <c r="AS457" s="64">
        <v>0</v>
      </c>
      <c r="AT457" s="64">
        <v>0</v>
      </c>
      <c r="AU457" s="64">
        <v>0</v>
      </c>
      <c r="AV457" s="64">
        <v>0</v>
      </c>
      <c r="AW457" s="64">
        <v>0</v>
      </c>
      <c r="AX457" s="64">
        <v>0</v>
      </c>
      <c r="AY457" s="64">
        <v>0</v>
      </c>
      <c r="AZ457" s="64">
        <v>0</v>
      </c>
      <c r="BA457" s="64">
        <v>0</v>
      </c>
      <c r="BB457" s="64">
        <v>0</v>
      </c>
      <c r="BC457" s="64">
        <v>0</v>
      </c>
      <c r="BD457" s="64">
        <v>0</v>
      </c>
      <c r="BE457" s="64">
        <v>0</v>
      </c>
      <c r="BF457" s="64">
        <v>0</v>
      </c>
      <c r="BG457" s="64">
        <v>0</v>
      </c>
      <c r="BH457" s="64">
        <v>0</v>
      </c>
      <c r="BI457" s="64">
        <v>0</v>
      </c>
      <c r="BJ457" s="64">
        <v>0</v>
      </c>
      <c r="BK457" s="64">
        <v>0</v>
      </c>
      <c r="BL457" s="64">
        <v>0</v>
      </c>
      <c r="BM457" s="64">
        <v>0</v>
      </c>
    </row>
    <row r="458" spans="1:65" s="22" customFormat="1" ht="14.15" customHeight="1">
      <c r="A458" s="436">
        <f t="shared" si="1148"/>
        <v>451</v>
      </c>
      <c r="B458" s="20" t="s">
        <v>513</v>
      </c>
      <c r="C458" s="43">
        <f t="shared" ref="C458:L458" si="1244">SUM(C457:C457)</f>
        <v>-12810260</v>
      </c>
      <c r="D458" s="43">
        <f t="shared" si="1244"/>
        <v>0</v>
      </c>
      <c r="E458" s="43">
        <f t="shared" si="1244"/>
        <v>-13032207</v>
      </c>
      <c r="F458" s="43">
        <f t="shared" si="1244"/>
        <v>0</v>
      </c>
      <c r="G458" s="43">
        <f t="shared" si="1244"/>
        <v>0</v>
      </c>
      <c r="H458" s="43">
        <f t="shared" si="1244"/>
        <v>0</v>
      </c>
      <c r="I458" s="43">
        <f t="shared" si="1244"/>
        <v>0</v>
      </c>
      <c r="J458" s="43">
        <f t="shared" si="1244"/>
        <v>0</v>
      </c>
      <c r="K458" s="43">
        <f t="shared" ref="K458" si="1245">SUM(K457:K457)</f>
        <v>0</v>
      </c>
      <c r="L458" s="43">
        <f t="shared" si="1244"/>
        <v>0</v>
      </c>
      <c r="M458" s="43">
        <f t="shared" ref="M458:Y458" si="1246">SUM(M457:M457)</f>
        <v>0</v>
      </c>
      <c r="N458" s="43">
        <f t="shared" si="1246"/>
        <v>0</v>
      </c>
      <c r="O458" s="43">
        <f t="shared" si="1246"/>
        <v>0</v>
      </c>
      <c r="P458" s="43">
        <f t="shared" si="1246"/>
        <v>0</v>
      </c>
      <c r="Q458" s="43">
        <f t="shared" si="1246"/>
        <v>0</v>
      </c>
      <c r="R458" s="43">
        <f t="shared" si="1246"/>
        <v>0</v>
      </c>
      <c r="S458" s="43">
        <f t="shared" si="1246"/>
        <v>0</v>
      </c>
      <c r="T458" s="43">
        <f>SUM(T457:T457)</f>
        <v>221947</v>
      </c>
      <c r="U458" s="43">
        <f t="shared" si="1246"/>
        <v>0</v>
      </c>
      <c r="V458" s="43">
        <f t="shared" si="1246"/>
        <v>0</v>
      </c>
      <c r="W458" s="43">
        <f t="shared" si="1246"/>
        <v>0</v>
      </c>
      <c r="X458" s="43">
        <f t="shared" si="1246"/>
        <v>0</v>
      </c>
      <c r="Y458" s="43">
        <f t="shared" si="1246"/>
        <v>0</v>
      </c>
      <c r="Z458" s="43">
        <f t="shared" ref="Z458:AE458" si="1247">SUM(Z457:Z457)</f>
        <v>0</v>
      </c>
      <c r="AA458" s="43">
        <f t="shared" si="1247"/>
        <v>0</v>
      </c>
      <c r="AB458" s="43">
        <f t="shared" si="1247"/>
        <v>0</v>
      </c>
      <c r="AC458" s="43">
        <f t="shared" ref="AC458" si="1248">SUM(AC457:AC457)</f>
        <v>0</v>
      </c>
      <c r="AD458" s="43">
        <f t="shared" si="1247"/>
        <v>0</v>
      </c>
      <c r="AE458" s="43">
        <f t="shared" si="1247"/>
        <v>0</v>
      </c>
      <c r="AF458" s="43">
        <f t="shared" ref="AF458:AI458" si="1249">SUM(AF457:AF457)</f>
        <v>0</v>
      </c>
      <c r="AG458" s="43">
        <f t="shared" si="1249"/>
        <v>0</v>
      </c>
      <c r="AH458" s="43">
        <f t="shared" si="1249"/>
        <v>0</v>
      </c>
      <c r="AI458" s="43">
        <f t="shared" si="1249"/>
        <v>0</v>
      </c>
      <c r="AJ458" s="43">
        <f>SUM(AJ457:AJ457)</f>
        <v>0</v>
      </c>
      <c r="AK458" s="43">
        <f>SUM(AK457:AK457)</f>
        <v>0</v>
      </c>
      <c r="AL458" s="43">
        <f>SUM(AL457:AL457)</f>
        <v>0</v>
      </c>
      <c r="AM458" s="43">
        <f t="shared" ref="AM458:AW458" si="1250">SUM(AM457:AM457)</f>
        <v>0</v>
      </c>
      <c r="AN458" s="43">
        <f t="shared" si="1250"/>
        <v>0</v>
      </c>
      <c r="AO458" s="43">
        <f t="shared" si="1250"/>
        <v>0</v>
      </c>
      <c r="AP458" s="43">
        <f>SUM(AP457:AP457)</f>
        <v>0</v>
      </c>
      <c r="AQ458" s="43">
        <f t="shared" ref="AQ458:AT458" si="1251">SUM(AQ457:AQ457)</f>
        <v>0</v>
      </c>
      <c r="AR458" s="43">
        <f t="shared" si="1251"/>
        <v>0</v>
      </c>
      <c r="AS458" s="43">
        <f t="shared" si="1251"/>
        <v>0</v>
      </c>
      <c r="AT458" s="43">
        <f t="shared" si="1251"/>
        <v>0</v>
      </c>
      <c r="AU458" s="43">
        <f>SUM(AU457:AU457)</f>
        <v>0</v>
      </c>
      <c r="AV458" s="43">
        <f t="shared" si="1250"/>
        <v>0</v>
      </c>
      <c r="AW458" s="43">
        <f t="shared" si="1250"/>
        <v>0</v>
      </c>
      <c r="AX458" s="43">
        <f>SUM(AX457:AX457)</f>
        <v>0</v>
      </c>
      <c r="AY458" s="43">
        <f>SUM(AY457:AY457)</f>
        <v>0</v>
      </c>
      <c r="AZ458" s="43">
        <f t="shared" ref="AZ458:BA458" si="1252">SUM(AZ457:AZ457)</f>
        <v>0</v>
      </c>
      <c r="BA458" s="43">
        <f t="shared" si="1252"/>
        <v>0</v>
      </c>
      <c r="BB458" s="43">
        <f>SUM(BB457:BB457)</f>
        <v>0</v>
      </c>
      <c r="BC458" s="43">
        <f>SUM(BC457:BC457)</f>
        <v>0</v>
      </c>
      <c r="BD458" s="43">
        <f t="shared" ref="BD458" si="1253">SUM(BD457:BD457)</f>
        <v>0</v>
      </c>
      <c r="BE458" s="43">
        <f>SUM(BE457:BE457)</f>
        <v>0</v>
      </c>
      <c r="BF458" s="43">
        <f>SUM(BF457:BF457)</f>
        <v>0</v>
      </c>
      <c r="BG458" s="43">
        <f>SUM(BG457:BG457)</f>
        <v>0</v>
      </c>
      <c r="BH458" s="43">
        <f>SUM(BH457:BH457)</f>
        <v>0</v>
      </c>
      <c r="BI458" s="43">
        <f t="shared" ref="BI458" si="1254">SUM(BI457:BI457)</f>
        <v>0</v>
      </c>
      <c r="BJ458" s="43">
        <f t="shared" ref="BJ458:BL458" si="1255">SUM(BJ457:BJ457)</f>
        <v>0</v>
      </c>
      <c r="BK458" s="43">
        <f t="shared" si="1255"/>
        <v>0</v>
      </c>
      <c r="BL458" s="43">
        <f t="shared" si="1255"/>
        <v>0</v>
      </c>
      <c r="BM458" s="43">
        <f t="shared" ref="BM458" si="1256">SUM(BM457:BM457)</f>
        <v>0</v>
      </c>
    </row>
    <row r="459" spans="1:65" s="22" customFormat="1" ht="14.15" customHeight="1">
      <c r="A459" s="436">
        <f t="shared" si="1148"/>
        <v>452</v>
      </c>
      <c r="B459" s="57"/>
      <c r="C459" s="57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</row>
    <row r="460" spans="1:65" s="22" customFormat="1" ht="14.15" customHeight="1" thickBot="1">
      <c r="A460" s="436">
        <f t="shared" si="1148"/>
        <v>453</v>
      </c>
      <c r="B460" s="59" t="s">
        <v>514</v>
      </c>
      <c r="C460" s="87">
        <f t="shared" ref="C460:L460" si="1257">C446+C454+C458</f>
        <v>-22437939.592050001</v>
      </c>
      <c r="D460" s="87">
        <f t="shared" si="1257"/>
        <v>0</v>
      </c>
      <c r="E460" s="87">
        <f t="shared" si="1257"/>
        <v>-13032207</v>
      </c>
      <c r="F460" s="87">
        <f t="shared" si="1257"/>
        <v>-9079176</v>
      </c>
      <c r="G460" s="87">
        <f t="shared" si="1257"/>
        <v>0</v>
      </c>
      <c r="H460" s="87">
        <f t="shared" si="1257"/>
        <v>-3573269.7250000001</v>
      </c>
      <c r="I460" s="87">
        <f t="shared" si="1257"/>
        <v>0</v>
      </c>
      <c r="J460" s="87">
        <f t="shared" si="1257"/>
        <v>0</v>
      </c>
      <c r="K460" s="87">
        <f t="shared" ref="K460" si="1258">K446+K454+K458</f>
        <v>0</v>
      </c>
      <c r="L460" s="87">
        <f t="shared" si="1257"/>
        <v>0</v>
      </c>
      <c r="M460" s="87">
        <f t="shared" ref="M460:Y460" si="1259">M446+M454+M458</f>
        <v>0</v>
      </c>
      <c r="N460" s="87">
        <f t="shared" si="1259"/>
        <v>0</v>
      </c>
      <c r="O460" s="87">
        <f t="shared" si="1259"/>
        <v>0</v>
      </c>
      <c r="P460" s="87">
        <f t="shared" si="1259"/>
        <v>0</v>
      </c>
      <c r="Q460" s="87">
        <f t="shared" si="1259"/>
        <v>0</v>
      </c>
      <c r="R460" s="87">
        <f t="shared" si="1259"/>
        <v>0</v>
      </c>
      <c r="S460" s="87">
        <f t="shared" si="1259"/>
        <v>0</v>
      </c>
      <c r="T460" s="87">
        <f>T446+T454+T458</f>
        <v>221947</v>
      </c>
      <c r="U460" s="87">
        <f t="shared" si="1259"/>
        <v>0</v>
      </c>
      <c r="V460" s="87">
        <f t="shared" si="1259"/>
        <v>0</v>
      </c>
      <c r="W460" s="87">
        <f t="shared" si="1259"/>
        <v>0</v>
      </c>
      <c r="X460" s="87">
        <f t="shared" si="1259"/>
        <v>0</v>
      </c>
      <c r="Y460" s="87">
        <f t="shared" si="1259"/>
        <v>0</v>
      </c>
      <c r="Z460" s="87">
        <f t="shared" ref="Z460:AE460" si="1260">Z446+Z454+Z458</f>
        <v>0</v>
      </c>
      <c r="AA460" s="87">
        <f t="shared" si="1260"/>
        <v>444168</v>
      </c>
      <c r="AB460" s="87">
        <f t="shared" si="1260"/>
        <v>0</v>
      </c>
      <c r="AC460" s="87">
        <f t="shared" ref="AC460" si="1261">AC446+AC454+AC458</f>
        <v>0</v>
      </c>
      <c r="AD460" s="87">
        <f t="shared" si="1260"/>
        <v>0</v>
      </c>
      <c r="AE460" s="87">
        <f t="shared" si="1260"/>
        <v>0</v>
      </c>
      <c r="AF460" s="87">
        <f t="shared" ref="AF460:AI460" si="1262">AF446+AF454+AF458</f>
        <v>2109352</v>
      </c>
      <c r="AG460" s="87">
        <f t="shared" si="1262"/>
        <v>471246.13294999994</v>
      </c>
      <c r="AH460" s="87">
        <f t="shared" si="1262"/>
        <v>0</v>
      </c>
      <c r="AI460" s="87">
        <f t="shared" si="1262"/>
        <v>0</v>
      </c>
      <c r="AJ460" s="87">
        <f>AJ446+AJ454+AJ458</f>
        <v>0</v>
      </c>
      <c r="AK460" s="87">
        <f>AK446+AK454+AK458</f>
        <v>0</v>
      </c>
      <c r="AL460" s="87">
        <f>AL446+AL454+AL458</f>
        <v>0</v>
      </c>
      <c r="AM460" s="87">
        <f t="shared" ref="AM460:AW460" si="1263">AM446+AM454+AM458</f>
        <v>0</v>
      </c>
      <c r="AN460" s="87">
        <f t="shared" si="1263"/>
        <v>0</v>
      </c>
      <c r="AO460" s="87">
        <f t="shared" si="1263"/>
        <v>0</v>
      </c>
      <c r="AP460" s="87">
        <f>AP446+AP454+AP458</f>
        <v>0</v>
      </c>
      <c r="AQ460" s="87">
        <f t="shared" ref="AQ460:AT460" si="1264">AQ446+AQ454+AQ458</f>
        <v>0</v>
      </c>
      <c r="AR460" s="87">
        <f t="shared" si="1264"/>
        <v>0</v>
      </c>
      <c r="AS460" s="87">
        <f t="shared" si="1264"/>
        <v>0</v>
      </c>
      <c r="AT460" s="87">
        <f t="shared" si="1264"/>
        <v>0</v>
      </c>
      <c r="AU460" s="87">
        <f>AU446+AU454+AU458</f>
        <v>0</v>
      </c>
      <c r="AV460" s="87">
        <f t="shared" si="1263"/>
        <v>0</v>
      </c>
      <c r="AW460" s="87">
        <f t="shared" si="1263"/>
        <v>0</v>
      </c>
      <c r="AX460" s="87">
        <f>AX446+AX454+AX458</f>
        <v>0</v>
      </c>
      <c r="AY460" s="87">
        <f>AY446+AY454+AY458</f>
        <v>0</v>
      </c>
      <c r="AZ460" s="87">
        <f t="shared" ref="AZ460:BA460" si="1265">AZ446+AZ454+AZ458</f>
        <v>0</v>
      </c>
      <c r="BA460" s="87">
        <f t="shared" si="1265"/>
        <v>0</v>
      </c>
      <c r="BB460" s="87">
        <f>BB446+BB454+BB458</f>
        <v>0</v>
      </c>
      <c r="BC460" s="87">
        <f>BC446+BC454+BC458</f>
        <v>0</v>
      </c>
      <c r="BD460" s="87">
        <f t="shared" ref="BD460" si="1266">BD446+BD454+BD458</f>
        <v>0</v>
      </c>
      <c r="BE460" s="87">
        <f>BE446+BE454+BE458</f>
        <v>0</v>
      </c>
      <c r="BF460" s="87">
        <f>BF446+BF454+BF458</f>
        <v>0</v>
      </c>
      <c r="BG460" s="87">
        <f>BG446+BG454+BG458</f>
        <v>0</v>
      </c>
      <c r="BH460" s="87">
        <f>BH446+BH454+BH458</f>
        <v>0</v>
      </c>
      <c r="BI460" s="87">
        <f t="shared" ref="BI460" si="1267">BI446+BI454+BI458</f>
        <v>0</v>
      </c>
      <c r="BJ460" s="87">
        <f t="shared" ref="BJ460:BL460" si="1268">BJ446+BJ454+BJ458</f>
        <v>0</v>
      </c>
      <c r="BK460" s="87">
        <f t="shared" si="1268"/>
        <v>0</v>
      </c>
      <c r="BL460" s="87">
        <f t="shared" si="1268"/>
        <v>0</v>
      </c>
      <c r="BM460" s="87">
        <f t="shared" ref="BM460" si="1269">BM446+BM454+BM458</f>
        <v>0</v>
      </c>
    </row>
    <row r="461" spans="1:65" ht="14.15" customHeight="1" thickTop="1">
      <c r="A461" s="436">
        <f t="shared" si="1148"/>
        <v>454</v>
      </c>
      <c r="B461" s="124"/>
      <c r="C461" s="12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</row>
    <row r="462" spans="1:65" ht="14.15" customHeight="1">
      <c r="A462" s="436">
        <f t="shared" si="1148"/>
        <v>455</v>
      </c>
      <c r="B462" s="20" t="s">
        <v>291</v>
      </c>
      <c r="C462" s="20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</row>
    <row r="463" spans="1:65" ht="14.15" customHeight="1">
      <c r="A463" s="436">
        <f t="shared" si="1148"/>
        <v>456</v>
      </c>
      <c r="B463" s="13" t="s">
        <v>292</v>
      </c>
      <c r="C463" s="1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</row>
    <row r="464" spans="1:65" ht="14.15" customHeight="1">
      <c r="A464" s="436">
        <f t="shared" si="1148"/>
        <v>457</v>
      </c>
      <c r="B464" s="22" t="s">
        <v>293</v>
      </c>
      <c r="C464" s="38">
        <f>SUM(D464:BM464)</f>
        <v>109220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109220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  <c r="AU464" s="43">
        <v>0</v>
      </c>
      <c r="AV464" s="43">
        <v>0</v>
      </c>
      <c r="AW464" s="43">
        <v>0</v>
      </c>
      <c r="AX464" s="43">
        <v>0</v>
      </c>
      <c r="AY464" s="43">
        <v>0</v>
      </c>
      <c r="AZ464" s="43">
        <v>0</v>
      </c>
      <c r="BA464" s="43">
        <v>0</v>
      </c>
      <c r="BB464" s="43">
        <v>0</v>
      </c>
      <c r="BC464" s="43">
        <v>0</v>
      </c>
      <c r="BD464" s="43">
        <v>0</v>
      </c>
      <c r="BE464" s="43">
        <v>0</v>
      </c>
      <c r="BF464" s="43">
        <v>0</v>
      </c>
      <c r="BG464" s="43">
        <v>0</v>
      </c>
      <c r="BH464" s="43">
        <v>0</v>
      </c>
      <c r="BI464" s="43">
        <v>0</v>
      </c>
      <c r="BJ464" s="43">
        <v>0</v>
      </c>
      <c r="BK464" s="43">
        <v>0</v>
      </c>
      <c r="BL464" s="43">
        <v>0</v>
      </c>
      <c r="BM464" s="43">
        <v>0</v>
      </c>
    </row>
    <row r="465" spans="1:65" ht="14.15" customHeight="1">
      <c r="A465" s="436">
        <f t="shared" ref="A465:A505" si="1270">+A464+1</f>
        <v>458</v>
      </c>
      <c r="B465" s="22" t="s">
        <v>294</v>
      </c>
      <c r="C465" s="38">
        <f>SUM(D465:BM465)</f>
        <v>0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  <c r="AU465" s="43">
        <v>0</v>
      </c>
      <c r="AV465" s="43">
        <v>0</v>
      </c>
      <c r="AW465" s="43">
        <v>0</v>
      </c>
      <c r="AX465" s="43">
        <v>0</v>
      </c>
      <c r="AY465" s="43">
        <v>0</v>
      </c>
      <c r="AZ465" s="43">
        <v>0</v>
      </c>
      <c r="BA465" s="43">
        <v>0</v>
      </c>
      <c r="BB465" s="43">
        <v>0</v>
      </c>
      <c r="BC465" s="43">
        <v>0</v>
      </c>
      <c r="BD465" s="43">
        <v>0</v>
      </c>
      <c r="BE465" s="43">
        <v>0</v>
      </c>
      <c r="BF465" s="43">
        <v>0</v>
      </c>
      <c r="BG465" s="43">
        <v>0</v>
      </c>
      <c r="BH465" s="43">
        <v>0</v>
      </c>
      <c r="BI465" s="43">
        <v>0</v>
      </c>
      <c r="BJ465" s="43">
        <v>0</v>
      </c>
      <c r="BK465" s="43">
        <v>0</v>
      </c>
      <c r="BL465" s="43">
        <v>0</v>
      </c>
      <c r="BM465" s="43">
        <v>0</v>
      </c>
    </row>
    <row r="466" spans="1:65" ht="14.15" customHeight="1">
      <c r="A466" s="436">
        <f t="shared" si="1270"/>
        <v>459</v>
      </c>
      <c r="B466" s="56" t="s">
        <v>295</v>
      </c>
      <c r="C466" s="38">
        <f>SUM(D466:BM466)</f>
        <v>0</v>
      </c>
      <c r="D466" s="43">
        <v>0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  <c r="AW466" s="43">
        <v>0</v>
      </c>
      <c r="AX466" s="43">
        <v>0</v>
      </c>
      <c r="AY466" s="43">
        <v>0</v>
      </c>
      <c r="AZ466" s="43">
        <v>0</v>
      </c>
      <c r="BA466" s="43">
        <v>0</v>
      </c>
      <c r="BB466" s="43">
        <v>0</v>
      </c>
      <c r="BC466" s="43">
        <v>0</v>
      </c>
      <c r="BD466" s="43">
        <v>0</v>
      </c>
      <c r="BE466" s="43">
        <v>0</v>
      </c>
      <c r="BF466" s="43">
        <v>0</v>
      </c>
      <c r="BG466" s="43">
        <v>0</v>
      </c>
      <c r="BH466" s="43">
        <v>0</v>
      </c>
      <c r="BI466" s="43">
        <v>0</v>
      </c>
      <c r="BJ466" s="43">
        <v>0</v>
      </c>
      <c r="BK466" s="43">
        <v>0</v>
      </c>
      <c r="BL466" s="43">
        <v>0</v>
      </c>
      <c r="BM466" s="43">
        <v>0</v>
      </c>
    </row>
    <row r="467" spans="1:65" ht="14.15" customHeight="1">
      <c r="A467" s="436">
        <f t="shared" si="1270"/>
        <v>460</v>
      </c>
      <c r="B467" s="20" t="s">
        <v>515</v>
      </c>
      <c r="C467" s="80">
        <f t="shared" ref="C467:L467" si="1271">SUM(C464:C466)</f>
        <v>109220</v>
      </c>
      <c r="D467" s="80">
        <f t="shared" si="1271"/>
        <v>0</v>
      </c>
      <c r="E467" s="80">
        <f t="shared" si="1271"/>
        <v>0</v>
      </c>
      <c r="F467" s="80">
        <f t="shared" si="1271"/>
        <v>0</v>
      </c>
      <c r="G467" s="80">
        <f t="shared" si="1271"/>
        <v>0</v>
      </c>
      <c r="H467" s="80">
        <f t="shared" si="1271"/>
        <v>0</v>
      </c>
      <c r="I467" s="80">
        <f t="shared" si="1271"/>
        <v>0</v>
      </c>
      <c r="J467" s="80">
        <f t="shared" si="1271"/>
        <v>0</v>
      </c>
      <c r="K467" s="80">
        <f t="shared" ref="K467" si="1272">SUM(K464:K466)</f>
        <v>0</v>
      </c>
      <c r="L467" s="80">
        <f t="shared" si="1271"/>
        <v>0</v>
      </c>
      <c r="M467" s="80">
        <f t="shared" ref="M467:Y467" si="1273">SUM(M464:M466)</f>
        <v>0</v>
      </c>
      <c r="N467" s="80">
        <f t="shared" si="1273"/>
        <v>0</v>
      </c>
      <c r="O467" s="80">
        <f t="shared" si="1273"/>
        <v>0</v>
      </c>
      <c r="P467" s="80">
        <f t="shared" si="1273"/>
        <v>0</v>
      </c>
      <c r="Q467" s="80">
        <f t="shared" si="1273"/>
        <v>0</v>
      </c>
      <c r="R467" s="80">
        <f t="shared" si="1273"/>
        <v>0</v>
      </c>
      <c r="S467" s="80">
        <f t="shared" si="1273"/>
        <v>0</v>
      </c>
      <c r="T467" s="80">
        <f>SUM(T464:T466)</f>
        <v>0</v>
      </c>
      <c r="U467" s="80">
        <f t="shared" si="1273"/>
        <v>0</v>
      </c>
      <c r="V467" s="80">
        <f t="shared" si="1273"/>
        <v>0</v>
      </c>
      <c r="W467" s="80">
        <f t="shared" si="1273"/>
        <v>0</v>
      </c>
      <c r="X467" s="80">
        <f t="shared" si="1273"/>
        <v>0</v>
      </c>
      <c r="Y467" s="80">
        <f t="shared" si="1273"/>
        <v>0</v>
      </c>
      <c r="Z467" s="80">
        <f t="shared" ref="Z467:AE467" si="1274">SUM(Z464:Z466)</f>
        <v>0</v>
      </c>
      <c r="AA467" s="80">
        <f t="shared" si="1274"/>
        <v>0</v>
      </c>
      <c r="AB467" s="80">
        <f t="shared" si="1274"/>
        <v>0</v>
      </c>
      <c r="AC467" s="80">
        <f t="shared" ref="AC467" si="1275">SUM(AC464:AC466)</f>
        <v>0</v>
      </c>
      <c r="AD467" s="80">
        <f t="shared" si="1274"/>
        <v>109220</v>
      </c>
      <c r="AE467" s="80">
        <f t="shared" si="1274"/>
        <v>0</v>
      </c>
      <c r="AF467" s="80">
        <f t="shared" ref="AF467:AI467" si="1276">SUM(AF464:AF466)</f>
        <v>0</v>
      </c>
      <c r="AG467" s="80">
        <f t="shared" si="1276"/>
        <v>0</v>
      </c>
      <c r="AH467" s="80">
        <f t="shared" si="1276"/>
        <v>0</v>
      </c>
      <c r="AI467" s="80">
        <f t="shared" si="1276"/>
        <v>0</v>
      </c>
      <c r="AJ467" s="80">
        <f>SUM(AJ464:AJ466)</f>
        <v>0</v>
      </c>
      <c r="AK467" s="80">
        <f>SUM(AK464:AK466)</f>
        <v>0</v>
      </c>
      <c r="AL467" s="80">
        <f>SUM(AL464:AL466)</f>
        <v>0</v>
      </c>
      <c r="AM467" s="80">
        <f t="shared" ref="AM467:AW467" si="1277">SUM(AM464:AM466)</f>
        <v>0</v>
      </c>
      <c r="AN467" s="80">
        <f t="shared" si="1277"/>
        <v>0</v>
      </c>
      <c r="AO467" s="80">
        <f t="shared" si="1277"/>
        <v>0</v>
      </c>
      <c r="AP467" s="80">
        <f>SUM(AP464:AP466)</f>
        <v>0</v>
      </c>
      <c r="AQ467" s="80">
        <f t="shared" ref="AQ467:AT467" si="1278">SUM(AQ464:AQ466)</f>
        <v>0</v>
      </c>
      <c r="AR467" s="80">
        <f t="shared" si="1278"/>
        <v>0</v>
      </c>
      <c r="AS467" s="80">
        <f t="shared" si="1278"/>
        <v>0</v>
      </c>
      <c r="AT467" s="80">
        <f t="shared" si="1278"/>
        <v>0</v>
      </c>
      <c r="AU467" s="80">
        <f>SUM(AU464:AU466)</f>
        <v>0</v>
      </c>
      <c r="AV467" s="80">
        <f t="shared" si="1277"/>
        <v>0</v>
      </c>
      <c r="AW467" s="80">
        <f t="shared" si="1277"/>
        <v>0</v>
      </c>
      <c r="AX467" s="80">
        <f>SUM(AX464:AX466)</f>
        <v>0</v>
      </c>
      <c r="AY467" s="80">
        <f>SUM(AY464:AY466)</f>
        <v>0</v>
      </c>
      <c r="AZ467" s="80">
        <f t="shared" ref="AZ467:BA467" si="1279">SUM(AZ464:AZ466)</f>
        <v>0</v>
      </c>
      <c r="BA467" s="80">
        <f t="shared" si="1279"/>
        <v>0</v>
      </c>
      <c r="BB467" s="80">
        <f>SUM(BB464:BB466)</f>
        <v>0</v>
      </c>
      <c r="BC467" s="80">
        <f>SUM(BC464:BC466)</f>
        <v>0</v>
      </c>
      <c r="BD467" s="80">
        <f t="shared" ref="BD467" si="1280">SUM(BD464:BD466)</f>
        <v>0</v>
      </c>
      <c r="BE467" s="80">
        <f>SUM(BE464:BE466)</f>
        <v>0</v>
      </c>
      <c r="BF467" s="80">
        <f>SUM(BF464:BF466)</f>
        <v>0</v>
      </c>
      <c r="BG467" s="80">
        <f>SUM(BG464:BG466)</f>
        <v>0</v>
      </c>
      <c r="BH467" s="80">
        <f>SUM(BH464:BH466)</f>
        <v>0</v>
      </c>
      <c r="BI467" s="80">
        <f t="shared" ref="BI467" si="1281">SUM(BI464:BI466)</f>
        <v>0</v>
      </c>
      <c r="BJ467" s="80">
        <f t="shared" ref="BJ467:BL467" si="1282">SUM(BJ464:BJ466)</f>
        <v>0</v>
      </c>
      <c r="BK467" s="80">
        <f t="shared" si="1282"/>
        <v>0</v>
      </c>
      <c r="BL467" s="80">
        <f t="shared" si="1282"/>
        <v>0</v>
      </c>
      <c r="BM467" s="80">
        <f t="shared" ref="BM467" si="1283">SUM(BM464:BM466)</f>
        <v>0</v>
      </c>
    </row>
    <row r="468" spans="1:65" ht="14.15" customHeight="1">
      <c r="A468" s="436">
        <f t="shared" si="1270"/>
        <v>461</v>
      </c>
      <c r="B468" s="124"/>
      <c r="C468" s="12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</row>
    <row r="469" spans="1:65" ht="14.15" customHeight="1">
      <c r="A469" s="436">
        <f t="shared" si="1270"/>
        <v>462</v>
      </c>
      <c r="B469" s="22" t="s">
        <v>526</v>
      </c>
      <c r="C469" s="38">
        <f>SUM(D469:BM469)</f>
        <v>1293113</v>
      </c>
      <c r="D469" s="43">
        <v>0</v>
      </c>
      <c r="E469" s="43">
        <v>0</v>
      </c>
      <c r="F469" s="43">
        <v>-186284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  <c r="AU469" s="43">
        <v>1479397</v>
      </c>
      <c r="AV469" s="43">
        <v>0</v>
      </c>
      <c r="AW469" s="43">
        <v>0</v>
      </c>
      <c r="AX469" s="43">
        <v>0</v>
      </c>
      <c r="AY469" s="43">
        <v>0</v>
      </c>
      <c r="AZ469" s="43">
        <v>0</v>
      </c>
      <c r="BA469" s="43">
        <v>0</v>
      </c>
      <c r="BB469" s="43">
        <v>0</v>
      </c>
      <c r="BC469" s="43">
        <v>0</v>
      </c>
      <c r="BD469" s="43">
        <v>0</v>
      </c>
      <c r="BE469" s="43">
        <v>0</v>
      </c>
      <c r="BF469" s="43">
        <v>0</v>
      </c>
      <c r="BG469" s="43">
        <v>0</v>
      </c>
      <c r="BH469" s="43">
        <v>0</v>
      </c>
      <c r="BI469" s="43">
        <v>0</v>
      </c>
      <c r="BJ469" s="43">
        <v>0</v>
      </c>
      <c r="BK469" s="43">
        <v>0</v>
      </c>
      <c r="BL469" s="43">
        <v>0</v>
      </c>
      <c r="BM469" s="43">
        <v>0</v>
      </c>
    </row>
    <row r="470" spans="1:65" ht="14.15" customHeight="1">
      <c r="A470" s="436">
        <f t="shared" si="1270"/>
        <v>463</v>
      </c>
      <c r="B470" s="22" t="s">
        <v>325</v>
      </c>
      <c r="C470" s="38">
        <f t="shared" ref="C470:C478" si="1284">SUM(D470:BM470)</f>
        <v>0</v>
      </c>
      <c r="D470" s="43">
        <v>0</v>
      </c>
      <c r="E470" s="43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  <c r="AU470" s="43">
        <v>0</v>
      </c>
      <c r="AV470" s="43">
        <v>0</v>
      </c>
      <c r="AW470" s="43">
        <v>0</v>
      </c>
      <c r="AX470" s="43">
        <v>0</v>
      </c>
      <c r="AY470" s="43">
        <v>0</v>
      </c>
      <c r="AZ470" s="43">
        <v>0</v>
      </c>
      <c r="BA470" s="43">
        <v>0</v>
      </c>
      <c r="BB470" s="43">
        <v>0</v>
      </c>
      <c r="BC470" s="43">
        <v>0</v>
      </c>
      <c r="BD470" s="43">
        <v>0</v>
      </c>
      <c r="BE470" s="43">
        <v>0</v>
      </c>
      <c r="BF470" s="43">
        <v>0</v>
      </c>
      <c r="BG470" s="43">
        <v>0</v>
      </c>
      <c r="BH470" s="43">
        <v>0</v>
      </c>
      <c r="BI470" s="43">
        <v>0</v>
      </c>
      <c r="BJ470" s="43">
        <v>0</v>
      </c>
      <c r="BK470" s="43">
        <v>0</v>
      </c>
      <c r="BL470" s="43">
        <v>0</v>
      </c>
      <c r="BM470" s="43">
        <v>0</v>
      </c>
    </row>
    <row r="471" spans="1:65" ht="14.15" customHeight="1">
      <c r="A471" s="436">
        <f t="shared" si="1270"/>
        <v>464</v>
      </c>
      <c r="B471" s="22" t="s">
        <v>326</v>
      </c>
      <c r="C471" s="38">
        <f t="shared" si="1284"/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  <c r="AU471" s="43">
        <v>0</v>
      </c>
      <c r="AV471" s="43">
        <v>0</v>
      </c>
      <c r="AW471" s="43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v>0</v>
      </c>
      <c r="BC471" s="43">
        <v>0</v>
      </c>
      <c r="BD471" s="43">
        <v>0</v>
      </c>
      <c r="BE471" s="43">
        <v>0</v>
      </c>
      <c r="BF471" s="43">
        <v>0</v>
      </c>
      <c r="BG471" s="43">
        <v>0</v>
      </c>
      <c r="BH471" s="43">
        <v>0</v>
      </c>
      <c r="BI471" s="43">
        <v>0</v>
      </c>
      <c r="BJ471" s="43">
        <v>0</v>
      </c>
      <c r="BK471" s="43">
        <v>0</v>
      </c>
      <c r="BL471" s="43">
        <v>0</v>
      </c>
      <c r="BM471" s="43">
        <v>0</v>
      </c>
    </row>
    <row r="472" spans="1:65" ht="14.15" customHeight="1">
      <c r="A472" s="436">
        <f t="shared" si="1270"/>
        <v>465</v>
      </c>
      <c r="B472" s="22" t="s">
        <v>298</v>
      </c>
      <c r="C472" s="38">
        <f t="shared" si="1284"/>
        <v>-65715</v>
      </c>
      <c r="D472" s="43">
        <v>0</v>
      </c>
      <c r="E472" s="43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  <c r="AU472" s="43">
        <v>0</v>
      </c>
      <c r="AV472" s="43">
        <v>-65715</v>
      </c>
      <c r="AW472" s="43">
        <v>0</v>
      </c>
      <c r="AX472" s="43">
        <v>0</v>
      </c>
      <c r="AY472" s="43">
        <v>0</v>
      </c>
      <c r="AZ472" s="43">
        <v>0</v>
      </c>
      <c r="BA472" s="43">
        <v>0</v>
      </c>
      <c r="BB472" s="43">
        <v>0</v>
      </c>
      <c r="BC472" s="43">
        <v>0</v>
      </c>
      <c r="BD472" s="43">
        <v>0</v>
      </c>
      <c r="BE472" s="43">
        <v>0</v>
      </c>
      <c r="BF472" s="43">
        <v>0</v>
      </c>
      <c r="BG472" s="43">
        <v>0</v>
      </c>
      <c r="BH472" s="43">
        <v>0</v>
      </c>
      <c r="BI472" s="43">
        <v>0</v>
      </c>
      <c r="BJ472" s="43">
        <v>0</v>
      </c>
      <c r="BK472" s="43">
        <v>0</v>
      </c>
      <c r="BL472" s="43">
        <v>0</v>
      </c>
      <c r="BM472" s="43">
        <v>0</v>
      </c>
    </row>
    <row r="473" spans="1:65" ht="14.15" customHeight="1">
      <c r="A473" s="436">
        <f t="shared" si="1270"/>
        <v>466</v>
      </c>
      <c r="B473" s="22" t="s">
        <v>299</v>
      </c>
      <c r="C473" s="38">
        <f t="shared" si="1284"/>
        <v>0</v>
      </c>
      <c r="D473" s="43">
        <v>0</v>
      </c>
      <c r="E473" s="43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  <c r="AU473" s="43">
        <v>0</v>
      </c>
      <c r="AV473" s="43">
        <v>0</v>
      </c>
      <c r="AW473" s="43">
        <v>0</v>
      </c>
      <c r="AX473" s="43">
        <v>0</v>
      </c>
      <c r="AY473" s="43">
        <v>0</v>
      </c>
      <c r="AZ473" s="43">
        <v>0</v>
      </c>
      <c r="BA473" s="43">
        <v>0</v>
      </c>
      <c r="BB473" s="43">
        <v>0</v>
      </c>
      <c r="BC473" s="43">
        <v>0</v>
      </c>
      <c r="BD473" s="43">
        <v>0</v>
      </c>
      <c r="BE473" s="43">
        <v>0</v>
      </c>
      <c r="BF473" s="43">
        <v>0</v>
      </c>
      <c r="BG473" s="43">
        <v>0</v>
      </c>
      <c r="BH473" s="43">
        <v>0</v>
      </c>
      <c r="BI473" s="43">
        <v>0</v>
      </c>
      <c r="BJ473" s="43">
        <v>0</v>
      </c>
      <c r="BK473" s="43">
        <v>0</v>
      </c>
      <c r="BL473" s="43">
        <v>0</v>
      </c>
      <c r="BM473" s="43">
        <v>0</v>
      </c>
    </row>
    <row r="474" spans="1:65" ht="14.15" customHeight="1">
      <c r="A474" s="436">
        <f t="shared" si="1270"/>
        <v>467</v>
      </c>
      <c r="B474" s="22" t="s">
        <v>774</v>
      </c>
      <c r="C474" s="38">
        <f t="shared" si="1284"/>
        <v>4231</v>
      </c>
      <c r="D474" s="43">
        <v>0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  <c r="AU474" s="43">
        <v>0</v>
      </c>
      <c r="AV474" s="43">
        <v>0</v>
      </c>
      <c r="AW474" s="43">
        <v>4231</v>
      </c>
      <c r="AX474" s="43">
        <v>0</v>
      </c>
      <c r="AY474" s="43">
        <v>0</v>
      </c>
      <c r="AZ474" s="43">
        <v>0</v>
      </c>
      <c r="BA474" s="43">
        <v>0</v>
      </c>
      <c r="BB474" s="43">
        <v>0</v>
      </c>
      <c r="BC474" s="43">
        <v>0</v>
      </c>
      <c r="BD474" s="43">
        <v>0</v>
      </c>
      <c r="BE474" s="43">
        <v>0</v>
      </c>
      <c r="BF474" s="43">
        <v>0</v>
      </c>
      <c r="BG474" s="43">
        <v>0</v>
      </c>
      <c r="BH474" s="43">
        <v>0</v>
      </c>
      <c r="BI474" s="43">
        <v>0</v>
      </c>
      <c r="BJ474" s="43">
        <v>0</v>
      </c>
      <c r="BK474" s="43">
        <v>0</v>
      </c>
      <c r="BL474" s="43">
        <v>0</v>
      </c>
      <c r="BM474" s="43">
        <v>0</v>
      </c>
    </row>
    <row r="475" spans="1:65" ht="13.5" customHeight="1">
      <c r="A475" s="436">
        <f t="shared" si="1270"/>
        <v>468</v>
      </c>
      <c r="B475" s="22" t="s">
        <v>327</v>
      </c>
      <c r="C475" s="38">
        <f t="shared" si="1284"/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  <c r="AT475" s="43">
        <v>0</v>
      </c>
      <c r="AU475" s="43">
        <v>0</v>
      </c>
      <c r="AV475" s="43">
        <v>0</v>
      </c>
      <c r="AW475" s="43">
        <v>0</v>
      </c>
      <c r="AX475" s="43">
        <v>0</v>
      </c>
      <c r="AY475" s="43">
        <v>0</v>
      </c>
      <c r="AZ475" s="43">
        <v>0</v>
      </c>
      <c r="BA475" s="43">
        <v>0</v>
      </c>
      <c r="BB475" s="43">
        <v>0</v>
      </c>
      <c r="BC475" s="43">
        <v>0</v>
      </c>
      <c r="BD475" s="43">
        <v>0</v>
      </c>
      <c r="BE475" s="43">
        <v>0</v>
      </c>
      <c r="BF475" s="43">
        <v>0</v>
      </c>
      <c r="BG475" s="43">
        <v>0</v>
      </c>
      <c r="BH475" s="43">
        <v>0</v>
      </c>
      <c r="BI475" s="43">
        <v>0</v>
      </c>
      <c r="BJ475" s="43">
        <v>0</v>
      </c>
      <c r="BK475" s="43">
        <v>0</v>
      </c>
      <c r="BL475" s="43">
        <v>0</v>
      </c>
      <c r="BM475" s="43">
        <v>0</v>
      </c>
    </row>
    <row r="476" spans="1:65" ht="13.5" customHeight="1">
      <c r="A476" s="436">
        <f t="shared" si="1270"/>
        <v>469</v>
      </c>
      <c r="B476" s="22" t="s">
        <v>300</v>
      </c>
      <c r="C476" s="38">
        <f t="shared" si="1284"/>
        <v>0</v>
      </c>
      <c r="D476" s="43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0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  <c r="AT476" s="43">
        <v>0</v>
      </c>
      <c r="AU476" s="43">
        <v>0</v>
      </c>
      <c r="AV476" s="43">
        <v>0</v>
      </c>
      <c r="AW476" s="43">
        <v>0</v>
      </c>
      <c r="AX476" s="43">
        <v>0</v>
      </c>
      <c r="AY476" s="43">
        <v>0</v>
      </c>
      <c r="AZ476" s="43">
        <v>0</v>
      </c>
      <c r="BA476" s="43">
        <v>0</v>
      </c>
      <c r="BB476" s="43">
        <v>0</v>
      </c>
      <c r="BC476" s="43">
        <v>0</v>
      </c>
      <c r="BD476" s="43">
        <v>0</v>
      </c>
      <c r="BE476" s="43">
        <v>0</v>
      </c>
      <c r="BF476" s="43">
        <v>0</v>
      </c>
      <c r="BG476" s="43">
        <v>0</v>
      </c>
      <c r="BH476" s="43">
        <v>0</v>
      </c>
      <c r="BI476" s="43">
        <v>0</v>
      </c>
      <c r="BJ476" s="43">
        <v>0</v>
      </c>
      <c r="BK476" s="43">
        <v>0</v>
      </c>
      <c r="BL476" s="43">
        <v>0</v>
      </c>
      <c r="BM476" s="43">
        <v>0</v>
      </c>
    </row>
    <row r="477" spans="1:65" ht="14.15" customHeight="1">
      <c r="A477" s="436">
        <f t="shared" si="1270"/>
        <v>470</v>
      </c>
      <c r="B477" s="22" t="s">
        <v>301</v>
      </c>
      <c r="C477" s="38">
        <f t="shared" si="1284"/>
        <v>0</v>
      </c>
      <c r="D477" s="43">
        <v>0</v>
      </c>
      <c r="E477" s="43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  <c r="AT477" s="43">
        <v>0</v>
      </c>
      <c r="AU477" s="43">
        <v>0</v>
      </c>
      <c r="AV477" s="43">
        <v>0</v>
      </c>
      <c r="AW477" s="43">
        <v>0</v>
      </c>
      <c r="AX477" s="43">
        <v>0</v>
      </c>
      <c r="AY477" s="43">
        <v>0</v>
      </c>
      <c r="AZ477" s="43">
        <v>0</v>
      </c>
      <c r="BA477" s="43">
        <v>0</v>
      </c>
      <c r="BB477" s="43">
        <v>0</v>
      </c>
      <c r="BC477" s="43">
        <v>0</v>
      </c>
      <c r="BD477" s="43">
        <v>0</v>
      </c>
      <c r="BE477" s="43">
        <v>0</v>
      </c>
      <c r="BF477" s="43">
        <v>0</v>
      </c>
      <c r="BG477" s="43">
        <v>0</v>
      </c>
      <c r="BH477" s="43">
        <v>0</v>
      </c>
      <c r="BI477" s="43">
        <v>0</v>
      </c>
      <c r="BJ477" s="43">
        <v>0</v>
      </c>
      <c r="BK477" s="43">
        <v>0</v>
      </c>
      <c r="BL477" s="43">
        <v>0</v>
      </c>
      <c r="BM477" s="43">
        <v>0</v>
      </c>
    </row>
    <row r="478" spans="1:65" ht="14.15" customHeight="1">
      <c r="A478" s="436">
        <f t="shared" si="1270"/>
        <v>471</v>
      </c>
      <c r="B478" s="56" t="s">
        <v>302</v>
      </c>
      <c r="C478" s="38">
        <f t="shared" si="1284"/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0</v>
      </c>
      <c r="AU478" s="43">
        <v>0</v>
      </c>
      <c r="AV478" s="43">
        <v>0</v>
      </c>
      <c r="AW478" s="43">
        <v>0</v>
      </c>
      <c r="AX478" s="43">
        <v>0</v>
      </c>
      <c r="AY478" s="43">
        <v>0</v>
      </c>
      <c r="AZ478" s="43">
        <v>0</v>
      </c>
      <c r="BA478" s="43">
        <v>0</v>
      </c>
      <c r="BB478" s="43">
        <v>0</v>
      </c>
      <c r="BC478" s="43">
        <v>0</v>
      </c>
      <c r="BD478" s="43">
        <v>0</v>
      </c>
      <c r="BE478" s="43">
        <v>0</v>
      </c>
      <c r="BF478" s="43">
        <v>0</v>
      </c>
      <c r="BG478" s="43">
        <v>0</v>
      </c>
      <c r="BH478" s="43">
        <v>0</v>
      </c>
      <c r="BI478" s="43">
        <v>0</v>
      </c>
      <c r="BJ478" s="43">
        <v>0</v>
      </c>
      <c r="BK478" s="43">
        <v>0</v>
      </c>
      <c r="BL478" s="43">
        <v>0</v>
      </c>
      <c r="BM478" s="43">
        <v>0</v>
      </c>
    </row>
    <row r="479" spans="1:65" ht="14.15" customHeight="1">
      <c r="A479" s="436">
        <f t="shared" si="1270"/>
        <v>472</v>
      </c>
      <c r="B479" s="20" t="s">
        <v>516</v>
      </c>
      <c r="C479" s="80">
        <f t="shared" ref="C479:L479" si="1285">SUM(C467:C478)</f>
        <v>1340849</v>
      </c>
      <c r="D479" s="80">
        <f t="shared" si="1285"/>
        <v>0</v>
      </c>
      <c r="E479" s="80">
        <f t="shared" si="1285"/>
        <v>0</v>
      </c>
      <c r="F479" s="80">
        <f t="shared" si="1285"/>
        <v>-186284</v>
      </c>
      <c r="G479" s="80">
        <f t="shared" si="1285"/>
        <v>0</v>
      </c>
      <c r="H479" s="80">
        <f t="shared" si="1285"/>
        <v>0</v>
      </c>
      <c r="I479" s="80">
        <f t="shared" si="1285"/>
        <v>0</v>
      </c>
      <c r="J479" s="80">
        <f t="shared" si="1285"/>
        <v>0</v>
      </c>
      <c r="K479" s="80">
        <f t="shared" ref="K479" si="1286">SUM(K467:K478)</f>
        <v>0</v>
      </c>
      <c r="L479" s="80">
        <f t="shared" si="1285"/>
        <v>0</v>
      </c>
      <c r="M479" s="80">
        <f t="shared" ref="M479:Y479" si="1287">SUM(M467:M478)</f>
        <v>0</v>
      </c>
      <c r="N479" s="80">
        <f t="shared" si="1287"/>
        <v>0</v>
      </c>
      <c r="O479" s="80">
        <f t="shared" si="1287"/>
        <v>0</v>
      </c>
      <c r="P479" s="80">
        <f t="shared" si="1287"/>
        <v>0</v>
      </c>
      <c r="Q479" s="80">
        <f t="shared" si="1287"/>
        <v>0</v>
      </c>
      <c r="R479" s="80">
        <f t="shared" si="1287"/>
        <v>0</v>
      </c>
      <c r="S479" s="80">
        <f t="shared" si="1287"/>
        <v>0</v>
      </c>
      <c r="T479" s="80">
        <f>SUM(T467:T478)</f>
        <v>0</v>
      </c>
      <c r="U479" s="80">
        <f t="shared" si="1287"/>
        <v>0</v>
      </c>
      <c r="V479" s="80">
        <f t="shared" si="1287"/>
        <v>0</v>
      </c>
      <c r="W479" s="80">
        <f t="shared" si="1287"/>
        <v>0</v>
      </c>
      <c r="X479" s="80">
        <f t="shared" si="1287"/>
        <v>0</v>
      </c>
      <c r="Y479" s="80">
        <f t="shared" si="1287"/>
        <v>0</v>
      </c>
      <c r="Z479" s="80">
        <f t="shared" ref="Z479:AE479" si="1288">SUM(Z467:Z478)</f>
        <v>0</v>
      </c>
      <c r="AA479" s="80">
        <f t="shared" si="1288"/>
        <v>0</v>
      </c>
      <c r="AB479" s="80">
        <f t="shared" si="1288"/>
        <v>0</v>
      </c>
      <c r="AC479" s="80">
        <f t="shared" ref="AC479" si="1289">SUM(AC467:AC478)</f>
        <v>0</v>
      </c>
      <c r="AD479" s="80">
        <f t="shared" si="1288"/>
        <v>109220</v>
      </c>
      <c r="AE479" s="80">
        <f t="shared" si="1288"/>
        <v>0</v>
      </c>
      <c r="AF479" s="80">
        <f t="shared" ref="AF479:AI479" si="1290">SUM(AF467:AF478)</f>
        <v>0</v>
      </c>
      <c r="AG479" s="80">
        <f t="shared" si="1290"/>
        <v>0</v>
      </c>
      <c r="AH479" s="80">
        <f t="shared" si="1290"/>
        <v>0</v>
      </c>
      <c r="AI479" s="80">
        <f t="shared" si="1290"/>
        <v>0</v>
      </c>
      <c r="AJ479" s="80">
        <f>SUM(AJ467:AJ478)</f>
        <v>0</v>
      </c>
      <c r="AK479" s="80">
        <f>SUM(AK467:AK478)</f>
        <v>0</v>
      </c>
      <c r="AL479" s="80">
        <f>SUM(AL467:AL478)</f>
        <v>0</v>
      </c>
      <c r="AM479" s="80">
        <f t="shared" ref="AM479:AW479" si="1291">SUM(AM467:AM478)</f>
        <v>0</v>
      </c>
      <c r="AN479" s="80">
        <f t="shared" si="1291"/>
        <v>0</v>
      </c>
      <c r="AO479" s="80">
        <f t="shared" si="1291"/>
        <v>0</v>
      </c>
      <c r="AP479" s="80">
        <f>SUM(AP467:AP478)</f>
        <v>0</v>
      </c>
      <c r="AQ479" s="80">
        <f t="shared" ref="AQ479:AT479" si="1292">SUM(AQ467:AQ478)</f>
        <v>0</v>
      </c>
      <c r="AR479" s="80">
        <f t="shared" si="1292"/>
        <v>0</v>
      </c>
      <c r="AS479" s="80">
        <f t="shared" si="1292"/>
        <v>0</v>
      </c>
      <c r="AT479" s="80">
        <f t="shared" si="1292"/>
        <v>0</v>
      </c>
      <c r="AU479" s="80">
        <f>SUM(AU467:AU478)</f>
        <v>1479397</v>
      </c>
      <c r="AV479" s="80">
        <f t="shared" si="1291"/>
        <v>-65715</v>
      </c>
      <c r="AW479" s="80">
        <f t="shared" si="1291"/>
        <v>4231</v>
      </c>
      <c r="AX479" s="80">
        <f>SUM(AX467:AX478)</f>
        <v>0</v>
      </c>
      <c r="AY479" s="80">
        <f>SUM(AY467:AY478)</f>
        <v>0</v>
      </c>
      <c r="AZ479" s="80">
        <f t="shared" ref="AZ479:BA479" si="1293">SUM(AZ467:AZ478)</f>
        <v>0</v>
      </c>
      <c r="BA479" s="80">
        <f t="shared" si="1293"/>
        <v>0</v>
      </c>
      <c r="BB479" s="80">
        <f>SUM(BB467:BB478)</f>
        <v>0</v>
      </c>
      <c r="BC479" s="80">
        <f>SUM(BC467:BC478)</f>
        <v>0</v>
      </c>
      <c r="BD479" s="80">
        <f t="shared" ref="BD479" si="1294">SUM(BD467:BD478)</f>
        <v>0</v>
      </c>
      <c r="BE479" s="80">
        <f>SUM(BE467:BE478)</f>
        <v>0</v>
      </c>
      <c r="BF479" s="80">
        <f>SUM(BF467:BF478)</f>
        <v>0</v>
      </c>
      <c r="BG479" s="80">
        <f>SUM(BG467:BG478)</f>
        <v>0</v>
      </c>
      <c r="BH479" s="80">
        <f>SUM(BH467:BH478)</f>
        <v>0</v>
      </c>
      <c r="BI479" s="80">
        <f t="shared" ref="BI479" si="1295">SUM(BI467:BI478)</f>
        <v>0</v>
      </c>
      <c r="BJ479" s="80">
        <f t="shared" ref="BJ479:BL479" si="1296">SUM(BJ467:BJ478)</f>
        <v>0</v>
      </c>
      <c r="BK479" s="80">
        <f t="shared" si="1296"/>
        <v>0</v>
      </c>
      <c r="BL479" s="80">
        <f t="shared" si="1296"/>
        <v>0</v>
      </c>
      <c r="BM479" s="80">
        <f t="shared" ref="BM479" si="1297">SUM(BM467:BM478)</f>
        <v>0</v>
      </c>
    </row>
    <row r="480" spans="1:65" ht="14.15" customHeight="1">
      <c r="A480" s="436">
        <f t="shared" si="1270"/>
        <v>473</v>
      </c>
      <c r="B480" s="20"/>
      <c r="C480" s="20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</row>
    <row r="481" spans="1:65" ht="13.5" customHeight="1">
      <c r="A481" s="436">
        <f t="shared" si="1270"/>
        <v>474</v>
      </c>
      <c r="B481" s="22" t="s">
        <v>798</v>
      </c>
      <c r="C481" s="38">
        <f>SUM(D481:BM481)</f>
        <v>-4797635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-4797635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  <c r="AU481" s="43">
        <v>0</v>
      </c>
      <c r="AV481" s="43">
        <v>0</v>
      </c>
      <c r="AW481" s="43">
        <v>0</v>
      </c>
      <c r="AX481" s="43">
        <v>0</v>
      </c>
      <c r="AY481" s="43">
        <v>0</v>
      </c>
      <c r="AZ481" s="43">
        <v>0</v>
      </c>
      <c r="BA481" s="43">
        <v>0</v>
      </c>
      <c r="BB481" s="43">
        <v>0</v>
      </c>
      <c r="BC481" s="43">
        <v>0</v>
      </c>
      <c r="BD481" s="43">
        <v>0</v>
      </c>
      <c r="BE481" s="43">
        <v>0</v>
      </c>
      <c r="BF481" s="43">
        <v>0</v>
      </c>
      <c r="BG481" s="43">
        <v>0</v>
      </c>
      <c r="BH481" s="43">
        <v>0</v>
      </c>
      <c r="BI481" s="43">
        <v>0</v>
      </c>
      <c r="BJ481" s="43">
        <v>0</v>
      </c>
      <c r="BK481" s="43">
        <v>0</v>
      </c>
      <c r="BL481" s="43">
        <v>0</v>
      </c>
      <c r="BM481" s="43">
        <v>0</v>
      </c>
    </row>
    <row r="482" spans="1:65" ht="13.5" customHeight="1">
      <c r="A482" s="436">
        <f t="shared" si="1270"/>
        <v>475</v>
      </c>
      <c r="B482" s="22" t="s">
        <v>799</v>
      </c>
      <c r="C482" s="38">
        <f t="shared" ref="C482:C485" si="1298">SUM(D482:BM482)</f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  <c r="AM482" s="43">
        <v>0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0</v>
      </c>
      <c r="AU482" s="43">
        <v>0</v>
      </c>
      <c r="AV482" s="43">
        <v>0</v>
      </c>
      <c r="AW482" s="43">
        <v>0</v>
      </c>
      <c r="AX482" s="43">
        <v>0</v>
      </c>
      <c r="AY482" s="43">
        <v>0</v>
      </c>
      <c r="AZ482" s="43">
        <v>0</v>
      </c>
      <c r="BA482" s="43">
        <v>0</v>
      </c>
      <c r="BB482" s="43">
        <v>0</v>
      </c>
      <c r="BC482" s="43">
        <v>0</v>
      </c>
      <c r="BD482" s="43">
        <v>0</v>
      </c>
      <c r="BE482" s="43">
        <v>0</v>
      </c>
      <c r="BF482" s="43">
        <v>0</v>
      </c>
      <c r="BG482" s="43">
        <v>0</v>
      </c>
      <c r="BH482" s="43">
        <v>0</v>
      </c>
      <c r="BI482" s="43">
        <v>0</v>
      </c>
      <c r="BJ482" s="43">
        <v>0</v>
      </c>
      <c r="BK482" s="43">
        <v>0</v>
      </c>
      <c r="BL482" s="43">
        <v>0</v>
      </c>
      <c r="BM482" s="43">
        <v>0</v>
      </c>
    </row>
    <row r="483" spans="1:65" ht="13.5" customHeight="1">
      <c r="A483" s="436">
        <f t="shared" si="1270"/>
        <v>476</v>
      </c>
      <c r="B483" s="22" t="s">
        <v>800</v>
      </c>
      <c r="C483" s="38">
        <f t="shared" si="1298"/>
        <v>0</v>
      </c>
      <c r="D483" s="43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  <c r="AU483" s="43">
        <v>0</v>
      </c>
      <c r="AV483" s="43">
        <v>0</v>
      </c>
      <c r="AW483" s="43">
        <v>0</v>
      </c>
      <c r="AX483" s="43">
        <v>0</v>
      </c>
      <c r="AY483" s="43">
        <v>0</v>
      </c>
      <c r="AZ483" s="43">
        <v>0</v>
      </c>
      <c r="BA483" s="43">
        <v>0</v>
      </c>
      <c r="BB483" s="43">
        <v>0</v>
      </c>
      <c r="BC483" s="43">
        <v>0</v>
      </c>
      <c r="BD483" s="43">
        <v>0</v>
      </c>
      <c r="BE483" s="43">
        <v>0</v>
      </c>
      <c r="BF483" s="43">
        <v>0</v>
      </c>
      <c r="BG483" s="43">
        <v>0</v>
      </c>
      <c r="BH483" s="43">
        <v>0</v>
      </c>
      <c r="BI483" s="43">
        <v>0</v>
      </c>
      <c r="BJ483" s="43">
        <v>0</v>
      </c>
      <c r="BK483" s="43">
        <v>0</v>
      </c>
      <c r="BL483" s="43">
        <v>0</v>
      </c>
      <c r="BM483" s="43">
        <v>0</v>
      </c>
    </row>
    <row r="484" spans="1:65" ht="13.5" customHeight="1">
      <c r="A484" s="436">
        <f t="shared" si="1270"/>
        <v>477</v>
      </c>
      <c r="B484" s="22" t="s">
        <v>801</v>
      </c>
      <c r="C484" s="38">
        <f t="shared" si="1298"/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  <c r="AM484" s="43">
        <v>0</v>
      </c>
      <c r="AN484" s="43">
        <v>0</v>
      </c>
      <c r="AO484" s="43">
        <v>0</v>
      </c>
      <c r="AP484" s="43">
        <v>0</v>
      </c>
      <c r="AQ484" s="43">
        <v>0</v>
      </c>
      <c r="AR484" s="43">
        <v>0</v>
      </c>
      <c r="AS484" s="43">
        <v>0</v>
      </c>
      <c r="AT484" s="43">
        <v>0</v>
      </c>
      <c r="AU484" s="43">
        <v>0</v>
      </c>
      <c r="AV484" s="43">
        <v>0</v>
      </c>
      <c r="AW484" s="43">
        <v>0</v>
      </c>
      <c r="AX484" s="43">
        <v>0</v>
      </c>
      <c r="AY484" s="43">
        <v>0</v>
      </c>
      <c r="AZ484" s="43">
        <v>0</v>
      </c>
      <c r="BA484" s="43">
        <v>0</v>
      </c>
      <c r="BB484" s="43">
        <v>0</v>
      </c>
      <c r="BC484" s="43">
        <v>0</v>
      </c>
      <c r="BD484" s="43">
        <v>0</v>
      </c>
      <c r="BE484" s="43">
        <v>0</v>
      </c>
      <c r="BF484" s="43">
        <v>0</v>
      </c>
      <c r="BG484" s="43">
        <v>0</v>
      </c>
      <c r="BH484" s="43">
        <v>0</v>
      </c>
      <c r="BI484" s="43">
        <v>0</v>
      </c>
      <c r="BJ484" s="43">
        <v>0</v>
      </c>
      <c r="BK484" s="43">
        <v>0</v>
      </c>
      <c r="BL484" s="43">
        <v>0</v>
      </c>
      <c r="BM484" s="43">
        <v>0</v>
      </c>
    </row>
    <row r="485" spans="1:65" ht="13.5" customHeight="1">
      <c r="A485" s="436">
        <f t="shared" si="1270"/>
        <v>478</v>
      </c>
      <c r="B485" s="22" t="s">
        <v>958</v>
      </c>
      <c r="C485" s="38">
        <f t="shared" si="1298"/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  <c r="AU485" s="43">
        <v>0</v>
      </c>
      <c r="AV485" s="43">
        <v>0</v>
      </c>
      <c r="AW485" s="43">
        <v>0</v>
      </c>
      <c r="AX485" s="43">
        <v>0</v>
      </c>
      <c r="AY485" s="43">
        <v>0</v>
      </c>
      <c r="AZ485" s="43">
        <v>0</v>
      </c>
      <c r="BA485" s="43">
        <v>0</v>
      </c>
      <c r="BB485" s="43">
        <v>0</v>
      </c>
      <c r="BC485" s="43">
        <v>0</v>
      </c>
      <c r="BD485" s="43">
        <v>0</v>
      </c>
      <c r="BE485" s="43">
        <v>0</v>
      </c>
      <c r="BF485" s="43">
        <v>0</v>
      </c>
      <c r="BG485" s="43">
        <v>0</v>
      </c>
      <c r="BH485" s="43">
        <v>0</v>
      </c>
      <c r="BI485" s="43">
        <v>0</v>
      </c>
      <c r="BJ485" s="43">
        <v>0</v>
      </c>
      <c r="BK485" s="43">
        <v>0</v>
      </c>
      <c r="BL485" s="43">
        <v>0</v>
      </c>
      <c r="BM485" s="43">
        <v>0</v>
      </c>
    </row>
    <row r="486" spans="1:65" ht="14.15" customHeight="1">
      <c r="A486" s="436">
        <f t="shared" si="1270"/>
        <v>479</v>
      </c>
      <c r="B486" s="22" t="s">
        <v>303</v>
      </c>
      <c r="C486" s="38">
        <f>SUM(D486:BM486)</f>
        <v>1258220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1258220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  <c r="AU486" s="43">
        <v>0</v>
      </c>
      <c r="AV486" s="43">
        <v>0</v>
      </c>
      <c r="AW486" s="43">
        <v>0</v>
      </c>
      <c r="AX486" s="43">
        <v>0</v>
      </c>
      <c r="AY486" s="43">
        <v>0</v>
      </c>
      <c r="AZ486" s="43">
        <v>0</v>
      </c>
      <c r="BA486" s="43">
        <v>0</v>
      </c>
      <c r="BB486" s="43">
        <v>0</v>
      </c>
      <c r="BC486" s="43">
        <v>0</v>
      </c>
      <c r="BD486" s="43">
        <v>0</v>
      </c>
      <c r="BE486" s="43">
        <v>0</v>
      </c>
      <c r="BF486" s="43">
        <v>0</v>
      </c>
      <c r="BG486" s="43">
        <v>0</v>
      </c>
      <c r="BH486" s="43">
        <v>0</v>
      </c>
      <c r="BI486" s="43">
        <v>0</v>
      </c>
      <c r="BJ486" s="43">
        <v>0</v>
      </c>
      <c r="BK486" s="43">
        <v>0</v>
      </c>
      <c r="BL486" s="43">
        <v>0</v>
      </c>
      <c r="BM486" s="43">
        <v>0</v>
      </c>
    </row>
    <row r="487" spans="1:65" ht="14.15" customHeight="1">
      <c r="A487" s="436">
        <f t="shared" si="1270"/>
        <v>480</v>
      </c>
      <c r="B487" s="22"/>
      <c r="C487" s="65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</row>
    <row r="488" spans="1:65" ht="14.15" customHeight="1">
      <c r="A488" s="436">
        <f t="shared" si="1270"/>
        <v>481</v>
      </c>
      <c r="B488" s="3" t="s">
        <v>304</v>
      </c>
      <c r="C488" s="38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>
        <v>0</v>
      </c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</row>
    <row r="489" spans="1:65" ht="13.5" customHeight="1">
      <c r="A489" s="436">
        <f t="shared" si="1270"/>
        <v>482</v>
      </c>
      <c r="B489" s="22" t="s">
        <v>305</v>
      </c>
      <c r="C489" s="38">
        <f>SUM(D489:BM489)</f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  <c r="AU489" s="43">
        <v>0</v>
      </c>
      <c r="AV489" s="43">
        <v>0</v>
      </c>
      <c r="AW489" s="43">
        <v>0</v>
      </c>
      <c r="AX489" s="43">
        <v>0</v>
      </c>
      <c r="AY489" s="43">
        <v>0</v>
      </c>
      <c r="AZ489" s="43">
        <v>0</v>
      </c>
      <c r="BA489" s="43">
        <v>0</v>
      </c>
      <c r="BB489" s="43">
        <v>0</v>
      </c>
      <c r="BC489" s="43">
        <v>0</v>
      </c>
      <c r="BD489" s="43">
        <v>0</v>
      </c>
      <c r="BE489" s="43">
        <v>0</v>
      </c>
      <c r="BF489" s="43">
        <v>0</v>
      </c>
      <c r="BG489" s="43">
        <v>0</v>
      </c>
      <c r="BH489" s="43">
        <v>0</v>
      </c>
      <c r="BI489" s="43">
        <v>0</v>
      </c>
      <c r="BJ489" s="43">
        <v>0</v>
      </c>
      <c r="BK489" s="43">
        <v>0</v>
      </c>
      <c r="BL489" s="43">
        <v>0</v>
      </c>
      <c r="BM489" s="43">
        <v>0</v>
      </c>
    </row>
    <row r="490" spans="1:65" ht="13.5" customHeight="1">
      <c r="A490" s="436">
        <f t="shared" si="1270"/>
        <v>483</v>
      </c>
      <c r="B490" s="22" t="s">
        <v>306</v>
      </c>
      <c r="C490" s="38">
        <f t="shared" ref="C490:C496" si="1299">SUM(D490:BM490)</f>
        <v>0</v>
      </c>
      <c r="D490" s="43">
        <v>0</v>
      </c>
      <c r="E490" s="43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  <c r="AU490" s="43">
        <v>0</v>
      </c>
      <c r="AV490" s="43">
        <v>0</v>
      </c>
      <c r="AW490" s="43">
        <v>0</v>
      </c>
      <c r="AX490" s="43">
        <v>0</v>
      </c>
      <c r="AY490" s="43">
        <v>0</v>
      </c>
      <c r="AZ490" s="43">
        <v>0</v>
      </c>
      <c r="BA490" s="43">
        <v>0</v>
      </c>
      <c r="BB490" s="43">
        <v>0</v>
      </c>
      <c r="BC490" s="43">
        <v>0</v>
      </c>
      <c r="BD490" s="43">
        <v>0</v>
      </c>
      <c r="BE490" s="43">
        <v>0</v>
      </c>
      <c r="BF490" s="43">
        <v>0</v>
      </c>
      <c r="BG490" s="43">
        <v>0</v>
      </c>
      <c r="BH490" s="43">
        <v>0</v>
      </c>
      <c r="BI490" s="43">
        <v>0</v>
      </c>
      <c r="BJ490" s="43">
        <v>0</v>
      </c>
      <c r="BK490" s="43">
        <v>0</v>
      </c>
      <c r="BL490" s="43">
        <v>0</v>
      </c>
      <c r="BM490" s="43">
        <v>0</v>
      </c>
    </row>
    <row r="491" spans="1:65" ht="13.5" customHeight="1">
      <c r="A491" s="436">
        <f t="shared" si="1270"/>
        <v>484</v>
      </c>
      <c r="B491" s="22" t="s">
        <v>775</v>
      </c>
      <c r="C491" s="38">
        <f t="shared" si="1299"/>
        <v>0</v>
      </c>
      <c r="D491" s="43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  <c r="AU491" s="43">
        <v>0</v>
      </c>
      <c r="AV491" s="43">
        <v>0</v>
      </c>
      <c r="AW491" s="43">
        <v>0</v>
      </c>
      <c r="AX491" s="43">
        <v>0</v>
      </c>
      <c r="AY491" s="43">
        <v>0</v>
      </c>
      <c r="AZ491" s="43">
        <v>0</v>
      </c>
      <c r="BA491" s="43">
        <v>0</v>
      </c>
      <c r="BB491" s="43">
        <v>0</v>
      </c>
      <c r="BC491" s="43">
        <v>0</v>
      </c>
      <c r="BD491" s="43">
        <v>0</v>
      </c>
      <c r="BE491" s="43">
        <v>0</v>
      </c>
      <c r="BF491" s="43">
        <v>0</v>
      </c>
      <c r="BG491" s="43">
        <v>0</v>
      </c>
      <c r="BH491" s="43">
        <v>0</v>
      </c>
      <c r="BI491" s="43">
        <v>0</v>
      </c>
      <c r="BJ491" s="43">
        <v>0</v>
      </c>
      <c r="BK491" s="43">
        <v>0</v>
      </c>
      <c r="BL491" s="43">
        <v>0</v>
      </c>
      <c r="BM491" s="43">
        <v>0</v>
      </c>
    </row>
    <row r="492" spans="1:65" ht="14.15" customHeight="1">
      <c r="A492" s="436">
        <f t="shared" si="1270"/>
        <v>485</v>
      </c>
      <c r="B492" s="22" t="s">
        <v>307</v>
      </c>
      <c r="C492" s="38">
        <f t="shared" si="1299"/>
        <v>255569.3805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  <c r="AE492" s="43">
        <v>0</v>
      </c>
      <c r="AF492" s="43">
        <v>0</v>
      </c>
      <c r="AG492" s="43">
        <v>0</v>
      </c>
      <c r="AH492" s="43">
        <v>255569.3805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  <c r="AT492" s="43">
        <v>0</v>
      </c>
      <c r="AU492" s="43">
        <v>0</v>
      </c>
      <c r="AV492" s="43">
        <v>0</v>
      </c>
      <c r="AW492" s="43">
        <v>0</v>
      </c>
      <c r="AX492" s="43">
        <v>0</v>
      </c>
      <c r="AY492" s="43">
        <v>0</v>
      </c>
      <c r="AZ492" s="43">
        <v>0</v>
      </c>
      <c r="BA492" s="43">
        <v>0</v>
      </c>
      <c r="BB492" s="43">
        <v>0</v>
      </c>
      <c r="BC492" s="43">
        <v>0</v>
      </c>
      <c r="BD492" s="43">
        <v>0</v>
      </c>
      <c r="BE492" s="43">
        <v>0</v>
      </c>
      <c r="BF492" s="43">
        <v>0</v>
      </c>
      <c r="BG492" s="43">
        <v>0</v>
      </c>
      <c r="BH492" s="43">
        <v>0</v>
      </c>
      <c r="BI492" s="43">
        <v>0</v>
      </c>
      <c r="BJ492" s="43">
        <v>0</v>
      </c>
      <c r="BK492" s="43">
        <v>0</v>
      </c>
      <c r="BL492" s="43">
        <v>0</v>
      </c>
      <c r="BM492" s="43">
        <v>0</v>
      </c>
    </row>
    <row r="493" spans="1:65" ht="14.15" customHeight="1">
      <c r="A493" s="436">
        <f t="shared" si="1270"/>
        <v>486</v>
      </c>
      <c r="B493" s="22" t="s">
        <v>308</v>
      </c>
      <c r="C493" s="38">
        <f t="shared" si="1299"/>
        <v>3288567.05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0</v>
      </c>
      <c r="Y493" s="43">
        <v>0</v>
      </c>
      <c r="Z493" s="43">
        <v>0</v>
      </c>
      <c r="AA493" s="43">
        <v>0</v>
      </c>
      <c r="AB493" s="43">
        <v>0</v>
      </c>
      <c r="AC493" s="43">
        <f>232192+6+3056369.05</f>
        <v>3288567.05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0</v>
      </c>
      <c r="AP493" s="43">
        <v>0</v>
      </c>
      <c r="AQ493" s="43">
        <v>0</v>
      </c>
      <c r="AR493" s="43">
        <v>0</v>
      </c>
      <c r="AS493" s="43">
        <v>0</v>
      </c>
      <c r="AT493" s="43">
        <v>0</v>
      </c>
      <c r="AU493" s="43">
        <v>0</v>
      </c>
      <c r="AV493" s="43">
        <v>0</v>
      </c>
      <c r="AW493" s="43">
        <v>0</v>
      </c>
      <c r="AX493" s="43">
        <v>0</v>
      </c>
      <c r="AY493" s="43">
        <v>0</v>
      </c>
      <c r="AZ493" s="43">
        <v>0</v>
      </c>
      <c r="BA493" s="43">
        <v>0</v>
      </c>
      <c r="BB493" s="43">
        <v>0</v>
      </c>
      <c r="BC493" s="43">
        <v>0</v>
      </c>
      <c r="BD493" s="43">
        <v>0</v>
      </c>
      <c r="BE493" s="43">
        <v>0</v>
      </c>
      <c r="BF493" s="43">
        <v>0</v>
      </c>
      <c r="BG493" s="43">
        <v>0</v>
      </c>
      <c r="BH493" s="43">
        <v>0</v>
      </c>
      <c r="BI493" s="43">
        <v>0</v>
      </c>
      <c r="BJ493" s="43">
        <v>0</v>
      </c>
      <c r="BK493" s="43">
        <v>0</v>
      </c>
      <c r="BL493" s="43">
        <v>0</v>
      </c>
      <c r="BM493" s="43">
        <v>0</v>
      </c>
    </row>
    <row r="494" spans="1:65" ht="14.15" customHeight="1">
      <c r="A494" s="436">
        <f t="shared" si="1270"/>
        <v>487</v>
      </c>
      <c r="B494" s="22" t="s">
        <v>813</v>
      </c>
      <c r="C494" s="38">
        <f t="shared" si="1299"/>
        <v>0</v>
      </c>
      <c r="D494" s="43"/>
      <c r="E494" s="43"/>
      <c r="F494" s="43"/>
      <c r="G494" s="43"/>
      <c r="H494" s="43">
        <v>0</v>
      </c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</row>
    <row r="495" spans="1:65" ht="14.15" customHeight="1">
      <c r="A495" s="436">
        <f t="shared" si="1270"/>
        <v>488</v>
      </c>
      <c r="B495" s="22" t="s">
        <v>814</v>
      </c>
      <c r="C495" s="38">
        <f t="shared" si="1299"/>
        <v>0</v>
      </c>
      <c r="D495" s="43"/>
      <c r="E495" s="43"/>
      <c r="F495" s="43"/>
      <c r="G495" s="43"/>
      <c r="H495" s="43">
        <v>0</v>
      </c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</row>
    <row r="496" spans="1:65" ht="14.15" customHeight="1">
      <c r="A496" s="436">
        <f t="shared" si="1270"/>
        <v>489</v>
      </c>
      <c r="B496" s="56" t="s">
        <v>309</v>
      </c>
      <c r="C496" s="38">
        <f t="shared" si="1299"/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64">
        <v>0</v>
      </c>
      <c r="V496" s="64">
        <v>0</v>
      </c>
      <c r="W496" s="64">
        <v>0</v>
      </c>
      <c r="X496" s="64">
        <v>0</v>
      </c>
      <c r="Y496" s="64">
        <v>0</v>
      </c>
      <c r="Z496" s="64">
        <v>0</v>
      </c>
      <c r="AA496" s="64">
        <v>0</v>
      </c>
      <c r="AB496" s="64">
        <v>0</v>
      </c>
      <c r="AC496" s="64">
        <v>0</v>
      </c>
      <c r="AD496" s="64">
        <v>0</v>
      </c>
      <c r="AE496" s="64">
        <v>0</v>
      </c>
      <c r="AF496" s="64">
        <v>0</v>
      </c>
      <c r="AG496" s="64">
        <v>0</v>
      </c>
      <c r="AH496" s="64">
        <v>0</v>
      </c>
      <c r="AI496" s="64">
        <v>0</v>
      </c>
      <c r="AJ496" s="64">
        <v>0</v>
      </c>
      <c r="AK496" s="64">
        <v>0</v>
      </c>
      <c r="AL496" s="64">
        <v>0</v>
      </c>
      <c r="AM496" s="64">
        <v>0</v>
      </c>
      <c r="AN496" s="64">
        <v>0</v>
      </c>
      <c r="AO496" s="64">
        <v>0</v>
      </c>
      <c r="AP496" s="64">
        <v>0</v>
      </c>
      <c r="AQ496" s="64">
        <v>0</v>
      </c>
      <c r="AR496" s="64">
        <v>0</v>
      </c>
      <c r="AS496" s="64">
        <v>0</v>
      </c>
      <c r="AT496" s="64">
        <v>0</v>
      </c>
      <c r="AU496" s="64">
        <v>0</v>
      </c>
      <c r="AV496" s="64">
        <v>0</v>
      </c>
      <c r="AW496" s="64">
        <v>0</v>
      </c>
      <c r="AX496" s="64">
        <v>0</v>
      </c>
      <c r="AY496" s="64">
        <v>0</v>
      </c>
      <c r="AZ496" s="64">
        <v>0</v>
      </c>
      <c r="BA496" s="64">
        <v>0</v>
      </c>
      <c r="BB496" s="64">
        <v>0</v>
      </c>
      <c r="BC496" s="64">
        <v>0</v>
      </c>
      <c r="BD496" s="64">
        <v>0</v>
      </c>
      <c r="BE496" s="64">
        <v>0</v>
      </c>
      <c r="BF496" s="64">
        <v>0</v>
      </c>
      <c r="BG496" s="64">
        <v>0</v>
      </c>
      <c r="BH496" s="64">
        <v>0</v>
      </c>
      <c r="BI496" s="64">
        <v>0</v>
      </c>
      <c r="BJ496" s="64">
        <v>0</v>
      </c>
      <c r="BK496" s="64">
        <v>0</v>
      </c>
      <c r="BL496" s="64">
        <v>0</v>
      </c>
      <c r="BM496" s="64">
        <v>0</v>
      </c>
    </row>
    <row r="497" spans="1:65" ht="14.15" customHeight="1">
      <c r="A497" s="436">
        <f t="shared" si="1270"/>
        <v>490</v>
      </c>
      <c r="B497" s="13" t="s">
        <v>310</v>
      </c>
      <c r="C497" s="47">
        <f t="shared" ref="C497:L497" si="1300">SUM(C489:C496)</f>
        <v>3544136.4304999998</v>
      </c>
      <c r="D497" s="47">
        <f t="shared" si="1300"/>
        <v>0</v>
      </c>
      <c r="E497" s="47">
        <f t="shared" si="1300"/>
        <v>0</v>
      </c>
      <c r="F497" s="47">
        <f t="shared" si="1300"/>
        <v>0</v>
      </c>
      <c r="G497" s="47">
        <f t="shared" si="1300"/>
        <v>0</v>
      </c>
      <c r="H497" s="47">
        <f t="shared" si="1300"/>
        <v>0</v>
      </c>
      <c r="I497" s="47">
        <f t="shared" si="1300"/>
        <v>0</v>
      </c>
      <c r="J497" s="47">
        <f t="shared" si="1300"/>
        <v>0</v>
      </c>
      <c r="K497" s="47">
        <f t="shared" ref="K497" si="1301">SUM(K489:K496)</f>
        <v>0</v>
      </c>
      <c r="L497" s="47">
        <f t="shared" si="1300"/>
        <v>0</v>
      </c>
      <c r="M497" s="47">
        <f t="shared" ref="M497:Y497" si="1302">SUM(M489:M496)</f>
        <v>0</v>
      </c>
      <c r="N497" s="47">
        <f t="shared" si="1302"/>
        <v>0</v>
      </c>
      <c r="O497" s="47">
        <f t="shared" si="1302"/>
        <v>0</v>
      </c>
      <c r="P497" s="47">
        <f t="shared" si="1302"/>
        <v>0</v>
      </c>
      <c r="Q497" s="47">
        <f t="shared" si="1302"/>
        <v>0</v>
      </c>
      <c r="R497" s="47">
        <f t="shared" si="1302"/>
        <v>0</v>
      </c>
      <c r="S497" s="47">
        <f t="shared" si="1302"/>
        <v>0</v>
      </c>
      <c r="T497" s="47">
        <f>SUM(T489:T496)</f>
        <v>0</v>
      </c>
      <c r="U497" s="47">
        <f t="shared" si="1302"/>
        <v>0</v>
      </c>
      <c r="V497" s="47">
        <f t="shared" si="1302"/>
        <v>0</v>
      </c>
      <c r="W497" s="47">
        <f t="shared" si="1302"/>
        <v>0</v>
      </c>
      <c r="X497" s="47">
        <f t="shared" si="1302"/>
        <v>0</v>
      </c>
      <c r="Y497" s="47">
        <f t="shared" si="1302"/>
        <v>0</v>
      </c>
      <c r="Z497" s="47">
        <f t="shared" ref="Z497:AE497" si="1303">SUM(Z489:Z496)</f>
        <v>0</v>
      </c>
      <c r="AA497" s="47">
        <f t="shared" si="1303"/>
        <v>0</v>
      </c>
      <c r="AB497" s="47">
        <f t="shared" si="1303"/>
        <v>0</v>
      </c>
      <c r="AC497" s="47">
        <f t="shared" ref="AC497" si="1304">SUM(AC489:AC496)</f>
        <v>3288567.05</v>
      </c>
      <c r="AD497" s="47">
        <f t="shared" si="1303"/>
        <v>0</v>
      </c>
      <c r="AE497" s="47">
        <f t="shared" si="1303"/>
        <v>0</v>
      </c>
      <c r="AF497" s="47">
        <f t="shared" ref="AF497:AI497" si="1305">SUM(AF489:AF496)</f>
        <v>0</v>
      </c>
      <c r="AG497" s="47">
        <f t="shared" si="1305"/>
        <v>0</v>
      </c>
      <c r="AH497" s="47">
        <f t="shared" si="1305"/>
        <v>255569.3805</v>
      </c>
      <c r="AI497" s="47">
        <f t="shared" si="1305"/>
        <v>0</v>
      </c>
      <c r="AJ497" s="47">
        <f>SUM(AJ489:AJ496)</f>
        <v>0</v>
      </c>
      <c r="AK497" s="47">
        <f>SUM(AK489:AK496)</f>
        <v>0</v>
      </c>
      <c r="AL497" s="47">
        <f>SUM(AL489:AL496)</f>
        <v>0</v>
      </c>
      <c r="AM497" s="47">
        <f t="shared" ref="AM497:AW497" si="1306">SUM(AM489:AM496)</f>
        <v>0</v>
      </c>
      <c r="AN497" s="47">
        <f t="shared" si="1306"/>
        <v>0</v>
      </c>
      <c r="AO497" s="47">
        <f t="shared" si="1306"/>
        <v>0</v>
      </c>
      <c r="AP497" s="47">
        <f>SUM(AP489:AP496)</f>
        <v>0</v>
      </c>
      <c r="AQ497" s="47">
        <f t="shared" ref="AQ497:AT497" si="1307">SUM(AQ489:AQ496)</f>
        <v>0</v>
      </c>
      <c r="AR497" s="47">
        <f t="shared" si="1307"/>
        <v>0</v>
      </c>
      <c r="AS497" s="47">
        <f t="shared" si="1307"/>
        <v>0</v>
      </c>
      <c r="AT497" s="47">
        <f t="shared" si="1307"/>
        <v>0</v>
      </c>
      <c r="AU497" s="47">
        <f>SUM(AU489:AU496)</f>
        <v>0</v>
      </c>
      <c r="AV497" s="47">
        <f t="shared" si="1306"/>
        <v>0</v>
      </c>
      <c r="AW497" s="47">
        <f t="shared" si="1306"/>
        <v>0</v>
      </c>
      <c r="AX497" s="47">
        <f>SUM(AX489:AX496)</f>
        <v>0</v>
      </c>
      <c r="AY497" s="47">
        <f>SUM(AY489:AY496)</f>
        <v>0</v>
      </c>
      <c r="AZ497" s="47">
        <f t="shared" ref="AZ497:BA497" si="1308">SUM(AZ489:AZ496)</f>
        <v>0</v>
      </c>
      <c r="BA497" s="47">
        <f t="shared" si="1308"/>
        <v>0</v>
      </c>
      <c r="BB497" s="47">
        <f>SUM(BB489:BB496)</f>
        <v>0</v>
      </c>
      <c r="BC497" s="47">
        <f>SUM(BC489:BC496)</f>
        <v>0</v>
      </c>
      <c r="BD497" s="47">
        <f t="shared" ref="BD497" si="1309">SUM(BD489:BD496)</f>
        <v>0</v>
      </c>
      <c r="BE497" s="47">
        <f>SUM(BE489:BE496)</f>
        <v>0</v>
      </c>
      <c r="BF497" s="47">
        <f>SUM(BF489:BF496)</f>
        <v>0</v>
      </c>
      <c r="BG497" s="47">
        <f>SUM(BG489:BG496)</f>
        <v>0</v>
      </c>
      <c r="BH497" s="47">
        <f>SUM(BH489:BH496)</f>
        <v>0</v>
      </c>
      <c r="BI497" s="47">
        <f t="shared" ref="BI497" si="1310">SUM(BI489:BI496)</f>
        <v>0</v>
      </c>
      <c r="BJ497" s="47">
        <f t="shared" ref="BJ497:BL497" si="1311">SUM(BJ489:BJ496)</f>
        <v>0</v>
      </c>
      <c r="BK497" s="47">
        <f t="shared" si="1311"/>
        <v>0</v>
      </c>
      <c r="BL497" s="47">
        <f t="shared" si="1311"/>
        <v>0</v>
      </c>
      <c r="BM497" s="47">
        <f t="shared" ref="BM497" si="1312">SUM(BM489:BM496)</f>
        <v>0</v>
      </c>
    </row>
    <row r="498" spans="1:65" ht="14.15" customHeight="1">
      <c r="A498" s="436">
        <f t="shared" si="1270"/>
        <v>491</v>
      </c>
      <c r="B498" s="22"/>
      <c r="C498" s="65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</row>
    <row r="499" spans="1:65" ht="14.15" customHeight="1">
      <c r="A499" s="436">
        <f t="shared" si="1270"/>
        <v>492</v>
      </c>
      <c r="B499" s="22"/>
      <c r="C499" s="65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</row>
    <row r="500" spans="1:65" ht="13.9" customHeight="1">
      <c r="A500" s="436">
        <f t="shared" si="1270"/>
        <v>493</v>
      </c>
      <c r="B500" s="13" t="s">
        <v>311</v>
      </c>
      <c r="C500" s="61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</row>
    <row r="501" spans="1:65" ht="13.5" customHeight="1">
      <c r="A501" s="436">
        <f t="shared" si="1270"/>
        <v>494</v>
      </c>
      <c r="B501" s="124" t="s">
        <v>328</v>
      </c>
      <c r="C501" s="38">
        <f>SUM(D501:BM501)</f>
        <v>903847.61244044744</v>
      </c>
      <c r="D501" s="202">
        <f>ROUND((((D12)-(D23+D25+D26+D28+D29-D508))*$C$510),0)</f>
        <v>-212392</v>
      </c>
      <c r="E501" s="202">
        <f t="shared" ref="E501:AH501" si="1313">ROUND((((E12)-(E23+E25+E26+E28+E29-E508))*$C$510),0)</f>
        <v>-785095</v>
      </c>
      <c r="F501" s="202">
        <f t="shared" si="1313"/>
        <v>611932</v>
      </c>
      <c r="G501" s="202">
        <f t="shared" si="1313"/>
        <v>0</v>
      </c>
      <c r="H501" s="202">
        <f t="shared" si="1313"/>
        <v>-2172386</v>
      </c>
      <c r="I501" s="202">
        <f t="shared" si="1313"/>
        <v>-41238</v>
      </c>
      <c r="J501" s="202">
        <f t="shared" si="1313"/>
        <v>175106</v>
      </c>
      <c r="K501" s="202">
        <f t="shared" ref="K501" si="1314">ROUND((((K12)-(K23+K25+K26+K28+K29-K508))*$C$510),0)</f>
        <v>-451659</v>
      </c>
      <c r="L501" s="202">
        <f t="shared" si="1313"/>
        <v>-1057783</v>
      </c>
      <c r="M501" s="202">
        <f t="shared" si="1313"/>
        <v>-920</v>
      </c>
      <c r="N501" s="202">
        <f t="shared" si="1313"/>
        <v>0</v>
      </c>
      <c r="O501" s="202">
        <f t="shared" si="1313"/>
        <v>0</v>
      </c>
      <c r="P501" s="202">
        <f t="shared" si="1313"/>
        <v>49915</v>
      </c>
      <c r="Q501" s="202">
        <f t="shared" si="1313"/>
        <v>326961</v>
      </c>
      <c r="R501" s="202">
        <f t="shared" si="1313"/>
        <v>-62993</v>
      </c>
      <c r="S501" s="202">
        <f t="shared" si="1313"/>
        <v>316094</v>
      </c>
      <c r="T501" s="202">
        <f>ROUND((((T12)-(T23+T25+T26+T28+T29-T508))*$C$510),0)</f>
        <v>-11112</v>
      </c>
      <c r="U501" s="202">
        <f t="shared" si="1313"/>
        <v>-13989</v>
      </c>
      <c r="V501" s="202">
        <f t="shared" si="1313"/>
        <v>8504</v>
      </c>
      <c r="W501" s="202">
        <f t="shared" si="1313"/>
        <v>20351</v>
      </c>
      <c r="X501" s="202">
        <f t="shared" si="1313"/>
        <v>0</v>
      </c>
      <c r="Y501" s="202">
        <f t="shared" si="1313"/>
        <v>-3903</v>
      </c>
      <c r="Z501" s="202">
        <f t="shared" si="1313"/>
        <v>-711667</v>
      </c>
      <c r="AA501" s="202">
        <f t="shared" si="1313"/>
        <v>-22237</v>
      </c>
      <c r="AB501" s="402">
        <f t="shared" si="1313"/>
        <v>0</v>
      </c>
      <c r="AC501" s="202">
        <f t="shared" ref="AC501" si="1315">ROUND((((AC12)-(AC23+AC25+AC26+AC28+AC29-AC508))*$C$510),0)</f>
        <v>-160416</v>
      </c>
      <c r="AD501" s="202">
        <f t="shared" si="1313"/>
        <v>-63916</v>
      </c>
      <c r="AE501" s="202">
        <f t="shared" si="1313"/>
        <v>424</v>
      </c>
      <c r="AF501" s="202">
        <f t="shared" si="1313"/>
        <v>0</v>
      </c>
      <c r="AG501" s="202">
        <f t="shared" si="1313"/>
        <v>0</v>
      </c>
      <c r="AH501" s="202">
        <f t="shared" si="1313"/>
        <v>-12795</v>
      </c>
      <c r="AI501" s="202">
        <f>ROUND((((AI12)-(AI23+AI25+AI26+AI28+AI29-AI508))*$C$510),0)</f>
        <v>1457</v>
      </c>
      <c r="AJ501" s="202">
        <f>ROUND((((AJ12)-(AJ23+AJ25+AJ26+AJ28+AJ29-AJ508))*$C$510),0)</f>
        <v>0</v>
      </c>
      <c r="AK501" s="202">
        <f>ROUND((((AK12)-(AK23+AK25+AK26+AK28+AK29))*$C$510),0)</f>
        <v>0</v>
      </c>
      <c r="AL501" s="202">
        <f>ROUND((((AL12)-(AL23+AL25+AL26+AL28+AL29))*$C$510),0)</f>
        <v>0</v>
      </c>
      <c r="AM501" s="202">
        <f t="shared" ref="AM501:BK501" si="1316">ROUND((((AM12)-(AM23+AM25+AM26+AM28+AM29-AM508))*$C$510),0)</f>
        <v>-18256</v>
      </c>
      <c r="AN501" s="202">
        <f t="shared" si="1316"/>
        <v>-36674</v>
      </c>
      <c r="AO501" s="202">
        <f t="shared" si="1316"/>
        <v>0</v>
      </c>
      <c r="AP501" s="202">
        <f>ROUND((((AP12)-(AP23+AP25+AP26+AP28+AP29-AP508))*$C$510),0)</f>
        <v>-240</v>
      </c>
      <c r="AQ501" s="202">
        <f t="shared" si="1316"/>
        <v>4166</v>
      </c>
      <c r="AR501" s="202">
        <f t="shared" si="1316"/>
        <v>-2530</v>
      </c>
      <c r="AS501" s="202">
        <f t="shared" si="1316"/>
        <v>1787990</v>
      </c>
      <c r="AT501" s="202">
        <f t="shared" si="1316"/>
        <v>46626</v>
      </c>
      <c r="AU501" s="202">
        <f t="shared" si="1316"/>
        <v>-74066</v>
      </c>
      <c r="AV501" s="202">
        <f t="shared" si="1316"/>
        <v>0</v>
      </c>
      <c r="AW501" s="202">
        <f t="shared" si="1316"/>
        <v>-212</v>
      </c>
      <c r="AX501" s="202">
        <f t="shared" ref="AX501:BF501" si="1317">ROUND((((AX12)-(AX23+AX25+AX26+AX28+AX29-AX508))*$C$510),0)</f>
        <v>1945191</v>
      </c>
      <c r="AY501" s="202">
        <f t="shared" si="1317"/>
        <v>0</v>
      </c>
      <c r="AZ501" s="202">
        <v>604388.61244044744</v>
      </c>
      <c r="BA501" s="202">
        <f t="shared" si="1317"/>
        <v>0</v>
      </c>
      <c r="BB501" s="202">
        <f t="shared" si="1317"/>
        <v>-20711</v>
      </c>
      <c r="BC501" s="202">
        <f t="shared" si="1317"/>
        <v>654257</v>
      </c>
      <c r="BD501" s="202">
        <f t="shared" si="1317"/>
        <v>0</v>
      </c>
      <c r="BE501" s="202">
        <f t="shared" si="1317"/>
        <v>127314</v>
      </c>
      <c r="BF501" s="202">
        <f t="shared" si="1317"/>
        <v>0</v>
      </c>
      <c r="BG501" s="202">
        <v>0</v>
      </c>
      <c r="BH501" s="202">
        <f t="shared" si="1316"/>
        <v>0</v>
      </c>
      <c r="BI501" s="202">
        <f t="shared" si="1316"/>
        <v>0</v>
      </c>
      <c r="BJ501" s="202">
        <f t="shared" si="1316"/>
        <v>-152932</v>
      </c>
      <c r="BK501" s="202">
        <f t="shared" si="1316"/>
        <v>313293</v>
      </c>
      <c r="BL501" s="202">
        <f t="shared" ref="BL501" si="1318">ROUND((((BL12)-(BL23+BL25+BL26+BL28+BL29-BL508))*$C$510),0)</f>
        <v>0</v>
      </c>
      <c r="BM501" s="202">
        <f t="shared" ref="BM501" si="1319">ROUND((((BM12)-(BM23+BM25+BM26+BM28+BM29-BM508))*$C$510),0)</f>
        <v>0</v>
      </c>
    </row>
    <row r="502" spans="1:65" ht="14.15" customHeight="1">
      <c r="A502" s="436">
        <f t="shared" si="1270"/>
        <v>495</v>
      </c>
      <c r="B502" s="124" t="s">
        <v>312</v>
      </c>
      <c r="C502" s="38">
        <f t="shared" ref="C502:C505" si="1320">SUM(D502:BM502)</f>
        <v>3601421.886194136</v>
      </c>
      <c r="D502" s="202">
        <f>ROUND((((D12)-(D23+D25+D26+D28+D29-D508+D501))*$C$511),0)</f>
        <v>-846287</v>
      </c>
      <c r="E502" s="202">
        <f t="shared" ref="E502:AI502" si="1321">ROUND((((E12)-(E23+E25+E26+E28+E29-E508+E501))*$C$511),0)</f>
        <v>-3128249</v>
      </c>
      <c r="F502" s="202">
        <f t="shared" si="1321"/>
        <v>2438272</v>
      </c>
      <c r="G502" s="202">
        <f t="shared" si="1321"/>
        <v>0</v>
      </c>
      <c r="H502" s="202">
        <f t="shared" si="1321"/>
        <v>-8655973</v>
      </c>
      <c r="I502" s="202">
        <f t="shared" si="1321"/>
        <v>-164316</v>
      </c>
      <c r="J502" s="202">
        <f t="shared" si="1321"/>
        <v>697718</v>
      </c>
      <c r="K502" s="202">
        <f t="shared" ref="K502" si="1322">ROUND((((K12)-(K23+K25+K26+K28+K29-K508+K501))*$C$511),0)</f>
        <v>-1799655</v>
      </c>
      <c r="L502" s="202">
        <f t="shared" si="1321"/>
        <v>-4214786</v>
      </c>
      <c r="M502" s="202">
        <f t="shared" si="1321"/>
        <v>-3667</v>
      </c>
      <c r="N502" s="202">
        <f t="shared" si="1321"/>
        <v>0</v>
      </c>
      <c r="O502" s="202">
        <f t="shared" si="1321"/>
        <v>0</v>
      </c>
      <c r="P502" s="202">
        <f t="shared" si="1321"/>
        <v>198889</v>
      </c>
      <c r="Q502" s="202">
        <f t="shared" si="1321"/>
        <v>1302791</v>
      </c>
      <c r="R502" s="202">
        <f t="shared" si="1321"/>
        <v>-250998</v>
      </c>
      <c r="S502" s="202">
        <f t="shared" si="1321"/>
        <v>1259492</v>
      </c>
      <c r="T502" s="202">
        <f>ROUND((((T12)-(T23+T25+T26+T28+T29-T508+T501))*$C$511),0)</f>
        <v>-44275</v>
      </c>
      <c r="U502" s="202">
        <f t="shared" si="1321"/>
        <v>-55738</v>
      </c>
      <c r="V502" s="202">
        <f t="shared" si="1321"/>
        <v>33882</v>
      </c>
      <c r="W502" s="202">
        <f t="shared" si="1321"/>
        <v>81091</v>
      </c>
      <c r="X502" s="202">
        <f t="shared" si="1321"/>
        <v>0</v>
      </c>
      <c r="Y502" s="202">
        <f t="shared" si="1321"/>
        <v>-15552</v>
      </c>
      <c r="Z502" s="202">
        <f t="shared" si="1321"/>
        <v>-2835671</v>
      </c>
      <c r="AA502" s="202">
        <f t="shared" si="1321"/>
        <v>-88606</v>
      </c>
      <c r="AB502" s="402">
        <f t="shared" si="1321"/>
        <v>0</v>
      </c>
      <c r="AC502" s="202">
        <f t="shared" ref="AC502" si="1323">ROUND((((AC12)-(AC23+AC25+AC26+AC28+AC29-AC508+AC501))*$C$511),0)</f>
        <v>-639186</v>
      </c>
      <c r="AD502" s="202">
        <f t="shared" si="1321"/>
        <v>-254676</v>
      </c>
      <c r="AE502" s="202">
        <f t="shared" si="1321"/>
        <v>1689</v>
      </c>
      <c r="AF502" s="202">
        <f t="shared" si="1321"/>
        <v>0</v>
      </c>
      <c r="AG502" s="202">
        <f t="shared" si="1321"/>
        <v>0</v>
      </c>
      <c r="AH502" s="202">
        <f t="shared" si="1321"/>
        <v>-50983</v>
      </c>
      <c r="AI502" s="202">
        <f t="shared" si="1321"/>
        <v>5807</v>
      </c>
      <c r="AJ502" s="202">
        <f t="shared" ref="AJ502" si="1324">ROUND((((AJ12)-(AJ23+AJ25+AJ26+AJ28+AJ29-AJ508+AJ501))*$C$511),0)</f>
        <v>0</v>
      </c>
      <c r="AK502" s="202">
        <f>ROUND((((AK12)-(AK23+AK25+AK26+AK28+AK29+AK501))*$C$511),0)</f>
        <v>0</v>
      </c>
      <c r="AL502" s="202">
        <f>ROUND((((AL12)-(AL23+AL25+AL26+AL28+AL29+AL501))*$C$511),0)</f>
        <v>0</v>
      </c>
      <c r="AM502" s="202">
        <f>ROUND((((AM12)-(AM23+AM25+AM26+AM28+AM29-AM508+AM501))*$C$511),0)</f>
        <v>-72741</v>
      </c>
      <c r="AN502" s="202">
        <f>ROUND((((AN12)-(AN23+AN25+AN26+AN28+AN29-AN508+AN501))*$C$511),0)</f>
        <v>-146128</v>
      </c>
      <c r="AO502" s="202">
        <f t="shared" ref="AO502" si="1325">ROUND((((AO12)-(AO23+AO25+AO26+AO28+AO29-AO508+AO501))*$C$511),0)</f>
        <v>0</v>
      </c>
      <c r="AP502" s="202">
        <f>ROUND((((AP12)-(AP23+AP25+AP26+AP28+AP29-AP508+AP501))*$C$511),0)</f>
        <v>-957</v>
      </c>
      <c r="AQ502" s="202">
        <f t="shared" ref="AQ502:AT502" si="1326">ROUND((((AQ12)-(AQ23+AQ25+AQ26+AQ28+AQ29-AQ508+AQ501))*$C$511),0)</f>
        <v>16602</v>
      </c>
      <c r="AR502" s="202">
        <f t="shared" si="1326"/>
        <v>-10083</v>
      </c>
      <c r="AS502" s="202">
        <f t="shared" si="1326"/>
        <v>7124330</v>
      </c>
      <c r="AT502" s="202">
        <f t="shared" si="1326"/>
        <v>185785</v>
      </c>
      <c r="AU502" s="202">
        <f>ROUND((((AU12)-(AU23+AU25+AU26+AU28+AU29-AU508+AU501))*$C$511),0)</f>
        <v>-295120</v>
      </c>
      <c r="AV502" s="202">
        <f t="shared" ref="AV502:AW502" si="1327">ROUND((((AV12)-(AV23+AV25+AV26+AV28+AV29-AV508+AV501))*$C$511),0)</f>
        <v>0</v>
      </c>
      <c r="AW502" s="202">
        <f t="shared" si="1327"/>
        <v>-844</v>
      </c>
      <c r="AX502" s="202">
        <f t="shared" ref="AX502:BC502" si="1328">ROUND((((AX12)-(AX23+AX25+AX26+AX28+AX29-AX508+AX501))*$C$511),0)</f>
        <v>7750704</v>
      </c>
      <c r="AY502" s="202">
        <f t="shared" si="1328"/>
        <v>0</v>
      </c>
      <c r="AZ502" s="202">
        <v>2408214.886194136</v>
      </c>
      <c r="BA502" s="202">
        <f t="shared" si="1328"/>
        <v>0</v>
      </c>
      <c r="BB502" s="202">
        <f t="shared" si="1328"/>
        <v>-82524</v>
      </c>
      <c r="BC502" s="202">
        <f t="shared" si="1328"/>
        <v>2606918</v>
      </c>
      <c r="BD502" s="202">
        <f t="shared" ref="BD502" si="1329">ROUND((((BD12)-(BD23+BD25+BD26+BD28+BD29-BD508+BD501))*$C$511),0)</f>
        <v>0</v>
      </c>
      <c r="BE502" s="202">
        <f>ROUND((((BE12)-(BE23+BE25+BE26+BE28+BE29-BE508+BE501))*$C$511),0)</f>
        <v>507290</v>
      </c>
      <c r="BF502" s="202">
        <f>ROUND((((BF12)-(BF23+BF25+BF26+BF28+BF29-BF508+BF501))*$C$511),0)</f>
        <v>0</v>
      </c>
      <c r="BG502" s="202">
        <f>ROUND((((BG12)-(BG23+BG25+BG26+BG28+BG29-BG508+BG501))*$C$511),0)</f>
        <v>0</v>
      </c>
      <c r="BH502" s="202">
        <f>ROUND((((BH12)-(BH23+BH25+BH26+BH28+BH29-BH508+BH501))*$C$511),0)</f>
        <v>0</v>
      </c>
      <c r="BI502" s="202">
        <f t="shared" ref="BI502" si="1330">ROUND((((BI12)-(BI23+BI25+BI26+BI28+BI29-BI508+BI501))*$C$511),0)</f>
        <v>0</v>
      </c>
      <c r="BJ502" s="202">
        <f t="shared" ref="BJ502:BM502" si="1331">ROUND((((BJ12)-(BJ23+BJ25+BJ26+BJ28+BJ29-BJ508+BJ501))*$C$511),0)</f>
        <v>-609367</v>
      </c>
      <c r="BK502" s="202">
        <f t="shared" si="1331"/>
        <v>1248329</v>
      </c>
      <c r="BL502" s="202">
        <f t="shared" si="1331"/>
        <v>0</v>
      </c>
      <c r="BM502" s="202">
        <f t="shared" si="1331"/>
        <v>0</v>
      </c>
    </row>
    <row r="503" spans="1:65" ht="14.15" customHeight="1">
      <c r="A503" s="436">
        <f t="shared" si="1270"/>
        <v>496</v>
      </c>
      <c r="B503" s="124" t="s">
        <v>313</v>
      </c>
      <c r="C503" s="38">
        <f t="shared" si="1320"/>
        <v>31070231.085962024</v>
      </c>
      <c r="D503" s="43">
        <f t="shared" ref="D503:L503" si="1332">ROUND(D508*D509*$C$511*-1,0)</f>
        <v>0</v>
      </c>
      <c r="E503" s="43">
        <f t="shared" si="1332"/>
        <v>0</v>
      </c>
      <c r="F503" s="43">
        <f t="shared" si="1332"/>
        <v>0</v>
      </c>
      <c r="G503" s="43">
        <f t="shared" si="1332"/>
        <v>0</v>
      </c>
      <c r="H503" s="43">
        <f t="shared" si="1332"/>
        <v>0</v>
      </c>
      <c r="I503" s="43">
        <f t="shared" si="1332"/>
        <v>0</v>
      </c>
      <c r="J503" s="43">
        <f t="shared" si="1332"/>
        <v>0</v>
      </c>
      <c r="K503" s="43">
        <f t="shared" ref="K503" si="1333">ROUND(K508*K509*$C$511*-1,0)</f>
        <v>0</v>
      </c>
      <c r="L503" s="43">
        <f t="shared" si="1332"/>
        <v>0</v>
      </c>
      <c r="M503" s="43">
        <f t="shared" ref="M503:Y503" si="1334">ROUND(M508*M509*$C$511*-1,0)</f>
        <v>0</v>
      </c>
      <c r="N503" s="43">
        <f t="shared" si="1334"/>
        <v>0</v>
      </c>
      <c r="O503" s="43">
        <f t="shared" si="1334"/>
        <v>0</v>
      </c>
      <c r="P503" s="43">
        <f t="shared" si="1334"/>
        <v>0</v>
      </c>
      <c r="Q503" s="43">
        <f t="shared" si="1334"/>
        <v>0</v>
      </c>
      <c r="R503" s="43">
        <f t="shared" si="1334"/>
        <v>0</v>
      </c>
      <c r="S503" s="43">
        <f t="shared" si="1334"/>
        <v>0</v>
      </c>
      <c r="T503" s="43">
        <f>ROUND(T508*T509*$C$511*-1,0)</f>
        <v>0</v>
      </c>
      <c r="U503" s="43">
        <f t="shared" si="1334"/>
        <v>0</v>
      </c>
      <c r="V503" s="43">
        <f t="shared" si="1334"/>
        <v>0</v>
      </c>
      <c r="W503" s="43">
        <f t="shared" si="1334"/>
        <v>0</v>
      </c>
      <c r="X503" s="43">
        <f t="shared" si="1334"/>
        <v>170478</v>
      </c>
      <c r="Y503" s="43">
        <f t="shared" si="1334"/>
        <v>0</v>
      </c>
      <c r="Z503" s="43">
        <f t="shared" ref="Z503:AE503" si="1335">ROUND(Z508*Z509*$C$511*-1,0)</f>
        <v>0</v>
      </c>
      <c r="AA503" s="43">
        <f t="shared" si="1335"/>
        <v>0</v>
      </c>
      <c r="AB503" s="43">
        <f t="shared" si="1335"/>
        <v>0</v>
      </c>
      <c r="AC503" s="43">
        <f t="shared" ref="AC503" si="1336">ROUND(AC508*AC509*$C$511*-1,0)</f>
        <v>0</v>
      </c>
      <c r="AD503" s="43">
        <f t="shared" si="1335"/>
        <v>0</v>
      </c>
      <c r="AE503" s="43">
        <f t="shared" si="1335"/>
        <v>0</v>
      </c>
      <c r="AF503" s="43">
        <f t="shared" ref="AF503:AI503" si="1337">ROUND(AF508*AF509*$C$511*-1,0)</f>
        <v>-349363</v>
      </c>
      <c r="AG503" s="43">
        <f t="shared" si="1337"/>
        <v>-98962</v>
      </c>
      <c r="AH503" s="43">
        <f t="shared" si="1337"/>
        <v>0</v>
      </c>
      <c r="AI503" s="43">
        <f t="shared" si="1337"/>
        <v>0</v>
      </c>
      <c r="AJ503" s="43">
        <v>0</v>
      </c>
      <c r="AK503" s="43">
        <f>ROUND(AK508*AK509*$C$511*-1,0)</f>
        <v>0</v>
      </c>
      <c r="AL503" s="43">
        <v>0</v>
      </c>
      <c r="AM503" s="43">
        <f>ROUND(AM508*AM509*$C$511*-1,0)</f>
        <v>0</v>
      </c>
      <c r="AN503" s="43">
        <v>0</v>
      </c>
      <c r="AO503" s="43">
        <f t="shared" ref="AO503" si="1338">ROUND(AO508*AO509*$C$511*-1,0)</f>
        <v>0</v>
      </c>
      <c r="AP503" s="43">
        <f>ROUND(AP508*AP509*$C$511*-1,0)</f>
        <v>0</v>
      </c>
      <c r="AQ503" s="43">
        <f t="shared" ref="AQ503:AT503" si="1339">ROUND(AQ508*AQ509*$C$511*-1,0)</f>
        <v>0</v>
      </c>
      <c r="AR503" s="43">
        <f t="shared" si="1339"/>
        <v>0</v>
      </c>
      <c r="AS503" s="43">
        <f t="shared" si="1339"/>
        <v>0</v>
      </c>
      <c r="AT503" s="43">
        <f t="shared" si="1339"/>
        <v>0</v>
      </c>
      <c r="AU503" s="43">
        <f>ROUND(AU508*AU509*$C$511*-1,0)</f>
        <v>0</v>
      </c>
      <c r="AV503" s="43">
        <f t="shared" ref="AV503:AW503" si="1340">ROUND(AV508*AV509*$C$511*-1,0)</f>
        <v>13800</v>
      </c>
      <c r="AW503" s="43">
        <f t="shared" si="1340"/>
        <v>0</v>
      </c>
      <c r="AX503" s="43">
        <f>ROUND(AX508*AX509*$C$511*-1,0)</f>
        <v>0</v>
      </c>
      <c r="AY503" s="43">
        <f>ROUND(AY508*AY509*$C$511*-1,0)</f>
        <v>0</v>
      </c>
      <c r="AZ503" s="43">
        <v>0</v>
      </c>
      <c r="BA503" s="43">
        <v>1667845.0859620241</v>
      </c>
      <c r="BB503" s="43">
        <f>ROUND(BB508*BB509*$C$511*-1,0)</f>
        <v>0</v>
      </c>
      <c r="BC503" s="43">
        <v>0</v>
      </c>
      <c r="BD503" s="43">
        <v>0</v>
      </c>
      <c r="BE503" s="43">
        <f>ROUND(BE508*BE509*$C$511*-1,0)</f>
        <v>0</v>
      </c>
      <c r="BF503" s="43">
        <f>ROUND(BF508*BF509*$C$511*-1,0)</f>
        <v>0</v>
      </c>
      <c r="BG503" s="43">
        <f>ROUND(BG508*BG509*$C$511*-1,0)</f>
        <v>0</v>
      </c>
      <c r="BH503" s="43">
        <v>29666433</v>
      </c>
      <c r="BI503" s="43">
        <f t="shared" ref="BI503" si="1341">ROUND(BI508*BI509*$C$511*-1,0)</f>
        <v>0</v>
      </c>
      <c r="BJ503" s="43">
        <f t="shared" ref="BJ503" si="1342">ROUND(BJ508*BJ509*$C$511*-1,0)</f>
        <v>0</v>
      </c>
      <c r="BK503" s="43">
        <v>0</v>
      </c>
      <c r="BL503" s="43">
        <v>0</v>
      </c>
      <c r="BM503" s="43">
        <v>0</v>
      </c>
    </row>
    <row r="504" spans="1:65" ht="14.15" customHeight="1">
      <c r="A504" s="436">
        <f t="shared" si="1270"/>
        <v>497</v>
      </c>
      <c r="B504" s="124" t="s">
        <v>314</v>
      </c>
      <c r="C504" s="38">
        <f t="shared" si="1320"/>
        <v>0</v>
      </c>
      <c r="D504" s="43">
        <v>0</v>
      </c>
      <c r="E504" s="43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0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  <c r="AT504" s="43">
        <v>0</v>
      </c>
      <c r="AU504" s="43">
        <v>0</v>
      </c>
      <c r="AV504" s="43">
        <v>0</v>
      </c>
      <c r="AW504" s="43">
        <v>0</v>
      </c>
      <c r="AX504" s="43">
        <v>0</v>
      </c>
      <c r="AY504" s="43">
        <v>0</v>
      </c>
      <c r="AZ504" s="43">
        <v>0</v>
      </c>
      <c r="BA504" s="43">
        <v>0</v>
      </c>
      <c r="BB504" s="43">
        <v>0</v>
      </c>
      <c r="BC504" s="43">
        <v>0</v>
      </c>
      <c r="BD504" s="43">
        <v>0</v>
      </c>
      <c r="BE504" s="43">
        <v>0</v>
      </c>
      <c r="BF504" s="43">
        <v>0</v>
      </c>
      <c r="BG504" s="43">
        <v>0</v>
      </c>
      <c r="BH504" s="43">
        <v>0</v>
      </c>
      <c r="BI504" s="43">
        <v>0</v>
      </c>
      <c r="BJ504" s="43">
        <v>0</v>
      </c>
      <c r="BK504" s="43">
        <v>0</v>
      </c>
      <c r="BL504" s="43">
        <v>0</v>
      </c>
      <c r="BM504" s="43">
        <v>0</v>
      </c>
    </row>
    <row r="505" spans="1:65" ht="14.15" customHeight="1">
      <c r="A505" s="436">
        <f t="shared" si="1270"/>
        <v>498</v>
      </c>
      <c r="B505" s="57" t="s">
        <v>329</v>
      </c>
      <c r="C505" s="38">
        <f t="shared" si="1320"/>
        <v>0</v>
      </c>
      <c r="D505" s="43">
        <v>0</v>
      </c>
      <c r="E505" s="43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43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  <c r="AT505" s="43">
        <v>0</v>
      </c>
      <c r="AU505" s="43">
        <v>0</v>
      </c>
      <c r="AV505" s="43">
        <v>0</v>
      </c>
      <c r="AW505" s="43">
        <v>0</v>
      </c>
      <c r="AX505" s="43">
        <v>0</v>
      </c>
      <c r="AY505" s="43">
        <v>0</v>
      </c>
      <c r="AZ505" s="43">
        <v>0</v>
      </c>
      <c r="BA505" s="43">
        <v>0</v>
      </c>
      <c r="BB505" s="43">
        <v>0</v>
      </c>
      <c r="BC505" s="43">
        <v>0</v>
      </c>
      <c r="BD505" s="43">
        <v>0</v>
      </c>
      <c r="BE505" s="43">
        <v>0</v>
      </c>
      <c r="BF505" s="43">
        <v>0</v>
      </c>
      <c r="BG505" s="43">
        <v>0</v>
      </c>
      <c r="BH505" s="43">
        <v>0</v>
      </c>
      <c r="BI505" s="43">
        <v>0</v>
      </c>
      <c r="BJ505" s="43">
        <v>0</v>
      </c>
      <c r="BK505" s="43">
        <v>0</v>
      </c>
      <c r="BL505" s="43">
        <v>0</v>
      </c>
      <c r="BM505" s="43">
        <v>0</v>
      </c>
    </row>
    <row r="506" spans="1:65" ht="14.15" customHeight="1">
      <c r="A506" s="436">
        <f>+A505+1</f>
        <v>499</v>
      </c>
      <c r="B506" s="13" t="s">
        <v>315</v>
      </c>
      <c r="C506" s="47">
        <f t="shared" ref="C506:H506" si="1343">SUM(C500:C505)</f>
        <v>35575500.584596604</v>
      </c>
      <c r="D506" s="47">
        <f t="shared" si="1343"/>
        <v>-1058679</v>
      </c>
      <c r="E506" s="47">
        <f>SUM(E500:E505)</f>
        <v>-3913344</v>
      </c>
      <c r="F506" s="47">
        <f>SUM(F500:F505)</f>
        <v>3050204</v>
      </c>
      <c r="G506" s="47">
        <f>SUM(G500:G505)</f>
        <v>0</v>
      </c>
      <c r="H506" s="47">
        <f t="shared" si="1343"/>
        <v>-10828359</v>
      </c>
      <c r="I506" s="47">
        <f>SUM(I500:I505)</f>
        <v>-205554</v>
      </c>
      <c r="J506" s="47">
        <f>SUM(J500:J505)</f>
        <v>872824</v>
      </c>
      <c r="K506" s="47">
        <f>SUM(K500:K505)</f>
        <v>-2251314</v>
      </c>
      <c r="L506" s="47">
        <f>SUM(L500:L505)</f>
        <v>-5272569</v>
      </c>
      <c r="M506" s="47">
        <f t="shared" ref="M506:Y506" si="1344">SUM(M500:M505)</f>
        <v>-4587</v>
      </c>
      <c r="N506" s="47">
        <f t="shared" si="1344"/>
        <v>0</v>
      </c>
      <c r="O506" s="47">
        <f t="shared" si="1344"/>
        <v>0</v>
      </c>
      <c r="P506" s="47">
        <f t="shared" si="1344"/>
        <v>248804</v>
      </c>
      <c r="Q506" s="47">
        <f t="shared" si="1344"/>
        <v>1629752</v>
      </c>
      <c r="R506" s="47">
        <f t="shared" si="1344"/>
        <v>-313991</v>
      </c>
      <c r="S506" s="47">
        <f t="shared" si="1344"/>
        <v>1575586</v>
      </c>
      <c r="T506" s="47">
        <f>SUM(T500:T505)</f>
        <v>-55387</v>
      </c>
      <c r="U506" s="47">
        <f t="shared" si="1344"/>
        <v>-69727</v>
      </c>
      <c r="V506" s="47">
        <f t="shared" si="1344"/>
        <v>42386</v>
      </c>
      <c r="W506" s="47">
        <f t="shared" si="1344"/>
        <v>101442</v>
      </c>
      <c r="X506" s="47">
        <f t="shared" si="1344"/>
        <v>170478</v>
      </c>
      <c r="Y506" s="47">
        <f t="shared" si="1344"/>
        <v>-19455</v>
      </c>
      <c r="Z506" s="47">
        <f>SUM(Z500:Z505)</f>
        <v>-3547338</v>
      </c>
      <c r="AA506" s="47">
        <f>SUM(AA500:AA505)</f>
        <v>-110843</v>
      </c>
      <c r="AB506" s="47">
        <f t="shared" ref="AB506:AI506" si="1345">SUM(AB500:AB505)</f>
        <v>0</v>
      </c>
      <c r="AC506" s="47">
        <f t="shared" ref="AC506" si="1346">SUM(AC500:AC505)</f>
        <v>-799602</v>
      </c>
      <c r="AD506" s="47">
        <f t="shared" si="1345"/>
        <v>-318592</v>
      </c>
      <c r="AE506" s="47">
        <f t="shared" si="1345"/>
        <v>2113</v>
      </c>
      <c r="AF506" s="47">
        <f t="shared" si="1345"/>
        <v>-349363</v>
      </c>
      <c r="AG506" s="47">
        <f t="shared" si="1345"/>
        <v>-98962</v>
      </c>
      <c r="AH506" s="47">
        <f t="shared" si="1345"/>
        <v>-63778</v>
      </c>
      <c r="AI506" s="47">
        <f t="shared" si="1345"/>
        <v>7264</v>
      </c>
      <c r="AJ506" s="47">
        <f>SUM(AJ500:AJ505)</f>
        <v>0</v>
      </c>
      <c r="AK506" s="47">
        <f>SUM(AK500:AK505)</f>
        <v>0</v>
      </c>
      <c r="AL506" s="47">
        <f>SUM(AL500:AL505)</f>
        <v>0</v>
      </c>
      <c r="AM506" s="47">
        <f t="shared" ref="AM506:AW506" si="1347">SUM(AM500:AM505)</f>
        <v>-90997</v>
      </c>
      <c r="AN506" s="47">
        <f t="shared" si="1347"/>
        <v>-182802</v>
      </c>
      <c r="AO506" s="47">
        <f t="shared" si="1347"/>
        <v>0</v>
      </c>
      <c r="AP506" s="47">
        <f>SUM(AP500:AP505)</f>
        <v>-1197</v>
      </c>
      <c r="AQ506" s="47">
        <f t="shared" ref="AQ506:AT506" si="1348">SUM(AQ500:AQ505)</f>
        <v>20768</v>
      </c>
      <c r="AR506" s="47">
        <f t="shared" si="1348"/>
        <v>-12613</v>
      </c>
      <c r="AS506" s="47">
        <f t="shared" si="1348"/>
        <v>8912320</v>
      </c>
      <c r="AT506" s="47">
        <f t="shared" si="1348"/>
        <v>232411</v>
      </c>
      <c r="AU506" s="47">
        <f>SUM(AU500:AU505)</f>
        <v>-369186</v>
      </c>
      <c r="AV506" s="47">
        <f t="shared" si="1347"/>
        <v>13800</v>
      </c>
      <c r="AW506" s="47">
        <f t="shared" si="1347"/>
        <v>-1056</v>
      </c>
      <c r="AX506" s="47">
        <f>SUM(AX500:AX505)</f>
        <v>9695895</v>
      </c>
      <c r="AY506" s="47">
        <f>SUM(AY500:AY505)</f>
        <v>0</v>
      </c>
      <c r="AZ506" s="47">
        <f t="shared" ref="AZ506:BA506" si="1349">SUM(AZ500:AZ505)</f>
        <v>3012603.4986345833</v>
      </c>
      <c r="BA506" s="47">
        <f t="shared" si="1349"/>
        <v>1667845.0859620241</v>
      </c>
      <c r="BB506" s="47">
        <f t="shared" ref="BB506:BH506" si="1350">SUM(BB500:BB505)</f>
        <v>-103235</v>
      </c>
      <c r="BC506" s="47">
        <f t="shared" si="1350"/>
        <v>3261175</v>
      </c>
      <c r="BD506" s="47">
        <f t="shared" si="1350"/>
        <v>0</v>
      </c>
      <c r="BE506" s="47">
        <f t="shared" si="1350"/>
        <v>634604</v>
      </c>
      <c r="BF506" s="47">
        <f t="shared" si="1350"/>
        <v>0</v>
      </c>
      <c r="BG506" s="47">
        <f t="shared" si="1350"/>
        <v>0</v>
      </c>
      <c r="BH506" s="47">
        <f t="shared" si="1350"/>
        <v>29666433</v>
      </c>
      <c r="BI506" s="47">
        <f t="shared" ref="BI506" si="1351">SUM(BI500:BI505)</f>
        <v>0</v>
      </c>
      <c r="BJ506" s="47">
        <f t="shared" ref="BJ506:BL506" si="1352">SUM(BJ500:BJ505)</f>
        <v>-762299</v>
      </c>
      <c r="BK506" s="47">
        <f t="shared" si="1352"/>
        <v>1561622</v>
      </c>
      <c r="BL506" s="47">
        <f t="shared" si="1352"/>
        <v>0</v>
      </c>
      <c r="BM506" s="47">
        <f t="shared" ref="BM506" si="1353">SUM(BM500:BM505)</f>
        <v>0</v>
      </c>
    </row>
    <row r="507" spans="1:65" ht="14.15" customHeight="1">
      <c r="B507" s="22"/>
      <c r="C507" s="22"/>
    </row>
    <row r="508" spans="1:65" ht="14.15" customHeight="1">
      <c r="B508" s="15" t="s">
        <v>827</v>
      </c>
      <c r="C508" s="88">
        <f>SUM(D508:BJ508)</f>
        <v>1703082.2179999999</v>
      </c>
      <c r="D508" s="88">
        <v>0</v>
      </c>
      <c r="E508" s="88">
        <v>0</v>
      </c>
      <c r="F508" s="88">
        <v>0</v>
      </c>
      <c r="G508" s="88">
        <v>0</v>
      </c>
      <c r="H508" s="88">
        <v>0</v>
      </c>
      <c r="I508" s="88">
        <v>0</v>
      </c>
      <c r="J508" s="88">
        <v>0</v>
      </c>
      <c r="K508" s="88">
        <v>0</v>
      </c>
      <c r="L508" s="88">
        <v>0</v>
      </c>
      <c r="M508" s="88">
        <v>0</v>
      </c>
      <c r="N508" s="88">
        <v>0</v>
      </c>
      <c r="O508" s="88">
        <v>0</v>
      </c>
      <c r="P508" s="88">
        <v>0</v>
      </c>
      <c r="Q508" s="88">
        <v>0</v>
      </c>
      <c r="R508" s="88">
        <v>0</v>
      </c>
      <c r="S508" s="88">
        <v>0</v>
      </c>
      <c r="T508" s="88">
        <v>0</v>
      </c>
      <c r="U508" s="88">
        <v>0</v>
      </c>
      <c r="V508" s="88">
        <v>0</v>
      </c>
      <c r="W508" s="88">
        <v>0</v>
      </c>
      <c r="X508" s="88">
        <v>-811799.45200000005</v>
      </c>
      <c r="Y508" s="88">
        <v>0</v>
      </c>
      <c r="Z508" s="88">
        <v>0</v>
      </c>
      <c r="AA508" s="88">
        <v>0</v>
      </c>
      <c r="AB508" s="88">
        <v>0</v>
      </c>
      <c r="AC508" s="88">
        <v>0</v>
      </c>
      <c r="AD508" s="88">
        <v>0</v>
      </c>
      <c r="AE508" s="88">
        <v>0</v>
      </c>
      <c r="AF508" s="88">
        <v>2109351</v>
      </c>
      <c r="AG508" s="88">
        <v>471245.67</v>
      </c>
      <c r="AH508" s="88">
        <v>0</v>
      </c>
      <c r="AI508" s="88">
        <v>0</v>
      </c>
      <c r="AJ508" s="88">
        <v>0</v>
      </c>
      <c r="AK508" s="88">
        <v>0</v>
      </c>
      <c r="AL508" s="88">
        <v>0</v>
      </c>
      <c r="AM508" s="88">
        <v>0</v>
      </c>
      <c r="AN508" s="88">
        <v>0</v>
      </c>
      <c r="AO508" s="88">
        <v>0</v>
      </c>
      <c r="AP508" s="88">
        <v>0</v>
      </c>
      <c r="AQ508" s="88">
        <v>0</v>
      </c>
      <c r="AR508" s="88">
        <v>0</v>
      </c>
      <c r="AS508" s="88">
        <v>0</v>
      </c>
      <c r="AT508" s="88">
        <v>0</v>
      </c>
      <c r="AU508" s="88">
        <v>0</v>
      </c>
      <c r="AV508" s="88">
        <v>-65715</v>
      </c>
      <c r="AW508" s="88">
        <v>0</v>
      </c>
      <c r="AX508" s="88">
        <v>0</v>
      </c>
      <c r="AY508" s="88">
        <v>0</v>
      </c>
      <c r="AZ508" s="88">
        <v>0</v>
      </c>
      <c r="BA508" s="88">
        <v>0</v>
      </c>
      <c r="BB508" s="88">
        <v>0</v>
      </c>
      <c r="BC508" s="88">
        <v>0</v>
      </c>
      <c r="BD508" s="88">
        <v>0</v>
      </c>
      <c r="BE508" s="88">
        <v>0</v>
      </c>
      <c r="BF508" s="88">
        <v>0</v>
      </c>
      <c r="BG508" s="88">
        <v>0</v>
      </c>
      <c r="BH508" s="88">
        <v>0</v>
      </c>
      <c r="BI508" s="88">
        <v>0</v>
      </c>
      <c r="BJ508" s="88">
        <v>0</v>
      </c>
      <c r="BK508" s="88">
        <v>0</v>
      </c>
      <c r="BL508" s="88">
        <v>0</v>
      </c>
      <c r="BM508" s="88">
        <v>0</v>
      </c>
    </row>
    <row r="509" spans="1:65" ht="14.15" customHeight="1">
      <c r="B509" s="15" t="s">
        <v>828</v>
      </c>
      <c r="C509" s="187"/>
      <c r="D509" s="90">
        <v>1</v>
      </c>
      <c r="E509" s="90">
        <v>1</v>
      </c>
      <c r="F509" s="90">
        <v>1</v>
      </c>
      <c r="G509" s="90">
        <v>1</v>
      </c>
      <c r="H509" s="90">
        <v>1</v>
      </c>
      <c r="I509" s="90">
        <v>1</v>
      </c>
      <c r="J509" s="90">
        <v>1</v>
      </c>
      <c r="K509" s="90">
        <v>1</v>
      </c>
      <c r="L509" s="90">
        <v>1</v>
      </c>
      <c r="M509" s="90">
        <v>1</v>
      </c>
      <c r="N509" s="90">
        <v>1</v>
      </c>
      <c r="O509" s="90">
        <v>1</v>
      </c>
      <c r="P509" s="90">
        <v>1</v>
      </c>
      <c r="Q509" s="90">
        <v>1</v>
      </c>
      <c r="R509" s="90">
        <v>1</v>
      </c>
      <c r="S509" s="90">
        <v>1</v>
      </c>
      <c r="T509" s="90">
        <v>1</v>
      </c>
      <c r="U509" s="90">
        <v>1</v>
      </c>
      <c r="V509" s="90">
        <v>1</v>
      </c>
      <c r="W509" s="90">
        <v>1</v>
      </c>
      <c r="X509" s="90">
        <v>1</v>
      </c>
      <c r="Y509" s="90">
        <v>1</v>
      </c>
      <c r="Z509" s="90">
        <v>1</v>
      </c>
      <c r="AA509" s="90">
        <v>1</v>
      </c>
      <c r="AB509" s="90">
        <v>1</v>
      </c>
      <c r="AC509" s="90">
        <v>1</v>
      </c>
      <c r="AD509" s="90">
        <v>1</v>
      </c>
      <c r="AE509" s="90">
        <v>1</v>
      </c>
      <c r="AF509" s="90">
        <v>0.78869377358249049</v>
      </c>
      <c r="AG509" s="90">
        <v>1</v>
      </c>
      <c r="AH509" s="90">
        <v>1</v>
      </c>
      <c r="AI509" s="90">
        <v>1</v>
      </c>
      <c r="AJ509" s="90">
        <v>1</v>
      </c>
      <c r="AK509" s="90">
        <v>1</v>
      </c>
      <c r="AL509" s="90">
        <v>1</v>
      </c>
      <c r="AM509" s="90">
        <v>1</v>
      </c>
      <c r="AN509" s="90">
        <v>1</v>
      </c>
      <c r="AO509" s="90">
        <v>1</v>
      </c>
      <c r="AP509" s="90">
        <v>1</v>
      </c>
      <c r="AQ509" s="90">
        <v>1</v>
      </c>
      <c r="AR509" s="90">
        <v>1</v>
      </c>
      <c r="AS509" s="90">
        <v>1</v>
      </c>
      <c r="AT509" s="90">
        <v>1</v>
      </c>
      <c r="AU509" s="90">
        <v>1</v>
      </c>
      <c r="AV509" s="90">
        <v>1</v>
      </c>
      <c r="AW509" s="90">
        <v>1</v>
      </c>
      <c r="AX509" s="90">
        <v>1</v>
      </c>
      <c r="AY509" s="90">
        <v>1</v>
      </c>
      <c r="AZ509" s="90">
        <v>1</v>
      </c>
      <c r="BA509" s="90">
        <v>1</v>
      </c>
      <c r="BB509" s="90">
        <v>1</v>
      </c>
      <c r="BC509" s="90">
        <v>1</v>
      </c>
      <c r="BD509" s="90">
        <v>1</v>
      </c>
      <c r="BE509" s="90">
        <v>1</v>
      </c>
      <c r="BF509" s="90">
        <v>1</v>
      </c>
      <c r="BG509" s="90">
        <v>1</v>
      </c>
      <c r="BH509" s="90">
        <v>1</v>
      </c>
      <c r="BI509" s="90">
        <v>1</v>
      </c>
      <c r="BJ509" s="90">
        <v>1</v>
      </c>
      <c r="BK509" s="90">
        <v>1</v>
      </c>
      <c r="BL509" s="90">
        <v>1</v>
      </c>
      <c r="BM509" s="90">
        <v>1</v>
      </c>
    </row>
    <row r="510" spans="1:65" ht="14.15" customHeight="1">
      <c r="B510" s="194" t="s">
        <v>386</v>
      </c>
      <c r="C510" s="305">
        <f>'2 P2'!G53</f>
        <v>5.0065000000000005E-2</v>
      </c>
    </row>
    <row r="511" spans="1:65" ht="14.15" customHeight="1">
      <c r="B511" s="194" t="s">
        <v>387</v>
      </c>
      <c r="C511" s="359">
        <v>0.21</v>
      </c>
    </row>
    <row r="512" spans="1:65" ht="14.15" customHeight="1">
      <c r="B512" s="194" t="s">
        <v>993</v>
      </c>
      <c r="C512" s="203"/>
      <c r="D512" s="107">
        <f>D506/(D30+D27)</f>
        <v>0.24955136671389702</v>
      </c>
      <c r="E512" s="107">
        <f t="shared" ref="E512:BK512" si="1354">E506/(E30+E27)</f>
        <v>0.2495513667459596</v>
      </c>
      <c r="F512" s="107">
        <f t="shared" si="1354"/>
        <v>0.24955136937268618</v>
      </c>
      <c r="G512" s="107" t="e">
        <f t="shared" si="1354"/>
        <v>#DIV/0!</v>
      </c>
      <c r="H512" s="107">
        <f t="shared" si="1354"/>
        <v>0.24955136588945889</v>
      </c>
      <c r="I512" s="107">
        <f t="shared" si="1354"/>
        <v>0.24955141108227083</v>
      </c>
      <c r="J512" s="107">
        <f t="shared" si="1354"/>
        <v>0.24955148870753383</v>
      </c>
      <c r="K512" s="107">
        <f t="shared" ref="K512" si="1355">K506/(K30+K27)</f>
        <v>0.24955140219237629</v>
      </c>
      <c r="L512" s="107">
        <f t="shared" si="1354"/>
        <v>0.24955134591964395</v>
      </c>
      <c r="M512" s="107">
        <f t="shared" si="1354"/>
        <v>0.24952401675461025</v>
      </c>
      <c r="N512" s="107" t="e">
        <f t="shared" si="1354"/>
        <v>#DIV/0!</v>
      </c>
      <c r="O512" s="107" t="e">
        <f t="shared" si="1354"/>
        <v>#DIV/0!</v>
      </c>
      <c r="P512" s="107">
        <f t="shared" si="1354"/>
        <v>0.24955165676366395</v>
      </c>
      <c r="Q512" s="107">
        <f t="shared" si="1354"/>
        <v>0.24955127527856763</v>
      </c>
      <c r="R512" s="107">
        <f t="shared" si="1354"/>
        <v>0.24955174770707825</v>
      </c>
      <c r="S512" s="107">
        <f t="shared" si="1354"/>
        <v>0.24955133084174325</v>
      </c>
      <c r="T512" s="107">
        <f t="shared" si="1354"/>
        <v>0.24955056837893733</v>
      </c>
      <c r="U512" s="107">
        <f t="shared" si="1354"/>
        <v>0.24955083926845853</v>
      </c>
      <c r="V512" s="107">
        <f t="shared" si="1354"/>
        <v>0.24955074859925763</v>
      </c>
      <c r="W512" s="107">
        <f t="shared" si="1354"/>
        <v>0.24955155898260148</v>
      </c>
      <c r="X512" s="107">
        <f t="shared" si="1354"/>
        <v>0.21000025868472369</v>
      </c>
      <c r="Y512" s="107">
        <f t="shared" si="1354"/>
        <v>0.2495446499576717</v>
      </c>
      <c r="Z512" s="107">
        <f t="shared" si="1354"/>
        <v>0.24955136740345193</v>
      </c>
      <c r="AA512" s="107">
        <f t="shared" si="1354"/>
        <v>0.24955197132616488</v>
      </c>
      <c r="AB512" s="107" t="e">
        <f t="shared" si="1354"/>
        <v>#DIV/0!</v>
      </c>
      <c r="AC512" s="107">
        <f t="shared" ref="AC512" si="1356">AC506/(AC30+AC27)</f>
        <v>0.24955128241839308</v>
      </c>
      <c r="AD512" s="107">
        <f t="shared" si="1354"/>
        <v>0.24955170972058754</v>
      </c>
      <c r="AE512" s="107">
        <f t="shared" si="1354"/>
        <v>0.24955710405102161</v>
      </c>
      <c r="AF512" s="107">
        <f t="shared" si="1354"/>
        <v>0.1656257466748082</v>
      </c>
      <c r="AG512" s="107">
        <f t="shared" si="1354"/>
        <v>0.21000066224522218</v>
      </c>
      <c r="AH512" s="107">
        <f t="shared" si="1354"/>
        <v>0.2495525867583343</v>
      </c>
      <c r="AI512" s="107">
        <f t="shared" si="1354"/>
        <v>0.24954267114405015</v>
      </c>
      <c r="AJ512" s="107" t="e">
        <f>AJ506/(AJ30+AJ27)</f>
        <v>#DIV/0!</v>
      </c>
      <c r="AK512" s="107" t="e">
        <f>AK506/(AK30+AK27)</f>
        <v>#DIV/0!</v>
      </c>
      <c r="AL512" s="107" t="e">
        <f>AL506/(AL30+AL27)</f>
        <v>#DIV/0!</v>
      </c>
      <c r="AM512" s="107">
        <f t="shared" si="1354"/>
        <v>0.24955229938487444</v>
      </c>
      <c r="AN512" s="107">
        <f t="shared" si="1354"/>
        <v>0.24955120863099178</v>
      </c>
      <c r="AO512" s="107" t="e">
        <f t="shared" si="1354"/>
        <v>#DIV/0!</v>
      </c>
      <c r="AP512" s="107">
        <f>AP506/(AP30+AP27)</f>
        <v>0.24942696395082309</v>
      </c>
      <c r="AQ512" s="107">
        <f t="shared" si="1354"/>
        <v>0.24955086731783646</v>
      </c>
      <c r="AR512" s="107">
        <f t="shared" si="1354"/>
        <v>0.24954495093383983</v>
      </c>
      <c r="AS512" s="107">
        <f t="shared" si="1354"/>
        <v>0.24955135849683185</v>
      </c>
      <c r="AT512" s="107">
        <f t="shared" si="1354"/>
        <v>0.24955063683940396</v>
      </c>
      <c r="AU512" s="107">
        <f t="shared" si="1354"/>
        <v>0.24955167544614462</v>
      </c>
      <c r="AV512" s="107">
        <f t="shared" si="1354"/>
        <v>0.20999771741611503</v>
      </c>
      <c r="AW512" s="107">
        <f t="shared" si="1354"/>
        <v>0.24958638619711651</v>
      </c>
      <c r="AX512" s="107">
        <f>AX506/(AX30+AX27)</f>
        <v>0.24955136260949018</v>
      </c>
      <c r="AY512" s="107" t="e">
        <f>AY506/(AY30+AY27)</f>
        <v>#DIV/0!</v>
      </c>
      <c r="AZ512" s="107" t="e">
        <f t="shared" ref="AZ512:BB512" si="1357">AZ506/(AZ30+AZ27)</f>
        <v>#DIV/0!</v>
      </c>
      <c r="BA512" s="107" t="e">
        <f t="shared" si="1357"/>
        <v>#DIV/0!</v>
      </c>
      <c r="BB512" s="107">
        <f t="shared" si="1357"/>
        <v>0.24955216661687568</v>
      </c>
      <c r="BC512" s="107">
        <f>BC506/(BC30+BC27)</f>
        <v>0.2495513902120805</v>
      </c>
      <c r="BD512" s="107" t="e">
        <f t="shared" ref="BD512:BE512" si="1358">BD506/(BD30+BD27)</f>
        <v>#DIV/0!</v>
      </c>
      <c r="BE512" s="107">
        <f t="shared" si="1358"/>
        <v>0.24955134129028764</v>
      </c>
      <c r="BF512" s="107" t="e">
        <f>BF506/(BF30+BF27)</f>
        <v>#DIV/0!</v>
      </c>
      <c r="BG512" s="107" t="e">
        <f>BG506/(BG30+BG27)</f>
        <v>#DIV/0!</v>
      </c>
      <c r="BH512" s="107" t="e">
        <f t="shared" si="1354"/>
        <v>#DIV/0!</v>
      </c>
      <c r="BI512" s="107" t="e">
        <f t="shared" si="1354"/>
        <v>#DIV/0!</v>
      </c>
      <c r="BJ512" s="107">
        <f t="shared" si="1354"/>
        <v>0.24955134387323313</v>
      </c>
      <c r="BK512" s="107">
        <f t="shared" si="1354"/>
        <v>0.2495513795567757</v>
      </c>
      <c r="BL512" s="107" t="e">
        <f t="shared" ref="BL512" si="1359">BL506/(BL30+BL27)</f>
        <v>#DIV/0!</v>
      </c>
      <c r="BM512" s="107" t="e">
        <f t="shared" ref="BM512" si="1360">BM506/(BM30+BM27)</f>
        <v>#DIV/0!</v>
      </c>
    </row>
    <row r="513" spans="2:60" ht="14.15" customHeight="1">
      <c r="B513" s="194"/>
      <c r="C513" s="244"/>
      <c r="E513" s="95" t="s">
        <v>977</v>
      </c>
      <c r="H513" s="95" t="s">
        <v>978</v>
      </c>
      <c r="I513" s="450" t="s">
        <v>979</v>
      </c>
      <c r="J513" s="450"/>
      <c r="K513" s="436"/>
      <c r="L513" s="95" t="s">
        <v>980</v>
      </c>
      <c r="M513" s="95" t="s">
        <v>981</v>
      </c>
      <c r="X513" s="95" t="s">
        <v>982</v>
      </c>
      <c r="AA513" s="95" t="s">
        <v>983</v>
      </c>
      <c r="AD513" s="95" t="s">
        <v>984</v>
      </c>
      <c r="AF513" s="95" t="s">
        <v>985</v>
      </c>
      <c r="AG513" s="95" t="s">
        <v>986</v>
      </c>
      <c r="AH513" s="95" t="s">
        <v>987</v>
      </c>
      <c r="AV513" s="95" t="s">
        <v>989</v>
      </c>
      <c r="BA513" s="83" t="s">
        <v>1170</v>
      </c>
      <c r="BH513" s="95" t="s">
        <v>988</v>
      </c>
    </row>
    <row r="514" spans="2:60" ht="14.15" customHeight="1">
      <c r="B514" s="22"/>
      <c r="C514" s="22"/>
      <c r="I514" s="95" t="s">
        <v>990</v>
      </c>
      <c r="J514" s="95" t="s">
        <v>990</v>
      </c>
      <c r="K514" s="95" t="s">
        <v>990</v>
      </c>
      <c r="L514" s="95" t="s">
        <v>992</v>
      </c>
      <c r="M514" s="95" t="s">
        <v>991</v>
      </c>
      <c r="BH514" s="83" t="s">
        <v>1171</v>
      </c>
    </row>
    <row r="515" spans="2:60" ht="14.15" customHeight="1">
      <c r="B515" s="22"/>
      <c r="C515" s="65"/>
    </row>
    <row r="516" spans="2:60" ht="14.15" customHeight="1">
      <c r="B516" s="22"/>
      <c r="C516" s="65"/>
    </row>
    <row r="517" spans="2:60" ht="14.15" customHeight="1">
      <c r="B517" s="22"/>
      <c r="C517" s="183"/>
    </row>
    <row r="518" spans="2:60" ht="14.15" customHeight="1">
      <c r="B518" s="22"/>
      <c r="C518" s="22"/>
      <c r="E518" s="83" t="s">
        <v>48</v>
      </c>
    </row>
    <row r="519" spans="2:60" ht="14.15" customHeight="1">
      <c r="B519" s="22"/>
      <c r="C519" s="22"/>
    </row>
    <row r="520" spans="2:60" ht="14.15" customHeight="1">
      <c r="B520" s="22"/>
      <c r="C520" s="22"/>
    </row>
    <row r="521" spans="2:60" ht="14.15" customHeight="1">
      <c r="B521" s="22"/>
      <c r="C521" s="22"/>
    </row>
    <row r="522" spans="2:60" ht="14.15" customHeight="1">
      <c r="B522" s="22"/>
      <c r="C522" s="22"/>
    </row>
    <row r="523" spans="2:60" ht="14.15" customHeight="1">
      <c r="B523" s="22"/>
      <c r="C523" s="22"/>
    </row>
    <row r="524" spans="2:60" ht="14.15" customHeight="1">
      <c r="B524" s="22"/>
      <c r="C524" s="22"/>
    </row>
    <row r="525" spans="2:60" ht="14.15" customHeight="1">
      <c r="B525" s="22"/>
      <c r="C525" s="22"/>
    </row>
    <row r="526" spans="2:60" ht="14.15" customHeight="1">
      <c r="B526" s="22"/>
      <c r="C526" s="22"/>
    </row>
    <row r="527" spans="2:60" ht="14.15" customHeight="1">
      <c r="B527" s="22"/>
      <c r="C527" s="22"/>
    </row>
    <row r="528" spans="2:60" ht="14.15" customHeight="1">
      <c r="B528" s="22"/>
      <c r="C528" s="22"/>
    </row>
    <row r="529" spans="2:3" ht="14.15" customHeight="1">
      <c r="B529" s="22"/>
      <c r="C529" s="22"/>
    </row>
    <row r="530" spans="2:3" ht="14.15" customHeight="1">
      <c r="B530" s="22"/>
      <c r="C530" s="22"/>
    </row>
    <row r="531" spans="2:3" ht="14.15" customHeight="1">
      <c r="B531" s="22"/>
      <c r="C531" s="22"/>
    </row>
    <row r="532" spans="2:3" ht="14.15" customHeight="1">
      <c r="B532" s="22"/>
      <c r="C532" s="22"/>
    </row>
    <row r="533" spans="2:3" ht="14.15" customHeight="1">
      <c r="B533" s="22"/>
      <c r="C533" s="22"/>
    </row>
    <row r="534" spans="2:3" ht="14.15" customHeight="1">
      <c r="B534" s="22"/>
      <c r="C534" s="22"/>
    </row>
    <row r="535" spans="2:3" ht="14.15" customHeight="1">
      <c r="B535" s="22"/>
      <c r="C535" s="22"/>
    </row>
    <row r="536" spans="2:3" ht="14.15" customHeight="1">
      <c r="B536" s="22"/>
      <c r="C536" s="22"/>
    </row>
    <row r="537" spans="2:3" ht="14.15" customHeight="1">
      <c r="B537" s="22"/>
      <c r="C537" s="22"/>
    </row>
    <row r="538" spans="2:3" ht="14.15" customHeight="1">
      <c r="B538" s="22"/>
      <c r="C538" s="22"/>
    </row>
    <row r="539" spans="2:3" ht="14.15" customHeight="1">
      <c r="B539" s="22"/>
      <c r="C539" s="22"/>
    </row>
    <row r="540" spans="2:3" ht="14.15" customHeight="1">
      <c r="B540" s="22"/>
      <c r="C540" s="22"/>
    </row>
    <row r="541" spans="2:3" ht="14.15" customHeight="1">
      <c r="B541" s="22"/>
      <c r="C541" s="22"/>
    </row>
    <row r="542" spans="2:3" ht="14.15" customHeight="1">
      <c r="B542" s="22"/>
      <c r="C542" s="22"/>
    </row>
    <row r="543" spans="2:3" ht="14.15" customHeight="1">
      <c r="B543" s="22"/>
      <c r="C543" s="22"/>
    </row>
    <row r="544" spans="2:3" ht="14.15" customHeight="1">
      <c r="B544" s="22"/>
      <c r="C544" s="22"/>
    </row>
    <row r="545" spans="2:3" ht="14.15" customHeight="1">
      <c r="B545" s="22"/>
      <c r="C545" s="22"/>
    </row>
    <row r="546" spans="2:3" ht="14.15" customHeight="1">
      <c r="B546" s="22"/>
      <c r="C546" s="22"/>
    </row>
    <row r="547" spans="2:3" ht="14.15" customHeight="1">
      <c r="B547" s="22"/>
      <c r="C547" s="22"/>
    </row>
    <row r="548" spans="2:3" ht="14.15" customHeight="1">
      <c r="B548" s="22"/>
      <c r="C548" s="22"/>
    </row>
    <row r="549" spans="2:3" ht="14.15" customHeight="1">
      <c r="B549" s="22"/>
      <c r="C549" s="22"/>
    </row>
    <row r="550" spans="2:3" ht="14.15" customHeight="1">
      <c r="B550" s="22"/>
      <c r="C550" s="22"/>
    </row>
    <row r="551" spans="2:3" ht="14.15" customHeight="1">
      <c r="B551" s="22"/>
      <c r="C551" s="22"/>
    </row>
    <row r="552" spans="2:3" ht="14.15" customHeight="1">
      <c r="B552" s="22"/>
      <c r="C552" s="22"/>
    </row>
    <row r="553" spans="2:3" ht="14.15" customHeight="1">
      <c r="B553" s="22"/>
      <c r="C553" s="22"/>
    </row>
    <row r="554" spans="2:3" ht="14.15" customHeight="1">
      <c r="B554" s="22"/>
      <c r="C554" s="22"/>
    </row>
    <row r="555" spans="2:3" ht="14.15" customHeight="1">
      <c r="B555" s="22"/>
      <c r="C555" s="22"/>
    </row>
    <row r="556" spans="2:3" ht="14.15" customHeight="1">
      <c r="B556" s="22"/>
      <c r="C556" s="22"/>
    </row>
    <row r="557" spans="2:3" ht="14.15" customHeight="1">
      <c r="B557" s="22"/>
      <c r="C557" s="22"/>
    </row>
    <row r="558" spans="2:3" ht="14.15" customHeight="1">
      <c r="B558" s="22"/>
      <c r="C558" s="22"/>
    </row>
    <row r="559" spans="2:3" ht="14.15" customHeight="1">
      <c r="B559" s="22"/>
      <c r="C559" s="22"/>
    </row>
    <row r="560" spans="2:3" ht="14.15" customHeight="1">
      <c r="B560" s="22"/>
      <c r="C560" s="22"/>
    </row>
    <row r="561" spans="2:3" ht="14.15" customHeight="1">
      <c r="B561" s="22"/>
      <c r="C561" s="22"/>
    </row>
    <row r="562" spans="2:3" ht="14.15" customHeight="1">
      <c r="B562" s="22"/>
      <c r="C562" s="22"/>
    </row>
    <row r="563" spans="2:3" ht="14.15" customHeight="1">
      <c r="B563" s="22"/>
      <c r="C563" s="22"/>
    </row>
    <row r="564" spans="2:3" ht="14.15" customHeight="1">
      <c r="B564" s="22"/>
      <c r="C564" s="22"/>
    </row>
    <row r="565" spans="2:3" ht="14.15" customHeight="1">
      <c r="B565" s="22"/>
      <c r="C565" s="22"/>
    </row>
    <row r="566" spans="2:3" ht="14.15" customHeight="1">
      <c r="B566" s="22"/>
      <c r="C566" s="22"/>
    </row>
    <row r="567" spans="2:3" ht="14.15" customHeight="1">
      <c r="B567" s="22"/>
      <c r="C567" s="22"/>
    </row>
    <row r="568" spans="2:3" ht="14.15" customHeight="1">
      <c r="B568" s="22"/>
      <c r="C568" s="22"/>
    </row>
    <row r="569" spans="2:3" ht="14.15" customHeight="1">
      <c r="B569" s="22"/>
      <c r="C569" s="22"/>
    </row>
    <row r="570" spans="2:3" ht="14.15" customHeight="1">
      <c r="B570" s="22"/>
      <c r="C570" s="22"/>
    </row>
    <row r="571" spans="2:3" ht="14.15" customHeight="1">
      <c r="B571" s="22"/>
      <c r="C571" s="22"/>
    </row>
    <row r="572" spans="2:3" ht="14.15" customHeight="1">
      <c r="B572" s="22"/>
      <c r="C572" s="22"/>
    </row>
    <row r="573" spans="2:3" ht="14.15" customHeight="1">
      <c r="B573" s="22"/>
      <c r="C573" s="22"/>
    </row>
    <row r="574" spans="2:3" ht="14.15" customHeight="1">
      <c r="B574" s="22"/>
      <c r="C574" s="22"/>
    </row>
    <row r="575" spans="2:3" ht="14.15" customHeight="1">
      <c r="B575" s="22"/>
      <c r="C575" s="22"/>
    </row>
    <row r="576" spans="2:3" ht="14.15" customHeight="1">
      <c r="B576" s="22"/>
      <c r="C576" s="22"/>
    </row>
    <row r="577" spans="2:3" ht="14.15" customHeight="1">
      <c r="B577" s="22"/>
      <c r="C577" s="22"/>
    </row>
    <row r="578" spans="2:3" ht="14.15" customHeight="1">
      <c r="B578" s="22"/>
      <c r="C578" s="22"/>
    </row>
    <row r="579" spans="2:3" ht="14.15" customHeight="1">
      <c r="B579" s="22"/>
      <c r="C579" s="22"/>
    </row>
    <row r="580" spans="2:3" ht="14.15" customHeight="1">
      <c r="B580" s="22"/>
      <c r="C580" s="22"/>
    </row>
    <row r="581" spans="2:3" ht="14.15" customHeight="1">
      <c r="B581" s="22"/>
      <c r="C581" s="22"/>
    </row>
    <row r="582" spans="2:3" ht="14.15" customHeight="1">
      <c r="B582" s="22"/>
      <c r="C582" s="22"/>
    </row>
    <row r="583" spans="2:3" ht="14.15" customHeight="1">
      <c r="B583" s="22"/>
      <c r="C583" s="22"/>
    </row>
    <row r="584" spans="2:3" ht="14.15" customHeight="1">
      <c r="B584" s="22"/>
      <c r="C584" s="22"/>
    </row>
    <row r="585" spans="2:3" ht="14.15" customHeight="1">
      <c r="B585" s="22"/>
      <c r="C585" s="22"/>
    </row>
    <row r="586" spans="2:3" ht="14.15" customHeight="1">
      <c r="B586" s="22"/>
      <c r="C586" s="22"/>
    </row>
    <row r="587" spans="2:3" ht="14.15" customHeight="1">
      <c r="B587" s="22"/>
      <c r="C587" s="22"/>
    </row>
    <row r="588" spans="2:3" ht="14.15" customHeight="1">
      <c r="B588" s="22"/>
      <c r="C588" s="22"/>
    </row>
    <row r="589" spans="2:3" ht="14.15" customHeight="1">
      <c r="B589" s="22"/>
      <c r="C589" s="22"/>
    </row>
    <row r="590" spans="2:3" ht="14.15" customHeight="1">
      <c r="B590" s="22"/>
      <c r="C590" s="22"/>
    </row>
    <row r="591" spans="2:3" ht="14.15" customHeight="1">
      <c r="B591" s="22"/>
      <c r="C591" s="22"/>
    </row>
    <row r="592" spans="2:3" ht="14.15" customHeight="1">
      <c r="B592" s="22"/>
      <c r="C592" s="22"/>
    </row>
    <row r="593" spans="2:3" ht="14.15" customHeight="1">
      <c r="B593" s="22"/>
      <c r="C593" s="22"/>
    </row>
    <row r="594" spans="2:3" ht="14.15" customHeight="1">
      <c r="B594" s="22"/>
      <c r="C594" s="22"/>
    </row>
    <row r="595" spans="2:3" ht="14.15" customHeight="1">
      <c r="B595" s="22"/>
      <c r="C595" s="22"/>
    </row>
    <row r="596" spans="2:3" ht="14.15" customHeight="1">
      <c r="B596" s="22"/>
      <c r="C596" s="22"/>
    </row>
    <row r="597" spans="2:3" ht="14.15" customHeight="1">
      <c r="B597" s="22"/>
      <c r="C597" s="22"/>
    </row>
    <row r="598" spans="2:3" ht="14.15" customHeight="1">
      <c r="B598" s="22"/>
      <c r="C598" s="22"/>
    </row>
    <row r="599" spans="2:3" ht="14.15" customHeight="1">
      <c r="B599" s="22"/>
      <c r="C599" s="22"/>
    </row>
    <row r="600" spans="2:3" ht="14.15" customHeight="1">
      <c r="B600" s="22"/>
      <c r="C600" s="22"/>
    </row>
    <row r="601" spans="2:3" ht="14.15" customHeight="1">
      <c r="B601" s="22"/>
      <c r="C601" s="22"/>
    </row>
    <row r="602" spans="2:3" ht="14.15" customHeight="1">
      <c r="B602" s="22"/>
      <c r="C602" s="22"/>
    </row>
    <row r="603" spans="2:3" ht="14.15" customHeight="1">
      <c r="B603" s="22"/>
      <c r="C603" s="22"/>
    </row>
    <row r="604" spans="2:3" ht="14.15" customHeight="1">
      <c r="B604" s="22"/>
      <c r="C604" s="22"/>
    </row>
    <row r="605" spans="2:3" ht="14.15" customHeight="1">
      <c r="B605" s="22"/>
      <c r="C605" s="22"/>
    </row>
    <row r="606" spans="2:3" ht="14.15" customHeight="1">
      <c r="B606" s="22"/>
      <c r="C606" s="22"/>
    </row>
    <row r="607" spans="2:3" ht="14.15" customHeight="1">
      <c r="B607" s="22"/>
      <c r="C607" s="22"/>
    </row>
    <row r="608" spans="2:3" ht="14.15" customHeight="1">
      <c r="B608" s="22"/>
      <c r="C608" s="22"/>
    </row>
    <row r="609" spans="2:3" ht="14.15" customHeight="1">
      <c r="B609" s="22"/>
      <c r="C609" s="22"/>
    </row>
    <row r="610" spans="2:3" ht="14.15" customHeight="1">
      <c r="B610" s="22"/>
      <c r="C610" s="22"/>
    </row>
    <row r="611" spans="2:3" ht="14.15" customHeight="1">
      <c r="B611" s="22"/>
      <c r="C611" s="22"/>
    </row>
    <row r="612" spans="2:3" ht="14.15" customHeight="1">
      <c r="B612" s="22"/>
      <c r="C612" s="22"/>
    </row>
    <row r="613" spans="2:3" ht="14.15" customHeight="1">
      <c r="B613" s="22"/>
      <c r="C613" s="22"/>
    </row>
    <row r="614" spans="2:3" ht="14.15" customHeight="1">
      <c r="B614" s="22"/>
      <c r="C614" s="22"/>
    </row>
    <row r="615" spans="2:3" ht="14.15" customHeight="1">
      <c r="B615" s="22"/>
      <c r="C615" s="22"/>
    </row>
    <row r="652" spans="1:63" s="14" customFormat="1" ht="14.15" customHeight="1">
      <c r="A652" s="436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</row>
    <row r="653" spans="1:63" s="14" customFormat="1" ht="14.15" customHeight="1">
      <c r="A653" s="436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</row>
    <row r="654" spans="1:63" s="14" customFormat="1" ht="14.15" customHeight="1">
      <c r="A654" s="436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</row>
    <row r="655" spans="1:63" s="14" customFormat="1" ht="14.15" customHeight="1">
      <c r="A655" s="436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</row>
    <row r="656" spans="1:63" s="14" customFormat="1" ht="14.15" customHeight="1">
      <c r="A656" s="436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</row>
    <row r="657" spans="1:63" s="14" customFormat="1" ht="14.15" customHeight="1">
      <c r="A657" s="436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</row>
    <row r="658" spans="1:63" s="14" customFormat="1" ht="14.15" customHeight="1">
      <c r="A658" s="436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</row>
    <row r="659" spans="1:63" s="14" customFormat="1" ht="14.15" customHeight="1">
      <c r="A659" s="436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</row>
    <row r="660" spans="1:63" s="14" customFormat="1" ht="14.15" customHeight="1">
      <c r="A660" s="436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</row>
    <row r="661" spans="1:63" s="14" customFormat="1" ht="14.15" customHeight="1">
      <c r="A661" s="436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</row>
    <row r="662" spans="1:63" s="14" customFormat="1" ht="14.15" customHeight="1">
      <c r="A662" s="436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</row>
    <row r="663" spans="1:63" s="14" customFormat="1" ht="14.15" customHeight="1">
      <c r="A663" s="436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</row>
    <row r="664" spans="1:63" s="14" customFormat="1" ht="14.15" customHeight="1">
      <c r="A664" s="436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</row>
    <row r="665" spans="1:63" s="14" customFormat="1" ht="14.15" customHeight="1">
      <c r="A665" s="436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</row>
    <row r="666" spans="1:63" s="14" customFormat="1" ht="14.15" customHeight="1">
      <c r="A666" s="436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</row>
    <row r="667" spans="1:63" s="14" customFormat="1" ht="14.15" customHeight="1">
      <c r="A667" s="436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</row>
    <row r="668" spans="1:63" s="14" customFormat="1" ht="14.15" customHeight="1">
      <c r="A668" s="436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</row>
    <row r="669" spans="1:63" s="14" customFormat="1" ht="14.15" customHeight="1">
      <c r="A669" s="436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</row>
    <row r="670" spans="1:63" s="14" customFormat="1" ht="14.15" customHeight="1">
      <c r="A670" s="436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</row>
    <row r="671" spans="1:63" s="14" customFormat="1" ht="14.15" customHeight="1">
      <c r="A671" s="436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</row>
    <row r="672" spans="1:63" s="14" customFormat="1" ht="14.15" customHeight="1">
      <c r="A672" s="436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</row>
    <row r="673" spans="1:63" s="14" customFormat="1" ht="14.15" customHeight="1">
      <c r="A673" s="436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</row>
    <row r="674" spans="1:63" s="14" customFormat="1" ht="14.15" customHeight="1">
      <c r="A674" s="436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</row>
    <row r="675" spans="1:63" s="14" customFormat="1" ht="14.15" customHeight="1">
      <c r="A675" s="436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</row>
    <row r="676" spans="1:63" s="14" customFormat="1" ht="14.15" customHeight="1">
      <c r="A676" s="436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</row>
    <row r="677" spans="1:63" s="14" customFormat="1" ht="14.15" customHeight="1">
      <c r="A677" s="436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</row>
    <row r="678" spans="1:63" s="14" customFormat="1" ht="14.15" customHeight="1">
      <c r="A678" s="436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</row>
    <row r="679" spans="1:63" s="14" customFormat="1" ht="14.15" customHeight="1">
      <c r="A679" s="436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</row>
    <row r="680" spans="1:63" s="14" customFormat="1" ht="14.15" customHeight="1">
      <c r="A680" s="436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</row>
    <row r="681" spans="1:63" s="14" customFormat="1" ht="14.15" customHeight="1">
      <c r="A681" s="436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</row>
    <row r="682" spans="1:63" s="14" customFormat="1" ht="14.15" customHeight="1">
      <c r="A682" s="436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</row>
    <row r="683" spans="1:63" s="14" customFormat="1" ht="14.15" customHeight="1">
      <c r="A683" s="436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</row>
    <row r="684" spans="1:63" s="14" customFormat="1" ht="14.15" customHeight="1">
      <c r="A684" s="436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</row>
    <row r="685" spans="1:63" s="14" customFormat="1" ht="14.15" customHeight="1">
      <c r="A685" s="436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</row>
    <row r="686" spans="1:63" s="14" customFormat="1" ht="14.15" customHeight="1">
      <c r="A686" s="436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</row>
    <row r="687" spans="1:63" s="14" customFormat="1" ht="14.15" customHeight="1">
      <c r="A687" s="436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</row>
    <row r="688" spans="1:63" s="14" customFormat="1" ht="14.15" customHeight="1">
      <c r="A688" s="436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</row>
    <row r="689" spans="1:63" s="14" customFormat="1" ht="14.15" customHeight="1">
      <c r="A689" s="436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</row>
    <row r="690" spans="1:63" s="14" customFormat="1" ht="14.15" customHeight="1">
      <c r="A690" s="436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</row>
    <row r="691" spans="1:63" s="14" customFormat="1" ht="14.15" customHeight="1">
      <c r="A691" s="436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</row>
    <row r="692" spans="1:63" s="14" customFormat="1" ht="14.15" customHeight="1">
      <c r="A692" s="436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</row>
    <row r="693" spans="1:63" s="14" customFormat="1" ht="14.15" customHeight="1">
      <c r="A693" s="436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</row>
    <row r="694" spans="1:63" s="14" customFormat="1" ht="14.15" customHeight="1">
      <c r="A694" s="436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</row>
    <row r="695" spans="1:63" s="14" customFormat="1" ht="14.15" customHeight="1">
      <c r="A695" s="436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</row>
    <row r="696" spans="1:63" s="14" customFormat="1" ht="14.15" customHeight="1">
      <c r="A696" s="436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</row>
    <row r="697" spans="1:63" s="14" customFormat="1" ht="14.15" customHeight="1">
      <c r="A697" s="436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</row>
    <row r="698" spans="1:63" s="14" customFormat="1" ht="14.15" customHeight="1">
      <c r="A698" s="436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</row>
    <row r="699" spans="1:63" s="14" customFormat="1" ht="14.15" customHeight="1">
      <c r="A699" s="436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</row>
    <row r="700" spans="1:63" s="14" customFormat="1" ht="14.15" customHeight="1">
      <c r="A700" s="436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</row>
    <row r="701" spans="1:63" s="14" customFormat="1" ht="14.15" customHeight="1">
      <c r="A701" s="436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</row>
    <row r="702" spans="1:63" s="14" customFormat="1" ht="14.15" customHeight="1">
      <c r="A702" s="436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</row>
    <row r="703" spans="1:63" s="14" customFormat="1" ht="14.15" customHeight="1">
      <c r="A703" s="436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</row>
    <row r="704" spans="1:63" s="14" customFormat="1" ht="14.15" customHeight="1">
      <c r="A704" s="436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</row>
    <row r="705" spans="1:63" s="14" customFormat="1" ht="14.15" customHeight="1">
      <c r="A705" s="436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</row>
    <row r="706" spans="1:63" s="14" customFormat="1" ht="14.15" customHeight="1">
      <c r="A706" s="436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</row>
    <row r="707" spans="1:63" s="14" customFormat="1" ht="14.15" customHeight="1">
      <c r="A707" s="436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</row>
    <row r="708" spans="1:63" s="14" customFormat="1" ht="14.15" customHeight="1">
      <c r="A708" s="436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</row>
    <row r="709" spans="1:63" s="14" customFormat="1" ht="14.15" customHeight="1">
      <c r="A709" s="436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</row>
    <row r="710" spans="1:63" s="14" customFormat="1" ht="14.15" customHeight="1">
      <c r="A710" s="436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</row>
    <row r="711" spans="1:63" s="14" customFormat="1" ht="14.15" customHeight="1">
      <c r="A711" s="436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</row>
    <row r="712" spans="1:63" s="14" customFormat="1" ht="14.15" customHeight="1">
      <c r="A712" s="436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</row>
    <row r="713" spans="1:63" s="14" customFormat="1" ht="14.15" customHeight="1">
      <c r="A713" s="436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</row>
    <row r="714" spans="1:63" s="14" customFormat="1" ht="14.15" customHeight="1">
      <c r="A714" s="436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</row>
    <row r="715" spans="1:63" s="14" customFormat="1" ht="14.15" customHeight="1">
      <c r="A715" s="436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</row>
    <row r="716" spans="1:63" s="14" customFormat="1" ht="14.15" customHeight="1">
      <c r="A716" s="436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</row>
    <row r="717" spans="1:63" s="14" customFormat="1" ht="14.15" customHeight="1">
      <c r="A717" s="436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</row>
    <row r="718" spans="1:63" s="14" customFormat="1" ht="14.15" customHeight="1">
      <c r="A718" s="436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</row>
    <row r="719" spans="1:63" s="14" customFormat="1" ht="14.15" customHeight="1">
      <c r="A719" s="436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</row>
    <row r="720" spans="1:63" s="14" customFormat="1" ht="14.15" customHeight="1">
      <c r="A720" s="436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</row>
    <row r="721" spans="1:63" s="14" customFormat="1" ht="14.15" customHeight="1">
      <c r="A721" s="436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</row>
    <row r="722" spans="1:63" s="14" customFormat="1" ht="14.15" customHeight="1">
      <c r="A722" s="436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</row>
    <row r="723" spans="1:63" s="14" customFormat="1" ht="14.15" customHeight="1">
      <c r="A723" s="436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</row>
    <row r="724" spans="1:63" s="14" customFormat="1" ht="14.15" customHeight="1">
      <c r="A724" s="436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</row>
    <row r="725" spans="1:63" s="14" customFormat="1" ht="14.15" customHeight="1">
      <c r="A725" s="436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</row>
    <row r="726" spans="1:63" s="14" customFormat="1" ht="14.15" customHeight="1">
      <c r="A726" s="436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</row>
    <row r="727" spans="1:63" s="14" customFormat="1" ht="14.15" customHeight="1">
      <c r="A727" s="436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</row>
    <row r="728" spans="1:63" s="14" customFormat="1" ht="14.15" customHeight="1">
      <c r="A728" s="436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</row>
    <row r="729" spans="1:63" s="14" customFormat="1" ht="14.15" customHeight="1">
      <c r="A729" s="436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</row>
    <row r="730" spans="1:63" s="14" customFormat="1" ht="14.15" customHeight="1">
      <c r="A730" s="436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</row>
    <row r="731" spans="1:63" s="14" customFormat="1" ht="14.15" customHeight="1">
      <c r="A731" s="436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</row>
    <row r="732" spans="1:63" s="14" customFormat="1" ht="14.15" customHeight="1">
      <c r="A732" s="436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</row>
    <row r="733" spans="1:63" s="14" customFormat="1" ht="14.15" customHeight="1">
      <c r="A733" s="436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</row>
    <row r="734" spans="1:63" s="14" customFormat="1" ht="14.15" customHeight="1">
      <c r="A734" s="436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</row>
    <row r="735" spans="1:63" s="14" customFormat="1" ht="14.15" customHeight="1">
      <c r="A735" s="436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</row>
    <row r="736" spans="1:63" s="14" customFormat="1" ht="14.15" customHeight="1">
      <c r="A736" s="436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</row>
    <row r="737" spans="1:63" s="14" customFormat="1" ht="14.15" customHeight="1">
      <c r="A737" s="436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</row>
    <row r="738" spans="1:63" s="14" customFormat="1" ht="14.15" customHeight="1">
      <c r="A738" s="436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</row>
    <row r="739" spans="1:63" s="14" customFormat="1" ht="14.15" customHeight="1">
      <c r="A739" s="436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</row>
    <row r="740" spans="1:63" s="14" customFormat="1" ht="14.15" customHeight="1">
      <c r="A740" s="436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  <c r="BF740" s="83"/>
      <c r="BG740" s="83"/>
      <c r="BH740" s="83"/>
      <c r="BI740" s="83"/>
      <c r="BJ740" s="83"/>
      <c r="BK740" s="83"/>
    </row>
    <row r="741" spans="1:63" s="14" customFormat="1" ht="14.15" customHeight="1">
      <c r="A741" s="436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</row>
    <row r="742" spans="1:63" s="14" customFormat="1" ht="14.15" customHeight="1">
      <c r="A742" s="436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</row>
    <row r="743" spans="1:63" s="14" customFormat="1" ht="14.15" customHeight="1">
      <c r="A743" s="436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</row>
    <row r="744" spans="1:63" s="14" customFormat="1" ht="14.15" customHeight="1">
      <c r="A744" s="436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</row>
    <row r="745" spans="1:63" s="14" customFormat="1" ht="14.15" customHeight="1">
      <c r="A745" s="436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</row>
    <row r="746" spans="1:63" s="14" customFormat="1" ht="14.15" customHeight="1">
      <c r="A746" s="436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  <c r="BF746" s="83"/>
      <c r="BG746" s="83"/>
      <c r="BH746" s="83"/>
      <c r="BI746" s="83"/>
      <c r="BJ746" s="83"/>
      <c r="BK746" s="83"/>
    </row>
    <row r="747" spans="1:63" s="14" customFormat="1" ht="14.15" customHeight="1">
      <c r="A747" s="436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</row>
    <row r="748" spans="1:63" s="14" customFormat="1" ht="14.15" customHeight="1">
      <c r="A748" s="436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14">
        <v>2100000000</v>
      </c>
      <c r="V748" s="83"/>
      <c r="W748" s="14">
        <v>50000</v>
      </c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</row>
    <row r="749" spans="1:63" s="14" customFormat="1" ht="14.15" customHeight="1">
      <c r="A749" s="436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354">
        <v>1.9000000000000001E-4</v>
      </c>
      <c r="W749" s="355">
        <f>+U749</f>
        <v>1.9000000000000001E-4</v>
      </c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</row>
    <row r="750" spans="1:63" s="14" customFormat="1" ht="14.15" customHeight="1">
      <c r="A750" s="436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14">
        <f>+U748*U749</f>
        <v>399000</v>
      </c>
      <c r="W750" s="342">
        <f>+W748*W749</f>
        <v>9.5</v>
      </c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</row>
    <row r="751" spans="1:63" s="14" customFormat="1" ht="14.15" customHeight="1">
      <c r="A751" s="436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</row>
    <row r="752" spans="1:63" s="14" customFormat="1" ht="14.15" customHeight="1">
      <c r="A752" s="436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14">
        <v>400000</v>
      </c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</row>
    <row r="753" spans="1:63" s="14" customFormat="1" ht="14.15" customHeight="1">
      <c r="A753" s="436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353">
        <f>+U752/U748</f>
        <v>1.9047619047619048E-4</v>
      </c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</row>
    <row r="754" spans="1:63" s="14" customFormat="1" ht="14.15" customHeight="1">
      <c r="A754" s="436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</row>
    <row r="755" spans="1:63" s="14" customFormat="1" ht="14.15" customHeight="1">
      <c r="A755" s="436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</row>
    <row r="756" spans="1:63" s="14" customFormat="1" ht="14.15" customHeight="1">
      <c r="A756" s="436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</row>
    <row r="757" spans="1:63" s="14" customFormat="1" ht="14.15" customHeight="1">
      <c r="A757" s="436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</row>
    <row r="758" spans="1:63" s="14" customFormat="1" ht="14.15" customHeight="1">
      <c r="A758" s="436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</row>
    <row r="759" spans="1:63" s="14" customFormat="1" ht="14.15" customHeight="1">
      <c r="A759" s="436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</row>
    <row r="760" spans="1:63" s="14" customFormat="1" ht="14.15" customHeight="1">
      <c r="A760" s="436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</row>
    <row r="761" spans="1:63" s="14" customFormat="1" ht="14.15" customHeight="1">
      <c r="A761" s="436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</row>
    <row r="762" spans="1:63" s="14" customFormat="1" ht="14.15" customHeight="1">
      <c r="A762" s="436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</row>
    <row r="763" spans="1:63" s="14" customFormat="1" ht="14.15" customHeight="1">
      <c r="A763" s="436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</row>
    <row r="764" spans="1:63" s="14" customFormat="1" ht="14.15" customHeight="1">
      <c r="A764" s="436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  <c r="BF764" s="83"/>
      <c r="BG764" s="83"/>
      <c r="BH764" s="83"/>
      <c r="BI764" s="83"/>
      <c r="BJ764" s="83"/>
      <c r="BK764" s="83"/>
    </row>
    <row r="765" spans="1:63" s="14" customFormat="1" ht="14.15" customHeight="1">
      <c r="A765" s="436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  <c r="BF765" s="83"/>
      <c r="BG765" s="83"/>
      <c r="BH765" s="83"/>
      <c r="BI765" s="83"/>
      <c r="BJ765" s="83"/>
      <c r="BK765" s="83"/>
    </row>
    <row r="766" spans="1:63" s="14" customFormat="1" ht="14.15" customHeight="1">
      <c r="A766" s="436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  <c r="BF766" s="83"/>
      <c r="BG766" s="83"/>
      <c r="BH766" s="83"/>
      <c r="BI766" s="83"/>
      <c r="BJ766" s="83"/>
      <c r="BK766" s="83"/>
    </row>
    <row r="767" spans="1:63" s="14" customFormat="1" ht="14.15" customHeight="1">
      <c r="A767" s="436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  <c r="BF767" s="83"/>
      <c r="BG767" s="83"/>
      <c r="BH767" s="83"/>
      <c r="BI767" s="83"/>
      <c r="BJ767" s="83"/>
      <c r="BK767" s="83"/>
    </row>
    <row r="768" spans="1:63" s="14" customFormat="1" ht="14.15" customHeight="1">
      <c r="A768" s="436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  <c r="BF768" s="83"/>
      <c r="BG768" s="83"/>
      <c r="BH768" s="83"/>
      <c r="BI768" s="83"/>
      <c r="BJ768" s="83"/>
      <c r="BK768" s="83"/>
    </row>
    <row r="769" spans="1:63" s="14" customFormat="1" ht="14.15" customHeight="1">
      <c r="A769" s="436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  <c r="BF769" s="83"/>
      <c r="BG769" s="83"/>
      <c r="BH769" s="83"/>
      <c r="BI769" s="83"/>
      <c r="BJ769" s="83"/>
      <c r="BK769" s="83"/>
    </row>
    <row r="770" spans="1:63" s="14" customFormat="1" ht="14.15" customHeight="1">
      <c r="A770" s="436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  <c r="BF770" s="83"/>
      <c r="BG770" s="83"/>
      <c r="BH770" s="83"/>
      <c r="BI770" s="83"/>
      <c r="BJ770" s="83"/>
      <c r="BK770" s="83"/>
    </row>
    <row r="771" spans="1:63" s="14" customFormat="1" ht="14.15" customHeight="1">
      <c r="A771" s="436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  <c r="BF771" s="83"/>
      <c r="BG771" s="83"/>
      <c r="BH771" s="83"/>
      <c r="BI771" s="83"/>
      <c r="BJ771" s="83"/>
      <c r="BK771" s="83"/>
    </row>
    <row r="772" spans="1:63" s="14" customFormat="1" ht="14.15" customHeight="1">
      <c r="A772" s="436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83"/>
      <c r="BG772" s="83"/>
      <c r="BH772" s="83"/>
      <c r="BI772" s="83"/>
      <c r="BJ772" s="83"/>
      <c r="BK772" s="83"/>
    </row>
    <row r="773" spans="1:63" s="14" customFormat="1" ht="14.15" customHeight="1">
      <c r="A773" s="436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83"/>
      <c r="BG773" s="83"/>
      <c r="BH773" s="83"/>
      <c r="BI773" s="83"/>
      <c r="BJ773" s="83"/>
      <c r="BK773" s="83"/>
    </row>
    <row r="774" spans="1:63" s="14" customFormat="1" ht="14.15" customHeight="1">
      <c r="A774" s="436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  <c r="BF774" s="83"/>
      <c r="BG774" s="83"/>
      <c r="BH774" s="83"/>
      <c r="BI774" s="83"/>
      <c r="BJ774" s="83"/>
      <c r="BK774" s="83"/>
    </row>
    <row r="775" spans="1:63" s="14" customFormat="1" ht="14.15" customHeight="1">
      <c r="A775" s="436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83"/>
      <c r="BG775" s="83"/>
      <c r="BH775" s="83"/>
      <c r="BI775" s="83"/>
      <c r="BJ775" s="83"/>
      <c r="BK775" s="83"/>
    </row>
    <row r="776" spans="1:63" s="14" customFormat="1" ht="14.15" customHeight="1">
      <c r="A776" s="436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</row>
    <row r="777" spans="1:63" s="14" customFormat="1" ht="14.15" customHeight="1">
      <c r="A777" s="436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</row>
    <row r="778" spans="1:63" s="14" customFormat="1" ht="14.15" customHeight="1">
      <c r="A778" s="436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</row>
    <row r="779" spans="1:63" s="14" customFormat="1" ht="14.15" customHeight="1">
      <c r="A779" s="436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</row>
    <row r="780" spans="1:63" s="14" customFormat="1" ht="14.15" customHeight="1">
      <c r="A780" s="436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</row>
    <row r="781" spans="1:63" s="14" customFormat="1" ht="14.15" customHeight="1">
      <c r="A781" s="436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</row>
    <row r="782" spans="1:63" s="14" customFormat="1" ht="14.15" customHeight="1">
      <c r="A782" s="436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</row>
    <row r="783" spans="1:63" s="14" customFormat="1" ht="14.15" customHeight="1">
      <c r="A783" s="436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</row>
    <row r="784" spans="1:63" s="14" customFormat="1" ht="14.15" customHeight="1">
      <c r="A784" s="436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  <c r="BF784" s="83"/>
      <c r="BG784" s="83"/>
      <c r="BH784" s="83"/>
      <c r="BI784" s="83"/>
      <c r="BJ784" s="83"/>
      <c r="BK784" s="83"/>
    </row>
    <row r="785" spans="1:63" s="14" customFormat="1" ht="14.15" customHeight="1">
      <c r="A785" s="436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</row>
    <row r="786" spans="1:63" s="14" customFormat="1" ht="14.15" customHeight="1">
      <c r="A786" s="436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</row>
    <row r="787" spans="1:63" s="14" customFormat="1" ht="14.15" customHeight="1">
      <c r="A787" s="436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83"/>
      <c r="BJ787" s="83"/>
      <c r="BK787" s="83"/>
    </row>
    <row r="788" spans="1:63" s="14" customFormat="1" ht="14.15" customHeight="1">
      <c r="A788" s="436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</row>
    <row r="789" spans="1:63" s="14" customFormat="1" ht="14.15" customHeight="1">
      <c r="A789" s="436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83"/>
      <c r="BJ789" s="83"/>
      <c r="BK789" s="83"/>
    </row>
    <row r="790" spans="1:63" s="14" customFormat="1" ht="14.15" customHeight="1">
      <c r="A790" s="436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  <c r="BF790" s="83"/>
      <c r="BG790" s="83"/>
      <c r="BH790" s="83"/>
      <c r="BI790" s="83"/>
      <c r="BJ790" s="83"/>
      <c r="BK790" s="83"/>
    </row>
    <row r="791" spans="1:63" s="14" customFormat="1" ht="14.15" customHeight="1">
      <c r="A791" s="436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3"/>
      <c r="BI791" s="83"/>
      <c r="BJ791" s="83"/>
      <c r="BK791" s="83"/>
    </row>
    <row r="792" spans="1:63" s="14" customFormat="1" ht="14.15" customHeight="1">
      <c r="A792" s="436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3"/>
      <c r="BI792" s="83"/>
      <c r="BJ792" s="83"/>
      <c r="BK792" s="83"/>
    </row>
    <row r="793" spans="1:63" s="14" customFormat="1" ht="14.15" customHeight="1">
      <c r="A793" s="436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  <c r="BH793" s="83"/>
      <c r="BI793" s="83"/>
      <c r="BJ793" s="83"/>
      <c r="BK793" s="83"/>
    </row>
    <row r="794" spans="1:63" s="14" customFormat="1" ht="14.15" customHeight="1">
      <c r="A794" s="436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</row>
    <row r="795" spans="1:63" s="14" customFormat="1" ht="14.15" customHeight="1">
      <c r="A795" s="436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83"/>
      <c r="BJ795" s="83"/>
      <c r="BK795" s="83"/>
    </row>
    <row r="796" spans="1:63" s="14" customFormat="1" ht="14.15" customHeight="1">
      <c r="A796" s="436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</row>
    <row r="797" spans="1:63" s="14" customFormat="1" ht="14.15" customHeight="1">
      <c r="A797" s="436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</row>
    <row r="798" spans="1:63" s="14" customFormat="1" ht="14.15" customHeight="1">
      <c r="A798" s="436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</row>
    <row r="799" spans="1:63" s="14" customFormat="1" ht="14.15" customHeight="1">
      <c r="A799" s="436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</row>
    <row r="800" spans="1:63" s="14" customFormat="1" ht="14.15" customHeight="1">
      <c r="A800" s="436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</row>
    <row r="801" spans="1:63" s="14" customFormat="1" ht="14.15" customHeight="1">
      <c r="A801" s="436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</row>
    <row r="802" spans="1:63" s="14" customFormat="1" ht="14.15" customHeight="1">
      <c r="A802" s="436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</row>
    <row r="803" spans="1:63" s="14" customFormat="1" ht="14.15" customHeight="1">
      <c r="A803" s="436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  <c r="BF803" s="83"/>
      <c r="BG803" s="83"/>
      <c r="BH803" s="83"/>
      <c r="BI803" s="83"/>
      <c r="BJ803" s="83"/>
      <c r="BK803" s="83"/>
    </row>
    <row r="804" spans="1:63" s="14" customFormat="1" ht="14.15" customHeight="1">
      <c r="A804" s="436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/>
      <c r="BI804" s="83"/>
      <c r="BJ804" s="83"/>
      <c r="BK804" s="83"/>
    </row>
    <row r="805" spans="1:63" s="14" customFormat="1" ht="14.15" customHeight="1">
      <c r="A805" s="436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  <c r="BF805" s="83"/>
      <c r="BG805" s="83"/>
      <c r="BH805" s="83"/>
      <c r="BI805" s="83"/>
      <c r="BJ805" s="83"/>
      <c r="BK805" s="83"/>
    </row>
    <row r="806" spans="1:63" s="14" customFormat="1" ht="14.15" customHeight="1">
      <c r="A806" s="436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  <c r="BF806" s="83"/>
      <c r="BG806" s="83"/>
      <c r="BH806" s="83"/>
      <c r="BI806" s="83"/>
      <c r="BJ806" s="83"/>
      <c r="BK806" s="83"/>
    </row>
    <row r="807" spans="1:63" s="14" customFormat="1" ht="14.15" customHeight="1">
      <c r="A807" s="436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</row>
    <row r="808" spans="1:63" s="14" customFormat="1" ht="14.15" customHeight="1">
      <c r="A808" s="436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</row>
    <row r="809" spans="1:63" s="14" customFormat="1" ht="14.15" customHeight="1">
      <c r="A809" s="436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</row>
    <row r="810" spans="1:63" s="14" customFormat="1" ht="14.15" customHeight="1">
      <c r="A810" s="436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</row>
    <row r="811" spans="1:63" s="14" customFormat="1" ht="14.15" customHeight="1">
      <c r="A811" s="436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</row>
    <row r="812" spans="1:63" s="14" customFormat="1" ht="14.15" customHeight="1">
      <c r="A812" s="436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</row>
    <row r="813" spans="1:63" s="14" customFormat="1" ht="14.15" customHeight="1">
      <c r="A813" s="436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</row>
    <row r="814" spans="1:63" s="14" customFormat="1" ht="14.15" customHeight="1">
      <c r="A814" s="436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</row>
    <row r="815" spans="1:63" s="14" customFormat="1" ht="14.15" customHeight="1">
      <c r="A815" s="436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</row>
    <row r="816" spans="1:63" s="14" customFormat="1" ht="14.15" customHeight="1">
      <c r="A816" s="436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</row>
    <row r="817" spans="1:63" s="14" customFormat="1" ht="14.15" customHeight="1">
      <c r="A817" s="436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</row>
    <row r="818" spans="1:63" s="14" customFormat="1" ht="14.15" customHeight="1">
      <c r="A818" s="436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/>
      <c r="BG818" s="83"/>
      <c r="BH818" s="83"/>
      <c r="BI818" s="83"/>
      <c r="BJ818" s="83"/>
      <c r="BK818" s="83"/>
    </row>
    <row r="819" spans="1:63" s="14" customFormat="1" ht="14.15" customHeight="1">
      <c r="A819" s="436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/>
      <c r="BG819" s="83"/>
      <c r="BH819" s="83"/>
      <c r="BI819" s="83"/>
      <c r="BJ819" s="83"/>
      <c r="BK819" s="83"/>
    </row>
    <row r="820" spans="1:63" s="14" customFormat="1" ht="14.15" customHeight="1">
      <c r="A820" s="436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/>
      <c r="BG820" s="83"/>
      <c r="BH820" s="83"/>
      <c r="BI820" s="83"/>
      <c r="BJ820" s="83"/>
      <c r="BK820" s="83"/>
    </row>
    <row r="821" spans="1:63" s="14" customFormat="1" ht="14.15" customHeight="1">
      <c r="A821" s="436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</row>
    <row r="822" spans="1:63" s="14" customFormat="1" ht="14.15" customHeight="1">
      <c r="A822" s="436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  <c r="BH822" s="83"/>
      <c r="BI822" s="83"/>
      <c r="BJ822" s="83"/>
      <c r="BK822" s="83"/>
    </row>
    <row r="823" spans="1:63" s="14" customFormat="1" ht="14.15" customHeight="1">
      <c r="A823" s="436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</row>
    <row r="824" spans="1:63" s="14" customFormat="1" ht="14.15" customHeight="1">
      <c r="A824" s="436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</row>
    <row r="825" spans="1:63" s="14" customFormat="1" ht="14.15" customHeight="1">
      <c r="A825" s="436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</row>
    <row r="826" spans="1:63" s="14" customFormat="1" ht="14.15" customHeight="1">
      <c r="A826" s="436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  <c r="BH826" s="83"/>
      <c r="BI826" s="83"/>
      <c r="BJ826" s="83"/>
      <c r="BK826" s="83"/>
    </row>
    <row r="827" spans="1:63" s="14" customFormat="1" ht="14.15" customHeight="1">
      <c r="A827" s="436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3"/>
      <c r="BI827" s="83"/>
      <c r="BJ827" s="83"/>
      <c r="BK827" s="83"/>
    </row>
    <row r="828" spans="1:63" s="14" customFormat="1" ht="14.15" customHeight="1">
      <c r="A828" s="436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/>
      <c r="BI828" s="83"/>
      <c r="BJ828" s="83"/>
      <c r="BK828" s="83"/>
    </row>
    <row r="829" spans="1:63" s="14" customFormat="1" ht="14.15" customHeight="1">
      <c r="A829" s="436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83"/>
      <c r="BJ829" s="83"/>
      <c r="BK829" s="83"/>
    </row>
    <row r="830" spans="1:63" s="14" customFormat="1" ht="14.15" customHeight="1">
      <c r="A830" s="436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</row>
    <row r="831" spans="1:63" s="14" customFormat="1" ht="14.15" customHeight="1">
      <c r="A831" s="436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  <c r="BF831" s="83"/>
      <c r="BG831" s="83"/>
      <c r="BH831" s="83"/>
      <c r="BI831" s="83"/>
      <c r="BJ831" s="83"/>
      <c r="BK831" s="83"/>
    </row>
    <row r="832" spans="1:63" s="14" customFormat="1" ht="14.15" customHeight="1">
      <c r="A832" s="436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  <c r="BF832" s="83"/>
      <c r="BG832" s="83"/>
      <c r="BH832" s="83"/>
      <c r="BI832" s="83"/>
      <c r="BJ832" s="83"/>
      <c r="BK832" s="83"/>
    </row>
    <row r="833" spans="1:63" s="14" customFormat="1" ht="14.15" customHeight="1">
      <c r="A833" s="436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/>
      <c r="BI833" s="83"/>
      <c r="BJ833" s="83"/>
      <c r="BK833" s="83"/>
    </row>
    <row r="834" spans="1:63" s="14" customFormat="1" ht="14.15" customHeight="1">
      <c r="A834" s="436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  <c r="BF834" s="83"/>
      <c r="BG834" s="83"/>
      <c r="BH834" s="83"/>
      <c r="BI834" s="83"/>
      <c r="BJ834" s="83"/>
      <c r="BK834" s="83"/>
    </row>
    <row r="835" spans="1:63" s="14" customFormat="1" ht="14.15" customHeight="1">
      <c r="A835" s="436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83"/>
      <c r="BJ835" s="83"/>
      <c r="BK835" s="83"/>
    </row>
    <row r="836" spans="1:63" s="14" customFormat="1" ht="14.15" customHeight="1">
      <c r="A836" s="436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  <c r="BF836" s="83"/>
      <c r="BG836" s="83"/>
      <c r="BH836" s="83"/>
      <c r="BI836" s="83"/>
      <c r="BJ836" s="83"/>
      <c r="BK836" s="83"/>
    </row>
    <row r="837" spans="1:63" s="14" customFormat="1" ht="14.15" customHeight="1">
      <c r="A837" s="436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  <c r="BF837" s="83"/>
      <c r="BG837" s="83"/>
      <c r="BH837" s="83"/>
      <c r="BI837" s="83"/>
      <c r="BJ837" s="83"/>
      <c r="BK837" s="83"/>
    </row>
    <row r="838" spans="1:63" s="14" customFormat="1" ht="14.15" customHeight="1">
      <c r="A838" s="436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  <c r="BF838" s="83"/>
      <c r="BG838" s="83"/>
      <c r="BH838" s="83"/>
      <c r="BI838" s="83"/>
      <c r="BJ838" s="83"/>
      <c r="BK838" s="83"/>
    </row>
    <row r="839" spans="1:63" s="14" customFormat="1" ht="14.15" customHeight="1">
      <c r="A839" s="436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83"/>
      <c r="BJ839" s="83"/>
      <c r="BK839" s="83"/>
    </row>
    <row r="840" spans="1:63" s="14" customFormat="1" ht="14.15" customHeight="1">
      <c r="A840" s="436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83"/>
      <c r="BJ840" s="83"/>
      <c r="BK840" s="83"/>
    </row>
    <row r="841" spans="1:63" s="14" customFormat="1" ht="14.15" customHeight="1">
      <c r="A841" s="436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  <c r="BF841" s="83"/>
      <c r="BG841" s="83"/>
      <c r="BH841" s="83"/>
      <c r="BI841" s="83"/>
      <c r="BJ841" s="83"/>
      <c r="BK841" s="83"/>
    </row>
    <row r="842" spans="1:63" s="14" customFormat="1" ht="14.15" customHeight="1">
      <c r="A842" s="436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</row>
    <row r="843" spans="1:63" s="14" customFormat="1" ht="14.15" customHeight="1">
      <c r="A843" s="436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83"/>
      <c r="BJ843" s="83"/>
      <c r="BK843" s="83"/>
    </row>
    <row r="844" spans="1:63" s="14" customFormat="1" ht="14.15" customHeight="1">
      <c r="A844" s="436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</row>
    <row r="845" spans="1:63" s="14" customFormat="1" ht="14.15" customHeight="1">
      <c r="A845" s="436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</row>
    <row r="846" spans="1:63" s="14" customFormat="1" ht="14.15" customHeight="1">
      <c r="A846" s="436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</row>
    <row r="847" spans="1:63" s="14" customFormat="1" ht="14.15" customHeight="1">
      <c r="A847" s="436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</row>
    <row r="848" spans="1:63" s="14" customFormat="1" ht="14.15" customHeight="1">
      <c r="A848" s="436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</row>
    <row r="849" spans="1:63" s="14" customFormat="1" ht="14.15" customHeight="1">
      <c r="A849" s="436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</row>
    <row r="850" spans="1:63" s="14" customFormat="1" ht="14.15" customHeight="1">
      <c r="A850" s="436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</row>
    <row r="851" spans="1:63" s="14" customFormat="1" ht="14.15" customHeight="1">
      <c r="A851" s="436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</row>
    <row r="852" spans="1:63" s="14" customFormat="1" ht="14.15" customHeight="1">
      <c r="A852" s="436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/>
      <c r="BI852" s="83"/>
      <c r="BJ852" s="83"/>
      <c r="BK852" s="83"/>
    </row>
    <row r="853" spans="1:63" s="14" customFormat="1" ht="14.15" customHeight="1">
      <c r="A853" s="436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  <c r="BF853" s="83"/>
      <c r="BG853" s="83"/>
      <c r="BH853" s="83"/>
      <c r="BI853" s="83"/>
      <c r="BJ853" s="83"/>
      <c r="BK853" s="83"/>
    </row>
    <row r="854" spans="1:63" s="14" customFormat="1" ht="14.15" customHeight="1">
      <c r="A854" s="436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  <c r="BH854" s="83"/>
      <c r="BI854" s="83"/>
      <c r="BJ854" s="83"/>
      <c r="BK854" s="83"/>
    </row>
    <row r="855" spans="1:63" s="14" customFormat="1" ht="14.15" customHeight="1">
      <c r="A855" s="436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  <c r="BF855" s="83"/>
      <c r="BG855" s="83"/>
      <c r="BH855" s="83"/>
      <c r="BI855" s="83"/>
      <c r="BJ855" s="83"/>
      <c r="BK855" s="83"/>
    </row>
    <row r="856" spans="1:63" s="14" customFormat="1" ht="14.15" customHeight="1">
      <c r="A856" s="436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  <c r="BF856" s="83"/>
      <c r="BG856" s="83"/>
      <c r="BH856" s="83"/>
      <c r="BI856" s="83"/>
      <c r="BJ856" s="83"/>
      <c r="BK856" s="83"/>
    </row>
    <row r="857" spans="1:63" s="14" customFormat="1" ht="14.15" customHeight="1">
      <c r="A857" s="436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  <c r="BF857" s="83"/>
      <c r="BG857" s="83"/>
      <c r="BH857" s="83"/>
      <c r="BI857" s="83"/>
      <c r="BJ857" s="83"/>
      <c r="BK857" s="83"/>
    </row>
    <row r="858" spans="1:63" s="14" customFormat="1" ht="14.15" customHeight="1">
      <c r="A858" s="436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83"/>
      <c r="BJ858" s="83"/>
      <c r="BK858" s="83"/>
    </row>
    <row r="859" spans="1:63" s="14" customFormat="1" ht="14.15" customHeight="1">
      <c r="A859" s="436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  <c r="BF859" s="83"/>
      <c r="BG859" s="83"/>
      <c r="BH859" s="83"/>
      <c r="BI859" s="83"/>
      <c r="BJ859" s="83"/>
      <c r="BK859" s="83"/>
    </row>
    <row r="860" spans="1:63" s="14" customFormat="1" ht="14.15" customHeight="1">
      <c r="A860" s="436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  <c r="BF860" s="83"/>
      <c r="BG860" s="83"/>
      <c r="BH860" s="83"/>
      <c r="BI860" s="83"/>
      <c r="BJ860" s="83"/>
      <c r="BK860" s="83"/>
    </row>
    <row r="861" spans="1:63" s="14" customFormat="1" ht="14.15" customHeight="1">
      <c r="A861" s="436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  <c r="BF861" s="83"/>
      <c r="BG861" s="83"/>
      <c r="BH861" s="83"/>
      <c r="BI861" s="83"/>
      <c r="BJ861" s="83"/>
      <c r="BK861" s="83"/>
    </row>
    <row r="862" spans="1:63" s="14" customFormat="1" ht="14.15" customHeight="1">
      <c r="A862" s="436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  <c r="BF862" s="83"/>
      <c r="BG862" s="83"/>
      <c r="BH862" s="83"/>
      <c r="BI862" s="83"/>
      <c r="BJ862" s="83"/>
      <c r="BK862" s="83"/>
    </row>
    <row r="863" spans="1:63" s="14" customFormat="1" ht="14.15" customHeight="1">
      <c r="A863" s="436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  <c r="BF863" s="83"/>
      <c r="BG863" s="83"/>
      <c r="BH863" s="83"/>
      <c r="BI863" s="83"/>
      <c r="BJ863" s="83"/>
      <c r="BK863" s="83"/>
    </row>
    <row r="864" spans="1:63" s="14" customFormat="1" ht="14.15" customHeight="1">
      <c r="A864" s="436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  <c r="BF864" s="83"/>
      <c r="BG864" s="83"/>
      <c r="BH864" s="83"/>
      <c r="BI864" s="83"/>
      <c r="BJ864" s="83"/>
      <c r="BK864" s="83"/>
    </row>
    <row r="865" spans="1:63" s="14" customFormat="1" ht="14.15" customHeight="1">
      <c r="A865" s="436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  <c r="BF865" s="83"/>
      <c r="BG865" s="83"/>
      <c r="BH865" s="83"/>
      <c r="BI865" s="83"/>
      <c r="BJ865" s="83"/>
      <c r="BK865" s="83"/>
    </row>
    <row r="866" spans="1:63" s="14" customFormat="1" ht="14.15" customHeight="1">
      <c r="A866" s="436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  <c r="BF866" s="83"/>
      <c r="BG866" s="83"/>
      <c r="BH866" s="83"/>
      <c r="BI866" s="83"/>
      <c r="BJ866" s="83"/>
      <c r="BK866" s="83"/>
    </row>
    <row r="867" spans="1:63" s="14" customFormat="1" ht="14.15" customHeight="1">
      <c r="A867" s="436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  <c r="BF867" s="83"/>
      <c r="BG867" s="83"/>
      <c r="BH867" s="83"/>
      <c r="BI867" s="83"/>
      <c r="BJ867" s="83"/>
      <c r="BK867" s="83"/>
    </row>
    <row r="868" spans="1:63" s="14" customFormat="1" ht="14.15" customHeight="1">
      <c r="A868" s="436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  <c r="BF868" s="83"/>
      <c r="BG868" s="83"/>
      <c r="BH868" s="83"/>
      <c r="BI868" s="83"/>
      <c r="BJ868" s="83"/>
      <c r="BK868" s="83"/>
    </row>
    <row r="869" spans="1:63" s="14" customFormat="1" ht="14.15" customHeight="1">
      <c r="A869" s="436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  <c r="BF869" s="83"/>
      <c r="BG869" s="83"/>
      <c r="BH869" s="83"/>
      <c r="BI869" s="83"/>
      <c r="BJ869" s="83"/>
      <c r="BK869" s="83"/>
    </row>
    <row r="870" spans="1:63" s="14" customFormat="1" ht="14.15" customHeight="1">
      <c r="A870" s="436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  <c r="BF870" s="83"/>
      <c r="BG870" s="83"/>
      <c r="BH870" s="83"/>
      <c r="BI870" s="83"/>
      <c r="BJ870" s="83"/>
      <c r="BK870" s="83"/>
    </row>
    <row r="871" spans="1:63" s="14" customFormat="1" ht="14.15" customHeight="1">
      <c r="A871" s="436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  <c r="BF871" s="83"/>
      <c r="BG871" s="83"/>
      <c r="BH871" s="83"/>
      <c r="BI871" s="83"/>
      <c r="BJ871" s="83"/>
      <c r="BK871" s="83"/>
    </row>
    <row r="872" spans="1:63" s="14" customFormat="1" ht="14.15" customHeight="1">
      <c r="A872" s="436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  <c r="BF872" s="83"/>
      <c r="BG872" s="83"/>
      <c r="BH872" s="83"/>
      <c r="BI872" s="83"/>
      <c r="BJ872" s="83"/>
      <c r="BK872" s="83"/>
    </row>
    <row r="873" spans="1:63" s="14" customFormat="1" ht="14.15" customHeight="1">
      <c r="A873" s="436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  <c r="BF873" s="83"/>
      <c r="BG873" s="83"/>
      <c r="BH873" s="83"/>
      <c r="BI873" s="83"/>
      <c r="BJ873" s="83"/>
      <c r="BK873" s="83"/>
    </row>
    <row r="874" spans="1:63" s="14" customFormat="1" ht="14.15" customHeight="1">
      <c r="A874" s="436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  <c r="BF874" s="83"/>
      <c r="BG874" s="83"/>
      <c r="BH874" s="83"/>
      <c r="BI874" s="83"/>
      <c r="BJ874" s="83"/>
      <c r="BK874" s="83"/>
    </row>
    <row r="875" spans="1:63" s="14" customFormat="1" ht="14.15" customHeight="1">
      <c r="A875" s="436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  <c r="BF875" s="83"/>
      <c r="BG875" s="83"/>
      <c r="BH875" s="83"/>
      <c r="BI875" s="83"/>
      <c r="BJ875" s="83"/>
      <c r="BK875" s="83"/>
    </row>
    <row r="876" spans="1:63" s="14" customFormat="1" ht="14.15" customHeight="1">
      <c r="A876" s="436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  <c r="BF876" s="83"/>
      <c r="BG876" s="83"/>
      <c r="BH876" s="83"/>
      <c r="BI876" s="83"/>
      <c r="BJ876" s="83"/>
      <c r="BK876" s="83"/>
    </row>
    <row r="877" spans="1:63" s="14" customFormat="1" ht="14.15" customHeight="1">
      <c r="A877" s="436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  <c r="BF877" s="83"/>
      <c r="BG877" s="83"/>
      <c r="BH877" s="83"/>
      <c r="BI877" s="83"/>
      <c r="BJ877" s="83"/>
      <c r="BK877" s="83"/>
    </row>
    <row r="878" spans="1:63" s="14" customFormat="1" ht="14.15" customHeight="1">
      <c r="A878" s="436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  <c r="BF878" s="83"/>
      <c r="BG878" s="83"/>
      <c r="BH878" s="83"/>
      <c r="BI878" s="83"/>
      <c r="BJ878" s="83"/>
      <c r="BK878" s="83"/>
    </row>
    <row r="879" spans="1:63" s="14" customFormat="1" ht="14.15" customHeight="1">
      <c r="A879" s="436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  <c r="BF879" s="83"/>
      <c r="BG879" s="83"/>
      <c r="BH879" s="83"/>
      <c r="BI879" s="83"/>
      <c r="BJ879" s="83"/>
      <c r="BK879" s="83"/>
    </row>
    <row r="880" spans="1:63" s="14" customFormat="1" ht="14.15" customHeight="1">
      <c r="A880" s="436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  <c r="BF880" s="83"/>
      <c r="BG880" s="83"/>
      <c r="BH880" s="83"/>
      <c r="BI880" s="83"/>
      <c r="BJ880" s="83"/>
      <c r="BK880" s="83"/>
    </row>
    <row r="881" spans="1:63" s="14" customFormat="1" ht="14.15" customHeight="1">
      <c r="A881" s="436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  <c r="BF881" s="83"/>
      <c r="BG881" s="83"/>
      <c r="BH881" s="83"/>
      <c r="BI881" s="83"/>
      <c r="BJ881" s="83"/>
      <c r="BK881" s="83"/>
    </row>
    <row r="882" spans="1:63" s="14" customFormat="1" ht="14.15" customHeight="1">
      <c r="A882" s="436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  <c r="BF882" s="83"/>
      <c r="BG882" s="83"/>
      <c r="BH882" s="83"/>
      <c r="BI882" s="83"/>
      <c r="BJ882" s="83"/>
      <c r="BK882" s="83"/>
    </row>
    <row r="883" spans="1:63" s="14" customFormat="1" ht="14.15" customHeight="1">
      <c r="A883" s="436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  <c r="BF883" s="83"/>
      <c r="BG883" s="83"/>
      <c r="BH883" s="83"/>
      <c r="BI883" s="83"/>
      <c r="BJ883" s="83"/>
      <c r="BK883" s="83"/>
    </row>
    <row r="884" spans="1:63" s="14" customFormat="1" ht="14.15" customHeight="1">
      <c r="A884" s="436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  <c r="BF884" s="83"/>
      <c r="BG884" s="83"/>
      <c r="BH884" s="83"/>
      <c r="BI884" s="83"/>
      <c r="BJ884" s="83"/>
      <c r="BK884" s="83"/>
    </row>
    <row r="885" spans="1:63" s="14" customFormat="1" ht="14.15" customHeight="1">
      <c r="A885" s="436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  <c r="BF885" s="83"/>
      <c r="BG885" s="83"/>
      <c r="BH885" s="83"/>
      <c r="BI885" s="83"/>
      <c r="BJ885" s="83"/>
      <c r="BK885" s="83"/>
    </row>
    <row r="886" spans="1:63" s="14" customFormat="1" ht="14.15" customHeight="1">
      <c r="A886" s="436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  <c r="BF886" s="83"/>
      <c r="BG886" s="83"/>
      <c r="BH886" s="83"/>
      <c r="BI886" s="83"/>
      <c r="BJ886" s="83"/>
      <c r="BK886" s="83"/>
    </row>
    <row r="887" spans="1:63" s="14" customFormat="1" ht="14.15" customHeight="1">
      <c r="A887" s="436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  <c r="BF887" s="83"/>
      <c r="BG887" s="83"/>
      <c r="BH887" s="83"/>
      <c r="BI887" s="83"/>
      <c r="BJ887" s="83"/>
      <c r="BK887" s="83"/>
    </row>
    <row r="888" spans="1:63" s="14" customFormat="1" ht="14.15" customHeight="1">
      <c r="A888" s="436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  <c r="BF888" s="83"/>
      <c r="BG888" s="83"/>
      <c r="BH888" s="83"/>
      <c r="BI888" s="83"/>
      <c r="BJ888" s="83"/>
      <c r="BK888" s="83"/>
    </row>
    <row r="889" spans="1:63" s="14" customFormat="1" ht="14.15" customHeight="1">
      <c r="A889" s="436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  <c r="BF889" s="83"/>
      <c r="BG889" s="83"/>
      <c r="BH889" s="83"/>
      <c r="BI889" s="83"/>
      <c r="BJ889" s="83"/>
      <c r="BK889" s="83"/>
    </row>
    <row r="890" spans="1:63" s="14" customFormat="1" ht="14.15" customHeight="1">
      <c r="A890" s="436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  <c r="BF890" s="83"/>
      <c r="BG890" s="83"/>
      <c r="BH890" s="83"/>
      <c r="BI890" s="83"/>
      <c r="BJ890" s="83"/>
      <c r="BK890" s="83"/>
    </row>
    <row r="891" spans="1:63" s="14" customFormat="1" ht="14.15" customHeight="1">
      <c r="A891" s="436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  <c r="BF891" s="83"/>
      <c r="BG891" s="83"/>
      <c r="BH891" s="83"/>
      <c r="BI891" s="83"/>
      <c r="BJ891" s="83"/>
      <c r="BK891" s="83"/>
    </row>
    <row r="892" spans="1:63" s="14" customFormat="1" ht="14.15" customHeight="1">
      <c r="A892" s="436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  <c r="BF892" s="83"/>
      <c r="BG892" s="83"/>
      <c r="BH892" s="83"/>
      <c r="BI892" s="83"/>
      <c r="BJ892" s="83"/>
      <c r="BK892" s="83"/>
    </row>
    <row r="893" spans="1:63" s="14" customFormat="1" ht="14.15" customHeight="1">
      <c r="A893" s="436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  <c r="BF893" s="83"/>
      <c r="BG893" s="83"/>
      <c r="BH893" s="83"/>
      <c r="BI893" s="83"/>
      <c r="BJ893" s="83"/>
      <c r="BK893" s="83"/>
    </row>
    <row r="894" spans="1:63" s="14" customFormat="1" ht="14.15" customHeight="1">
      <c r="A894" s="436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  <c r="BF894" s="83"/>
      <c r="BG894" s="83"/>
      <c r="BH894" s="83"/>
      <c r="BI894" s="83"/>
      <c r="BJ894" s="83"/>
      <c r="BK894" s="83"/>
    </row>
    <row r="895" spans="1:63" s="14" customFormat="1" ht="14.15" customHeight="1">
      <c r="A895" s="436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  <c r="BF895" s="83"/>
      <c r="BG895" s="83"/>
      <c r="BH895" s="83"/>
      <c r="BI895" s="83"/>
      <c r="BJ895" s="83"/>
      <c r="BK895" s="83"/>
    </row>
    <row r="896" spans="1:63" s="14" customFormat="1" ht="14.15" customHeight="1">
      <c r="A896" s="436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  <c r="BF896" s="83"/>
      <c r="BG896" s="83"/>
      <c r="BH896" s="83"/>
      <c r="BI896" s="83"/>
      <c r="BJ896" s="83"/>
      <c r="BK896" s="83"/>
    </row>
    <row r="897" spans="1:63" s="14" customFormat="1" ht="14.15" customHeight="1">
      <c r="A897" s="436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  <c r="BF897" s="83"/>
      <c r="BG897" s="83"/>
      <c r="BH897" s="83"/>
      <c r="BI897" s="83"/>
      <c r="BJ897" s="83"/>
      <c r="BK897" s="83"/>
    </row>
    <row r="898" spans="1:63" s="14" customFormat="1" ht="14.15" customHeight="1">
      <c r="A898" s="436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  <c r="BF898" s="83"/>
      <c r="BG898" s="83"/>
      <c r="BH898" s="83"/>
      <c r="BI898" s="83"/>
      <c r="BJ898" s="83"/>
      <c r="BK898" s="83"/>
    </row>
    <row r="899" spans="1:63" s="14" customFormat="1" ht="14.15" customHeight="1">
      <c r="A899" s="436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  <c r="BF899" s="83"/>
      <c r="BG899" s="83"/>
      <c r="BH899" s="83"/>
      <c r="BI899" s="83"/>
      <c r="BJ899" s="83"/>
      <c r="BK899" s="83"/>
    </row>
    <row r="900" spans="1:63" s="14" customFormat="1" ht="14.15" customHeight="1">
      <c r="A900" s="436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  <c r="BF900" s="83"/>
      <c r="BG900" s="83"/>
      <c r="BH900" s="83"/>
      <c r="BI900" s="83"/>
      <c r="BJ900" s="83"/>
      <c r="BK900" s="83"/>
    </row>
    <row r="901" spans="1:63" s="14" customFormat="1" ht="14.15" customHeight="1">
      <c r="A901" s="436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  <c r="BF901" s="83"/>
      <c r="BG901" s="83"/>
      <c r="BH901" s="83"/>
      <c r="BI901" s="83"/>
      <c r="BJ901" s="83"/>
      <c r="BK901" s="83"/>
    </row>
    <row r="902" spans="1:63" s="14" customFormat="1" ht="14.15" customHeight="1">
      <c r="A902" s="436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  <c r="BF902" s="83"/>
      <c r="BG902" s="83"/>
      <c r="BH902" s="83"/>
      <c r="BI902" s="83"/>
      <c r="BJ902" s="83"/>
      <c r="BK902" s="83"/>
    </row>
    <row r="903" spans="1:63" s="14" customFormat="1" ht="14.15" customHeight="1">
      <c r="A903" s="436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  <c r="BF903" s="83"/>
      <c r="BG903" s="83"/>
      <c r="BH903" s="83"/>
      <c r="BI903" s="83"/>
      <c r="BJ903" s="83"/>
      <c r="BK903" s="83"/>
    </row>
    <row r="904" spans="1:63" s="14" customFormat="1" ht="14.15" customHeight="1">
      <c r="A904" s="436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  <c r="BF904" s="83"/>
      <c r="BG904" s="83"/>
      <c r="BH904" s="83"/>
      <c r="BI904" s="83"/>
      <c r="BJ904" s="83"/>
      <c r="BK904" s="83"/>
    </row>
    <row r="905" spans="1:63" s="14" customFormat="1" ht="14.15" customHeight="1">
      <c r="A905" s="436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  <c r="BF905" s="83"/>
      <c r="BG905" s="83"/>
      <c r="BH905" s="83"/>
      <c r="BI905" s="83"/>
      <c r="BJ905" s="83"/>
      <c r="BK905" s="83"/>
    </row>
    <row r="906" spans="1:63" s="14" customFormat="1" ht="14.15" customHeight="1">
      <c r="A906" s="436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  <c r="BF906" s="83"/>
      <c r="BG906" s="83"/>
      <c r="BH906" s="83"/>
      <c r="BI906" s="83"/>
      <c r="BJ906" s="83"/>
      <c r="BK906" s="83"/>
    </row>
  </sheetData>
  <mergeCells count="1">
    <mergeCell ref="I513:J513"/>
  </mergeCells>
  <pageMargins left="0.5" right="0.5" top="0.76" bottom="0.38" header="0.5" footer="0.22"/>
  <pageSetup scale="53" fitToHeight="13" orientation="landscape" r:id="rId1"/>
  <headerFooter alignWithMargins="0">
    <oddHeader xml:space="preserve">&amp;C&amp;12KENTUCKY POWER COMPANY
JURISDICTIONAL COST OF SERVICE 
TEST YEAR ENDED MARCH 31, 2023
&amp;14
&amp;R&amp;12SECTION V
SCHEDULE 5
</oddHeader>
  </headerFooter>
  <rowBreaks count="8" manualBreakCount="8">
    <brk id="56" max="53" man="1"/>
    <brk id="111" max="53" man="1"/>
    <brk id="166" max="53" man="1"/>
    <brk id="223" max="53" man="1"/>
    <brk id="277" max="53" man="1"/>
    <brk id="393" max="53" man="1"/>
    <brk id="454" max="53" man="1"/>
    <brk id="507" max="53" man="1"/>
  </rowBreaks>
  <colBreaks count="1" manualBreakCount="1">
    <brk id="33" max="50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9"/>
  <sheetViews>
    <sheetView zoomScale="110" zoomScaleNormal="110" workbookViewId="0">
      <selection activeCell="O31" sqref="O31"/>
    </sheetView>
  </sheetViews>
  <sheetFormatPr defaultColWidth="9.1796875" defaultRowHeight="12.5"/>
  <cols>
    <col min="1" max="1" width="9.1796875" style="83"/>
    <col min="2" max="2" width="41" style="83" customWidth="1"/>
    <col min="3" max="3" width="15.7265625" style="83" bestFit="1" customWidth="1"/>
    <col min="4" max="4" width="1.7265625" style="22" customWidth="1"/>
    <col min="5" max="5" width="12.1796875" style="83" customWidth="1"/>
    <col min="6" max="6" width="1.7265625" style="22" customWidth="1"/>
    <col min="7" max="7" width="13.81640625" style="83" bestFit="1" customWidth="1"/>
    <col min="8" max="8" width="1.81640625" style="22" customWidth="1"/>
    <col min="9" max="9" width="13.26953125" style="83" bestFit="1" customWidth="1"/>
    <col min="10" max="10" width="1.81640625" style="83" customWidth="1"/>
    <col min="11" max="11" width="13.26953125" style="22" bestFit="1" customWidth="1"/>
    <col min="12" max="12" width="1.81640625" style="22" customWidth="1"/>
    <col min="13" max="13" width="13.26953125" style="22" bestFit="1" customWidth="1"/>
    <col min="14" max="14" width="20" style="66" bestFit="1" customWidth="1"/>
    <col min="15" max="15" width="13.81640625" style="22" bestFit="1" customWidth="1"/>
    <col min="16" max="16" width="11.1796875" style="22" bestFit="1" customWidth="1"/>
    <col min="17" max="17" width="5.81640625" style="83" customWidth="1"/>
    <col min="18" max="18" width="15.453125" style="83" customWidth="1"/>
    <col min="19" max="16384" width="9.1796875" style="83"/>
  </cols>
  <sheetData>
    <row r="1" spans="1:18">
      <c r="A1" s="450" t="s">
        <v>334</v>
      </c>
      <c r="B1" s="450"/>
      <c r="C1" s="450"/>
      <c r="D1" s="450"/>
      <c r="E1" s="450"/>
      <c r="F1" s="450"/>
      <c r="G1" s="450"/>
      <c r="H1" s="450"/>
      <c r="I1" s="450"/>
    </row>
    <row r="2" spans="1:18">
      <c r="A2" s="450" t="s">
        <v>937</v>
      </c>
      <c r="B2" s="450"/>
      <c r="C2" s="450"/>
      <c r="D2" s="450"/>
      <c r="E2" s="450"/>
      <c r="F2" s="450"/>
      <c r="G2" s="450"/>
      <c r="H2" s="450"/>
      <c r="I2" s="450"/>
    </row>
    <row r="3" spans="1:18">
      <c r="A3" s="450" t="s">
        <v>1088</v>
      </c>
      <c r="B3" s="450"/>
      <c r="C3" s="450"/>
      <c r="D3" s="450"/>
      <c r="E3" s="450"/>
      <c r="F3" s="450"/>
      <c r="G3" s="450"/>
      <c r="H3" s="450"/>
      <c r="I3" s="450"/>
    </row>
    <row r="5" spans="1:18" ht="38.5">
      <c r="A5" s="98" t="s">
        <v>399</v>
      </c>
      <c r="B5" s="100" t="s">
        <v>400</v>
      </c>
      <c r="C5" s="81" t="s">
        <v>416</v>
      </c>
      <c r="D5" s="204"/>
      <c r="E5" s="81" t="s">
        <v>417</v>
      </c>
      <c r="F5" s="204"/>
      <c r="G5" s="81" t="s">
        <v>418</v>
      </c>
      <c r="H5" s="204"/>
      <c r="I5" s="81" t="s">
        <v>419</v>
      </c>
      <c r="K5" s="418" t="s">
        <v>59</v>
      </c>
      <c r="L5" s="418"/>
      <c r="M5" s="226" t="s">
        <v>154</v>
      </c>
    </row>
    <row r="7" spans="1:18">
      <c r="B7" s="44" t="s">
        <v>187</v>
      </c>
    </row>
    <row r="8" spans="1:18">
      <c r="B8" s="44" t="s">
        <v>188</v>
      </c>
      <c r="M8" s="452"/>
      <c r="N8" s="452"/>
    </row>
    <row r="9" spans="1:18">
      <c r="A9" s="83">
        <v>500</v>
      </c>
      <c r="B9" s="83" t="s">
        <v>401</v>
      </c>
      <c r="C9" s="84">
        <f>'Sch 4'!C309</f>
        <v>5717095.8799999999</v>
      </c>
      <c r="D9" s="66"/>
      <c r="E9" s="84">
        <v>3478106.8251966587</v>
      </c>
      <c r="F9" s="66"/>
      <c r="G9" s="84">
        <f>ROUND(E9/($E$53-$E$51)*$C$51,0)</f>
        <v>1629731</v>
      </c>
      <c r="H9" s="66"/>
      <c r="I9" s="84">
        <f>C9+G9</f>
        <v>7346826.8799999999</v>
      </c>
      <c r="K9" s="214">
        <f>I9</f>
        <v>7346826.8799999999</v>
      </c>
      <c r="N9" s="66" t="s">
        <v>341</v>
      </c>
    </row>
    <row r="10" spans="1:18">
      <c r="A10" s="83">
        <v>501</v>
      </c>
      <c r="B10" s="83" t="s">
        <v>402</v>
      </c>
      <c r="C10" s="84">
        <f>'Sch 4'!C310+'Sch 4'!C312+'Sch 4'!C311</f>
        <v>95948483.290000007</v>
      </c>
      <c r="D10" s="66"/>
      <c r="E10" s="84">
        <v>2628241.7414286723</v>
      </c>
      <c r="F10" s="66"/>
      <c r="G10" s="84">
        <f>ROUND(E10/($E$53-$E$51)*$C$51,0)</f>
        <v>1231511</v>
      </c>
      <c r="H10" s="66"/>
      <c r="I10" s="84">
        <f t="shared" ref="I10:I16" si="0">C10+G10</f>
        <v>97179994.290000007</v>
      </c>
      <c r="M10" s="214">
        <f>I10</f>
        <v>97179994.290000007</v>
      </c>
      <c r="N10" s="66" t="s">
        <v>344</v>
      </c>
      <c r="R10" s="205"/>
    </row>
    <row r="11" spans="1:18">
      <c r="A11" s="83">
        <v>5010005</v>
      </c>
      <c r="B11" s="83" t="s">
        <v>403</v>
      </c>
      <c r="C11" s="84">
        <f>'Sch 4'!C313</f>
        <v>10086011.789999999</v>
      </c>
      <c r="D11" s="66"/>
      <c r="E11" s="84">
        <v>0</v>
      </c>
      <c r="F11" s="66"/>
      <c r="G11" s="84">
        <f t="shared" ref="G11:G16" si="1">ROUND(E11/($E$53-$E$51)*$C$51,0)</f>
        <v>0</v>
      </c>
      <c r="H11" s="66"/>
      <c r="I11" s="84">
        <f>C11+G11</f>
        <v>10086011.789999999</v>
      </c>
      <c r="M11" s="214">
        <f>I11</f>
        <v>10086011.789999999</v>
      </c>
      <c r="N11" s="66" t="s">
        <v>344</v>
      </c>
      <c r="R11" s="205"/>
    </row>
    <row r="12" spans="1:18">
      <c r="A12" s="83">
        <v>502</v>
      </c>
      <c r="B12" s="83" t="s">
        <v>404</v>
      </c>
      <c r="C12" s="84">
        <f>'Sch 4'!C314</f>
        <v>5662987.9299999997</v>
      </c>
      <c r="D12" s="66"/>
      <c r="E12" s="84">
        <v>1597831.853337341</v>
      </c>
      <c r="F12" s="66"/>
      <c r="G12" s="84">
        <f>ROUND(E12/($E$53-$E$51)*$C$51,0)</f>
        <v>748694</v>
      </c>
      <c r="H12" s="66"/>
      <c r="I12" s="84">
        <f>C12+G12</f>
        <v>6411681.9299999997</v>
      </c>
      <c r="K12" s="214">
        <f>I12*0.34</f>
        <v>2179971.8562000003</v>
      </c>
      <c r="M12" s="214">
        <f>I12-K12</f>
        <v>4231710.0737999994</v>
      </c>
      <c r="N12" s="66" t="s">
        <v>912</v>
      </c>
      <c r="R12" s="205"/>
    </row>
    <row r="13" spans="1:18">
      <c r="A13" s="83">
        <v>505</v>
      </c>
      <c r="B13" s="83" t="s">
        <v>405</v>
      </c>
      <c r="C13" s="84">
        <f>'Sch 4'!C317</f>
        <v>94883.57</v>
      </c>
      <c r="D13" s="66"/>
      <c r="E13" s="84">
        <v>102017.9</v>
      </c>
      <c r="F13" s="66"/>
      <c r="G13" s="84">
        <f t="shared" si="1"/>
        <v>47802</v>
      </c>
      <c r="H13" s="66"/>
      <c r="I13" s="84">
        <f t="shared" si="0"/>
        <v>142685.57</v>
      </c>
      <c r="K13" s="214">
        <f>I13*0.34</f>
        <v>48513.093800000002</v>
      </c>
      <c r="M13" s="214">
        <f>I13-K13</f>
        <v>94172.476200000005</v>
      </c>
      <c r="N13" s="66" t="s">
        <v>912</v>
      </c>
      <c r="R13" s="205"/>
    </row>
    <row r="14" spans="1:18">
      <c r="A14" s="83">
        <v>506</v>
      </c>
      <c r="B14" s="83" t="s">
        <v>406</v>
      </c>
      <c r="C14" s="84">
        <f>'Sch 4'!C318+'Sch 4'!C319</f>
        <v>5904893.5099999998</v>
      </c>
      <c r="D14" s="66"/>
      <c r="E14" s="84">
        <v>1804293.5088932142</v>
      </c>
      <c r="F14" s="66"/>
      <c r="G14" s="84">
        <f t="shared" si="1"/>
        <v>845435</v>
      </c>
      <c r="H14" s="66"/>
      <c r="I14" s="84">
        <f t="shared" si="0"/>
        <v>6750328.5099999998</v>
      </c>
      <c r="K14" s="214">
        <f>I14</f>
        <v>6750328.5099999998</v>
      </c>
      <c r="M14" s="22">
        <v>0</v>
      </c>
      <c r="N14" s="66" t="s">
        <v>341</v>
      </c>
      <c r="R14" s="205"/>
    </row>
    <row r="15" spans="1:18">
      <c r="A15" s="83">
        <v>507</v>
      </c>
      <c r="B15" s="83" t="s">
        <v>407</v>
      </c>
      <c r="C15" s="84">
        <f>'Sch 4'!C319</f>
        <v>0</v>
      </c>
      <c r="D15" s="66"/>
      <c r="E15" s="84">
        <v>0</v>
      </c>
      <c r="F15" s="66"/>
      <c r="G15" s="84">
        <f t="shared" si="1"/>
        <v>0</v>
      </c>
      <c r="H15" s="66"/>
      <c r="I15" s="84">
        <f t="shared" si="0"/>
        <v>0</v>
      </c>
      <c r="K15" s="214">
        <f>C15</f>
        <v>0</v>
      </c>
      <c r="M15" s="22">
        <v>0</v>
      </c>
      <c r="N15" s="66" t="s">
        <v>341</v>
      </c>
      <c r="R15" s="205"/>
    </row>
    <row r="16" spans="1:18">
      <c r="B16" s="83" t="s">
        <v>203</v>
      </c>
      <c r="C16" s="206">
        <f>'Sch 4'!C337+'Sch 4'!C338</f>
        <v>1021270.8200000001</v>
      </c>
      <c r="D16" s="66"/>
      <c r="E16" s="206">
        <f>136598+472709</f>
        <v>609307</v>
      </c>
      <c r="F16" s="66"/>
      <c r="G16" s="206">
        <f t="shared" si="1"/>
        <v>285502</v>
      </c>
      <c r="H16" s="66"/>
      <c r="I16" s="206">
        <f t="shared" si="0"/>
        <v>1306772.82</v>
      </c>
      <c r="K16" s="56"/>
      <c r="M16" s="227">
        <f>I16</f>
        <v>1306772.82</v>
      </c>
      <c r="N16" s="66" t="s">
        <v>344</v>
      </c>
      <c r="R16" s="205"/>
    </row>
    <row r="17" spans="1:19">
      <c r="C17" s="84"/>
      <c r="D17" s="66"/>
      <c r="E17" s="84"/>
      <c r="F17" s="66"/>
      <c r="G17" s="84"/>
      <c r="H17" s="66"/>
      <c r="I17" s="84"/>
      <c r="R17" s="205"/>
    </row>
    <row r="18" spans="1:19" ht="13">
      <c r="B18" s="20" t="s">
        <v>196</v>
      </c>
      <c r="C18" s="84">
        <f>SUM(C9:C17)</f>
        <v>124435626.79000001</v>
      </c>
      <c r="D18" s="66"/>
      <c r="E18" s="84">
        <f>SUM(E9:E17)</f>
        <v>10219798.828855887</v>
      </c>
      <c r="F18" s="66"/>
      <c r="G18" s="84">
        <f>SUM(G9:G17)</f>
        <v>4788675</v>
      </c>
      <c r="H18" s="66"/>
      <c r="I18" s="84">
        <f>SUM(I9:I17)</f>
        <v>129224301.79000001</v>
      </c>
      <c r="K18" s="84">
        <f>SUM(K9:K17)</f>
        <v>16325640.340000002</v>
      </c>
      <c r="M18" s="84">
        <f>SUM(M9:M17)</f>
        <v>112898661.45</v>
      </c>
      <c r="R18" s="205"/>
    </row>
    <row r="19" spans="1:19">
      <c r="C19" s="84"/>
      <c r="D19" s="66"/>
      <c r="E19" s="84"/>
      <c r="F19" s="66"/>
      <c r="G19" s="84"/>
      <c r="H19" s="66"/>
      <c r="I19" s="84"/>
      <c r="Q19" s="22"/>
      <c r="R19" s="205"/>
    </row>
    <row r="20" spans="1:19">
      <c r="C20" s="84"/>
      <c r="D20" s="66"/>
      <c r="E20" s="84"/>
      <c r="F20" s="66"/>
      <c r="G20" s="84"/>
      <c r="H20" s="66"/>
      <c r="I20" s="84"/>
      <c r="Q20" s="22"/>
      <c r="R20" s="205"/>
    </row>
    <row r="21" spans="1:19">
      <c r="B21" s="207" t="s">
        <v>408</v>
      </c>
      <c r="C21" s="84"/>
      <c r="D21" s="66"/>
      <c r="E21" s="84"/>
      <c r="F21" s="66"/>
      <c r="G21" s="84"/>
      <c r="H21" s="66"/>
      <c r="I21" s="84"/>
      <c r="Q21" s="22"/>
      <c r="R21" s="205"/>
    </row>
    <row r="22" spans="1:19">
      <c r="A22" s="83">
        <v>510</v>
      </c>
      <c r="B22" s="194" t="s">
        <v>401</v>
      </c>
      <c r="C22" s="84">
        <f>'Sch 4'!C324</f>
        <v>1615369.51</v>
      </c>
      <c r="D22" s="66"/>
      <c r="E22" s="84">
        <f>1423224.07965793+1831</f>
        <v>1425055.0796579299</v>
      </c>
      <c r="F22" s="66"/>
      <c r="G22" s="84">
        <f>ROUND(E22/($E$53-$E$51)*$C$51,0)</f>
        <v>667736</v>
      </c>
      <c r="H22" s="66"/>
      <c r="I22" s="84">
        <f>C22+G22</f>
        <v>2283105.5099999998</v>
      </c>
      <c r="K22" s="214">
        <f>I22</f>
        <v>2283105.5099999998</v>
      </c>
      <c r="N22" s="66" t="s">
        <v>341</v>
      </c>
      <c r="Q22" s="22"/>
      <c r="R22" s="205"/>
    </row>
    <row r="23" spans="1:19">
      <c r="A23" s="83">
        <v>511</v>
      </c>
      <c r="B23" s="208" t="s">
        <v>410</v>
      </c>
      <c r="C23" s="84">
        <f>'Sch 4'!C325</f>
        <v>2131947.41</v>
      </c>
      <c r="D23" s="66"/>
      <c r="E23" s="84">
        <v>183664.21240428381</v>
      </c>
      <c r="F23" s="66"/>
      <c r="G23" s="84">
        <f>ROUND(E23/($E$53-$E$51)*$C$51,0)</f>
        <v>86059</v>
      </c>
      <c r="H23" s="66"/>
      <c r="I23" s="84">
        <f>C23+G23</f>
        <v>2218006.41</v>
      </c>
      <c r="K23" s="214">
        <f>I23</f>
        <v>2218006.41</v>
      </c>
      <c r="N23" s="66" t="s">
        <v>341</v>
      </c>
      <c r="Q23" s="22"/>
      <c r="R23" s="209"/>
    </row>
    <row r="24" spans="1:19">
      <c r="A24" s="83">
        <v>512</v>
      </c>
      <c r="B24" s="194" t="s">
        <v>411</v>
      </c>
      <c r="C24" s="84">
        <f>'Sch 4'!C326</f>
        <v>13808553.580000002</v>
      </c>
      <c r="D24" s="66"/>
      <c r="E24" s="84">
        <v>2002263.1440184221</v>
      </c>
      <c r="F24" s="66"/>
      <c r="G24" s="84">
        <f>ROUND(E24/($E$53-$E$51)*$C$51,0)</f>
        <v>938197</v>
      </c>
      <c r="H24" s="66"/>
      <c r="I24" s="84">
        <f>C24+G24</f>
        <v>14746750.580000002</v>
      </c>
      <c r="K24" s="214">
        <f>I24*0.34</f>
        <v>5013895.1972000012</v>
      </c>
      <c r="M24" s="214">
        <f>I24-K24</f>
        <v>9732855.3828000017</v>
      </c>
      <c r="N24" s="66" t="s">
        <v>912</v>
      </c>
      <c r="Q24" s="22"/>
      <c r="R24" s="209"/>
      <c r="S24" s="22"/>
    </row>
    <row r="25" spans="1:19">
      <c r="A25" s="83">
        <v>513</v>
      </c>
      <c r="B25" s="194" t="s">
        <v>412</v>
      </c>
      <c r="C25" s="84">
        <f>'Sch 4'!C327</f>
        <v>4686151.29</v>
      </c>
      <c r="D25" s="66"/>
      <c r="E25" s="84">
        <v>1141172.3149365266</v>
      </c>
      <c r="F25" s="66"/>
      <c r="G25" s="84">
        <f>ROUND(E25/($E$53-$E$51)*$C$51,0)</f>
        <v>534717</v>
      </c>
      <c r="H25" s="66"/>
      <c r="I25" s="84">
        <f>C25+G25</f>
        <v>5220868.29</v>
      </c>
      <c r="K25" s="214">
        <f>I25</f>
        <v>5220868.29</v>
      </c>
      <c r="N25" s="66" t="s">
        <v>341</v>
      </c>
      <c r="Q25" s="22"/>
      <c r="R25" s="209"/>
      <c r="S25" s="22"/>
    </row>
    <row r="26" spans="1:19">
      <c r="A26" s="83" t="s">
        <v>409</v>
      </c>
      <c r="B26" s="194" t="s">
        <v>413</v>
      </c>
      <c r="C26" s="206">
        <f>'Sch 4'!C328</f>
        <v>1230363.71</v>
      </c>
      <c r="D26" s="66"/>
      <c r="E26" s="206">
        <v>436560.75228647771</v>
      </c>
      <c r="F26" s="66"/>
      <c r="G26" s="206">
        <f>ROUND(E26/($E$53-$E$51)*$C$51,0)</f>
        <v>204559</v>
      </c>
      <c r="H26" s="66"/>
      <c r="I26" s="206">
        <f>C26+G26</f>
        <v>1434922.71</v>
      </c>
      <c r="K26" s="227">
        <f>I26</f>
        <v>1434922.71</v>
      </c>
      <c r="M26" s="56"/>
      <c r="N26" s="66" t="s">
        <v>341</v>
      </c>
      <c r="Q26" s="22"/>
      <c r="R26" s="209"/>
      <c r="S26" s="22"/>
    </row>
    <row r="27" spans="1:19">
      <c r="C27" s="84"/>
      <c r="D27" s="66"/>
      <c r="E27" s="84"/>
      <c r="F27" s="66"/>
      <c r="G27" s="84"/>
      <c r="H27" s="66"/>
      <c r="I27" s="84"/>
      <c r="Q27" s="22"/>
      <c r="R27" s="209"/>
      <c r="S27" s="22"/>
    </row>
    <row r="28" spans="1:19" ht="13">
      <c r="B28" s="210" t="s">
        <v>415</v>
      </c>
      <c r="C28" s="84">
        <f>SUM(C22:C27)</f>
        <v>23472385.5</v>
      </c>
      <c r="D28" s="66"/>
      <c r="E28" s="84">
        <f>SUM(E22:E27)</f>
        <v>5188715.5033036405</v>
      </c>
      <c r="F28" s="66"/>
      <c r="G28" s="84">
        <f>SUM(G22:G27)</f>
        <v>2431268</v>
      </c>
      <c r="H28" s="66"/>
      <c r="I28" s="84">
        <f>SUM(I22:I27)</f>
        <v>25903653.5</v>
      </c>
      <c r="K28" s="84">
        <f>SUM(K22:K27)</f>
        <v>16170798.117200002</v>
      </c>
      <c r="M28" s="84">
        <f>SUM(M22:M27)</f>
        <v>9732855.3828000017</v>
      </c>
      <c r="Q28" s="22"/>
      <c r="R28" s="205"/>
      <c r="S28" s="22"/>
    </row>
    <row r="29" spans="1:19">
      <c r="B29" s="194"/>
      <c r="C29" s="84"/>
      <c r="D29" s="66"/>
      <c r="E29" s="84"/>
      <c r="F29" s="66"/>
      <c r="G29" s="84"/>
      <c r="H29" s="66"/>
      <c r="I29" s="84"/>
      <c r="Q29" s="22"/>
      <c r="R29" s="205"/>
      <c r="S29" s="22"/>
    </row>
    <row r="30" spans="1:19">
      <c r="B30" s="194"/>
      <c r="C30" s="84"/>
      <c r="D30" s="66"/>
      <c r="E30" s="84"/>
      <c r="F30" s="66"/>
      <c r="G30" s="84"/>
      <c r="H30" s="66"/>
      <c r="I30" s="84"/>
      <c r="Q30" s="22"/>
      <c r="R30" s="205"/>
      <c r="S30" s="22"/>
    </row>
    <row r="31" spans="1:19" ht="13">
      <c r="B31" s="210" t="s">
        <v>414</v>
      </c>
      <c r="C31" s="84">
        <f>C18+C28</f>
        <v>147908012.29000002</v>
      </c>
      <c r="D31" s="66"/>
      <c r="E31" s="84">
        <f>E18+E28</f>
        <v>15408514.332159527</v>
      </c>
      <c r="F31" s="66"/>
      <c r="G31" s="84">
        <f>G18+G28</f>
        <v>7219943</v>
      </c>
      <c r="H31" s="66"/>
      <c r="I31" s="84">
        <f>I18+I28</f>
        <v>155127955.29000002</v>
      </c>
      <c r="K31" s="84">
        <f>K18+K28</f>
        <v>32496438.457200006</v>
      </c>
      <c r="M31" s="84">
        <f>M18+M28</f>
        <v>122631516.8328</v>
      </c>
      <c r="Q31" s="22"/>
      <c r="R31" s="205"/>
      <c r="S31" s="22"/>
    </row>
    <row r="32" spans="1:19">
      <c r="C32" s="84"/>
      <c r="D32" s="66"/>
      <c r="E32" s="84"/>
      <c r="F32" s="66"/>
      <c r="G32" s="84"/>
      <c r="H32" s="66"/>
      <c r="I32" s="84"/>
      <c r="Q32" s="22"/>
      <c r="R32" s="205"/>
      <c r="S32" s="22"/>
    </row>
    <row r="33" spans="2:19">
      <c r="C33" s="84"/>
      <c r="D33" s="66"/>
      <c r="E33" s="84"/>
      <c r="F33" s="66"/>
      <c r="G33" s="84"/>
      <c r="H33" s="66"/>
      <c r="I33" s="84"/>
      <c r="K33" s="418"/>
      <c r="Q33" s="22"/>
      <c r="R33" s="205"/>
      <c r="S33" s="22"/>
    </row>
    <row r="34" spans="2:19">
      <c r="B34" s="194" t="s">
        <v>873</v>
      </c>
      <c r="C34" s="84">
        <f>(+'Sch 4'!C297)*-1</f>
        <v>-86296747.88000001</v>
      </c>
      <c r="D34" s="66"/>
      <c r="E34" s="84">
        <v>0</v>
      </c>
      <c r="F34" s="66"/>
      <c r="G34" s="84">
        <v>0</v>
      </c>
      <c r="H34" s="66"/>
      <c r="I34" s="84">
        <f>C34+G34</f>
        <v>-86296747.88000001</v>
      </c>
      <c r="K34" s="241">
        <f>I34</f>
        <v>-86296747.88000001</v>
      </c>
      <c r="N34" s="66" t="s">
        <v>362</v>
      </c>
      <c r="Q34" s="22"/>
      <c r="R34" s="205"/>
      <c r="S34" s="22"/>
    </row>
    <row r="35" spans="2:19">
      <c r="B35" s="194"/>
      <c r="C35" s="84"/>
      <c r="D35" s="66"/>
      <c r="E35" s="84"/>
      <c r="F35" s="66"/>
      <c r="G35" s="84"/>
      <c r="H35" s="66"/>
      <c r="I35" s="84"/>
      <c r="Q35" s="22"/>
      <c r="R35" s="205"/>
      <c r="S35" s="22"/>
    </row>
    <row r="36" spans="2:19">
      <c r="B36" s="194" t="s">
        <v>906</v>
      </c>
      <c r="C36" s="84">
        <f>'Sch 4'!C352</f>
        <v>117964.5</v>
      </c>
      <c r="D36" s="66"/>
      <c r="E36" s="195"/>
      <c r="F36" s="196"/>
      <c r="G36" s="84"/>
      <c r="H36" s="66"/>
      <c r="I36" s="84">
        <f>C36+G36</f>
        <v>117964.5</v>
      </c>
      <c r="K36" s="66">
        <f>I36</f>
        <v>117964.5</v>
      </c>
      <c r="N36" s="25" t="s">
        <v>346</v>
      </c>
      <c r="R36" s="205"/>
      <c r="S36" s="22"/>
    </row>
    <row r="37" spans="2:19">
      <c r="B37" s="194" t="s">
        <v>870</v>
      </c>
      <c r="C37" s="84">
        <f>'Sch 4'!C350-'Sch 4'!C295</f>
        <v>122288879.15000001</v>
      </c>
      <c r="D37" s="66"/>
      <c r="E37" s="376"/>
      <c r="F37" s="211"/>
      <c r="G37" s="84"/>
      <c r="H37" s="66"/>
      <c r="I37" s="84">
        <f>C37+G37</f>
        <v>122288879.15000001</v>
      </c>
      <c r="K37" s="66">
        <f>I37</f>
        <v>122288879.15000001</v>
      </c>
      <c r="N37" s="66" t="s">
        <v>362</v>
      </c>
      <c r="R37" s="205"/>
      <c r="S37" s="22"/>
    </row>
    <row r="38" spans="2:19">
      <c r="B38" s="194" t="s">
        <v>871</v>
      </c>
      <c r="C38" s="84">
        <f>'Sch 4'!C351-'Sch 4'!C296</f>
        <v>-144928.67000000001</v>
      </c>
      <c r="D38" s="66"/>
      <c r="E38" s="376"/>
      <c r="F38" s="211"/>
      <c r="G38" s="84"/>
      <c r="H38" s="66"/>
      <c r="I38" s="84">
        <f>C38+G38</f>
        <v>-144928.67000000001</v>
      </c>
      <c r="K38" s="66"/>
      <c r="M38" s="214">
        <f>I38</f>
        <v>-144928.67000000001</v>
      </c>
      <c r="N38" s="66" t="s">
        <v>362</v>
      </c>
      <c r="R38" s="205"/>
      <c r="S38" s="22"/>
    </row>
    <row r="39" spans="2:19">
      <c r="B39" s="194" t="s">
        <v>872</v>
      </c>
      <c r="C39" s="202">
        <f>SUM('Sch 4'!C344:C349,'Sch 4'!C354:C355,'Sch 4'!C359:C364)</f>
        <v>6537711.1819999991</v>
      </c>
      <c r="D39" s="66"/>
      <c r="E39" s="195">
        <f>2660956+901340</f>
        <v>3562296</v>
      </c>
      <c r="F39" s="196"/>
      <c r="G39" s="84">
        <f>ROUND(E39/($E$53-$E$51)*$C$51,0)</f>
        <v>1669179</v>
      </c>
      <c r="H39" s="66"/>
      <c r="I39" s="84">
        <f>C39+G39</f>
        <v>8206890.1819999991</v>
      </c>
      <c r="K39" s="66">
        <f>I39</f>
        <v>8206890.1819999991</v>
      </c>
      <c r="N39" s="25" t="s">
        <v>346</v>
      </c>
      <c r="S39" s="22"/>
    </row>
    <row r="40" spans="2:19">
      <c r="B40" s="194" t="s">
        <v>420</v>
      </c>
      <c r="C40" s="206">
        <f>'Sch 4'!C353</f>
        <v>-75361.130000000121</v>
      </c>
      <c r="D40" s="66"/>
      <c r="E40" s="377"/>
      <c r="F40" s="211"/>
      <c r="G40" s="206"/>
      <c r="H40" s="66"/>
      <c r="I40" s="206">
        <f>C40+G40</f>
        <v>-75361.130000000121</v>
      </c>
      <c r="K40" s="206"/>
      <c r="M40" s="56"/>
      <c r="N40" s="66" t="s">
        <v>861</v>
      </c>
      <c r="S40" s="22"/>
    </row>
    <row r="41" spans="2:19" ht="13">
      <c r="B41" s="210" t="s">
        <v>210</v>
      </c>
      <c r="C41" s="84">
        <f>SUM(C36:C40)</f>
        <v>128724265.03200001</v>
      </c>
      <c r="D41" s="66"/>
      <c r="E41" s="84">
        <f>SUM(E36:E40)</f>
        <v>3562296</v>
      </c>
      <c r="F41" s="66"/>
      <c r="G41" s="84">
        <f>SUM(G36:G40)</f>
        <v>1669179</v>
      </c>
      <c r="H41" s="66"/>
      <c r="I41" s="84">
        <f>SUM(I36:I40)</f>
        <v>130393444.03200001</v>
      </c>
      <c r="K41" s="84">
        <f>SUM(K36:K40)</f>
        <v>130613733.832</v>
      </c>
      <c r="M41" s="84">
        <f>SUM(M36:M40)</f>
        <v>-144928.67000000001</v>
      </c>
    </row>
    <row r="42" spans="2:19">
      <c r="B42" s="194"/>
      <c r="C42" s="84"/>
      <c r="D42" s="66"/>
      <c r="E42" s="84"/>
      <c r="F42" s="66"/>
      <c r="G42" s="84"/>
      <c r="H42" s="66"/>
      <c r="I42" s="84"/>
    </row>
    <row r="43" spans="2:19">
      <c r="B43" s="194"/>
      <c r="C43" s="84"/>
      <c r="D43" s="66"/>
      <c r="E43" s="84"/>
      <c r="F43" s="66"/>
      <c r="G43" s="84"/>
      <c r="H43" s="66"/>
      <c r="I43" s="84"/>
      <c r="M43" s="452"/>
      <c r="N43" s="452"/>
    </row>
    <row r="44" spans="2:19">
      <c r="B44" s="194" t="s">
        <v>371</v>
      </c>
      <c r="C44" s="84">
        <f>'Sch 4'!C365</f>
        <v>960414.79999999993</v>
      </c>
      <c r="D44" s="66"/>
      <c r="E44" s="195">
        <v>0</v>
      </c>
      <c r="F44" s="196"/>
      <c r="G44" s="84">
        <f t="shared" ref="G44:G50" si="2">ROUND(E44/($E$53-$E$51)*$C$51,0)</f>
        <v>0</v>
      </c>
      <c r="H44" s="66"/>
      <c r="I44" s="84">
        <f>C44+G44</f>
        <v>960414.79999999993</v>
      </c>
      <c r="K44" s="214">
        <f t="shared" ref="K44:K50" si="3">C44</f>
        <v>960414.79999999993</v>
      </c>
      <c r="N44" s="66" t="s">
        <v>346</v>
      </c>
    </row>
    <row r="45" spans="2:19">
      <c r="B45" s="194" t="s">
        <v>428</v>
      </c>
      <c r="C45" s="84">
        <f>'Sch 4'!C381</f>
        <v>7805597.6200000001</v>
      </c>
      <c r="D45" s="66"/>
      <c r="E45" s="195">
        <v>3859800.9166259887</v>
      </c>
      <c r="F45" s="196"/>
      <c r="G45" s="84">
        <f t="shared" si="2"/>
        <v>1808581</v>
      </c>
      <c r="H45" s="66"/>
      <c r="I45" s="84">
        <f t="shared" ref="I45:I51" si="4">C45+G45</f>
        <v>9614178.620000001</v>
      </c>
      <c r="K45" s="214">
        <f t="shared" si="3"/>
        <v>7805597.6200000001</v>
      </c>
      <c r="N45" s="66" t="s">
        <v>348</v>
      </c>
    </row>
    <row r="46" spans="2:19">
      <c r="B46" s="194" t="s">
        <v>429</v>
      </c>
      <c r="C46" s="84">
        <f>+'Sch 4'!C394</f>
        <v>35881082.569999993</v>
      </c>
      <c r="D46" s="66"/>
      <c r="E46" s="195">
        <v>6326385.3064712388</v>
      </c>
      <c r="F46" s="196"/>
      <c r="G46" s="84">
        <f t="shared" si="2"/>
        <v>2964344</v>
      </c>
      <c r="H46" s="66"/>
      <c r="I46" s="84">
        <f t="shared" si="4"/>
        <v>38845426.569999993</v>
      </c>
      <c r="K46" s="214">
        <f t="shared" si="3"/>
        <v>35881082.569999993</v>
      </c>
      <c r="N46" s="66" t="s">
        <v>348</v>
      </c>
    </row>
    <row r="47" spans="2:19">
      <c r="B47" s="194" t="s">
        <v>421</v>
      </c>
      <c r="C47" s="84">
        <f>'Sch 4'!C405</f>
        <v>8412290.5</v>
      </c>
      <c r="D47" s="66"/>
      <c r="E47" s="195">
        <v>2909802.5868947934</v>
      </c>
      <c r="F47" s="196"/>
      <c r="G47" s="84">
        <f t="shared" si="2"/>
        <v>1363442</v>
      </c>
      <c r="H47" s="66"/>
      <c r="I47" s="84">
        <f t="shared" si="4"/>
        <v>9775732.5</v>
      </c>
      <c r="K47" s="214">
        <f t="shared" si="3"/>
        <v>8412290.5</v>
      </c>
      <c r="N47" s="66" t="s">
        <v>796</v>
      </c>
    </row>
    <row r="48" spans="2:19">
      <c r="B48" s="194" t="s">
        <v>422</v>
      </c>
      <c r="C48" s="84">
        <f>'Sch 4'!C412</f>
        <v>1446712.98</v>
      </c>
      <c r="D48" s="66"/>
      <c r="E48" s="195">
        <v>191819.95521090843</v>
      </c>
      <c r="F48" s="196"/>
      <c r="G48" s="84">
        <f t="shared" si="2"/>
        <v>89881</v>
      </c>
      <c r="H48" s="66"/>
      <c r="I48" s="84">
        <f t="shared" si="4"/>
        <v>1536593.98</v>
      </c>
      <c r="K48" s="214">
        <f t="shared" si="3"/>
        <v>1446712.98</v>
      </c>
      <c r="N48" s="66" t="s">
        <v>796</v>
      </c>
    </row>
    <row r="49" spans="2:16">
      <c r="B49" s="194" t="s">
        <v>24</v>
      </c>
      <c r="C49" s="84">
        <f>'Sch 4'!C419</f>
        <v>47429.93</v>
      </c>
      <c r="D49" s="66"/>
      <c r="E49" s="195">
        <v>70.5</v>
      </c>
      <c r="F49" s="196"/>
      <c r="G49" s="84">
        <f t="shared" si="2"/>
        <v>33</v>
      </c>
      <c r="H49" s="66"/>
      <c r="I49" s="84">
        <f t="shared" si="4"/>
        <v>47462.93</v>
      </c>
      <c r="K49" s="214">
        <f t="shared" si="3"/>
        <v>47429.93</v>
      </c>
      <c r="N49" s="66" t="s">
        <v>796</v>
      </c>
    </row>
    <row r="50" spans="2:16">
      <c r="B50" s="194" t="s">
        <v>423</v>
      </c>
      <c r="C50" s="84">
        <f>'Sch 4'!C431+'Sch 4'!C432</f>
        <v>2677890.92</v>
      </c>
      <c r="D50" s="66"/>
      <c r="E50" s="195">
        <v>244706.4363965489</v>
      </c>
      <c r="F50" s="196"/>
      <c r="G50" s="84">
        <f t="shared" si="2"/>
        <v>114662</v>
      </c>
      <c r="H50" s="66"/>
      <c r="I50" s="84">
        <f t="shared" si="4"/>
        <v>2792552.92</v>
      </c>
      <c r="K50" s="214">
        <f t="shared" si="3"/>
        <v>2677890.92</v>
      </c>
      <c r="N50" s="66" t="s">
        <v>362</v>
      </c>
    </row>
    <row r="51" spans="2:16">
      <c r="B51" s="194" t="s">
        <v>424</v>
      </c>
      <c r="C51" s="206">
        <f>'Sch 4'!C422+'Sch 4'!C423+'Sch 4'!C424+'Sch 4'!C425+'Sch 4'!C426+'Sch 4'!C427+'Sch 4'!C428+'Sch 4'!C429+'Sch 4'!C430+'Sch 4'!C433+'Sch 4'!C434+'Sch 4'!C435+'Sch 4'!C438+'Sch 4'!C439</f>
        <v>15230064.320000002</v>
      </c>
      <c r="D51" s="66"/>
      <c r="E51" s="306">
        <v>8938170.3584157694</v>
      </c>
      <c r="F51" s="196"/>
      <c r="G51" s="206">
        <f>C51*-1</f>
        <v>-15230064.320000002</v>
      </c>
      <c r="H51" s="66"/>
      <c r="I51" s="206">
        <f t="shared" si="4"/>
        <v>0</v>
      </c>
      <c r="K51" s="56"/>
      <c r="M51" s="56"/>
      <c r="N51" s="66" t="s">
        <v>861</v>
      </c>
    </row>
    <row r="52" spans="2:16">
      <c r="B52" s="194"/>
      <c r="C52" s="84"/>
      <c r="D52" s="66"/>
      <c r="E52" s="84"/>
      <c r="F52" s="66"/>
      <c r="G52" s="84"/>
      <c r="H52" s="66"/>
      <c r="I52" s="84"/>
    </row>
    <row r="53" spans="2:16" ht="13">
      <c r="B53" s="210" t="s">
        <v>425</v>
      </c>
      <c r="C53" s="84">
        <f>C31+C34+C41+SUM(C44:C51)</f>
        <v>262797013.08200002</v>
      </c>
      <c r="D53" s="66"/>
      <c r="E53" s="84">
        <f>E31+E34+E41+SUM(E44:E51)</f>
        <v>41441566.392174773</v>
      </c>
      <c r="F53" s="66"/>
      <c r="G53" s="84">
        <f>G31+G34+G41+SUM(G44:G51)</f>
        <v>0.67999999783933163</v>
      </c>
      <c r="H53" s="66"/>
      <c r="I53" s="84">
        <f>I31+I34+I41+SUM(I44:I51)</f>
        <v>262797013.76200002</v>
      </c>
      <c r="K53" s="84">
        <f>K31+K34+K41+SUM(K44:K51)</f>
        <v>134044843.72919999</v>
      </c>
      <c r="M53" s="84">
        <f>M31+M34+M41+SUM(M44:M51)</f>
        <v>122486588.1628</v>
      </c>
    </row>
    <row r="54" spans="2:16">
      <c r="C54" s="84"/>
      <c r="D54" s="66"/>
      <c r="E54" s="84"/>
      <c r="F54" s="66"/>
      <c r="G54" s="84"/>
      <c r="H54" s="66"/>
      <c r="I54" s="84"/>
    </row>
    <row r="55" spans="2:16" s="3" customFormat="1" ht="13">
      <c r="B55" s="3" t="s">
        <v>860</v>
      </c>
      <c r="D55" s="13"/>
      <c r="F55" s="13"/>
      <c r="H55" s="13"/>
      <c r="K55" s="228">
        <f>K53/(K53+M53)</f>
        <v>0.52252795199628022</v>
      </c>
      <c r="L55" s="228"/>
      <c r="M55" s="228">
        <f>M53/(K53+M53)</f>
        <v>0.47747204800371984</v>
      </c>
      <c r="N55" s="228">
        <f>K55+M55</f>
        <v>1</v>
      </c>
      <c r="O55" s="13"/>
      <c r="P55" s="13"/>
    </row>
    <row r="56" spans="2:16">
      <c r="C56" s="451" t="s">
        <v>210</v>
      </c>
      <c r="D56" s="451"/>
      <c r="E56" s="451"/>
      <c r="F56" s="451"/>
      <c r="G56" s="451"/>
    </row>
    <row r="57" spans="2:16">
      <c r="C57" s="22" t="s">
        <v>426</v>
      </c>
      <c r="E57" s="84">
        <v>2660955.8903536396</v>
      </c>
      <c r="G57" s="84">
        <f>ROUND(E57/($E$53-$E$51)*$C$51,0)</f>
        <v>1246840</v>
      </c>
    </row>
    <row r="58" spans="2:16" ht="14">
      <c r="C58" s="22" t="s">
        <v>427</v>
      </c>
      <c r="E58" s="430">
        <v>901339.51684207318</v>
      </c>
      <c r="G58" s="213">
        <f>ROUND(E58/($E$53-$E$51)*$C$51,0)</f>
        <v>422339</v>
      </c>
    </row>
    <row r="59" spans="2:16">
      <c r="E59" s="84">
        <f>SUM(E57:E58)</f>
        <v>3562295.4071957129</v>
      </c>
      <c r="G59" s="212">
        <f>SUM(G57:G58)</f>
        <v>1669179</v>
      </c>
    </row>
  </sheetData>
  <mergeCells count="6">
    <mergeCell ref="C56:G56"/>
    <mergeCell ref="M43:N43"/>
    <mergeCell ref="A1:I1"/>
    <mergeCell ref="A2:I2"/>
    <mergeCell ref="A3:I3"/>
    <mergeCell ref="M8:N8"/>
  </mergeCells>
  <pageMargins left="0.7" right="0.45" top="0.75" bottom="0.75" header="0.3" footer="0.3"/>
  <pageSetup scale="59" orientation="portrait" r:id="rId1"/>
  <headerFooter>
    <oddHeader xml:space="preserve">&amp;RSECTION V
SCHEDULE 6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9"/>
  <sheetViews>
    <sheetView zoomScale="88" zoomScaleNormal="88" workbookViewId="0">
      <selection activeCell="M38" sqref="M38"/>
    </sheetView>
  </sheetViews>
  <sheetFormatPr defaultColWidth="9.1796875" defaultRowHeight="12.5"/>
  <cols>
    <col min="1" max="1" width="28.26953125" style="83" bestFit="1" customWidth="1"/>
    <col min="2" max="2" width="15" style="83" bestFit="1" customWidth="1"/>
    <col min="3" max="3" width="1.7265625" style="83" customWidth="1"/>
    <col min="4" max="4" width="12.81640625" style="83" bestFit="1" customWidth="1"/>
    <col min="5" max="5" width="1.7265625" style="83" customWidth="1"/>
    <col min="6" max="6" width="14.1796875" style="83" bestFit="1" customWidth="1"/>
    <col min="7" max="7" width="9.1796875" style="83"/>
    <col min="8" max="8" width="15.81640625" style="83" bestFit="1" customWidth="1"/>
    <col min="9" max="9" width="9.1796875" style="83"/>
    <col min="10" max="10" width="12.81640625" style="83" bestFit="1" customWidth="1"/>
    <col min="11" max="16384" width="9.1796875" style="83"/>
  </cols>
  <sheetData>
    <row r="1" spans="1:10" ht="25.5" customHeight="1">
      <c r="A1" s="453" t="s">
        <v>334</v>
      </c>
      <c r="B1" s="453"/>
      <c r="C1" s="453"/>
      <c r="D1" s="453"/>
      <c r="E1" s="453"/>
      <c r="F1" s="453"/>
    </row>
    <row r="2" spans="1:10">
      <c r="A2" s="453" t="s">
        <v>938</v>
      </c>
      <c r="B2" s="453"/>
      <c r="C2" s="453"/>
      <c r="D2" s="453"/>
      <c r="E2" s="453"/>
      <c r="F2" s="453"/>
    </row>
    <row r="3" spans="1:10">
      <c r="A3" s="454" t="s">
        <v>1088</v>
      </c>
      <c r="B3" s="454"/>
      <c r="C3" s="454"/>
      <c r="D3" s="454"/>
      <c r="E3" s="454"/>
      <c r="F3" s="454"/>
    </row>
    <row r="6" spans="1:10">
      <c r="A6" s="307" t="s">
        <v>440</v>
      </c>
      <c r="B6" s="308" t="s">
        <v>154</v>
      </c>
      <c r="D6" s="307" t="s">
        <v>441</v>
      </c>
      <c r="F6" s="307" t="s">
        <v>442</v>
      </c>
    </row>
    <row r="8" spans="1:10">
      <c r="A8" s="194" t="s">
        <v>430</v>
      </c>
      <c r="B8" s="431">
        <v>234295960.21999997</v>
      </c>
      <c r="D8" s="431">
        <v>48791583.949999996</v>
      </c>
      <c r="F8" s="104">
        <f>B8+D8</f>
        <v>283087544.16999996</v>
      </c>
      <c r="H8" s="14"/>
      <c r="J8" s="250"/>
    </row>
    <row r="9" spans="1:10">
      <c r="A9" s="194"/>
      <c r="B9" s="195"/>
      <c r="D9" s="194"/>
      <c r="F9" s="104"/>
    </row>
    <row r="10" spans="1:10">
      <c r="A10" s="194" t="s">
        <v>431</v>
      </c>
      <c r="B10" s="306">
        <v>0</v>
      </c>
      <c r="D10" s="306">
        <v>868680</v>
      </c>
      <c r="F10" s="309">
        <f t="shared" ref="F10" si="0">B10+D10</f>
        <v>868680</v>
      </c>
    </row>
    <row r="11" spans="1:10">
      <c r="A11" s="194"/>
    </row>
    <row r="12" spans="1:10">
      <c r="A12" s="194" t="s">
        <v>432</v>
      </c>
      <c r="B12" s="104">
        <f>B8+B10</f>
        <v>234295960.21999997</v>
      </c>
      <c r="D12" s="104">
        <f>D8+D10</f>
        <v>49660263.949999996</v>
      </c>
      <c r="F12" s="104">
        <f>F8+F10</f>
        <v>283956224.16999996</v>
      </c>
    </row>
    <row r="13" spans="1:10">
      <c r="A13" s="194"/>
    </row>
    <row r="14" spans="1:10">
      <c r="A14" s="194" t="s">
        <v>433</v>
      </c>
    </row>
    <row r="15" spans="1:10">
      <c r="A15" s="194"/>
    </row>
    <row r="16" spans="1:10">
      <c r="A16" s="195" t="s">
        <v>434</v>
      </c>
      <c r="B16" s="310">
        <v>50929678.369999997</v>
      </c>
      <c r="C16" s="310"/>
      <c r="D16" s="310">
        <v>4649281.5</v>
      </c>
      <c r="F16" s="38">
        <f>B16+D16</f>
        <v>55578959.869999997</v>
      </c>
    </row>
    <row r="17" spans="1:6">
      <c r="A17" s="195"/>
      <c r="B17" s="310"/>
      <c r="C17" s="310"/>
      <c r="D17" s="310"/>
    </row>
    <row r="18" spans="1:6">
      <c r="A18" s="195" t="s">
        <v>776</v>
      </c>
      <c r="B18" s="310">
        <v>-4487355.6900000004</v>
      </c>
      <c r="C18" s="310"/>
      <c r="D18" s="310">
        <v>-2908254.9099999983</v>
      </c>
      <c r="F18" s="38">
        <f>B18+D18</f>
        <v>-7395610.5999999987</v>
      </c>
    </row>
    <row r="19" spans="1:6">
      <c r="A19" s="195"/>
      <c r="B19" s="310"/>
      <c r="C19" s="310"/>
      <c r="D19" s="310"/>
    </row>
    <row r="20" spans="1:6" ht="25">
      <c r="A20" s="311" t="s">
        <v>435</v>
      </c>
      <c r="B20" s="310">
        <v>0</v>
      </c>
      <c r="C20" s="310"/>
      <c r="D20" s="310">
        <v>0</v>
      </c>
      <c r="F20" s="38">
        <f>B20+D20</f>
        <v>0</v>
      </c>
    </row>
    <row r="21" spans="1:6">
      <c r="A21" s="195"/>
      <c r="B21" s="310"/>
      <c r="C21" s="310"/>
      <c r="D21" s="310"/>
    </row>
    <row r="22" spans="1:6">
      <c r="A22" s="312" t="s">
        <v>436</v>
      </c>
      <c r="B22" s="310">
        <v>0</v>
      </c>
      <c r="C22" s="310"/>
      <c r="D22" s="310">
        <v>0</v>
      </c>
      <c r="F22" s="38">
        <f>B22+D22</f>
        <v>0</v>
      </c>
    </row>
    <row r="23" spans="1:6">
      <c r="A23" s="194"/>
      <c r="B23" s="310"/>
      <c r="C23" s="238"/>
      <c r="D23" s="238"/>
    </row>
    <row r="24" spans="1:6">
      <c r="A24" s="195" t="s">
        <v>369</v>
      </c>
      <c r="B24" s="432">
        <v>-1515012.18</v>
      </c>
      <c r="C24" s="310"/>
      <c r="D24" s="432">
        <v>0</v>
      </c>
      <c r="F24" s="198">
        <f>B24+D24</f>
        <v>-1515012.18</v>
      </c>
    </row>
    <row r="25" spans="1:6">
      <c r="A25" s="194"/>
    </row>
    <row r="26" spans="1:6">
      <c r="A26" s="194" t="s">
        <v>437</v>
      </c>
      <c r="B26" s="38">
        <f>B16+B18+B20+B22+B24</f>
        <v>44927310.5</v>
      </c>
      <c r="D26" s="38">
        <f>D16+D18+D20+D22+D24</f>
        <v>1741026.5900000017</v>
      </c>
      <c r="F26" s="38">
        <f>F16+F18+F20+F22+F24</f>
        <v>46668337.089999996</v>
      </c>
    </row>
    <row r="27" spans="1:6">
      <c r="A27" s="194"/>
    </row>
    <row r="28" spans="1:6">
      <c r="A28" s="194" t="s">
        <v>438</v>
      </c>
      <c r="B28" s="56">
        <v>0</v>
      </c>
      <c r="D28" s="56">
        <v>0</v>
      </c>
      <c r="F28" s="56">
        <v>0</v>
      </c>
    </row>
    <row r="29" spans="1:6">
      <c r="A29" s="194"/>
    </row>
    <row r="30" spans="1:6">
      <c r="A30" s="194" t="s">
        <v>439</v>
      </c>
      <c r="B30" s="104">
        <f>B12-B26-B28</f>
        <v>189368649.71999997</v>
      </c>
      <c r="D30" s="104">
        <f>D12-D26-D28</f>
        <v>47919237.359999992</v>
      </c>
      <c r="F30" s="104">
        <f>F12-F26-F28</f>
        <v>237287887.07999995</v>
      </c>
    </row>
    <row r="31" spans="1:6">
      <c r="A31" s="194"/>
      <c r="B31" s="417" t="s">
        <v>344</v>
      </c>
      <c r="C31" s="417"/>
      <c r="D31" s="417" t="s">
        <v>341</v>
      </c>
    </row>
    <row r="32" spans="1:6">
      <c r="A32" s="313" t="s">
        <v>772</v>
      </c>
      <c r="B32" s="84">
        <f>ROUND(B30*'Allocation Factors'!$G$14,0)</f>
        <v>186717489</v>
      </c>
      <c r="C32" s="84"/>
      <c r="D32" s="84">
        <f>ROUND(D30*'Allocation Factors'!$G$10,0)</f>
        <v>47200449</v>
      </c>
      <c r="F32" s="212">
        <f>B32+D32</f>
        <v>233917938</v>
      </c>
    </row>
    <row r="33" spans="1:7">
      <c r="A33" s="194"/>
    </row>
    <row r="36" spans="1:7" ht="13">
      <c r="A36" s="83" t="s">
        <v>527</v>
      </c>
      <c r="B36" s="84">
        <f>ROUND(B26*'Allocation Factors'!$G$14,0)</f>
        <v>44298328</v>
      </c>
      <c r="C36" s="84"/>
      <c r="D36" s="84">
        <f>ROUND(D26*'Allocation Factors'!$G$10,0)</f>
        <v>1714911</v>
      </c>
      <c r="G36" s="210"/>
    </row>
    <row r="37" spans="1:7" ht="13">
      <c r="B37" s="417" t="s">
        <v>344</v>
      </c>
      <c r="C37" s="417"/>
      <c r="D37" s="417" t="s">
        <v>341</v>
      </c>
      <c r="G37" s="210"/>
    </row>
    <row r="38" spans="1:7">
      <c r="G38" s="89"/>
    </row>
    <row r="39" spans="1:7" ht="13">
      <c r="G39" s="314"/>
    </row>
  </sheetData>
  <mergeCells count="3">
    <mergeCell ref="A1:F1"/>
    <mergeCell ref="A2:F2"/>
    <mergeCell ref="A3:F3"/>
  </mergeCells>
  <printOptions horizontalCentered="1"/>
  <pageMargins left="0.7" right="0.7" top="1" bottom="0.75" header="0.55000000000000004" footer="0.3"/>
  <pageSetup orientation="portrait" r:id="rId1"/>
  <headerFooter>
    <oddHeader xml:space="preserve">&amp;RSECTION V
SCHEDULE 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AG59"/>
  <sheetViews>
    <sheetView zoomScale="80" zoomScaleNormal="80" workbookViewId="0">
      <selection activeCell="E42" sqref="E42"/>
    </sheetView>
  </sheetViews>
  <sheetFormatPr defaultColWidth="9.1796875" defaultRowHeight="12.5"/>
  <cols>
    <col min="1" max="1" width="5" style="83" bestFit="1" customWidth="1"/>
    <col min="2" max="2" width="10.7265625" style="83" bestFit="1" customWidth="1"/>
    <col min="3" max="3" width="9.7265625" style="83" customWidth="1"/>
    <col min="4" max="4" width="2.26953125" style="83" customWidth="1"/>
    <col min="5" max="5" width="11.54296875" style="83" bestFit="1" customWidth="1"/>
    <col min="6" max="6" width="2.26953125" style="83" customWidth="1"/>
    <col min="7" max="7" width="11.54296875" style="83" bestFit="1" customWidth="1"/>
    <col min="8" max="8" width="2.26953125" style="83" customWidth="1"/>
    <col min="9" max="9" width="13.453125" style="83" customWidth="1"/>
    <col min="10" max="10" width="2.26953125" style="83" customWidth="1"/>
    <col min="11" max="11" width="18" style="83" bestFit="1" customWidth="1"/>
    <col min="12" max="12" width="2.26953125" style="83" customWidth="1"/>
    <col min="13" max="13" width="12.81640625" style="83" customWidth="1"/>
    <col min="14" max="14" width="2.26953125" style="83" customWidth="1"/>
    <col min="15" max="15" width="13.54296875" style="83" customWidth="1"/>
    <col min="16" max="16" width="2.26953125" style="83" customWidth="1"/>
    <col min="17" max="17" width="11.54296875" style="83" customWidth="1"/>
    <col min="18" max="18" width="2.26953125" style="83" customWidth="1"/>
    <col min="19" max="19" width="11.453125" style="83" customWidth="1"/>
    <col min="20" max="20" width="2.26953125" style="83" customWidth="1"/>
    <col min="21" max="21" width="11.1796875" style="83" customWidth="1"/>
    <col min="22" max="22" width="2.26953125" style="83" customWidth="1"/>
    <col min="23" max="23" width="12.54296875" style="83" customWidth="1"/>
    <col min="24" max="24" width="2.26953125" style="83" customWidth="1"/>
    <col min="25" max="25" width="11.54296875" style="83" bestFit="1" customWidth="1"/>
    <col min="26" max="26" width="2.26953125" style="83" customWidth="1"/>
    <col min="27" max="27" width="11.54296875" style="83" bestFit="1" customWidth="1"/>
    <col min="28" max="28" width="2.26953125" style="83" customWidth="1"/>
    <col min="29" max="29" width="12.1796875" style="83" bestFit="1" customWidth="1"/>
    <col min="30" max="30" width="2.26953125" style="83" customWidth="1"/>
    <col min="31" max="31" width="11.26953125" style="83" customWidth="1"/>
    <col min="32" max="32" width="2.26953125" style="83" customWidth="1"/>
    <col min="33" max="33" width="11.26953125" style="83" customWidth="1"/>
    <col min="34" max="16384" width="9.1796875" style="83"/>
  </cols>
  <sheetData>
    <row r="5" spans="1:33">
      <c r="N5" s="247"/>
      <c r="AG5" s="95"/>
    </row>
    <row r="6" spans="1:33">
      <c r="A6" s="455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</row>
    <row r="7" spans="1:33">
      <c r="A7" s="450" t="s">
        <v>443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</row>
    <row r="8" spans="1:33">
      <c r="A8" s="450" t="s">
        <v>444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</row>
    <row r="9" spans="1:33">
      <c r="A9" s="455"/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</row>
    <row r="10" spans="1:33">
      <c r="N10" s="216"/>
    </row>
    <row r="12" spans="1:33">
      <c r="F12" s="216" t="s">
        <v>316</v>
      </c>
      <c r="J12" s="216" t="s">
        <v>21</v>
      </c>
      <c r="N12" s="216" t="s">
        <v>22</v>
      </c>
      <c r="R12" s="216" t="s">
        <v>121</v>
      </c>
      <c r="U12" s="456" t="s">
        <v>52</v>
      </c>
      <c r="V12" s="456"/>
      <c r="W12" s="456"/>
      <c r="Z12" s="216" t="s">
        <v>442</v>
      </c>
    </row>
    <row r="13" spans="1:33" ht="50">
      <c r="A13" s="98" t="s">
        <v>445</v>
      </c>
      <c r="B13" s="216" t="s">
        <v>446</v>
      </c>
      <c r="E13" s="98" t="s">
        <v>447</v>
      </c>
      <c r="F13" s="99"/>
      <c r="G13" s="98" t="s">
        <v>448</v>
      </c>
      <c r="H13" s="99"/>
      <c r="I13" s="98" t="s">
        <v>447</v>
      </c>
      <c r="J13" s="99"/>
      <c r="K13" s="98" t="s">
        <v>448</v>
      </c>
      <c r="L13" s="99"/>
      <c r="M13" s="98" t="s">
        <v>447</v>
      </c>
      <c r="N13" s="99"/>
      <c r="O13" s="98" t="s">
        <v>448</v>
      </c>
      <c r="P13" s="99"/>
      <c r="Q13" s="98" t="s">
        <v>447</v>
      </c>
      <c r="R13" s="99"/>
      <c r="S13" s="98" t="s">
        <v>448</v>
      </c>
      <c r="U13" s="98" t="s">
        <v>447</v>
      </c>
      <c r="V13" s="99"/>
      <c r="W13" s="98" t="s">
        <v>448</v>
      </c>
      <c r="Y13" s="98" t="s">
        <v>447</v>
      </c>
      <c r="Z13" s="99"/>
      <c r="AA13" s="98" t="s">
        <v>448</v>
      </c>
      <c r="AC13" s="98" t="s">
        <v>449</v>
      </c>
      <c r="AE13" s="98" t="s">
        <v>857</v>
      </c>
      <c r="AG13" s="98" t="s">
        <v>858</v>
      </c>
    </row>
    <row r="14" spans="1:33">
      <c r="A14" s="102">
        <v>-1</v>
      </c>
      <c r="B14" s="102">
        <v>-2</v>
      </c>
      <c r="E14" s="102">
        <v>-3</v>
      </c>
      <c r="G14" s="102">
        <v>-4</v>
      </c>
      <c r="I14" s="102">
        <v>-5</v>
      </c>
      <c r="K14" s="102">
        <v>-6</v>
      </c>
      <c r="M14" s="102">
        <v>-7</v>
      </c>
      <c r="O14" s="102">
        <v>-8</v>
      </c>
      <c r="Q14" s="102">
        <v>-9</v>
      </c>
      <c r="S14" s="102">
        <v>-10</v>
      </c>
      <c r="U14" s="102">
        <v>-11</v>
      </c>
      <c r="W14" s="102">
        <v>-12</v>
      </c>
      <c r="Y14" s="102">
        <v>-13</v>
      </c>
      <c r="AA14" s="102">
        <v>-14</v>
      </c>
      <c r="AC14" s="102">
        <v>-15</v>
      </c>
      <c r="AE14" s="102">
        <v>-16</v>
      </c>
      <c r="AG14" s="102">
        <v>-17</v>
      </c>
    </row>
    <row r="15" spans="1:33">
      <c r="A15" s="102"/>
      <c r="B15" s="102"/>
      <c r="E15" s="102"/>
      <c r="G15" s="102"/>
      <c r="I15" s="102"/>
      <c r="K15" s="102"/>
      <c r="M15" s="102"/>
      <c r="O15" s="102"/>
      <c r="Q15" s="102"/>
      <c r="S15" s="102"/>
      <c r="Y15" s="102"/>
      <c r="AA15" s="102"/>
      <c r="AC15" s="102"/>
      <c r="AE15" s="102"/>
    </row>
    <row r="16" spans="1:33">
      <c r="A16" s="102"/>
      <c r="B16" s="102"/>
      <c r="E16" s="102"/>
      <c r="G16" s="102"/>
      <c r="I16" s="102"/>
      <c r="K16" s="102"/>
      <c r="M16" s="102"/>
      <c r="O16" s="102"/>
      <c r="Q16" s="102"/>
      <c r="S16" s="102"/>
      <c r="Y16" s="102"/>
      <c r="AA16" s="102"/>
      <c r="AC16" s="102"/>
      <c r="AE16" s="102"/>
    </row>
    <row r="17" spans="1:33">
      <c r="A17" s="348">
        <f>+A15+1</f>
        <v>1</v>
      </c>
      <c r="B17" s="347" t="s">
        <v>954</v>
      </c>
      <c r="C17" s="385">
        <v>2022</v>
      </c>
      <c r="E17" s="350">
        <v>11663.44</v>
      </c>
      <c r="F17" s="350"/>
      <c r="G17" s="350">
        <v>6121.16</v>
      </c>
      <c r="H17" s="350"/>
      <c r="I17" s="350">
        <v>24478.370000000003</v>
      </c>
      <c r="J17" s="350"/>
      <c r="K17" s="350">
        <v>8197.7100000000009</v>
      </c>
      <c r="L17" s="350"/>
      <c r="M17" s="350">
        <v>15114.68</v>
      </c>
      <c r="N17" s="350"/>
      <c r="O17" s="350">
        <v>9146.09</v>
      </c>
      <c r="P17" s="350"/>
      <c r="Q17" s="350">
        <v>-4031.3300000000004</v>
      </c>
      <c r="R17" s="350"/>
      <c r="S17" s="350">
        <v>-17658.84</v>
      </c>
      <c r="T17" s="104"/>
      <c r="U17" s="350">
        <v>736.89</v>
      </c>
      <c r="V17" s="350"/>
      <c r="W17" s="350">
        <v>446.91</v>
      </c>
      <c r="X17" s="104"/>
      <c r="Y17" s="104">
        <f>E17+I17+M17+Q17+U17</f>
        <v>47962.05</v>
      </c>
      <c r="Z17" s="104"/>
      <c r="AA17" s="104">
        <f>G17+K17+O17+S17+W17</f>
        <v>6253.0299999999988</v>
      </c>
      <c r="AB17" s="104"/>
      <c r="AC17" s="104">
        <f>Y17+AA17</f>
        <v>54215.08</v>
      </c>
      <c r="AE17" s="254">
        <v>8.1711999999999996E-4</v>
      </c>
      <c r="AG17" s="254">
        <v>4.9558000000000002E-4</v>
      </c>
    </row>
    <row r="18" spans="1:33">
      <c r="A18" s="348"/>
      <c r="B18" s="347" t="s">
        <v>451</v>
      </c>
      <c r="C18" s="386" t="s">
        <v>451</v>
      </c>
      <c r="E18" s="351"/>
      <c r="F18" s="350"/>
      <c r="G18" s="351"/>
      <c r="H18" s="350"/>
      <c r="I18" s="351"/>
      <c r="J18" s="350"/>
      <c r="K18" s="351"/>
      <c r="L18" s="350"/>
      <c r="M18" s="351"/>
      <c r="N18" s="350"/>
      <c r="O18" s="351"/>
      <c r="P18" s="350"/>
      <c r="Q18" s="351"/>
      <c r="R18" s="350"/>
      <c r="S18" s="351"/>
      <c r="U18" s="351"/>
      <c r="V18" s="350"/>
      <c r="W18" s="351"/>
      <c r="Y18" s="102"/>
      <c r="Z18" s="104"/>
      <c r="AA18" s="104"/>
      <c r="AB18" s="104"/>
      <c r="AC18" s="104"/>
      <c r="AE18" s="102"/>
    </row>
    <row r="19" spans="1:33">
      <c r="A19" s="348">
        <f>+A17+1</f>
        <v>2</v>
      </c>
      <c r="B19" s="347" t="s">
        <v>452</v>
      </c>
      <c r="C19" s="385">
        <v>2022</v>
      </c>
      <c r="E19" s="350">
        <v>15697.82</v>
      </c>
      <c r="F19" s="350"/>
      <c r="G19" s="350">
        <v>2867.41</v>
      </c>
      <c r="H19" s="350"/>
      <c r="I19" s="350">
        <v>34878.519999999997</v>
      </c>
      <c r="J19" s="350"/>
      <c r="K19" s="350">
        <v>6765.67</v>
      </c>
      <c r="L19" s="350"/>
      <c r="M19" s="350">
        <v>15818.74</v>
      </c>
      <c r="N19" s="350"/>
      <c r="O19" s="350">
        <v>1266.1600000000001</v>
      </c>
      <c r="P19" s="350"/>
      <c r="Q19" s="350">
        <v>9616.6400000000012</v>
      </c>
      <c r="R19" s="350"/>
      <c r="S19" s="350">
        <v>1976.49</v>
      </c>
      <c r="T19" s="104"/>
      <c r="U19" s="350">
        <v>873.25</v>
      </c>
      <c r="V19" s="350"/>
      <c r="W19" s="350">
        <v>179.5</v>
      </c>
      <c r="X19" s="104"/>
      <c r="Y19" s="104">
        <f>E19+I19+M19+Q19+U19</f>
        <v>76884.97</v>
      </c>
      <c r="Z19" s="104"/>
      <c r="AA19" s="104">
        <f>G19+K19+O19+S19+W19</f>
        <v>13055.23</v>
      </c>
      <c r="AB19" s="104"/>
      <c r="AC19" s="104">
        <f>Y19+AA19</f>
        <v>89940.2</v>
      </c>
      <c r="AE19" s="254">
        <v>9.0607999999999997E-4</v>
      </c>
      <c r="AG19" s="254">
        <v>1.8625E-4</v>
      </c>
    </row>
    <row r="20" spans="1:33">
      <c r="A20" s="348"/>
      <c r="B20" s="347" t="s">
        <v>451</v>
      </c>
      <c r="C20" s="386" t="s">
        <v>451</v>
      </c>
      <c r="E20" s="351"/>
      <c r="F20" s="350"/>
      <c r="G20" s="351"/>
      <c r="H20" s="350"/>
      <c r="I20" s="351"/>
      <c r="J20" s="350"/>
      <c r="K20" s="351"/>
      <c r="L20" s="350"/>
      <c r="M20" s="351"/>
      <c r="N20" s="350"/>
      <c r="O20" s="351"/>
      <c r="P20" s="350"/>
      <c r="Q20" s="351"/>
      <c r="R20" s="350"/>
      <c r="S20" s="351"/>
      <c r="U20" s="351"/>
      <c r="V20" s="350"/>
      <c r="W20" s="351"/>
      <c r="Y20" s="102"/>
      <c r="Z20" s="104"/>
      <c r="AA20" s="104"/>
      <c r="AB20" s="104"/>
      <c r="AC20" s="104"/>
      <c r="AE20" s="102"/>
    </row>
    <row r="21" spans="1:33">
      <c r="A21" s="348">
        <f>+A19+1</f>
        <v>3</v>
      </c>
      <c r="B21" s="347" t="s">
        <v>453</v>
      </c>
      <c r="C21" s="385">
        <v>2022</v>
      </c>
      <c r="E21" s="350">
        <v>19830.28</v>
      </c>
      <c r="F21" s="350"/>
      <c r="G21" s="350">
        <v>599.69000000000005</v>
      </c>
      <c r="H21" s="350"/>
      <c r="I21" s="350">
        <v>42173.85</v>
      </c>
      <c r="J21" s="350"/>
      <c r="K21" s="350">
        <v>1406.48</v>
      </c>
      <c r="L21" s="350"/>
      <c r="M21" s="350">
        <v>21889.74</v>
      </c>
      <c r="N21" s="350"/>
      <c r="O21" s="350">
        <v>712.3</v>
      </c>
      <c r="P21" s="350"/>
      <c r="Q21" s="350">
        <v>10162.43</v>
      </c>
      <c r="R21" s="350"/>
      <c r="S21" s="350">
        <v>-1068.82</v>
      </c>
      <c r="T21" s="104"/>
      <c r="U21" s="350">
        <v>1030.98</v>
      </c>
      <c r="V21" s="350"/>
      <c r="W21" s="350">
        <v>34.65</v>
      </c>
      <c r="X21" s="104"/>
      <c r="Y21" s="104">
        <f>E21+I21+M21+Q21+U21</f>
        <v>95087.279999999984</v>
      </c>
      <c r="Z21" s="104"/>
      <c r="AA21" s="104">
        <f>G21+K21+O21+S21+W21</f>
        <v>1684.3000000000004</v>
      </c>
      <c r="AB21" s="104"/>
      <c r="AC21" s="104">
        <f>Y21+AA21</f>
        <v>96771.579999999987</v>
      </c>
      <c r="AE21" s="254">
        <v>9.9975999999999993E-4</v>
      </c>
      <c r="AG21" s="254">
        <v>3.3609999999999998E-5</v>
      </c>
    </row>
    <row r="22" spans="1:33">
      <c r="A22" s="348"/>
      <c r="B22" s="347" t="s">
        <v>451</v>
      </c>
      <c r="C22" s="386" t="s">
        <v>451</v>
      </c>
      <c r="E22" s="351"/>
      <c r="F22" s="350"/>
      <c r="G22" s="351"/>
      <c r="H22" s="350"/>
      <c r="I22" s="351"/>
      <c r="J22" s="350"/>
      <c r="K22" s="351"/>
      <c r="L22" s="350"/>
      <c r="M22" s="351"/>
      <c r="N22" s="350"/>
      <c r="O22" s="351"/>
      <c r="P22" s="350"/>
      <c r="Q22" s="351"/>
      <c r="R22" s="350"/>
      <c r="S22" s="351"/>
      <c r="U22" s="351"/>
      <c r="V22" s="350"/>
      <c r="W22" s="351"/>
      <c r="Y22" s="102"/>
      <c r="Z22" s="104"/>
      <c r="AA22" s="104"/>
      <c r="AB22" s="104"/>
      <c r="AC22" s="104"/>
      <c r="AE22" s="102"/>
    </row>
    <row r="23" spans="1:33">
      <c r="A23" s="348">
        <f>+A21+1</f>
        <v>4</v>
      </c>
      <c r="B23" s="347" t="s">
        <v>454</v>
      </c>
      <c r="C23" s="385">
        <v>2022</v>
      </c>
      <c r="E23" s="350">
        <v>25467.15</v>
      </c>
      <c r="F23" s="350"/>
      <c r="G23" s="350">
        <v>547.04999999999995</v>
      </c>
      <c r="H23" s="350"/>
      <c r="I23" s="350">
        <v>59187.18</v>
      </c>
      <c r="J23" s="350"/>
      <c r="K23" s="350">
        <v>6751.06</v>
      </c>
      <c r="L23" s="350"/>
      <c r="M23" s="350">
        <v>29740.95</v>
      </c>
      <c r="N23" s="350"/>
      <c r="O23" s="350">
        <v>3297.27</v>
      </c>
      <c r="P23" s="350"/>
      <c r="Q23" s="350">
        <v>9428.7700000000023</v>
      </c>
      <c r="R23" s="350"/>
      <c r="S23" s="350">
        <v>2325.1000000000004</v>
      </c>
      <c r="T23" s="104"/>
      <c r="U23" s="350">
        <v>1467.76</v>
      </c>
      <c r="V23" s="350"/>
      <c r="W23" s="350">
        <v>170.66</v>
      </c>
      <c r="X23" s="104"/>
      <c r="Y23" s="104">
        <f>E23+I23+M23+Q23+U23</f>
        <v>125291.81</v>
      </c>
      <c r="Z23" s="104"/>
      <c r="AA23" s="104">
        <f>G23+K23+O23+S23+W23</f>
        <v>13091.140000000001</v>
      </c>
      <c r="AB23" s="104"/>
      <c r="AC23" s="104">
        <f>Y23+AA23</f>
        <v>138382.95000000001</v>
      </c>
      <c r="AE23" s="254">
        <v>1.3451699999999999E-3</v>
      </c>
      <c r="AG23" s="254">
        <v>1.5640000000000001E-4</v>
      </c>
    </row>
    <row r="24" spans="1:33">
      <c r="A24" s="348"/>
      <c r="B24" s="347" t="s">
        <v>451</v>
      </c>
      <c r="C24" s="386" t="s">
        <v>451</v>
      </c>
      <c r="E24" s="351"/>
      <c r="F24" s="350"/>
      <c r="G24" s="351"/>
      <c r="H24" s="350"/>
      <c r="I24" s="351"/>
      <c r="J24" s="350"/>
      <c r="K24" s="351"/>
      <c r="L24" s="350"/>
      <c r="M24" s="351"/>
      <c r="N24" s="350"/>
      <c r="O24" s="351"/>
      <c r="P24" s="350"/>
      <c r="Q24" s="351"/>
      <c r="R24" s="350"/>
      <c r="S24" s="351"/>
      <c r="U24" s="351"/>
      <c r="V24" s="350"/>
      <c r="W24" s="351"/>
      <c r="Y24" s="102"/>
      <c r="Z24" s="104"/>
      <c r="AA24" s="104"/>
      <c r="AB24" s="104"/>
      <c r="AC24" s="104"/>
      <c r="AE24" s="102"/>
    </row>
    <row r="25" spans="1:33">
      <c r="A25" s="348">
        <f>+A23+1</f>
        <v>5</v>
      </c>
      <c r="B25" s="347" t="s">
        <v>455</v>
      </c>
      <c r="C25" s="385">
        <v>2022</v>
      </c>
      <c r="E25" s="350">
        <v>29680.31</v>
      </c>
      <c r="F25" s="350"/>
      <c r="G25" s="350">
        <v>-1541.7</v>
      </c>
      <c r="H25" s="350"/>
      <c r="I25" s="350">
        <v>85106.42</v>
      </c>
      <c r="J25" s="350"/>
      <c r="K25" s="350">
        <v>15988.56</v>
      </c>
      <c r="L25" s="350"/>
      <c r="M25" s="350">
        <v>37978.559999999998</v>
      </c>
      <c r="N25" s="350"/>
      <c r="O25" s="350">
        <v>6730.24</v>
      </c>
      <c r="P25" s="350"/>
      <c r="Q25" s="350">
        <v>9910.48</v>
      </c>
      <c r="R25" s="350"/>
      <c r="S25" s="350">
        <v>2007.7199999999998</v>
      </c>
      <c r="T25" s="104"/>
      <c r="U25" s="350">
        <v>2024.56</v>
      </c>
      <c r="V25" s="350"/>
      <c r="W25" s="350">
        <v>380.3</v>
      </c>
      <c r="X25" s="104"/>
      <c r="Y25" s="104">
        <f>E25+I25+M25+Q25+U25</f>
        <v>164700.32999999999</v>
      </c>
      <c r="Z25" s="104"/>
      <c r="AA25" s="104">
        <f>G25+K25+O25+S25+W25</f>
        <v>23565.119999999999</v>
      </c>
      <c r="AB25" s="104"/>
      <c r="AC25" s="104">
        <f>Y25+AA25</f>
        <v>188265.44999999998</v>
      </c>
      <c r="AE25" s="254">
        <v>1.74614E-3</v>
      </c>
      <c r="AG25" s="254">
        <v>3.2801E-4</v>
      </c>
    </row>
    <row r="26" spans="1:33">
      <c r="A26" s="348"/>
      <c r="B26" s="347" t="s">
        <v>451</v>
      </c>
      <c r="C26" s="386" t="s">
        <v>451</v>
      </c>
      <c r="E26" s="351"/>
      <c r="F26" s="350"/>
      <c r="G26" s="351"/>
      <c r="H26" s="350"/>
      <c r="I26" s="351"/>
      <c r="J26" s="350"/>
      <c r="K26" s="351"/>
      <c r="L26" s="350"/>
      <c r="M26" s="351"/>
      <c r="N26" s="350"/>
      <c r="O26" s="351"/>
      <c r="P26" s="350"/>
      <c r="Q26" s="351"/>
      <c r="R26" s="350"/>
      <c r="S26" s="351"/>
      <c r="U26" s="351"/>
      <c r="V26" s="350"/>
      <c r="W26" s="351"/>
      <c r="Y26" s="102"/>
      <c r="Z26" s="104"/>
      <c r="AA26" s="104"/>
      <c r="AB26" s="104"/>
      <c r="AC26" s="104"/>
      <c r="AE26" s="102"/>
    </row>
    <row r="27" spans="1:33">
      <c r="A27" s="348">
        <f>+A25+1</f>
        <v>6</v>
      </c>
      <c r="B27" s="347" t="s">
        <v>456</v>
      </c>
      <c r="C27" s="385">
        <v>2022</v>
      </c>
      <c r="E27" s="350">
        <v>13674.99</v>
      </c>
      <c r="F27" s="350"/>
      <c r="G27" s="350">
        <v>18331.740000000002</v>
      </c>
      <c r="H27" s="350"/>
      <c r="I27" s="350">
        <v>92940.45</v>
      </c>
      <c r="J27" s="350"/>
      <c r="K27" s="350">
        <v>124417.32</v>
      </c>
      <c r="L27" s="350"/>
      <c r="M27" s="350">
        <v>39231.050000000003</v>
      </c>
      <c r="N27" s="350"/>
      <c r="O27" s="350">
        <v>52570.38</v>
      </c>
      <c r="P27" s="350"/>
      <c r="Q27" s="350">
        <v>9572.7199999999993</v>
      </c>
      <c r="R27" s="350"/>
      <c r="S27" s="350">
        <v>13430.529999999999</v>
      </c>
      <c r="T27" s="104"/>
      <c r="U27" s="350">
        <v>2114.04</v>
      </c>
      <c r="V27" s="350"/>
      <c r="W27" s="350">
        <v>2831.14</v>
      </c>
      <c r="X27" s="104"/>
      <c r="Y27" s="104">
        <f>E27+I27+M27+Q27+U27</f>
        <v>157533.25</v>
      </c>
      <c r="Z27" s="104"/>
      <c r="AA27" s="104">
        <f>G27+K27+O27+S27+W27</f>
        <v>211581.11000000002</v>
      </c>
      <c r="AB27" s="104"/>
      <c r="AC27" s="104">
        <f>Y27+AA27</f>
        <v>369114.36</v>
      </c>
      <c r="AE27" s="254">
        <v>1.69477E-3</v>
      </c>
      <c r="AG27" s="254">
        <v>2.2696399999999999E-3</v>
      </c>
    </row>
    <row r="28" spans="1:33">
      <c r="A28" s="348"/>
      <c r="B28" s="347" t="s">
        <v>451</v>
      </c>
      <c r="C28" s="385"/>
      <c r="E28" s="351"/>
      <c r="F28" s="350"/>
      <c r="G28" s="351"/>
      <c r="H28" s="350"/>
      <c r="I28" s="351"/>
      <c r="J28" s="350"/>
      <c r="K28" s="351"/>
      <c r="L28" s="350"/>
      <c r="M28" s="351"/>
      <c r="N28" s="350"/>
      <c r="O28" s="351"/>
      <c r="P28" s="350"/>
      <c r="Q28" s="351"/>
      <c r="R28" s="350"/>
      <c r="S28" s="351"/>
      <c r="U28" s="351"/>
      <c r="V28" s="350"/>
      <c r="W28" s="351"/>
      <c r="Y28" s="102"/>
      <c r="Z28" s="104"/>
      <c r="AA28" s="104"/>
      <c r="AB28" s="104"/>
      <c r="AC28" s="104"/>
      <c r="AE28" s="102"/>
    </row>
    <row r="29" spans="1:33">
      <c r="A29" s="348">
        <f>+A27+1</f>
        <v>7</v>
      </c>
      <c r="B29" s="347" t="s">
        <v>457</v>
      </c>
      <c r="C29" s="385">
        <v>2022</v>
      </c>
      <c r="E29" s="350">
        <v>31953.41</v>
      </c>
      <c r="F29" s="350"/>
      <c r="G29" s="350">
        <v>38325.81</v>
      </c>
      <c r="H29" s="350"/>
      <c r="I29" s="350">
        <v>106115.87</v>
      </c>
      <c r="J29" s="350"/>
      <c r="K29" s="350">
        <v>127292.31</v>
      </c>
      <c r="L29" s="350"/>
      <c r="M29" s="350">
        <v>43669.07</v>
      </c>
      <c r="N29" s="350"/>
      <c r="O29" s="350">
        <v>52439.61</v>
      </c>
      <c r="P29" s="350"/>
      <c r="Q29" s="350">
        <v>6677.51</v>
      </c>
      <c r="R29" s="350"/>
      <c r="S29" s="350">
        <v>9614.52</v>
      </c>
      <c r="T29" s="104"/>
      <c r="U29" s="350">
        <v>2412.54</v>
      </c>
      <c r="V29" s="350"/>
      <c r="W29" s="350">
        <v>2893.67</v>
      </c>
      <c r="X29" s="104"/>
      <c r="Y29" s="104">
        <f>E29+I29+M29+Q29+U29</f>
        <v>190828.40000000002</v>
      </c>
      <c r="Z29" s="104"/>
      <c r="AA29" s="104">
        <f>G29+K29+O29+S29+W29</f>
        <v>230565.91999999998</v>
      </c>
      <c r="AB29" s="104"/>
      <c r="AC29" s="104">
        <f>Y29+AA29</f>
        <v>421394.32</v>
      </c>
      <c r="AE29" s="254">
        <v>1.8184900000000001E-3</v>
      </c>
      <c r="AG29" s="254">
        <v>2.1811399999999998E-3</v>
      </c>
    </row>
    <row r="30" spans="1:33">
      <c r="A30" s="348"/>
      <c r="B30" s="347" t="s">
        <v>451</v>
      </c>
      <c r="C30" s="386" t="s">
        <v>451</v>
      </c>
      <c r="E30" s="351"/>
      <c r="F30" s="350"/>
      <c r="G30" s="351"/>
      <c r="H30" s="350"/>
      <c r="I30" s="351"/>
      <c r="J30" s="350"/>
      <c r="K30" s="351"/>
      <c r="L30" s="350"/>
      <c r="M30" s="351"/>
      <c r="N30" s="350"/>
      <c r="O30" s="351"/>
      <c r="P30" s="350"/>
      <c r="Q30" s="351"/>
      <c r="R30" s="350"/>
      <c r="S30" s="351"/>
      <c r="U30" s="351"/>
      <c r="V30" s="350"/>
      <c r="W30" s="351"/>
      <c r="Y30" s="102"/>
      <c r="Z30" s="104"/>
      <c r="AA30" s="104"/>
      <c r="AB30" s="104"/>
      <c r="AC30" s="104"/>
      <c r="AE30" s="102"/>
    </row>
    <row r="31" spans="1:33">
      <c r="A31" s="348">
        <f>+A29+1</f>
        <v>8</v>
      </c>
      <c r="B31" s="347" t="s">
        <v>458</v>
      </c>
      <c r="C31" s="385">
        <v>2022</v>
      </c>
      <c r="E31" s="350">
        <v>42283.98</v>
      </c>
      <c r="F31" s="350"/>
      <c r="G31" s="350">
        <v>31804.31</v>
      </c>
      <c r="H31" s="350"/>
      <c r="I31" s="350">
        <v>137066.1</v>
      </c>
      <c r="J31" s="350"/>
      <c r="K31" s="350">
        <v>103504.95</v>
      </c>
      <c r="L31" s="350"/>
      <c r="M31" s="350">
        <v>56132.33</v>
      </c>
      <c r="N31" s="350"/>
      <c r="O31" s="350">
        <v>42096.63</v>
      </c>
      <c r="P31" s="350"/>
      <c r="Q31" s="350">
        <v>3347.2599999999998</v>
      </c>
      <c r="R31" s="350"/>
      <c r="S31" s="350">
        <v>290.04000000000002</v>
      </c>
      <c r="T31" s="104"/>
      <c r="U31" s="350">
        <v>3194.63</v>
      </c>
      <c r="V31" s="350"/>
      <c r="W31" s="350">
        <v>2421.08</v>
      </c>
      <c r="X31" s="104"/>
      <c r="Y31" s="104">
        <f>E31+I31+M31+Q31+U31</f>
        <v>242024.30000000005</v>
      </c>
      <c r="Z31" s="104"/>
      <c r="AA31" s="104">
        <f>G31+K31+O31+S31+W31</f>
        <v>180117.01</v>
      </c>
      <c r="AB31" s="104"/>
      <c r="AC31" s="104">
        <f>Y31+AA31</f>
        <v>422141.31000000006</v>
      </c>
      <c r="AE31" s="254">
        <v>2.2937600000000002E-3</v>
      </c>
      <c r="AG31" s="254">
        <v>1.7383500000000001E-3</v>
      </c>
    </row>
    <row r="32" spans="1:33">
      <c r="A32" s="348"/>
      <c r="B32" s="347" t="s">
        <v>451</v>
      </c>
      <c r="C32" s="386"/>
      <c r="E32" s="351"/>
      <c r="F32" s="350"/>
      <c r="G32" s="351"/>
      <c r="H32" s="350"/>
      <c r="I32" s="351"/>
      <c r="J32" s="350"/>
      <c r="K32" s="351"/>
      <c r="L32" s="350"/>
      <c r="M32" s="351"/>
      <c r="N32" s="350"/>
      <c r="O32" s="351"/>
      <c r="P32" s="350"/>
      <c r="Q32" s="351"/>
      <c r="R32" s="350"/>
      <c r="S32" s="351"/>
      <c r="U32" s="351"/>
      <c r="V32" s="350"/>
      <c r="W32" s="351"/>
      <c r="Y32" s="102"/>
      <c r="Z32" s="104"/>
      <c r="AA32" s="104"/>
      <c r="AB32" s="104"/>
      <c r="AC32" s="104"/>
      <c r="AE32" s="102"/>
    </row>
    <row r="33" spans="1:33">
      <c r="A33" s="348">
        <f>+A31+1</f>
        <v>9</v>
      </c>
      <c r="B33" s="347" t="s">
        <v>459</v>
      </c>
      <c r="C33" s="385">
        <v>2022</v>
      </c>
      <c r="E33" s="350">
        <v>60348.9</v>
      </c>
      <c r="F33" s="350"/>
      <c r="G33" s="350">
        <v>25280.21</v>
      </c>
      <c r="H33" s="350"/>
      <c r="I33" s="350">
        <v>170757.34</v>
      </c>
      <c r="J33" s="350"/>
      <c r="K33" s="350">
        <v>72190.77</v>
      </c>
      <c r="L33" s="350"/>
      <c r="M33" s="350">
        <v>76976.5</v>
      </c>
      <c r="N33" s="350"/>
      <c r="O33" s="350">
        <v>32581.84</v>
      </c>
      <c r="P33" s="350"/>
      <c r="Q33" s="350">
        <v>10471.27</v>
      </c>
      <c r="R33" s="350"/>
      <c r="S33" s="350">
        <v>4167.5199999999995</v>
      </c>
      <c r="T33" s="104"/>
      <c r="U33" s="350">
        <v>4368.87</v>
      </c>
      <c r="V33" s="350"/>
      <c r="W33" s="350">
        <v>1852.59</v>
      </c>
      <c r="X33" s="104"/>
      <c r="Y33" s="104">
        <f>E33+I33+M33+Q33+U33</f>
        <v>322922.88</v>
      </c>
      <c r="Z33" s="104"/>
      <c r="AA33" s="104">
        <f>G33+K33+O33+S33+W33</f>
        <v>136072.93</v>
      </c>
      <c r="AB33" s="104"/>
      <c r="AC33" s="104">
        <f>Y33+AA33</f>
        <v>458995.81</v>
      </c>
      <c r="AE33" s="254">
        <v>2.9135900000000002E-3</v>
      </c>
      <c r="AG33" s="254">
        <v>1.2354899999999999E-3</v>
      </c>
    </row>
    <row r="34" spans="1:33">
      <c r="A34" s="348"/>
      <c r="B34" s="347" t="s">
        <v>451</v>
      </c>
      <c r="C34" s="385"/>
      <c r="E34" s="351"/>
      <c r="F34" s="350"/>
      <c r="G34" s="351"/>
      <c r="H34" s="350"/>
      <c r="I34" s="351"/>
      <c r="J34" s="350"/>
      <c r="K34" s="351"/>
      <c r="L34" s="350"/>
      <c r="M34" s="351"/>
      <c r="N34" s="350"/>
      <c r="O34" s="351"/>
      <c r="P34" s="350"/>
      <c r="Q34" s="351"/>
      <c r="R34" s="350"/>
      <c r="S34" s="351"/>
      <c r="U34" s="351"/>
      <c r="V34" s="350"/>
      <c r="W34" s="351"/>
      <c r="Y34" s="102"/>
      <c r="Z34" s="104"/>
      <c r="AA34" s="104"/>
      <c r="AB34" s="104"/>
      <c r="AC34" s="104"/>
      <c r="AE34" s="102"/>
    </row>
    <row r="35" spans="1:33">
      <c r="A35" s="348">
        <f>+A33+1</f>
        <v>10</v>
      </c>
      <c r="B35" s="349" t="s">
        <v>460</v>
      </c>
      <c r="C35" s="385">
        <v>2023</v>
      </c>
      <c r="E35" s="350">
        <v>52621.33</v>
      </c>
      <c r="F35" s="350"/>
      <c r="G35" s="350">
        <v>13761.84</v>
      </c>
      <c r="H35" s="350"/>
      <c r="I35" s="350">
        <v>197790.98</v>
      </c>
      <c r="J35" s="350"/>
      <c r="K35" s="350">
        <v>55008.97</v>
      </c>
      <c r="L35" s="350"/>
      <c r="M35" s="350">
        <v>99983.18</v>
      </c>
      <c r="N35" s="350"/>
      <c r="O35" s="350">
        <v>28370.1</v>
      </c>
      <c r="P35" s="350"/>
      <c r="Q35" s="350">
        <v>12816.98</v>
      </c>
      <c r="R35" s="350"/>
      <c r="S35" s="350">
        <v>3575.82</v>
      </c>
      <c r="T35" s="104"/>
      <c r="U35" s="350">
        <v>5813.63</v>
      </c>
      <c r="V35" s="350"/>
      <c r="W35" s="350">
        <v>1649.91</v>
      </c>
      <c r="X35" s="104"/>
      <c r="Y35" s="104">
        <f>E35+I35+M35+Q35+U35</f>
        <v>369026.1</v>
      </c>
      <c r="Z35" s="104"/>
      <c r="AA35" s="104">
        <f>G35+K35+O35+S35+W35</f>
        <v>102366.64000000001</v>
      </c>
      <c r="AB35" s="104"/>
      <c r="AC35" s="104">
        <f>Y35+AA35</f>
        <v>471392.74</v>
      </c>
      <c r="AE35" s="254">
        <v>3.4925400000000001E-3</v>
      </c>
      <c r="AG35" s="254">
        <v>9.9119000000000008E-4</v>
      </c>
    </row>
    <row r="36" spans="1:33">
      <c r="A36" s="348"/>
      <c r="B36" s="347" t="s">
        <v>451</v>
      </c>
      <c r="C36" s="386"/>
      <c r="E36" s="351"/>
      <c r="F36" s="350"/>
      <c r="G36" s="351"/>
      <c r="H36" s="350"/>
      <c r="I36" s="351"/>
      <c r="J36" s="350"/>
      <c r="K36" s="351"/>
      <c r="L36" s="350"/>
      <c r="M36" s="351"/>
      <c r="N36" s="350"/>
      <c r="O36" s="351"/>
      <c r="P36" s="350"/>
      <c r="Q36" s="351"/>
      <c r="R36" s="350"/>
      <c r="S36" s="351"/>
      <c r="U36" s="351"/>
      <c r="V36" s="350"/>
      <c r="W36" s="351"/>
      <c r="Y36" s="102"/>
      <c r="Z36" s="104"/>
      <c r="AA36" s="104"/>
      <c r="AB36" s="104"/>
      <c r="AC36" s="104"/>
      <c r="AE36" s="102"/>
    </row>
    <row r="37" spans="1:33">
      <c r="A37" s="348">
        <f>+A35+1</f>
        <v>11</v>
      </c>
      <c r="B37" s="349" t="s">
        <v>461</v>
      </c>
      <c r="C37" s="385">
        <v>2023</v>
      </c>
      <c r="E37" s="350">
        <v>54820.97</v>
      </c>
      <c r="F37" s="350"/>
      <c r="G37" s="350">
        <v>6530.46</v>
      </c>
      <c r="H37" s="350"/>
      <c r="I37" s="350">
        <v>241181.48</v>
      </c>
      <c r="J37" s="350"/>
      <c r="K37" s="350">
        <v>35698.33</v>
      </c>
      <c r="L37" s="350"/>
      <c r="M37" s="350">
        <v>122182.16</v>
      </c>
      <c r="N37" s="350"/>
      <c r="O37" s="350">
        <v>18002.650000000001</v>
      </c>
      <c r="P37" s="350"/>
      <c r="Q37" s="350">
        <v>15214.76</v>
      </c>
      <c r="R37" s="350"/>
      <c r="S37" s="350">
        <v>2253.0499999999997</v>
      </c>
      <c r="T37" s="104"/>
      <c r="U37" s="350">
        <v>6633.54</v>
      </c>
      <c r="V37" s="350"/>
      <c r="W37" s="350">
        <v>982.32</v>
      </c>
      <c r="X37" s="104"/>
      <c r="Y37" s="104">
        <f>E37+I37+M37+Q37+U37</f>
        <v>440032.91</v>
      </c>
      <c r="Z37" s="104"/>
      <c r="AA37" s="104">
        <f>G37+K37+O37+S37+W37</f>
        <v>63466.810000000005</v>
      </c>
      <c r="AB37" s="104"/>
      <c r="AC37" s="104">
        <f>Y37+AA37</f>
        <v>503499.72</v>
      </c>
      <c r="AE37" s="254">
        <v>3.79263E-3</v>
      </c>
      <c r="AG37" s="254">
        <v>5.6161999999999998E-4</v>
      </c>
    </row>
    <row r="38" spans="1:33">
      <c r="A38" s="348"/>
      <c r="B38" s="347"/>
      <c r="C38" s="386" t="s">
        <v>451</v>
      </c>
      <c r="E38" s="351"/>
      <c r="F38" s="350"/>
      <c r="G38" s="351"/>
      <c r="H38" s="350"/>
      <c r="I38" s="351"/>
      <c r="J38" s="350"/>
      <c r="K38" s="351"/>
      <c r="L38" s="350"/>
      <c r="M38" s="351"/>
      <c r="N38" s="350"/>
      <c r="O38" s="351"/>
      <c r="P38" s="350"/>
      <c r="Q38" s="351"/>
      <c r="R38" s="350"/>
      <c r="S38" s="351"/>
      <c r="U38" s="351"/>
      <c r="V38" s="350"/>
      <c r="W38" s="351"/>
      <c r="Y38" s="102"/>
      <c r="Z38" s="104"/>
      <c r="AA38" s="104"/>
      <c r="AB38" s="104"/>
      <c r="AC38" s="104"/>
      <c r="AE38" s="102"/>
    </row>
    <row r="39" spans="1:33">
      <c r="A39" s="348">
        <f>+A37+1</f>
        <v>12</v>
      </c>
      <c r="B39" s="347" t="s">
        <v>462</v>
      </c>
      <c r="C39" s="385">
        <v>2023</v>
      </c>
      <c r="E39" s="350">
        <v>34735.360000000001</v>
      </c>
      <c r="F39" s="350"/>
      <c r="G39" s="350">
        <v>6786.4</v>
      </c>
      <c r="H39" s="350"/>
      <c r="I39" s="350">
        <v>244186.73</v>
      </c>
      <c r="J39" s="350"/>
      <c r="K39" s="350">
        <v>52440.800000000003</v>
      </c>
      <c r="L39" s="350"/>
      <c r="M39" s="350">
        <v>122930.04</v>
      </c>
      <c r="N39" s="350"/>
      <c r="O39" s="350">
        <v>26356.44</v>
      </c>
      <c r="P39" s="350"/>
      <c r="Q39" s="350">
        <v>14225.85</v>
      </c>
      <c r="R39" s="350"/>
      <c r="S39" s="350">
        <v>3051.34</v>
      </c>
      <c r="T39" s="104"/>
      <c r="U39" s="350">
        <v>6977.71</v>
      </c>
      <c r="V39" s="350"/>
      <c r="W39" s="350">
        <v>1494.54</v>
      </c>
      <c r="X39" s="104"/>
      <c r="Y39" s="104">
        <f>E39+I39+M39+Q39+U39</f>
        <v>423055.69</v>
      </c>
      <c r="Z39" s="104"/>
      <c r="AA39" s="104">
        <f>G39+K39+O39+S39+W39</f>
        <v>90129.51999999999</v>
      </c>
      <c r="AB39" s="104"/>
      <c r="AC39" s="104">
        <f>Y39+AA39</f>
        <v>513185.20999999996</v>
      </c>
      <c r="AE39" s="254">
        <v>3.74669E-3</v>
      </c>
      <c r="AG39" s="254">
        <v>8.0250000000000004E-4</v>
      </c>
    </row>
    <row r="40" spans="1:33">
      <c r="A40" s="102"/>
      <c r="E40" s="105" t="s">
        <v>463</v>
      </c>
      <c r="G40" s="105" t="s">
        <v>463</v>
      </c>
      <c r="I40" s="105" t="s">
        <v>463</v>
      </c>
      <c r="K40" s="105" t="s">
        <v>463</v>
      </c>
      <c r="M40" s="105" t="s">
        <v>463</v>
      </c>
      <c r="O40" s="105" t="s">
        <v>463</v>
      </c>
      <c r="Q40" s="105" t="s">
        <v>463</v>
      </c>
      <c r="S40" s="105" t="s">
        <v>463</v>
      </c>
      <c r="U40" s="105" t="s">
        <v>463</v>
      </c>
      <c r="W40" s="105" t="s">
        <v>463</v>
      </c>
      <c r="Y40" s="105" t="s">
        <v>463</v>
      </c>
      <c r="AA40" s="105" t="s">
        <v>463</v>
      </c>
      <c r="AC40" s="105" t="s">
        <v>463</v>
      </c>
      <c r="AE40" s="107"/>
    </row>
    <row r="41" spans="1:33">
      <c r="A41" s="102"/>
      <c r="AE41" s="230"/>
      <c r="AF41" s="230"/>
    </row>
    <row r="42" spans="1:33">
      <c r="A42" s="102">
        <v>13</v>
      </c>
      <c r="B42" s="247" t="s">
        <v>464</v>
      </c>
      <c r="E42" s="104">
        <f>SUM(E17:E39)</f>
        <v>392777.93999999994</v>
      </c>
      <c r="G42" s="104">
        <f>SUM(G17:G39)</f>
        <v>149414.37999999998</v>
      </c>
      <c r="I42" s="104">
        <f>SUM(I17:I39)</f>
        <v>1435863.29</v>
      </c>
      <c r="K42" s="104">
        <f>SUM(K17:K39)</f>
        <v>609662.93000000005</v>
      </c>
      <c r="M42" s="104">
        <f>SUM(M17:M39)</f>
        <v>681647</v>
      </c>
      <c r="O42" s="104">
        <f>SUM(O17:O39)</f>
        <v>273569.70999999996</v>
      </c>
      <c r="Q42" s="104">
        <f>SUM(Q17:Q39)</f>
        <v>107413.34000000001</v>
      </c>
      <c r="S42" s="104">
        <f>SUM(S17:S39)</f>
        <v>23964.469999999998</v>
      </c>
      <c r="U42" s="104">
        <f>SUM(U17:U39)</f>
        <v>37648.400000000001</v>
      </c>
      <c r="W42" s="205">
        <f>SUM(W17:W39)</f>
        <v>15337.27</v>
      </c>
      <c r="Y42" s="104">
        <f>SUM(Y17:Y39)</f>
        <v>2655349.9700000002</v>
      </c>
      <c r="AA42" s="104">
        <f>SUM(AA17:AA39)</f>
        <v>1071948.76</v>
      </c>
      <c r="AC42" s="104">
        <f>SUM(AC17:AC39)</f>
        <v>3727298.7299999995</v>
      </c>
      <c r="AE42" s="230"/>
      <c r="AF42" s="230"/>
    </row>
    <row r="43" spans="1:33">
      <c r="A43" s="102"/>
      <c r="E43" s="105" t="s">
        <v>465</v>
      </c>
      <c r="G43" s="105" t="s">
        <v>465</v>
      </c>
      <c r="I43" s="105" t="s">
        <v>465</v>
      </c>
      <c r="K43" s="105" t="s">
        <v>465</v>
      </c>
      <c r="M43" s="105" t="s">
        <v>465</v>
      </c>
      <c r="O43" s="105" t="s">
        <v>465</v>
      </c>
      <c r="Q43" s="105" t="s">
        <v>465</v>
      </c>
      <c r="S43" s="105" t="s">
        <v>465</v>
      </c>
      <c r="U43" s="105" t="s">
        <v>465</v>
      </c>
      <c r="W43" s="105" t="s">
        <v>465</v>
      </c>
      <c r="Y43" s="105" t="s">
        <v>465</v>
      </c>
      <c r="AA43" s="105" t="s">
        <v>465</v>
      </c>
      <c r="AC43" s="105" t="s">
        <v>466</v>
      </c>
      <c r="AE43" s="107"/>
    </row>
    <row r="44" spans="1:33">
      <c r="A44" s="102"/>
      <c r="AE44" s="107"/>
    </row>
    <row r="45" spans="1:33">
      <c r="A45" s="102"/>
      <c r="AE45" s="107"/>
    </row>
    <row r="46" spans="1:33">
      <c r="A46" s="102"/>
      <c r="Y46" s="230"/>
      <c r="Z46" s="230"/>
      <c r="AA46" s="230"/>
      <c r="AE46" s="107"/>
    </row>
    <row r="47" spans="1:33">
      <c r="A47" s="102"/>
      <c r="Y47" s="230"/>
      <c r="Z47" s="230"/>
      <c r="AA47" s="230"/>
      <c r="AE47" s="107"/>
    </row>
    <row r="48" spans="1:33">
      <c r="A48" s="102"/>
      <c r="Y48" s="230"/>
      <c r="Z48" s="230"/>
      <c r="AA48" s="230"/>
      <c r="AE48" s="107"/>
    </row>
    <row r="49" spans="1:33">
      <c r="A49" s="102"/>
      <c r="Y49" s="230"/>
      <c r="Z49" s="230"/>
      <c r="AA49" s="230"/>
      <c r="AE49" s="107"/>
    </row>
    <row r="50" spans="1:33">
      <c r="A50" s="102"/>
      <c r="AE50" s="107"/>
    </row>
    <row r="51" spans="1:33" ht="12.75" customHeight="1">
      <c r="A51" s="102"/>
      <c r="K51" s="14"/>
      <c r="AE51" s="107"/>
      <c r="AG51" s="224"/>
    </row>
    <row r="52" spans="1:33">
      <c r="A52" s="102"/>
      <c r="AG52" s="224"/>
    </row>
    <row r="53" spans="1:33">
      <c r="A53" s="102"/>
      <c r="AG53" s="224"/>
    </row>
    <row r="54" spans="1:33">
      <c r="A54" s="102"/>
      <c r="K54" s="14"/>
      <c r="AG54" s="224"/>
    </row>
    <row r="55" spans="1:33">
      <c r="A55" s="102"/>
      <c r="AG55" s="224"/>
    </row>
    <row r="56" spans="1:33">
      <c r="AG56" s="224"/>
    </row>
    <row r="57" spans="1:33">
      <c r="K57" s="336"/>
      <c r="AG57" s="224"/>
    </row>
    <row r="58" spans="1:33">
      <c r="AG58" s="224"/>
    </row>
    <row r="59" spans="1:33">
      <c r="AG59" s="224"/>
    </row>
  </sheetData>
  <mergeCells count="5">
    <mergeCell ref="A7:AG7"/>
    <mergeCell ref="A8:AG8"/>
    <mergeCell ref="A6:AG6"/>
    <mergeCell ref="A9:AG9"/>
    <mergeCell ref="U12:W12"/>
  </mergeCells>
  <printOptions horizontalCentered="1"/>
  <pageMargins left="0.7" right="0.7" top="0.75" bottom="0.75" header="0.55000000000000004" footer="0.3"/>
  <pageSetup scale="64" orientation="landscape" r:id="rId1"/>
  <headerFooter>
    <oddHeader xml:space="preserve">&amp;RSECTION V
SCHEDULE 8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S51"/>
  <sheetViews>
    <sheetView zoomScale="90" zoomScaleNormal="90" workbookViewId="0">
      <selection sqref="A1:XFD1048576"/>
    </sheetView>
  </sheetViews>
  <sheetFormatPr defaultColWidth="9.1796875" defaultRowHeight="12.5"/>
  <cols>
    <col min="1" max="1" width="2.26953125" style="83" customWidth="1"/>
    <col min="2" max="2" width="5" style="417" bestFit="1" customWidth="1"/>
    <col min="3" max="3" width="33.81640625" style="83" bestFit="1" customWidth="1"/>
    <col min="4" max="4" width="2.26953125" style="83" customWidth="1"/>
    <col min="5" max="14" width="10.7265625" style="83" customWidth="1"/>
    <col min="15" max="15" width="10.453125" style="83" customWidth="1"/>
    <col min="16" max="16" width="10.7265625" style="83" customWidth="1"/>
    <col min="17" max="17" width="12.7265625" style="83" customWidth="1"/>
    <col min="18" max="18" width="2.26953125" style="83" customWidth="1"/>
    <col min="19" max="19" width="10.81640625" style="83" bestFit="1" customWidth="1"/>
    <col min="20" max="16384" width="9.1796875" style="83"/>
  </cols>
  <sheetData>
    <row r="1" spans="2:18">
      <c r="Q1" s="95"/>
    </row>
    <row r="2" spans="2:18">
      <c r="Q2" s="95"/>
    </row>
    <row r="3" spans="2:18">
      <c r="I3" s="417"/>
    </row>
    <row r="4" spans="2:18" ht="13">
      <c r="I4" s="197" t="s">
        <v>831</v>
      </c>
    </row>
    <row r="5" spans="2:18">
      <c r="I5" s="96"/>
    </row>
    <row r="8" spans="2:18" ht="25">
      <c r="B8" s="98" t="s">
        <v>445</v>
      </c>
      <c r="C8" s="419" t="s">
        <v>336</v>
      </c>
      <c r="E8" s="98" t="s">
        <v>693</v>
      </c>
      <c r="F8" s="98" t="s">
        <v>694</v>
      </c>
      <c r="G8" s="98" t="s">
        <v>695</v>
      </c>
      <c r="H8" s="98" t="s">
        <v>696</v>
      </c>
      <c r="I8" s="98" t="s">
        <v>697</v>
      </c>
      <c r="J8" s="98" t="s">
        <v>698</v>
      </c>
      <c r="K8" s="98" t="s">
        <v>699</v>
      </c>
      <c r="L8" s="98" t="s">
        <v>700</v>
      </c>
      <c r="M8" s="98" t="s">
        <v>701</v>
      </c>
      <c r="N8" s="98" t="s">
        <v>702</v>
      </c>
      <c r="O8" s="98" t="s">
        <v>703</v>
      </c>
      <c r="P8" s="98" t="s">
        <v>704</v>
      </c>
      <c r="Q8" s="98" t="s">
        <v>705</v>
      </c>
    </row>
    <row r="9" spans="2:18">
      <c r="B9" s="102"/>
    </row>
    <row r="10" spans="2:18" ht="26.15" customHeight="1">
      <c r="B10" s="102">
        <v>1</v>
      </c>
      <c r="C10" s="83" t="s">
        <v>706</v>
      </c>
      <c r="E10" s="98" t="s">
        <v>1093</v>
      </c>
      <c r="F10" s="98" t="s">
        <v>1094</v>
      </c>
      <c r="G10" s="98" t="s">
        <v>1096</v>
      </c>
      <c r="H10" s="98" t="s">
        <v>1097</v>
      </c>
      <c r="I10" s="98" t="s">
        <v>1098</v>
      </c>
      <c r="J10" s="98" t="s">
        <v>1100</v>
      </c>
      <c r="K10" s="98" t="s">
        <v>1101</v>
      </c>
      <c r="L10" s="98" t="s">
        <v>1102</v>
      </c>
      <c r="M10" s="98" t="s">
        <v>1103</v>
      </c>
      <c r="N10" s="98" t="s">
        <v>1105</v>
      </c>
      <c r="O10" s="98" t="s">
        <v>1107</v>
      </c>
      <c r="P10" s="98" t="s">
        <v>1108</v>
      </c>
      <c r="Q10" s="98" t="s">
        <v>707</v>
      </c>
      <c r="R10" s="419"/>
    </row>
    <row r="11" spans="2:18" ht="26.15" customHeight="1">
      <c r="B11" s="102">
        <f>+B10+1</f>
        <v>2</v>
      </c>
      <c r="C11" s="83" t="s">
        <v>708</v>
      </c>
      <c r="E11" s="412" t="s">
        <v>953</v>
      </c>
      <c r="F11" s="412" t="s">
        <v>1095</v>
      </c>
      <c r="G11" s="412" t="s">
        <v>1095</v>
      </c>
      <c r="H11" s="412" t="s">
        <v>1095</v>
      </c>
      <c r="I11" s="412" t="s">
        <v>1099</v>
      </c>
      <c r="J11" s="412" t="s">
        <v>709</v>
      </c>
      <c r="K11" s="412" t="s">
        <v>710</v>
      </c>
      <c r="L11" s="412" t="s">
        <v>710</v>
      </c>
      <c r="M11" s="412" t="s">
        <v>1104</v>
      </c>
      <c r="N11" s="412" t="s">
        <v>1106</v>
      </c>
      <c r="O11" s="412" t="s">
        <v>710</v>
      </c>
      <c r="P11" s="412" t="s">
        <v>953</v>
      </c>
      <c r="Q11" s="412" t="s">
        <v>711</v>
      </c>
      <c r="R11" s="236"/>
    </row>
    <row r="12" spans="2:18" ht="12.75" customHeight="1">
      <c r="B12" s="102"/>
      <c r="E12" s="412" t="s">
        <v>712</v>
      </c>
      <c r="F12" s="412" t="s">
        <v>712</v>
      </c>
      <c r="G12" s="412" t="s">
        <v>712</v>
      </c>
      <c r="H12" s="412" t="s">
        <v>712</v>
      </c>
      <c r="I12" s="412" t="s">
        <v>712</v>
      </c>
      <c r="J12" s="412" t="s">
        <v>712</v>
      </c>
      <c r="K12" s="412" t="s">
        <v>712</v>
      </c>
      <c r="L12" s="412" t="s">
        <v>712</v>
      </c>
      <c r="M12" s="412" t="s">
        <v>712</v>
      </c>
      <c r="N12" s="412" t="s">
        <v>712</v>
      </c>
      <c r="O12" s="412" t="s">
        <v>712</v>
      </c>
      <c r="P12" s="412" t="s">
        <v>712</v>
      </c>
      <c r="Q12" s="412" t="s">
        <v>712</v>
      </c>
    </row>
    <row r="13" spans="2:18" ht="12.75" customHeight="1">
      <c r="B13" s="102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2:18" ht="12.75" customHeight="1">
      <c r="B14" s="102">
        <f>+B11+1</f>
        <v>3</v>
      </c>
      <c r="C14" s="83" t="s">
        <v>713</v>
      </c>
      <c r="E14" s="215">
        <v>813</v>
      </c>
      <c r="F14" s="215">
        <v>897</v>
      </c>
      <c r="G14" s="215">
        <v>996</v>
      </c>
      <c r="H14" s="215">
        <v>939</v>
      </c>
      <c r="I14" s="215">
        <v>935</v>
      </c>
      <c r="J14" s="215">
        <v>880</v>
      </c>
      <c r="K14" s="215">
        <v>863</v>
      </c>
      <c r="L14" s="215">
        <v>1037</v>
      </c>
      <c r="M14" s="215">
        <v>1358</v>
      </c>
      <c r="N14" s="215">
        <v>988</v>
      </c>
      <c r="O14" s="215">
        <v>1063</v>
      </c>
      <c r="P14" s="215">
        <v>1085</v>
      </c>
      <c r="Q14" s="215">
        <f>SUM(E14:P14)</f>
        <v>11854</v>
      </c>
    </row>
    <row r="15" spans="2:18" ht="12.75" customHeight="1">
      <c r="B15" s="102">
        <f>+B14+1</f>
        <v>4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>
        <f>ROUND(Q14/12,3)</f>
        <v>987.83299999999997</v>
      </c>
    </row>
    <row r="16" spans="2:18" ht="12.75" customHeight="1">
      <c r="B16" s="102">
        <f>+B15+1</f>
        <v>5</v>
      </c>
      <c r="C16" s="83" t="s">
        <v>714</v>
      </c>
      <c r="E16" s="215">
        <v>0</v>
      </c>
      <c r="F16" s="215">
        <v>317</v>
      </c>
      <c r="G16" s="215">
        <v>180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f>SUM(E16:P16)</f>
        <v>497</v>
      </c>
    </row>
    <row r="17" spans="2:19" ht="12.75" customHeight="1">
      <c r="B17" s="102">
        <f>+B16+1</f>
        <v>6</v>
      </c>
      <c r="C17" s="83" t="s">
        <v>715</v>
      </c>
      <c r="E17" s="383">
        <v>1.0341260000000001</v>
      </c>
      <c r="F17" s="383">
        <v>1.0341260000000001</v>
      </c>
      <c r="G17" s="383">
        <v>1.0341260000000001</v>
      </c>
      <c r="H17" s="383">
        <v>1.0341260000000001</v>
      </c>
      <c r="I17" s="383">
        <v>1.0341260000000001</v>
      </c>
      <c r="J17" s="383">
        <v>1.0341260000000001</v>
      </c>
      <c r="K17" s="383">
        <v>1.0341260000000001</v>
      </c>
      <c r="L17" s="383">
        <v>1.0341260000000001</v>
      </c>
      <c r="M17" s="383">
        <v>1.0341260000000001</v>
      </c>
      <c r="N17" s="383">
        <v>1.0341260000000001</v>
      </c>
      <c r="O17" s="383">
        <v>1.0341260000000001</v>
      </c>
      <c r="P17" s="383">
        <v>1.0341260000000001</v>
      </c>
      <c r="Q17" s="215"/>
    </row>
    <row r="18" spans="2:19" ht="12.75" customHeight="1">
      <c r="B18" s="102">
        <f>+B17+1</f>
        <v>7</v>
      </c>
      <c r="C18" s="83" t="s">
        <v>716</v>
      </c>
      <c r="E18" s="215">
        <f>ROUND(E16*E17,3)</f>
        <v>0</v>
      </c>
      <c r="F18" s="215">
        <f t="shared" ref="F18:P18" si="0">ROUND(F16*F17,3)</f>
        <v>327.81799999999998</v>
      </c>
      <c r="G18" s="215">
        <f t="shared" si="0"/>
        <v>186.143</v>
      </c>
      <c r="H18" s="215">
        <f t="shared" si="0"/>
        <v>0</v>
      </c>
      <c r="I18" s="215">
        <f t="shared" si="0"/>
        <v>0</v>
      </c>
      <c r="J18" s="215">
        <f t="shared" si="0"/>
        <v>0</v>
      </c>
      <c r="K18" s="215">
        <f t="shared" si="0"/>
        <v>0</v>
      </c>
      <c r="L18" s="215">
        <f t="shared" si="0"/>
        <v>0</v>
      </c>
      <c r="M18" s="215">
        <f t="shared" si="0"/>
        <v>0</v>
      </c>
      <c r="N18" s="215">
        <f t="shared" si="0"/>
        <v>0</v>
      </c>
      <c r="O18" s="215">
        <f t="shared" si="0"/>
        <v>0</v>
      </c>
      <c r="P18" s="215">
        <f t="shared" si="0"/>
        <v>0</v>
      </c>
      <c r="Q18" s="215">
        <f>SUM(E18:P18)</f>
        <v>513.96100000000001</v>
      </c>
    </row>
    <row r="19" spans="2:19" ht="12.75" customHeight="1">
      <c r="B19" s="10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15">
        <f>ROUND(Q18/12,3)</f>
        <v>42.83</v>
      </c>
      <c r="S19" s="215"/>
    </row>
    <row r="20" spans="2:19" ht="12.75" customHeight="1">
      <c r="B20" s="102">
        <v>8</v>
      </c>
      <c r="C20" s="83" t="s">
        <v>868</v>
      </c>
      <c r="E20" s="215">
        <f t="shared" ref="E20:P20" si="1">+E14-(E18-E16)</f>
        <v>813</v>
      </c>
      <c r="F20" s="215">
        <f t="shared" si="1"/>
        <v>886.18200000000002</v>
      </c>
      <c r="G20" s="215">
        <f t="shared" si="1"/>
        <v>989.85699999999997</v>
      </c>
      <c r="H20" s="215">
        <f t="shared" si="1"/>
        <v>939</v>
      </c>
      <c r="I20" s="215">
        <f t="shared" si="1"/>
        <v>935</v>
      </c>
      <c r="J20" s="215">
        <f t="shared" si="1"/>
        <v>880</v>
      </c>
      <c r="K20" s="215">
        <f t="shared" si="1"/>
        <v>863</v>
      </c>
      <c r="L20" s="215">
        <f t="shared" si="1"/>
        <v>1037</v>
      </c>
      <c r="M20" s="215">
        <f t="shared" si="1"/>
        <v>1358</v>
      </c>
      <c r="N20" s="215">
        <f t="shared" si="1"/>
        <v>988</v>
      </c>
      <c r="O20" s="215">
        <f t="shared" si="1"/>
        <v>1063</v>
      </c>
      <c r="P20" s="215">
        <f t="shared" si="1"/>
        <v>1085</v>
      </c>
      <c r="Q20" s="215">
        <f>SUM(E20:P20)</f>
        <v>11837.039000000001</v>
      </c>
    </row>
    <row r="21" spans="2:19" ht="12.75" customHeight="1">
      <c r="B21" s="102">
        <f>+B20+1</f>
        <v>9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215">
        <f>ROUND(Q20/12,3)</f>
        <v>986.42</v>
      </c>
    </row>
    <row r="22" spans="2:19" ht="12.75" customHeight="1">
      <c r="B22" s="10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9" ht="12.75" customHeight="1">
      <c r="B23" s="102"/>
      <c r="C23" s="419" t="s">
        <v>717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9" ht="12.75" customHeight="1">
      <c r="B24" s="10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9" ht="30" customHeight="1">
      <c r="B25" s="102">
        <f>+B21+1</f>
        <v>10</v>
      </c>
      <c r="C25" s="83" t="s">
        <v>718</v>
      </c>
      <c r="E25" s="215">
        <f>'Olive Hill - Vanceburg'!E10/1000</f>
        <v>3.2025600000000001</v>
      </c>
      <c r="F25" s="215">
        <f>'Olive Hill - Vanceburg'!E11/1000</f>
        <v>3.7425600000000001</v>
      </c>
      <c r="G25" s="215">
        <f>'Olive Hill - Vanceburg'!E12/1000</f>
        <v>4.5619199999999998</v>
      </c>
      <c r="H25" s="215">
        <f>'Olive Hill - Vanceburg'!E13/1000</f>
        <v>4.3761599999999996</v>
      </c>
      <c r="I25" s="215">
        <f>'Olive Hill - Vanceburg'!$E14/1000</f>
        <v>4.3343999999999996</v>
      </c>
      <c r="J25" s="215">
        <f>'Olive Hill - Vanceburg'!$E15/1000</f>
        <v>3.7065600000000001</v>
      </c>
      <c r="K25" s="215">
        <f>'Olive Hill - Vanceburg'!$E16/1000</f>
        <v>3.1968000000000001</v>
      </c>
      <c r="L25" s="215">
        <f>'Olive Hill - Vanceburg'!$E17/1000</f>
        <v>4.3128000000000002</v>
      </c>
      <c r="M25" s="215">
        <f>'Olive Hill - Vanceburg'!$E18/1000</f>
        <v>6.4468800000000002</v>
      </c>
      <c r="N25" s="215">
        <f>'Olive Hill - Vanceburg'!$E19/1000</f>
        <v>4.2926400000000005</v>
      </c>
      <c r="O25" s="215">
        <f>'Olive Hill - Vanceburg'!$E20/1000</f>
        <v>4.5057600000000004</v>
      </c>
      <c r="P25" s="215">
        <f>'Olive Hill - Vanceburg'!$E21/1000</f>
        <v>4.1976000000000004</v>
      </c>
      <c r="Q25" s="215">
        <f>SUM(E25:P25)</f>
        <v>50.876640000000002</v>
      </c>
    </row>
    <row r="26" spans="2:19" ht="12.75" customHeight="1">
      <c r="B26" s="102">
        <f>+B25+1</f>
        <v>11</v>
      </c>
      <c r="C26" s="3" t="s">
        <v>715</v>
      </c>
      <c r="E26" s="383">
        <v>1.0551999999999999</v>
      </c>
      <c r="F26" s="383">
        <f>+$E$26</f>
        <v>1.0551999999999999</v>
      </c>
      <c r="G26" s="383">
        <f t="shared" ref="G26:P26" si="2">+$E$26</f>
        <v>1.0551999999999999</v>
      </c>
      <c r="H26" s="383">
        <f t="shared" si="2"/>
        <v>1.0551999999999999</v>
      </c>
      <c r="I26" s="383">
        <f t="shared" si="2"/>
        <v>1.0551999999999999</v>
      </c>
      <c r="J26" s="383">
        <f t="shared" si="2"/>
        <v>1.0551999999999999</v>
      </c>
      <c r="K26" s="383">
        <f t="shared" si="2"/>
        <v>1.0551999999999999</v>
      </c>
      <c r="L26" s="383">
        <f t="shared" si="2"/>
        <v>1.0551999999999999</v>
      </c>
      <c r="M26" s="383">
        <f t="shared" si="2"/>
        <v>1.0551999999999999</v>
      </c>
      <c r="N26" s="383">
        <f t="shared" si="2"/>
        <v>1.0551999999999999</v>
      </c>
      <c r="O26" s="383">
        <f t="shared" si="2"/>
        <v>1.0551999999999999</v>
      </c>
      <c r="P26" s="383">
        <f t="shared" si="2"/>
        <v>1.0551999999999999</v>
      </c>
      <c r="Q26" s="215"/>
    </row>
    <row r="27" spans="2:19" ht="12.75" customHeight="1">
      <c r="B27" s="102">
        <f>+B26+1</f>
        <v>12</v>
      </c>
      <c r="C27" s="83" t="s">
        <v>719</v>
      </c>
      <c r="E27" s="215">
        <f t="shared" ref="E27:P27" si="3">ROUND(E25*E26,3)</f>
        <v>3.379</v>
      </c>
      <c r="F27" s="215">
        <f t="shared" si="3"/>
        <v>3.9489999999999998</v>
      </c>
      <c r="G27" s="215">
        <f t="shared" si="3"/>
        <v>4.8140000000000001</v>
      </c>
      <c r="H27" s="215">
        <f t="shared" si="3"/>
        <v>4.6180000000000003</v>
      </c>
      <c r="I27" s="215">
        <f t="shared" si="3"/>
        <v>4.5739999999999998</v>
      </c>
      <c r="J27" s="215">
        <f t="shared" si="3"/>
        <v>3.911</v>
      </c>
      <c r="K27" s="215">
        <f t="shared" si="3"/>
        <v>3.3730000000000002</v>
      </c>
      <c r="L27" s="215">
        <f t="shared" si="3"/>
        <v>4.5510000000000002</v>
      </c>
      <c r="M27" s="215">
        <f t="shared" si="3"/>
        <v>6.8029999999999999</v>
      </c>
      <c r="N27" s="215">
        <f t="shared" si="3"/>
        <v>4.53</v>
      </c>
      <c r="O27" s="215">
        <f t="shared" si="3"/>
        <v>4.7539999999999996</v>
      </c>
      <c r="P27" s="215">
        <f t="shared" si="3"/>
        <v>4.4290000000000003</v>
      </c>
      <c r="Q27" s="215">
        <f>SUM(E27:P27)</f>
        <v>53.684999999999995</v>
      </c>
    </row>
    <row r="28" spans="2:19" ht="12.75" customHeight="1">
      <c r="B28" s="102">
        <f>+B27+1</f>
        <v>13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>
        <f>ROUND(Q27/12,3)</f>
        <v>4.4740000000000002</v>
      </c>
    </row>
    <row r="29" spans="2:19" ht="12.75" customHeight="1">
      <c r="B29" s="102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2:19" ht="30" customHeight="1">
      <c r="B30" s="102">
        <f>+B28+1</f>
        <v>14</v>
      </c>
      <c r="C30" s="83" t="s">
        <v>720</v>
      </c>
      <c r="E30" s="215">
        <f>'Olive Hill - Vanceburg'!H10/1000</f>
        <v>8.5869999999999997</v>
      </c>
      <c r="F30" s="215">
        <f>'Olive Hill - Vanceburg'!H11/1000</f>
        <v>9.4710000000000001</v>
      </c>
      <c r="G30" s="215">
        <f>'Olive Hill - Vanceburg'!H12/1000</f>
        <v>10.936999999999999</v>
      </c>
      <c r="H30" s="215">
        <f>'Olive Hill - Vanceburg'!H13/1000</f>
        <v>10.372999999999999</v>
      </c>
      <c r="I30" s="215">
        <f>'Olive Hill - Vanceburg'!H14/1000</f>
        <v>10.308999999999999</v>
      </c>
      <c r="J30" s="215">
        <f>'Olive Hill - Vanceburg'!H15/1000</f>
        <v>9.3230000000000004</v>
      </c>
      <c r="K30" s="215">
        <f>'Olive Hill - Vanceburg'!H16/1000</f>
        <v>8.2620000000000005</v>
      </c>
      <c r="L30" s="215">
        <f>'Olive Hill - Vanceburg'!H17/1000</f>
        <v>10.510999999999999</v>
      </c>
      <c r="M30" s="215">
        <f>'Olive Hill - Vanceburg'!H18/1000</f>
        <v>13.147</v>
      </c>
      <c r="N30" s="215">
        <f>'Olive Hill - Vanceburg'!H19/1000</f>
        <v>9.9640000000000004</v>
      </c>
      <c r="O30" s="215">
        <f>'Olive Hill - Vanceburg'!H20/1000</f>
        <v>10.02</v>
      </c>
      <c r="P30" s="215">
        <f>'Olive Hill - Vanceburg'!H21/1000</f>
        <v>9.8239999999999998</v>
      </c>
      <c r="Q30" s="215">
        <f>SUM(E30:P30)</f>
        <v>120.72799999999999</v>
      </c>
    </row>
    <row r="31" spans="2:19" ht="12.75" customHeight="1">
      <c r="B31" s="102">
        <f>+B30+1</f>
        <v>15</v>
      </c>
      <c r="C31" s="3" t="s">
        <v>715</v>
      </c>
      <c r="E31" s="383">
        <v>1.0341260000000001</v>
      </c>
      <c r="F31" s="383">
        <f>+$E$31</f>
        <v>1.0341260000000001</v>
      </c>
      <c r="G31" s="383">
        <f t="shared" ref="G31:P31" si="4">+$E$31</f>
        <v>1.0341260000000001</v>
      </c>
      <c r="H31" s="383">
        <f t="shared" si="4"/>
        <v>1.0341260000000001</v>
      </c>
      <c r="I31" s="383">
        <f t="shared" si="4"/>
        <v>1.0341260000000001</v>
      </c>
      <c r="J31" s="383">
        <f t="shared" si="4"/>
        <v>1.0341260000000001</v>
      </c>
      <c r="K31" s="383">
        <f t="shared" si="4"/>
        <v>1.0341260000000001</v>
      </c>
      <c r="L31" s="383">
        <f t="shared" si="4"/>
        <v>1.0341260000000001</v>
      </c>
      <c r="M31" s="383">
        <f t="shared" si="4"/>
        <v>1.0341260000000001</v>
      </c>
      <c r="N31" s="383">
        <f t="shared" si="4"/>
        <v>1.0341260000000001</v>
      </c>
      <c r="O31" s="383">
        <f t="shared" si="4"/>
        <v>1.0341260000000001</v>
      </c>
      <c r="P31" s="383">
        <f t="shared" si="4"/>
        <v>1.0341260000000001</v>
      </c>
      <c r="Q31" s="215"/>
    </row>
    <row r="32" spans="2:19" ht="12.75" customHeight="1">
      <c r="B32" s="102">
        <f>+B31+1</f>
        <v>16</v>
      </c>
      <c r="C32" s="83" t="s">
        <v>721</v>
      </c>
      <c r="E32" s="215">
        <f>ROUND(E30*E31,3)</f>
        <v>8.8800000000000008</v>
      </c>
      <c r="F32" s="215">
        <f t="shared" ref="F32:P32" si="5">ROUND(F30*F31,3)</f>
        <v>9.7940000000000005</v>
      </c>
      <c r="G32" s="215">
        <f t="shared" si="5"/>
        <v>11.31</v>
      </c>
      <c r="H32" s="215">
        <f t="shared" si="5"/>
        <v>10.727</v>
      </c>
      <c r="I32" s="215">
        <f t="shared" si="5"/>
        <v>10.661</v>
      </c>
      <c r="J32" s="215">
        <f t="shared" si="5"/>
        <v>9.641</v>
      </c>
      <c r="K32" s="215">
        <f t="shared" si="5"/>
        <v>8.5440000000000005</v>
      </c>
      <c r="L32" s="215">
        <f t="shared" si="5"/>
        <v>10.87</v>
      </c>
      <c r="M32" s="215">
        <f t="shared" si="5"/>
        <v>13.596</v>
      </c>
      <c r="N32" s="215">
        <f t="shared" si="5"/>
        <v>10.304</v>
      </c>
      <c r="O32" s="215">
        <f t="shared" si="5"/>
        <v>10.362</v>
      </c>
      <c r="P32" s="215">
        <f t="shared" si="5"/>
        <v>10.159000000000001</v>
      </c>
      <c r="Q32" s="215">
        <f>SUM(E32:P32)</f>
        <v>124.84800000000001</v>
      </c>
    </row>
    <row r="33" spans="2:17" ht="12.75" customHeight="1">
      <c r="B33" s="102">
        <f>+B32+1</f>
        <v>17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>
        <f>ROUND(Q32/12,3)</f>
        <v>10.404</v>
      </c>
    </row>
    <row r="34" spans="2:17">
      <c r="B34" s="102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2:17">
      <c r="B35" s="102">
        <f>+B33+1</f>
        <v>18</v>
      </c>
      <c r="C35" s="83" t="s">
        <v>722</v>
      </c>
      <c r="E35" s="14">
        <f>+E27+E32</f>
        <v>12.259</v>
      </c>
      <c r="F35" s="14">
        <f t="shared" ref="F35:P35" si="6">+F27+F32</f>
        <v>13.743</v>
      </c>
      <c r="G35" s="14">
        <f t="shared" si="6"/>
        <v>16.124000000000002</v>
      </c>
      <c r="H35" s="14">
        <f t="shared" si="6"/>
        <v>15.345000000000001</v>
      </c>
      <c r="I35" s="14">
        <f t="shared" si="6"/>
        <v>15.234999999999999</v>
      </c>
      <c r="J35" s="14">
        <f t="shared" si="6"/>
        <v>13.552</v>
      </c>
      <c r="K35" s="14">
        <f t="shared" si="6"/>
        <v>11.917000000000002</v>
      </c>
      <c r="L35" s="14">
        <f t="shared" si="6"/>
        <v>15.420999999999999</v>
      </c>
      <c r="M35" s="14">
        <f t="shared" si="6"/>
        <v>20.399000000000001</v>
      </c>
      <c r="N35" s="14">
        <f t="shared" si="6"/>
        <v>14.834</v>
      </c>
      <c r="O35" s="14">
        <f t="shared" si="6"/>
        <v>15.116</v>
      </c>
      <c r="P35" s="14">
        <f t="shared" si="6"/>
        <v>14.588000000000001</v>
      </c>
      <c r="Q35" s="215">
        <f>SUM(E35:P35)</f>
        <v>178.53299999999999</v>
      </c>
    </row>
    <row r="36" spans="2:17">
      <c r="B36" s="102">
        <f>+B35+1</f>
        <v>19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215">
        <f>ROUND(Q35/12,3)</f>
        <v>14.878</v>
      </c>
    </row>
    <row r="37" spans="2:17">
      <c r="B37" s="102"/>
    </row>
    <row r="38" spans="2:17" ht="13">
      <c r="B38" s="102">
        <f>+B36+1</f>
        <v>20</v>
      </c>
      <c r="C38" s="103" t="s">
        <v>723</v>
      </c>
      <c r="F38" s="215">
        <f>+Q36</f>
        <v>14.878</v>
      </c>
      <c r="G38" s="316" t="s">
        <v>724</v>
      </c>
      <c r="H38" s="215">
        <f>+$Q$21</f>
        <v>986.42</v>
      </c>
      <c r="I38" s="316" t="s">
        <v>725</v>
      </c>
      <c r="J38" s="3">
        <f>ROUND(F38/H38,3)</f>
        <v>1.4999999999999999E-2</v>
      </c>
      <c r="L38" s="215"/>
      <c r="M38" s="316"/>
      <c r="N38" s="215"/>
      <c r="O38" s="316"/>
    </row>
    <row r="39" spans="2:17">
      <c r="B39" s="102"/>
    </row>
    <row r="40" spans="2:17">
      <c r="B40" s="102">
        <f>+B38+1</f>
        <v>21</v>
      </c>
      <c r="C40" s="83" t="s">
        <v>726</v>
      </c>
      <c r="E40" s="14">
        <f>+E20-E35</f>
        <v>800.74099999999999</v>
      </c>
      <c r="F40" s="14">
        <f t="shared" ref="F40:O40" si="7">+F20-F35</f>
        <v>872.43899999999996</v>
      </c>
      <c r="G40" s="14">
        <f t="shared" si="7"/>
        <v>973.73299999999995</v>
      </c>
      <c r="H40" s="14">
        <f t="shared" si="7"/>
        <v>923.65499999999997</v>
      </c>
      <c r="I40" s="14">
        <f t="shared" si="7"/>
        <v>919.76499999999999</v>
      </c>
      <c r="J40" s="14">
        <f t="shared" si="7"/>
        <v>866.44799999999998</v>
      </c>
      <c r="K40" s="14">
        <f t="shared" si="7"/>
        <v>851.08299999999997</v>
      </c>
      <c r="L40" s="14">
        <f t="shared" si="7"/>
        <v>1021.579</v>
      </c>
      <c r="M40" s="14">
        <f t="shared" si="7"/>
        <v>1337.6010000000001</v>
      </c>
      <c r="N40" s="14">
        <f t="shared" si="7"/>
        <v>973.16600000000005</v>
      </c>
      <c r="O40" s="14">
        <f t="shared" si="7"/>
        <v>1047.884</v>
      </c>
      <c r="P40" s="14">
        <f>+P20-P35</f>
        <v>1070.412</v>
      </c>
      <c r="Q40" s="215">
        <f>SUM(E40:P40)</f>
        <v>11658.505999999999</v>
      </c>
    </row>
    <row r="41" spans="2:17">
      <c r="B41" s="102">
        <f>+B40+1</f>
        <v>22</v>
      </c>
      <c r="P41" s="107"/>
      <c r="Q41" s="215">
        <f>ROUND(Q40/12,3)</f>
        <v>971.54200000000003</v>
      </c>
    </row>
    <row r="42" spans="2:17">
      <c r="B42" s="102"/>
      <c r="P42" s="107"/>
    </row>
    <row r="43" spans="2:17" ht="12.75" customHeight="1">
      <c r="B43" s="102">
        <f>+B41+1</f>
        <v>23</v>
      </c>
      <c r="C43" s="103" t="s">
        <v>727</v>
      </c>
      <c r="F43" s="14">
        <f>+Q41</f>
        <v>971.54200000000003</v>
      </c>
      <c r="G43" s="249" t="s">
        <v>724</v>
      </c>
      <c r="H43" s="14">
        <f>+$Q$21</f>
        <v>986.42</v>
      </c>
      <c r="I43" s="316" t="s">
        <v>725</v>
      </c>
      <c r="J43" s="3">
        <f>ROUND(F43/H43,3)</f>
        <v>0.98499999999999999</v>
      </c>
      <c r="Q43" s="224"/>
    </row>
    <row r="44" spans="2:17" ht="17.25" customHeight="1">
      <c r="B44" s="102"/>
      <c r="F44" s="14"/>
      <c r="G44" s="14"/>
      <c r="H44" s="14"/>
      <c r="Q44" s="224"/>
    </row>
    <row r="45" spans="2:17" ht="25.5" customHeight="1">
      <c r="B45" s="102" t="s">
        <v>563</v>
      </c>
      <c r="C45" s="83" t="s">
        <v>728</v>
      </c>
      <c r="Q45" s="224"/>
    </row>
    <row r="46" spans="2:17" ht="26.25" customHeight="1">
      <c r="Q46" s="224"/>
    </row>
    <row r="47" spans="2:17">
      <c r="Q47" s="224"/>
    </row>
    <row r="48" spans="2:17">
      <c r="Q48" s="224"/>
    </row>
    <row r="49" spans="17:17">
      <c r="Q49" s="224"/>
    </row>
    <row r="50" spans="17:17">
      <c r="Q50" s="224"/>
    </row>
    <row r="51" spans="17:17">
      <c r="Q51" s="224"/>
    </row>
  </sheetData>
  <printOptions horizontalCentered="1"/>
  <pageMargins left="0" right="0" top="1" bottom="0.5" header="0.5" footer="0"/>
  <pageSetup scale="70" orientation="landscape" r:id="rId1"/>
  <headerFooter alignWithMargins="0">
    <oddHeader xml:space="preserve">&amp;RSECTION V
SCHEDULE 9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T54"/>
  <sheetViews>
    <sheetView topLeftCell="A13" zoomScale="90" zoomScaleNormal="90" workbookViewId="0">
      <selection activeCell="L47" sqref="L47"/>
    </sheetView>
  </sheetViews>
  <sheetFormatPr defaultColWidth="9.1796875" defaultRowHeight="12.5"/>
  <cols>
    <col min="1" max="1" width="2.26953125" style="83" customWidth="1"/>
    <col min="2" max="2" width="6.1796875" style="417" bestFit="1" customWidth="1"/>
    <col min="3" max="3" width="5.7265625" style="417" customWidth="1"/>
    <col min="4" max="4" width="29.453125" style="83" bestFit="1" customWidth="1"/>
    <col min="5" max="5" width="2.26953125" style="83" customWidth="1"/>
    <col min="6" max="6" width="14.1796875" style="83" customWidth="1"/>
    <col min="7" max="8" width="12.7265625" style="83" customWidth="1"/>
    <col min="9" max="9" width="2.26953125" style="83" customWidth="1"/>
    <col min="10" max="14" width="12.7265625" style="83" customWidth="1"/>
    <col min="15" max="17" width="8.7265625" style="83" customWidth="1"/>
    <col min="18" max="16384" width="9.1796875" style="83"/>
  </cols>
  <sheetData>
    <row r="1" spans="2:17">
      <c r="I1" s="417"/>
      <c r="N1" s="95"/>
    </row>
    <row r="2" spans="2:17">
      <c r="N2" s="95"/>
    </row>
    <row r="3" spans="2:17">
      <c r="I3" s="96"/>
    </row>
    <row r="4" spans="2:17" ht="13">
      <c r="I4" s="197" t="s">
        <v>832</v>
      </c>
    </row>
    <row r="5" spans="2:17">
      <c r="I5" s="419"/>
    </row>
    <row r="6" spans="2:17" ht="25.5">
      <c r="B6" s="98" t="s">
        <v>445</v>
      </c>
      <c r="C6" s="98"/>
      <c r="D6" s="217" t="s">
        <v>859</v>
      </c>
      <c r="F6" s="100" t="s">
        <v>729</v>
      </c>
      <c r="G6" s="98" t="s">
        <v>730</v>
      </c>
      <c r="H6" s="98" t="s">
        <v>731</v>
      </c>
      <c r="I6" s="98"/>
      <c r="J6" s="98" t="s">
        <v>732</v>
      </c>
      <c r="K6" s="98"/>
      <c r="L6" s="98"/>
      <c r="M6" s="98"/>
      <c r="N6" s="98"/>
      <c r="O6" s="98"/>
      <c r="P6" s="98"/>
    </row>
    <row r="7" spans="2:17">
      <c r="B7" s="98" t="s">
        <v>12</v>
      </c>
      <c r="C7" s="98"/>
      <c r="D7" s="102">
        <f>+B7-1</f>
        <v>-2</v>
      </c>
      <c r="F7" s="102">
        <f>+D7-1</f>
        <v>-3</v>
      </c>
      <c r="G7" s="102">
        <f>+F7-1</f>
        <v>-4</v>
      </c>
      <c r="H7" s="102">
        <f t="shared" ref="H7:N7" si="0">+G7-1</f>
        <v>-5</v>
      </c>
      <c r="I7" s="102"/>
      <c r="J7" s="102">
        <f>+H7-1</f>
        <v>-6</v>
      </c>
      <c r="K7" s="102">
        <f t="shared" si="0"/>
        <v>-7</v>
      </c>
      <c r="L7" s="102">
        <f t="shared" si="0"/>
        <v>-8</v>
      </c>
      <c r="M7" s="102">
        <f t="shared" si="0"/>
        <v>-9</v>
      </c>
      <c r="N7" s="102">
        <f t="shared" si="0"/>
        <v>-10</v>
      </c>
      <c r="O7" s="102"/>
      <c r="P7" s="98"/>
    </row>
    <row r="8" spans="2:17">
      <c r="B8" s="98"/>
      <c r="C8" s="98"/>
      <c r="D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8"/>
    </row>
    <row r="9" spans="2:17">
      <c r="B9" s="102"/>
      <c r="C9" s="218" t="s">
        <v>733</v>
      </c>
    </row>
    <row r="10" spans="2:17" ht="12.75" customHeight="1">
      <c r="B10" s="102">
        <v>1</v>
      </c>
      <c r="C10" s="102"/>
      <c r="D10" s="83" t="s">
        <v>750</v>
      </c>
      <c r="F10" s="219">
        <v>494230</v>
      </c>
      <c r="G10" s="220">
        <f>'Olive Hill - Vanceburg'!R22</f>
        <v>3.4099999999999998E-2</v>
      </c>
      <c r="H10" s="219">
        <f>ROUND(F10*G10,0)</f>
        <v>16853</v>
      </c>
      <c r="I10" s="219"/>
      <c r="J10" s="219">
        <f>+F10+H10</f>
        <v>511083</v>
      </c>
      <c r="K10" s="98"/>
      <c r="L10" s="98"/>
      <c r="M10" s="98"/>
      <c r="N10" s="98"/>
      <c r="O10" s="98"/>
      <c r="P10" s="98"/>
      <c r="Q10" s="419"/>
    </row>
    <row r="11" spans="2:17" ht="12.75" customHeight="1">
      <c r="B11" s="102"/>
      <c r="C11" s="102"/>
      <c r="F11" s="219"/>
      <c r="G11" s="220"/>
      <c r="H11" s="219"/>
      <c r="I11" s="219"/>
      <c r="J11" s="219"/>
      <c r="K11" s="98"/>
      <c r="L11" s="98"/>
      <c r="M11" s="98"/>
      <c r="N11" s="98"/>
      <c r="O11" s="98"/>
      <c r="P11" s="98"/>
      <c r="Q11" s="419"/>
    </row>
    <row r="12" spans="2:17" ht="30" customHeight="1">
      <c r="B12" s="102">
        <f>+B10+1</f>
        <v>2</v>
      </c>
      <c r="C12" s="102"/>
      <c r="D12" s="83" t="s">
        <v>734</v>
      </c>
      <c r="F12" s="10">
        <f>'Olive Hill - Vanceburg'!I24/1000</f>
        <v>54492.642999999996</v>
      </c>
      <c r="G12" s="220">
        <f>'Olive Hill - Vanceburg'!R22</f>
        <v>3.4099999999999998E-2</v>
      </c>
      <c r="H12" s="219">
        <f>ROUND(F12*G12,0)</f>
        <v>1858</v>
      </c>
      <c r="I12" s="219"/>
      <c r="J12" s="219">
        <f>+F12+H12</f>
        <v>56350.642999999996</v>
      </c>
      <c r="K12" s="98"/>
      <c r="L12" s="98"/>
      <c r="M12" s="98"/>
      <c r="N12" s="98"/>
      <c r="O12" s="98"/>
      <c r="P12" s="98"/>
      <c r="Q12" s="419"/>
    </row>
    <row r="13" spans="2:17" ht="11.5" customHeight="1">
      <c r="B13" s="102"/>
      <c r="C13" s="102"/>
      <c r="F13" s="10"/>
      <c r="G13" s="220"/>
      <c r="H13" s="219"/>
      <c r="I13" s="219"/>
      <c r="J13" s="219"/>
      <c r="K13" s="98"/>
      <c r="L13" s="98"/>
      <c r="M13" s="98"/>
      <c r="N13" s="98"/>
      <c r="O13" s="98"/>
      <c r="P13" s="98"/>
      <c r="Q13" s="419"/>
    </row>
    <row r="14" spans="2:17" ht="12.75" customHeight="1">
      <c r="B14" s="102"/>
      <c r="C14" s="218" t="s">
        <v>735</v>
      </c>
      <c r="F14" s="10"/>
      <c r="G14" s="105"/>
      <c r="H14" s="10"/>
      <c r="I14" s="10"/>
      <c r="J14" s="10"/>
      <c r="K14" s="215"/>
      <c r="L14" s="215"/>
      <c r="M14" s="215"/>
      <c r="N14" s="215"/>
      <c r="O14" s="215"/>
      <c r="P14" s="215"/>
    </row>
    <row r="15" spans="2:17" ht="30" customHeight="1">
      <c r="B15" s="102">
        <f>+B12+1</f>
        <v>3</v>
      </c>
      <c r="C15" s="102"/>
      <c r="D15" s="83" t="s">
        <v>736</v>
      </c>
      <c r="F15" s="10">
        <f>'Olive Hill - Vanceburg'!F24/1000</f>
        <v>21306.461760000006</v>
      </c>
      <c r="G15" s="220">
        <f>'Olive Hill - Vanceburg'!R24</f>
        <v>5.552E-2</v>
      </c>
      <c r="H15" s="219">
        <f>ROUND(F15*G15,0)</f>
        <v>1183</v>
      </c>
      <c r="I15" s="219"/>
      <c r="J15" s="219">
        <f>+F15+H15</f>
        <v>22489.461760000006</v>
      </c>
      <c r="K15" s="215"/>
      <c r="L15" s="215"/>
      <c r="M15" s="215"/>
      <c r="N15" s="215"/>
      <c r="O15" s="215"/>
      <c r="P15" s="215"/>
    </row>
    <row r="16" spans="2:17" ht="12.75" customHeight="1">
      <c r="B16" s="102"/>
      <c r="C16" s="102"/>
      <c r="F16" s="215"/>
      <c r="G16" s="215"/>
      <c r="H16" s="38"/>
      <c r="I16" s="38"/>
      <c r="J16" s="38"/>
      <c r="K16" s="215"/>
      <c r="L16" s="215"/>
      <c r="M16" s="215"/>
      <c r="N16" s="215"/>
      <c r="O16" s="215"/>
      <c r="P16" s="215"/>
    </row>
    <row r="17" spans="2:17" ht="12.75" customHeight="1">
      <c r="B17" s="102"/>
      <c r="C17" s="102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</row>
    <row r="18" spans="2:17" ht="39" customHeight="1">
      <c r="B18" s="102"/>
      <c r="C18" s="102"/>
      <c r="F18" s="98" t="s">
        <v>737</v>
      </c>
      <c r="G18" s="100" t="s">
        <v>738</v>
      </c>
      <c r="H18" s="98" t="s">
        <v>739</v>
      </c>
      <c r="I18" s="98"/>
      <c r="J18" s="98" t="s">
        <v>740</v>
      </c>
      <c r="K18" s="98" t="s">
        <v>741</v>
      </c>
      <c r="L18" s="98" t="s">
        <v>874</v>
      </c>
      <c r="M18" s="98" t="s">
        <v>869</v>
      </c>
      <c r="N18" s="98" t="s">
        <v>742</v>
      </c>
      <c r="O18" s="215"/>
      <c r="P18" s="215"/>
    </row>
    <row r="19" spans="2:17" ht="12.75" customHeight="1">
      <c r="B19" s="102"/>
      <c r="C19" s="102"/>
      <c r="F19" s="102">
        <f>+F7</f>
        <v>-3</v>
      </c>
      <c r="G19" s="102">
        <f>+G7</f>
        <v>-4</v>
      </c>
      <c r="H19" s="102">
        <f>+H7</f>
        <v>-5</v>
      </c>
      <c r="I19" s="102"/>
      <c r="J19" s="102">
        <f>+J7</f>
        <v>-6</v>
      </c>
      <c r="K19" s="102">
        <f>+K7</f>
        <v>-7</v>
      </c>
      <c r="L19" s="102">
        <f>+L7</f>
        <v>-8</v>
      </c>
      <c r="M19" s="102">
        <f>+M7</f>
        <v>-9</v>
      </c>
      <c r="N19" s="102">
        <f>+N7</f>
        <v>-10</v>
      </c>
      <c r="O19" s="215"/>
      <c r="P19" s="215"/>
    </row>
    <row r="20" spans="2:17" ht="12.75" customHeight="1">
      <c r="B20" s="102"/>
      <c r="C20" s="102"/>
      <c r="F20" s="221"/>
      <c r="G20" s="98"/>
      <c r="H20" s="98"/>
      <c r="I20" s="98"/>
      <c r="J20" s="98"/>
      <c r="K20" s="98"/>
      <c r="L20" s="98"/>
      <c r="M20" s="98"/>
      <c r="N20" s="98"/>
      <c r="O20" s="215"/>
      <c r="P20" s="215"/>
    </row>
    <row r="21" spans="2:17" ht="12.75" customHeight="1">
      <c r="B21" s="102"/>
      <c r="C21" s="222" t="s">
        <v>743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2:17" ht="12.75" customHeight="1">
      <c r="B22" s="102">
        <f>+B15+1</f>
        <v>4</v>
      </c>
      <c r="C22" s="102"/>
      <c r="D22" s="83" t="s">
        <v>744</v>
      </c>
      <c r="F22" s="38">
        <v>2413964</v>
      </c>
      <c r="G22" s="38">
        <v>0</v>
      </c>
      <c r="H22" s="38">
        <f>+F22-G22</f>
        <v>2413964</v>
      </c>
      <c r="I22" s="38"/>
      <c r="J22" s="215"/>
      <c r="K22" s="215"/>
      <c r="L22" s="215"/>
      <c r="M22" s="215"/>
      <c r="N22" s="215"/>
      <c r="O22" s="215"/>
      <c r="P22" s="215"/>
      <c r="Q22" s="419"/>
    </row>
    <row r="23" spans="2:17" ht="12.75" customHeight="1">
      <c r="B23" s="102">
        <f>+B22+1</f>
        <v>5</v>
      </c>
      <c r="C23" s="102"/>
      <c r="D23" s="83" t="s">
        <v>745</v>
      </c>
      <c r="F23" s="38">
        <v>3744759</v>
      </c>
      <c r="G23" s="38">
        <v>0</v>
      </c>
      <c r="H23" s="38">
        <f>+F23-G23</f>
        <v>3744759</v>
      </c>
      <c r="I23" s="38"/>
      <c r="J23" s="215"/>
      <c r="K23" s="215"/>
      <c r="L23" s="215"/>
      <c r="M23" s="215"/>
      <c r="N23" s="215"/>
      <c r="O23" s="215"/>
      <c r="P23" s="215"/>
      <c r="Q23" s="419"/>
    </row>
    <row r="24" spans="2:17" ht="12.75" customHeight="1">
      <c r="B24" s="102">
        <f>+B23+1</f>
        <v>6</v>
      </c>
      <c r="C24" s="102"/>
      <c r="D24" s="83" t="s">
        <v>746</v>
      </c>
      <c r="F24" s="38">
        <v>0</v>
      </c>
      <c r="G24" s="38">
        <v>0</v>
      </c>
      <c r="H24" s="38">
        <f>+F24-G24</f>
        <v>0</v>
      </c>
      <c r="I24" s="38"/>
      <c r="J24" s="215"/>
      <c r="K24" s="215"/>
      <c r="L24" s="215"/>
      <c r="M24" s="215"/>
      <c r="N24" s="215"/>
      <c r="O24" s="215"/>
      <c r="P24" s="215"/>
    </row>
    <row r="25" spans="2:17" ht="12.75" customHeight="1">
      <c r="B25" s="102"/>
      <c r="C25" s="102"/>
      <c r="F25" s="105" t="s">
        <v>712</v>
      </c>
      <c r="G25" s="105" t="s">
        <v>712</v>
      </c>
      <c r="H25" s="105" t="s">
        <v>712</v>
      </c>
      <c r="I25" s="105"/>
      <c r="J25" s="105"/>
      <c r="K25" s="105"/>
      <c r="L25" s="105"/>
      <c r="M25" s="105"/>
      <c r="N25" s="105"/>
      <c r="O25" s="105"/>
      <c r="P25" s="215"/>
    </row>
    <row r="26" spans="2:17" ht="12.75" customHeight="1">
      <c r="B26" s="102">
        <f>+B24+1</f>
        <v>7</v>
      </c>
      <c r="C26" s="102"/>
      <c r="D26" s="417" t="s">
        <v>747</v>
      </c>
      <c r="F26" s="38">
        <f>SUM(F22:F25)</f>
        <v>6158723</v>
      </c>
      <c r="G26" s="38">
        <f>SUM(G22:G25)</f>
        <v>0</v>
      </c>
      <c r="H26" s="38">
        <f>SUM(H22:H25)</f>
        <v>6158723</v>
      </c>
      <c r="I26" s="38"/>
      <c r="J26" s="38"/>
      <c r="K26" s="38"/>
      <c r="L26" s="38"/>
      <c r="M26" s="38"/>
      <c r="N26" s="38"/>
      <c r="O26" s="38"/>
      <c r="P26" s="215"/>
    </row>
    <row r="27" spans="2:17" ht="12.75" customHeight="1">
      <c r="B27" s="102"/>
      <c r="C27" s="102"/>
      <c r="F27" s="105" t="s">
        <v>712</v>
      </c>
      <c r="G27" s="105" t="s">
        <v>712</v>
      </c>
      <c r="H27" s="105" t="s">
        <v>712</v>
      </c>
      <c r="I27" s="105"/>
      <c r="J27" s="105"/>
      <c r="K27" s="105"/>
      <c r="L27" s="105"/>
      <c r="M27" s="105"/>
      <c r="N27" s="105"/>
      <c r="O27" s="38"/>
      <c r="P27" s="215"/>
    </row>
    <row r="28" spans="2:17" ht="12.75" customHeight="1">
      <c r="B28" s="102"/>
      <c r="C28" s="102"/>
      <c r="F28" s="233"/>
      <c r="G28" s="38"/>
      <c r="H28" s="38"/>
      <c r="I28" s="38"/>
      <c r="J28" s="38"/>
      <c r="K28" s="38"/>
      <c r="L28" s="38"/>
      <c r="M28" s="38"/>
      <c r="N28" s="38"/>
      <c r="O28" s="38"/>
      <c r="P28" s="215"/>
    </row>
    <row r="29" spans="2:17" ht="12.75" customHeight="1">
      <c r="B29" s="102"/>
      <c r="C29" s="222" t="s">
        <v>748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7" ht="12.75" customHeight="1">
      <c r="B30" s="102">
        <f>+B26+1</f>
        <v>8</v>
      </c>
      <c r="C30" s="102"/>
      <c r="D30" s="83" t="s">
        <v>749</v>
      </c>
      <c r="F30" s="38">
        <v>5300897.3190000001</v>
      </c>
      <c r="G30" s="38">
        <v>0</v>
      </c>
      <c r="H30" s="38">
        <f>+F30-G30</f>
        <v>5300897.3190000001</v>
      </c>
      <c r="I30" s="38"/>
      <c r="J30" s="38">
        <v>0</v>
      </c>
      <c r="K30" s="38">
        <v>0</v>
      </c>
      <c r="L30" s="38">
        <v>0</v>
      </c>
      <c r="M30" s="38">
        <f>+J30+K30+L30</f>
        <v>0</v>
      </c>
      <c r="N30" s="38">
        <f>+H30-M30</f>
        <v>5300897.3190000001</v>
      </c>
      <c r="O30" s="215"/>
      <c r="P30" s="215"/>
    </row>
    <row r="31" spans="2:17" ht="12.75" customHeight="1">
      <c r="B31" s="102"/>
      <c r="C31" s="10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15"/>
    </row>
    <row r="32" spans="2:17" ht="12.75" customHeight="1">
      <c r="B32" s="102">
        <f>+B30+1</f>
        <v>9</v>
      </c>
      <c r="C32" s="102"/>
      <c r="D32" s="83" t="s">
        <v>750</v>
      </c>
      <c r="F32" s="38">
        <f>+F10</f>
        <v>494230</v>
      </c>
      <c r="G32" s="38">
        <f>+F10</f>
        <v>494230</v>
      </c>
      <c r="H32" s="38">
        <f t="shared" ref="H32:H37" si="1">+F32-G32</f>
        <v>0</v>
      </c>
      <c r="I32" s="38"/>
      <c r="J32" s="38">
        <v>0</v>
      </c>
      <c r="K32" s="38">
        <v>0</v>
      </c>
      <c r="L32" s="38">
        <v>0</v>
      </c>
      <c r="M32" s="38">
        <f>+J32+K32+L32</f>
        <v>0</v>
      </c>
      <c r="N32" s="38">
        <f>+H32-M32</f>
        <v>0</v>
      </c>
      <c r="O32" s="215"/>
      <c r="P32" s="215"/>
    </row>
    <row r="33" spans="2:20" ht="30" customHeight="1">
      <c r="B33" s="102">
        <f>+B32+1</f>
        <v>10</v>
      </c>
      <c r="C33" s="102"/>
      <c r="D33" s="223" t="s">
        <v>751</v>
      </c>
      <c r="F33" s="38">
        <f>+F15</f>
        <v>21306.461760000006</v>
      </c>
      <c r="G33" s="38">
        <v>0</v>
      </c>
      <c r="H33" s="38">
        <f>+F33-G33</f>
        <v>21306.461760000006</v>
      </c>
      <c r="I33" s="38"/>
      <c r="J33" s="38">
        <f>+H33</f>
        <v>21306.461760000006</v>
      </c>
      <c r="K33" s="38">
        <v>0</v>
      </c>
      <c r="L33" s="38">
        <v>0</v>
      </c>
      <c r="M33" s="38">
        <f>+J33+K33+L33</f>
        <v>21306.461760000006</v>
      </c>
      <c r="N33" s="38">
        <f>+H33-M33</f>
        <v>0</v>
      </c>
      <c r="O33" s="215"/>
      <c r="P33" s="215"/>
    </row>
    <row r="34" spans="2:20" ht="30" customHeight="1">
      <c r="B34" s="102">
        <f>+B33+1</f>
        <v>11</v>
      </c>
      <c r="C34" s="102"/>
      <c r="D34" s="223" t="s">
        <v>752</v>
      </c>
      <c r="F34" s="38">
        <f>+F12</f>
        <v>54492.642999999996</v>
      </c>
      <c r="G34" s="38">
        <v>0</v>
      </c>
      <c r="H34" s="38">
        <f t="shared" si="1"/>
        <v>54492.642999999996</v>
      </c>
      <c r="I34" s="38"/>
      <c r="J34" s="38">
        <v>0</v>
      </c>
      <c r="K34" s="38">
        <f>+H34</f>
        <v>54492.642999999996</v>
      </c>
      <c r="L34" s="38">
        <v>0</v>
      </c>
      <c r="M34" s="38">
        <f>+J34+K34+L34</f>
        <v>54492.642999999996</v>
      </c>
      <c r="N34" s="38">
        <f>+H34-M34</f>
        <v>0</v>
      </c>
      <c r="O34" s="215"/>
      <c r="P34" s="215"/>
    </row>
    <row r="35" spans="2:20" ht="25">
      <c r="B35" s="102">
        <f>+B34+1</f>
        <v>12</v>
      </c>
      <c r="C35" s="102"/>
      <c r="D35" s="98" t="s">
        <v>753</v>
      </c>
      <c r="F35" s="10">
        <f>SUM(F32:F34)</f>
        <v>570029.10476000002</v>
      </c>
      <c r="G35" s="10">
        <f>SUM(G32:G34)</f>
        <v>494230</v>
      </c>
      <c r="H35" s="10">
        <f t="shared" ref="H35:N35" si="2">SUM(H32:H34)</f>
        <v>75799.104760000002</v>
      </c>
      <c r="I35" s="10"/>
      <c r="J35" s="10">
        <f t="shared" si="2"/>
        <v>21306.461760000006</v>
      </c>
      <c r="K35" s="10">
        <f t="shared" si="2"/>
        <v>54492.642999999996</v>
      </c>
      <c r="L35" s="10">
        <f t="shared" si="2"/>
        <v>0</v>
      </c>
      <c r="M35" s="10">
        <f>SUM(M32:M34)</f>
        <v>75799.104760000002</v>
      </c>
      <c r="N35" s="10">
        <f t="shared" si="2"/>
        <v>0</v>
      </c>
      <c r="O35" s="105"/>
      <c r="P35" s="215"/>
    </row>
    <row r="36" spans="2:20">
      <c r="B36" s="102"/>
      <c r="C36" s="102"/>
      <c r="D36" s="417"/>
      <c r="F36" s="10"/>
      <c r="G36" s="10"/>
      <c r="H36" s="10"/>
      <c r="I36" s="10"/>
      <c r="J36" s="10"/>
      <c r="K36" s="10"/>
      <c r="L36" s="10"/>
      <c r="M36" s="10"/>
      <c r="N36" s="10"/>
      <c r="O36" s="105"/>
      <c r="P36" s="215"/>
    </row>
    <row r="37" spans="2:20">
      <c r="B37" s="102">
        <f>+B35+1</f>
        <v>13</v>
      </c>
      <c r="C37" s="102"/>
      <c r="D37" s="83" t="s">
        <v>754</v>
      </c>
      <c r="F37" s="38">
        <v>308781</v>
      </c>
      <c r="G37" s="38">
        <f>+H10</f>
        <v>16853</v>
      </c>
      <c r="H37" s="38">
        <f t="shared" si="1"/>
        <v>291928</v>
      </c>
      <c r="I37" s="38"/>
      <c r="J37" s="38">
        <f>+H15</f>
        <v>1183</v>
      </c>
      <c r="K37" s="38">
        <f>+H12</f>
        <v>1858</v>
      </c>
      <c r="L37" s="38">
        <v>0</v>
      </c>
      <c r="M37" s="38">
        <f>+J37+K37+L37</f>
        <v>3041</v>
      </c>
      <c r="N37" s="38">
        <f>+H37-M37</f>
        <v>288887</v>
      </c>
    </row>
    <row r="38" spans="2:20">
      <c r="B38" s="102"/>
      <c r="C38" s="102"/>
      <c r="F38" s="105" t="s">
        <v>712</v>
      </c>
      <c r="G38" s="105" t="s">
        <v>712</v>
      </c>
      <c r="H38" s="105" t="s">
        <v>712</v>
      </c>
      <c r="I38" s="105"/>
      <c r="J38" s="105" t="s">
        <v>712</v>
      </c>
      <c r="K38" s="105" t="s">
        <v>712</v>
      </c>
      <c r="L38" s="105" t="s">
        <v>712</v>
      </c>
      <c r="M38" s="105" t="s">
        <v>712</v>
      </c>
      <c r="N38" s="105" t="s">
        <v>712</v>
      </c>
      <c r="P38" s="224"/>
    </row>
    <row r="39" spans="2:20" ht="25.5" customHeight="1">
      <c r="B39" s="102">
        <f>+B37+1</f>
        <v>14</v>
      </c>
      <c r="C39" s="102"/>
      <c r="D39" s="98" t="s">
        <v>755</v>
      </c>
      <c r="F39" s="38">
        <f>+F30+F35+F37</f>
        <v>6179707.4237600006</v>
      </c>
      <c r="G39" s="38">
        <f>+G30+G35+G37</f>
        <v>511083</v>
      </c>
      <c r="H39" s="38">
        <f>+H30+H35+H37</f>
        <v>5668624.4237599997</v>
      </c>
      <c r="I39" s="38"/>
      <c r="J39" s="38">
        <f>+J30+J35+J37</f>
        <v>22489.461760000006</v>
      </c>
      <c r="K39" s="38">
        <f>+K30+K35+K37</f>
        <v>56350.642999999996</v>
      </c>
      <c r="L39" s="38">
        <f>+L30+L35+L37</f>
        <v>0</v>
      </c>
      <c r="M39" s="38">
        <f>+M30+M35+M37</f>
        <v>78840.104760000002</v>
      </c>
      <c r="N39" s="38">
        <f>+N30+N35+N37</f>
        <v>5589784.3190000001</v>
      </c>
      <c r="O39" s="38"/>
      <c r="P39" s="224"/>
      <c r="Q39" s="38"/>
      <c r="R39" s="38"/>
      <c r="S39" s="38"/>
      <c r="T39" s="38"/>
    </row>
    <row r="40" spans="2:20">
      <c r="B40" s="102"/>
      <c r="C40" s="102"/>
      <c r="F40" s="105" t="s">
        <v>712</v>
      </c>
      <c r="G40" s="105" t="s">
        <v>712</v>
      </c>
      <c r="H40" s="105" t="s">
        <v>712</v>
      </c>
      <c r="I40" s="105"/>
      <c r="J40" s="105" t="s">
        <v>712</v>
      </c>
      <c r="K40" s="105" t="s">
        <v>712</v>
      </c>
      <c r="L40" s="105" t="s">
        <v>712</v>
      </c>
      <c r="M40" s="105" t="s">
        <v>712</v>
      </c>
      <c r="N40" s="105" t="s">
        <v>712</v>
      </c>
      <c r="O40" s="215"/>
      <c r="P40" s="224"/>
    </row>
    <row r="41" spans="2:20" ht="13">
      <c r="B41" s="102">
        <f>+B39+1</f>
        <v>15</v>
      </c>
      <c r="C41" s="102"/>
      <c r="D41" s="103" t="s">
        <v>756</v>
      </c>
      <c r="F41" s="38"/>
      <c r="G41" s="38"/>
      <c r="H41" s="215">
        <v>1</v>
      </c>
      <c r="I41" s="215"/>
      <c r="J41" s="215"/>
      <c r="K41" s="215"/>
      <c r="L41" s="215"/>
      <c r="M41" s="225">
        <f>ROUND(M39/H39,3)</f>
        <v>1.4E-2</v>
      </c>
      <c r="N41" s="225">
        <f>+H41-M41</f>
        <v>0.98599999999999999</v>
      </c>
      <c r="P41" s="224"/>
    </row>
    <row r="42" spans="2:20">
      <c r="B42" s="102"/>
      <c r="C42" s="102"/>
      <c r="F42" s="105"/>
      <c r="G42" s="105"/>
      <c r="H42" s="105" t="s">
        <v>587</v>
      </c>
      <c r="I42" s="105"/>
      <c r="J42" s="105" t="s">
        <v>587</v>
      </c>
      <c r="K42" s="105" t="s">
        <v>587</v>
      </c>
      <c r="L42" s="105" t="s">
        <v>587</v>
      </c>
      <c r="M42" s="105" t="s">
        <v>587</v>
      </c>
      <c r="N42" s="105" t="s">
        <v>587</v>
      </c>
      <c r="P42" s="224"/>
    </row>
    <row r="43" spans="2:20">
      <c r="B43" s="102"/>
      <c r="C43" s="102"/>
      <c r="D43" s="103"/>
      <c r="F43" s="38"/>
      <c r="G43" s="38"/>
      <c r="H43" s="102"/>
      <c r="I43" s="102"/>
      <c r="J43" s="38"/>
      <c r="K43" s="102"/>
      <c r="L43" s="38"/>
      <c r="M43" s="38"/>
      <c r="N43" s="38"/>
      <c r="P43" s="224"/>
    </row>
    <row r="44" spans="2:20" ht="59.25" customHeight="1">
      <c r="B44" s="102"/>
      <c r="C44" s="102"/>
      <c r="D44" s="384"/>
      <c r="F44" s="38"/>
      <c r="G44" s="38"/>
      <c r="H44" s="38"/>
      <c r="I44" s="38"/>
      <c r="J44" s="38"/>
      <c r="K44" s="38"/>
      <c r="L44" s="38"/>
      <c r="M44" s="38"/>
      <c r="N44" s="38"/>
    </row>
    <row r="45" spans="2:20">
      <c r="B45" s="102"/>
      <c r="C45" s="102"/>
      <c r="F45" s="38"/>
      <c r="G45" s="38"/>
      <c r="H45" s="38"/>
      <c r="I45" s="38"/>
      <c r="J45" s="38"/>
      <c r="K45" s="38"/>
      <c r="L45" s="38"/>
      <c r="M45" s="38"/>
      <c r="N45" s="38"/>
    </row>
    <row r="46" spans="2:20">
      <c r="B46" s="102"/>
      <c r="C46" s="102"/>
      <c r="F46" s="38"/>
      <c r="G46" s="38"/>
    </row>
    <row r="47" spans="2:20">
      <c r="F47" s="38"/>
    </row>
    <row r="48" spans="2:20">
      <c r="H48" s="38"/>
    </row>
    <row r="49" spans="6:7">
      <c r="F49" s="38"/>
    </row>
    <row r="53" spans="6:7">
      <c r="F53" s="38"/>
    </row>
    <row r="54" spans="6:7">
      <c r="G54" s="38"/>
    </row>
  </sheetData>
  <printOptions horizontalCentered="1"/>
  <pageMargins left="0" right="0" top="0.75" bottom="0" header="0.5" footer="0"/>
  <pageSetup scale="74" orientation="landscape" r:id="rId1"/>
  <headerFooter alignWithMargins="0">
    <oddHeader xml:space="preserve">&amp;RSECTION V
SCHEDULE 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4"/>
  <sheetViews>
    <sheetView topLeftCell="A3" zoomScale="110" zoomScaleNormal="110" workbookViewId="0">
      <selection activeCell="P15" sqref="P15"/>
    </sheetView>
  </sheetViews>
  <sheetFormatPr defaultRowHeight="12.5"/>
  <cols>
    <col min="1" max="1" width="5.1796875" bestFit="1" customWidth="1"/>
    <col min="2" max="2" width="2.1796875" customWidth="1"/>
    <col min="3" max="3" width="25.1796875" customWidth="1"/>
    <col min="4" max="4" width="2.1796875" customWidth="1"/>
    <col min="5" max="5" width="10.453125" bestFit="1" customWidth="1"/>
    <col min="6" max="6" width="2.1796875" customWidth="1"/>
    <col min="7" max="7" width="10" customWidth="1"/>
    <col min="8" max="8" width="2.1796875" customWidth="1"/>
    <col min="9" max="9" width="14.1796875" bestFit="1" customWidth="1"/>
    <col min="10" max="10" width="2.1796875" customWidth="1"/>
    <col min="11" max="11" width="14" bestFit="1" customWidth="1"/>
    <col min="13" max="13" width="15" bestFit="1" customWidth="1"/>
    <col min="16" max="16" width="12.54296875" customWidth="1"/>
  </cols>
  <sheetData>
    <row r="1" spans="1:13">
      <c r="A1" s="34"/>
      <c r="B1" s="3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">
      <c r="A2" s="457"/>
      <c r="B2" s="458"/>
      <c r="C2" s="458"/>
      <c r="D2" s="458"/>
      <c r="E2" s="458"/>
      <c r="F2" s="458"/>
      <c r="G2" s="458"/>
      <c r="H2" s="458"/>
      <c r="I2" s="458"/>
      <c r="J2" s="26"/>
      <c r="K2" s="26"/>
      <c r="L2" s="26"/>
      <c r="M2" s="26"/>
    </row>
    <row r="3" spans="1:13">
      <c r="A3" s="459" t="s">
        <v>833</v>
      </c>
      <c r="B3" s="459"/>
      <c r="C3" s="459"/>
      <c r="D3" s="459"/>
      <c r="E3" s="459"/>
      <c r="F3" s="459"/>
      <c r="G3" s="459"/>
      <c r="H3" s="459"/>
      <c r="I3" s="459"/>
      <c r="J3" s="26"/>
      <c r="K3" s="26"/>
      <c r="L3" s="26"/>
      <c r="M3" s="26"/>
    </row>
    <row r="5" spans="1:13" ht="13">
      <c r="A5" s="457"/>
      <c r="B5" s="460"/>
      <c r="C5" s="460"/>
      <c r="D5" s="460"/>
      <c r="E5" s="460"/>
      <c r="F5" s="460"/>
      <c r="G5" s="460"/>
      <c r="H5" s="460"/>
      <c r="I5" s="460"/>
      <c r="J5" s="26"/>
      <c r="K5" s="26"/>
      <c r="L5" s="26"/>
      <c r="M5" s="26"/>
    </row>
    <row r="7" spans="1:13" ht="26">
      <c r="A7" s="32" t="s">
        <v>335</v>
      </c>
      <c r="B7" s="26"/>
      <c r="C7" s="36" t="s">
        <v>336</v>
      </c>
      <c r="D7" s="26"/>
      <c r="E7" s="36" t="s">
        <v>337</v>
      </c>
      <c r="F7" s="26"/>
      <c r="G7" s="36" t="s">
        <v>338</v>
      </c>
      <c r="H7" s="26"/>
      <c r="I7" s="36" t="s">
        <v>339</v>
      </c>
      <c r="J7" s="26"/>
      <c r="K7" s="26"/>
      <c r="L7" s="238"/>
      <c r="M7" s="238"/>
    </row>
    <row r="8" spans="1:13" ht="13">
      <c r="A8" s="33">
        <v>-1</v>
      </c>
      <c r="B8" s="33"/>
      <c r="C8" s="37">
        <v>-2</v>
      </c>
      <c r="D8" s="33"/>
      <c r="E8" s="37">
        <v>-3</v>
      </c>
      <c r="F8" s="33"/>
      <c r="G8" s="37">
        <v>-4</v>
      </c>
      <c r="H8" s="33"/>
      <c r="I8" s="37">
        <v>-5</v>
      </c>
      <c r="J8" s="33"/>
      <c r="K8" s="33"/>
      <c r="L8" s="387"/>
      <c r="M8" s="387"/>
    </row>
    <row r="9" spans="1:13">
      <c r="A9" s="26"/>
      <c r="B9" s="26"/>
      <c r="C9" s="28"/>
      <c r="D9" s="26"/>
      <c r="E9" s="26"/>
      <c r="F9" s="26"/>
      <c r="G9" s="26"/>
      <c r="H9" s="26"/>
      <c r="I9" s="26"/>
      <c r="J9" s="26"/>
      <c r="K9" s="26"/>
      <c r="L9" s="238"/>
      <c r="M9" s="238"/>
    </row>
    <row r="10" spans="1:13">
      <c r="A10" s="29">
        <v>1</v>
      </c>
      <c r="B10" s="26"/>
      <c r="C10" s="239" t="s">
        <v>340</v>
      </c>
      <c r="D10" s="238"/>
      <c r="E10" s="238" t="s">
        <v>341</v>
      </c>
      <c r="F10" s="238"/>
      <c r="G10" s="68">
        <f>'Sch 9'!J43</f>
        <v>0.98499999999999999</v>
      </c>
      <c r="H10" s="238"/>
      <c r="I10" s="240" t="s">
        <v>840</v>
      </c>
      <c r="J10" s="238"/>
      <c r="K10" s="238"/>
      <c r="L10" s="388"/>
      <c r="M10" s="392"/>
    </row>
    <row r="11" spans="1:13">
      <c r="A11" s="29"/>
      <c r="B11" s="26"/>
      <c r="C11" s="28"/>
      <c r="D11" s="26"/>
      <c r="E11" s="26"/>
      <c r="F11" s="26"/>
      <c r="G11" s="68"/>
      <c r="H11" s="26"/>
      <c r="I11" s="31"/>
      <c r="J11" s="26"/>
      <c r="K11" s="26"/>
      <c r="L11" s="388"/>
      <c r="M11" s="392"/>
    </row>
    <row r="12" spans="1:13">
      <c r="A12" s="29">
        <v>2</v>
      </c>
      <c r="B12" s="26"/>
      <c r="C12" s="28" t="s">
        <v>342</v>
      </c>
      <c r="D12" s="26"/>
      <c r="E12" s="26" t="s">
        <v>343</v>
      </c>
      <c r="F12" s="26"/>
      <c r="G12" s="68">
        <f>'Sch 9'!J43</f>
        <v>0.98499999999999999</v>
      </c>
      <c r="H12" s="26"/>
      <c r="I12" s="31" t="s">
        <v>840</v>
      </c>
      <c r="J12" s="26"/>
      <c r="K12" s="26"/>
      <c r="L12" s="388"/>
      <c r="M12" s="392"/>
    </row>
    <row r="13" spans="1:13">
      <c r="A13" s="29"/>
      <c r="B13" s="26"/>
      <c r="C13" s="28"/>
      <c r="D13" s="26"/>
      <c r="E13" s="26"/>
      <c r="F13" s="26"/>
      <c r="G13" s="68"/>
      <c r="H13" s="26"/>
      <c r="I13" s="31"/>
      <c r="J13" s="26"/>
      <c r="K13" s="26"/>
      <c r="L13" s="388"/>
      <c r="M13" s="392"/>
    </row>
    <row r="14" spans="1:13">
      <c r="A14" s="29">
        <v>3</v>
      </c>
      <c r="B14" s="26"/>
      <c r="C14" s="28" t="s">
        <v>154</v>
      </c>
      <c r="D14" s="26"/>
      <c r="E14" s="26" t="s">
        <v>344</v>
      </c>
      <c r="F14" s="26"/>
      <c r="G14" s="68">
        <f>'Sch 10'!N41</f>
        <v>0.98599999999999999</v>
      </c>
      <c r="H14" s="26"/>
      <c r="I14" s="31" t="s">
        <v>841</v>
      </c>
      <c r="J14" s="26"/>
      <c r="K14" s="26"/>
      <c r="L14" s="388"/>
      <c r="M14" s="392"/>
    </row>
    <row r="15" spans="1:13">
      <c r="A15" s="29"/>
      <c r="B15" s="26"/>
      <c r="C15" s="28"/>
      <c r="D15" s="26"/>
      <c r="E15" s="26"/>
      <c r="F15" s="26"/>
      <c r="G15" s="30"/>
      <c r="H15" s="26"/>
      <c r="I15" s="31"/>
      <c r="J15" s="26"/>
      <c r="K15" s="26"/>
      <c r="L15" s="388"/>
      <c r="M15" s="392"/>
    </row>
    <row r="16" spans="1:13">
      <c r="A16" s="29">
        <v>4</v>
      </c>
      <c r="B16" s="26"/>
      <c r="C16" s="28" t="s">
        <v>345</v>
      </c>
      <c r="D16" s="26"/>
      <c r="E16" s="26" t="s">
        <v>346</v>
      </c>
      <c r="F16" s="26"/>
      <c r="G16" s="30">
        <f>ROUND(('Sch 4'!E173)/('Sch 4'!C173),3)</f>
        <v>0.98499999999999999</v>
      </c>
      <c r="H16" s="26"/>
      <c r="I16" s="31" t="s">
        <v>844</v>
      </c>
      <c r="J16" s="26"/>
      <c r="K16" s="26"/>
      <c r="L16" s="388"/>
      <c r="M16" s="392"/>
    </row>
    <row r="17" spans="1:16">
      <c r="A17" s="29"/>
      <c r="B17" s="26"/>
      <c r="C17" s="28"/>
      <c r="D17" s="26"/>
      <c r="E17" s="26"/>
      <c r="F17" s="26"/>
      <c r="G17" s="30"/>
      <c r="H17" s="26"/>
      <c r="I17" s="26"/>
      <c r="L17" s="389"/>
      <c r="M17" s="392"/>
    </row>
    <row r="18" spans="1:16">
      <c r="A18" s="29">
        <v>5</v>
      </c>
      <c r="B18" s="26"/>
      <c r="C18" s="28" t="s">
        <v>347</v>
      </c>
      <c r="D18" s="26"/>
      <c r="E18" s="26" t="s">
        <v>348</v>
      </c>
      <c r="F18" s="26"/>
      <c r="G18" s="30">
        <f>ROUND(('Sch 4'!E175)/('Sch 4'!C175),3)</f>
        <v>0.999</v>
      </c>
      <c r="H18" s="26"/>
      <c r="I18" s="31" t="s">
        <v>845</v>
      </c>
      <c r="L18" s="389"/>
      <c r="M18" s="392"/>
    </row>
    <row r="19" spans="1:16">
      <c r="A19" s="29"/>
      <c r="B19" s="26"/>
      <c r="C19" s="28"/>
      <c r="D19" s="26"/>
      <c r="E19" s="26"/>
      <c r="F19" s="26"/>
      <c r="G19" s="30"/>
      <c r="H19" s="26"/>
      <c r="I19" s="26"/>
      <c r="L19" s="389"/>
      <c r="M19" s="392"/>
    </row>
    <row r="20" spans="1:16">
      <c r="A20" s="29">
        <v>6</v>
      </c>
      <c r="B20" s="26"/>
      <c r="C20" s="28" t="s">
        <v>349</v>
      </c>
      <c r="D20" s="26"/>
      <c r="E20" s="26" t="s">
        <v>350</v>
      </c>
      <c r="F20" s="26"/>
      <c r="G20" s="30">
        <f>ROUND(('Sch 4'!E177)/('Sch 4'!C177),3)</f>
        <v>0.99299999999999999</v>
      </c>
      <c r="H20" s="26"/>
      <c r="I20" s="31" t="s">
        <v>846</v>
      </c>
      <c r="L20" s="389"/>
      <c r="M20" s="392"/>
    </row>
    <row r="21" spans="1:16">
      <c r="A21" s="29"/>
      <c r="B21" s="26"/>
      <c r="C21" s="28"/>
      <c r="D21" s="26"/>
      <c r="E21" s="26"/>
      <c r="F21" s="26"/>
      <c r="G21" s="30"/>
      <c r="H21" s="26"/>
      <c r="I21" s="26"/>
      <c r="L21" s="389"/>
      <c r="M21" s="392"/>
    </row>
    <row r="22" spans="1:16">
      <c r="A22" s="29">
        <v>7</v>
      </c>
      <c r="B22" s="26"/>
      <c r="C22" s="28" t="s">
        <v>351</v>
      </c>
      <c r="D22" s="26"/>
      <c r="E22" s="26" t="s">
        <v>352</v>
      </c>
      <c r="F22" s="26"/>
      <c r="G22" s="68">
        <f>ROUND('Sch 4'!E181/'Sch 4'!C181,3)</f>
        <v>0.98599999999999999</v>
      </c>
      <c r="H22" s="26"/>
      <c r="I22" s="31" t="s">
        <v>946</v>
      </c>
      <c r="K22" s="39"/>
      <c r="L22" s="389"/>
      <c r="M22" s="392"/>
    </row>
    <row r="23" spans="1:16">
      <c r="A23" s="29"/>
      <c r="B23" s="26"/>
      <c r="C23" s="28"/>
      <c r="D23" s="26"/>
      <c r="E23" s="26"/>
      <c r="F23" s="26"/>
      <c r="G23" s="30"/>
      <c r="H23" s="26"/>
      <c r="I23" s="26"/>
      <c r="L23" s="389"/>
      <c r="M23" s="392"/>
    </row>
    <row r="24" spans="1:16">
      <c r="A24" s="29">
        <v>8</v>
      </c>
      <c r="B24" s="26"/>
      <c r="C24" s="28" t="s">
        <v>353</v>
      </c>
      <c r="D24" s="26"/>
      <c r="E24" s="27" t="s">
        <v>354</v>
      </c>
      <c r="F24" s="26"/>
      <c r="G24" s="68">
        <f>ROUND('Sch 4'!E179/'Sch 4'!C179,3)</f>
        <v>0.98599999999999999</v>
      </c>
      <c r="H24" s="26"/>
      <c r="I24" s="31" t="s">
        <v>847</v>
      </c>
      <c r="K24" s="77"/>
      <c r="L24" s="389"/>
      <c r="M24" s="392"/>
    </row>
    <row r="25" spans="1:16">
      <c r="A25" s="29"/>
      <c r="B25" s="26"/>
      <c r="C25" s="28"/>
      <c r="D25" s="26"/>
      <c r="E25" s="26"/>
      <c r="F25" s="26"/>
      <c r="G25" s="30"/>
      <c r="H25" s="26"/>
      <c r="I25" s="26"/>
      <c r="L25" s="389"/>
      <c r="M25" s="392"/>
    </row>
    <row r="26" spans="1:16">
      <c r="A26" s="29">
        <v>9</v>
      </c>
      <c r="B26" s="26"/>
      <c r="C26" s="239" t="s">
        <v>297</v>
      </c>
      <c r="D26" s="238"/>
      <c r="E26" s="238" t="s">
        <v>355</v>
      </c>
      <c r="F26" s="238"/>
      <c r="G26" s="68">
        <f>ROUND('Sch 4'!E45/('Sch 4'!C45-('Sch 4'!C169-'Sch 4'!C199)),3)</f>
        <v>0.98699999999999999</v>
      </c>
      <c r="H26" s="238"/>
      <c r="I26" s="240" t="s">
        <v>848</v>
      </c>
      <c r="J26" s="89"/>
      <c r="K26" s="1"/>
      <c r="L26" s="390"/>
      <c r="M26" s="392"/>
      <c r="P26" s="39"/>
    </row>
    <row r="27" spans="1:16">
      <c r="A27" s="29"/>
      <c r="B27" s="26"/>
      <c r="C27" s="28"/>
      <c r="D27" s="26"/>
      <c r="E27" s="26"/>
      <c r="F27" s="26"/>
      <c r="G27" s="30"/>
      <c r="H27" s="26"/>
      <c r="I27" s="26"/>
      <c r="K27" s="1"/>
      <c r="L27" s="390"/>
      <c r="M27" s="392"/>
      <c r="P27" s="69"/>
    </row>
    <row r="28" spans="1:16">
      <c r="A28" s="29">
        <v>10</v>
      </c>
      <c r="B28" s="26"/>
      <c r="C28" s="28" t="s">
        <v>356</v>
      </c>
      <c r="D28" s="26"/>
      <c r="E28" s="26" t="s">
        <v>357</v>
      </c>
      <c r="F28" s="26"/>
      <c r="G28" s="68">
        <f>ROUND('Sch 4'!E442/'Sch 4'!C442,3)</f>
        <v>0.98899999999999999</v>
      </c>
      <c r="H28" s="26"/>
      <c r="I28" s="31" t="s">
        <v>843</v>
      </c>
      <c r="K28" s="1"/>
      <c r="L28" s="390"/>
      <c r="M28" s="392"/>
    </row>
    <row r="29" spans="1:16">
      <c r="A29" s="29"/>
      <c r="B29" s="26"/>
      <c r="C29" s="28"/>
      <c r="D29" s="26"/>
      <c r="E29" s="26"/>
      <c r="F29" s="26"/>
      <c r="G29" s="68"/>
      <c r="H29" s="26"/>
      <c r="I29" s="26"/>
      <c r="K29" s="71"/>
      <c r="L29" s="391"/>
      <c r="M29" s="392"/>
    </row>
    <row r="30" spans="1:16">
      <c r="A30" s="29">
        <v>11</v>
      </c>
      <c r="B30" s="26"/>
      <c r="C30" s="28" t="s">
        <v>358</v>
      </c>
      <c r="D30" s="26"/>
      <c r="E30" s="26" t="s">
        <v>359</v>
      </c>
      <c r="F30" s="26"/>
      <c r="G30" s="68">
        <f>ROUND('Sch 4'!E444/'Sch 4'!C444,3)</f>
        <v>0.99099999999999999</v>
      </c>
      <c r="H30" s="26"/>
      <c r="I30" s="31" t="s">
        <v>842</v>
      </c>
      <c r="K30" s="71"/>
      <c r="L30" s="391"/>
      <c r="M30" s="392"/>
    </row>
    <row r="31" spans="1:16">
      <c r="A31" s="29"/>
      <c r="B31" s="26"/>
      <c r="C31" s="28"/>
      <c r="D31" s="26"/>
      <c r="E31" s="26"/>
      <c r="F31" s="26"/>
      <c r="G31" s="30"/>
      <c r="H31" s="26"/>
      <c r="I31" s="26"/>
      <c r="K31" s="72"/>
      <c r="L31" s="391"/>
      <c r="M31" s="392"/>
    </row>
    <row r="32" spans="1:16">
      <c r="A32" s="29">
        <v>12</v>
      </c>
      <c r="B32" s="26"/>
      <c r="C32" s="28" t="s">
        <v>360</v>
      </c>
      <c r="D32" s="26"/>
      <c r="E32" s="26" t="s">
        <v>361</v>
      </c>
      <c r="F32" s="26"/>
      <c r="G32" s="67">
        <f>ROUND('Sch 4'!E305/'Sch 4'!C305,3)</f>
        <v>0.99099999999999999</v>
      </c>
      <c r="H32" s="26"/>
      <c r="I32" s="31" t="s">
        <v>947</v>
      </c>
      <c r="K32" s="71"/>
      <c r="L32" s="391"/>
      <c r="M32" s="392"/>
    </row>
    <row r="33" spans="1:16">
      <c r="A33" s="29"/>
      <c r="B33" s="26"/>
      <c r="C33" s="28"/>
      <c r="D33" s="26"/>
      <c r="E33" s="26"/>
      <c r="F33" s="26"/>
      <c r="G33" s="46"/>
      <c r="H33" s="26"/>
      <c r="I33" s="26"/>
      <c r="K33" s="71"/>
      <c r="L33" s="391"/>
      <c r="M33" s="392"/>
    </row>
    <row r="34" spans="1:16" ht="12.75" customHeight="1">
      <c r="A34" s="29">
        <v>13</v>
      </c>
      <c r="B34" s="26"/>
      <c r="C34" s="28" t="s">
        <v>362</v>
      </c>
      <c r="D34" s="26"/>
      <c r="E34" s="28" t="s">
        <v>362</v>
      </c>
      <c r="F34" s="26"/>
      <c r="G34" s="46">
        <v>1</v>
      </c>
      <c r="H34" s="26"/>
      <c r="I34" s="31" t="s">
        <v>363</v>
      </c>
      <c r="K34" s="71"/>
      <c r="L34" s="391"/>
      <c r="M34" s="392"/>
    </row>
    <row r="35" spans="1:16">
      <c r="A35" s="29"/>
      <c r="B35" s="26"/>
      <c r="C35" s="28"/>
      <c r="D35" s="26"/>
      <c r="E35" s="26"/>
      <c r="F35" s="26"/>
      <c r="G35" s="30"/>
      <c r="H35" s="26"/>
      <c r="I35" s="31"/>
      <c r="K35" s="71"/>
      <c r="L35" s="391"/>
      <c r="M35" s="392"/>
      <c r="P35" s="69"/>
    </row>
    <row r="36" spans="1:16">
      <c r="A36" s="29">
        <f>A34+1</f>
        <v>14</v>
      </c>
      <c r="B36" s="26"/>
      <c r="C36" s="28" t="s">
        <v>691</v>
      </c>
      <c r="D36" s="26"/>
      <c r="E36" s="26" t="s">
        <v>692</v>
      </c>
      <c r="F36" s="26"/>
      <c r="G36" s="68">
        <f>163363/163365</f>
        <v>0.99998775747559143</v>
      </c>
      <c r="H36" s="26"/>
      <c r="I36" s="31" t="s">
        <v>363</v>
      </c>
      <c r="K36" s="71"/>
      <c r="L36" s="391"/>
      <c r="M36" s="392"/>
    </row>
    <row r="37" spans="1:16">
      <c r="A37" s="29"/>
      <c r="B37" s="26"/>
      <c r="C37" s="28"/>
      <c r="D37" s="26"/>
      <c r="E37" s="26"/>
      <c r="F37" s="26"/>
      <c r="G37" s="30"/>
      <c r="H37" s="26"/>
      <c r="I37" s="31"/>
      <c r="K37" s="71"/>
      <c r="L37" s="391"/>
      <c r="M37" s="392"/>
    </row>
    <row r="38" spans="1:16">
      <c r="A38" s="29">
        <v>15</v>
      </c>
      <c r="B38" s="26"/>
      <c r="C38" s="28" t="s">
        <v>907</v>
      </c>
      <c r="D38" s="26"/>
      <c r="E38" s="26" t="s">
        <v>907</v>
      </c>
      <c r="F38" s="26"/>
      <c r="G38" s="30">
        <f>ROUND(('Sch 6'!K55*'Allocation Factors'!G10)+('Sch 6'!M55*'Allocation Factors'!G14),3)</f>
        <v>0.98499999999999999</v>
      </c>
      <c r="H38" s="26"/>
      <c r="I38" s="31" t="s">
        <v>908</v>
      </c>
      <c r="K38" s="71"/>
      <c r="L38" s="391"/>
      <c r="M38" s="392"/>
    </row>
    <row r="39" spans="1:16">
      <c r="A39" s="29"/>
      <c r="B39" s="26"/>
      <c r="C39" s="28"/>
      <c r="D39" s="26"/>
      <c r="E39" s="26"/>
      <c r="F39" s="26"/>
      <c r="G39" s="30"/>
      <c r="H39" s="26"/>
      <c r="I39" s="31"/>
      <c r="K39" s="40"/>
      <c r="L39" s="71"/>
      <c r="M39" s="40"/>
    </row>
    <row r="40" spans="1:16">
      <c r="A40" s="29">
        <v>15</v>
      </c>
      <c r="B40" s="45"/>
      <c r="C40" s="28" t="s">
        <v>912</v>
      </c>
      <c r="D40" s="45"/>
      <c r="E40" s="31" t="str">
        <f>C40</f>
        <v>PDAF/EAF</v>
      </c>
      <c r="F40" s="45"/>
      <c r="G40" s="30">
        <f>(0.34*G10)+(0.66*G14)</f>
        <v>0.98565999999999998</v>
      </c>
      <c r="H40" s="45"/>
      <c r="I40" s="31" t="s">
        <v>1161</v>
      </c>
      <c r="K40" s="40"/>
      <c r="L40" s="71"/>
      <c r="M40" s="40"/>
    </row>
    <row r="41" spans="1:16">
      <c r="A41" s="29"/>
      <c r="B41" s="26"/>
      <c r="C41" s="28"/>
      <c r="D41" s="26"/>
      <c r="E41" s="26"/>
      <c r="F41" s="26"/>
      <c r="G41" s="30"/>
      <c r="H41" s="45"/>
      <c r="I41" s="31"/>
      <c r="J41" s="70"/>
      <c r="K41" s="40"/>
      <c r="L41" s="71"/>
      <c r="M41" s="40"/>
    </row>
    <row r="42" spans="1:16">
      <c r="A42" s="29"/>
      <c r="B42" s="26"/>
      <c r="C42" s="28"/>
      <c r="D42" s="26"/>
      <c r="E42" s="26"/>
      <c r="F42" s="26"/>
      <c r="G42" s="30"/>
      <c r="H42" s="26"/>
      <c r="I42" s="31"/>
      <c r="K42" s="73"/>
      <c r="L42" s="40"/>
      <c r="M42" s="73"/>
    </row>
    <row r="43" spans="1:16">
      <c r="A43" s="29"/>
      <c r="B43" s="26"/>
      <c r="C43" s="28"/>
      <c r="D43" s="26"/>
      <c r="E43" s="75"/>
      <c r="F43" s="75"/>
      <c r="G43" s="74"/>
      <c r="H43" s="75"/>
      <c r="I43" s="76"/>
      <c r="J43" s="40"/>
      <c r="K43" s="40"/>
      <c r="L43" s="40"/>
      <c r="M43" s="40"/>
      <c r="N43" s="40"/>
      <c r="O43" s="40"/>
    </row>
    <row r="44" spans="1:16">
      <c r="A44" s="29"/>
      <c r="B44" s="26"/>
      <c r="C44" s="28"/>
      <c r="D44" s="26"/>
      <c r="E44" s="75"/>
      <c r="F44" s="75"/>
      <c r="G44" s="74"/>
      <c r="H44" s="75"/>
      <c r="I44" s="76"/>
      <c r="J44" s="40"/>
      <c r="K44" s="73"/>
      <c r="L44" s="40"/>
      <c r="M44" s="73"/>
      <c r="N44" s="40"/>
      <c r="O44" s="40"/>
    </row>
    <row r="45" spans="1:16">
      <c r="A45" s="29"/>
      <c r="B45" s="26"/>
      <c r="C45" s="28"/>
      <c r="D45" s="26"/>
      <c r="E45" s="75"/>
      <c r="F45" s="75"/>
      <c r="G45" s="74"/>
      <c r="H45" s="75"/>
      <c r="I45" s="76"/>
      <c r="J45" s="40"/>
      <c r="K45" s="40"/>
      <c r="L45" s="40"/>
      <c r="M45" s="73"/>
      <c r="N45" s="40"/>
      <c r="O45" s="40"/>
    </row>
    <row r="46" spans="1:16" s="70" customFormat="1">
      <c r="A46" s="29"/>
      <c r="B46" s="45"/>
      <c r="C46" s="28"/>
      <c r="D46" s="45"/>
      <c r="E46" s="75"/>
      <c r="F46" s="75"/>
      <c r="G46" s="74"/>
      <c r="H46" s="75"/>
      <c r="I46" s="76"/>
      <c r="J46" s="40"/>
      <c r="K46" s="40"/>
      <c r="L46" s="40"/>
      <c r="M46" s="73"/>
      <c r="N46" s="40"/>
      <c r="O46" s="40"/>
    </row>
    <row r="47" spans="1:16" s="70" customFormat="1">
      <c r="A47" s="29"/>
      <c r="B47" s="45"/>
      <c r="C47" s="28"/>
      <c r="D47" s="45"/>
      <c r="E47" s="75"/>
      <c r="F47" s="75"/>
      <c r="G47" s="74"/>
      <c r="H47" s="75"/>
      <c r="I47" s="76"/>
      <c r="J47" s="40"/>
      <c r="K47" s="1"/>
      <c r="L47" s="40"/>
      <c r="M47" s="73"/>
      <c r="N47" s="40"/>
      <c r="O47" s="40"/>
    </row>
    <row r="48" spans="1:16">
      <c r="A48" s="29"/>
      <c r="B48" s="26"/>
      <c r="C48" s="28"/>
      <c r="D48" s="26"/>
      <c r="E48" s="75"/>
      <c r="F48" s="75"/>
      <c r="G48" s="74"/>
      <c r="H48" s="75"/>
      <c r="I48" s="76"/>
      <c r="J48" s="40"/>
      <c r="K48" s="1"/>
      <c r="L48" s="40"/>
      <c r="M48" s="73"/>
      <c r="N48" s="40"/>
      <c r="O48" s="40"/>
    </row>
    <row r="49" spans="1:15">
      <c r="A49" s="29"/>
      <c r="B49" s="26"/>
      <c r="C49" s="28"/>
      <c r="D49" s="26"/>
      <c r="E49" s="75"/>
      <c r="F49" s="75"/>
      <c r="G49" s="74"/>
      <c r="H49" s="75"/>
      <c r="I49" s="76"/>
      <c r="J49" s="40"/>
      <c r="K49" s="1"/>
      <c r="L49" s="40"/>
      <c r="M49" s="73"/>
      <c r="N49" s="40"/>
      <c r="O49" s="40"/>
    </row>
    <row r="50" spans="1:15">
      <c r="A50" s="29"/>
      <c r="B50" s="26"/>
      <c r="C50" s="28"/>
      <c r="D50" s="26"/>
      <c r="E50" s="75"/>
      <c r="F50" s="75"/>
      <c r="G50" s="74"/>
      <c r="H50" s="75"/>
      <c r="I50" s="76"/>
      <c r="J50" s="40"/>
      <c r="K50" s="1"/>
      <c r="L50" s="40"/>
      <c r="M50" s="73"/>
      <c r="N50" s="40"/>
      <c r="O50" s="40"/>
    </row>
    <row r="51" spans="1:15">
      <c r="E51" s="40"/>
      <c r="F51" s="40"/>
      <c r="G51" s="74"/>
      <c r="H51" s="75"/>
      <c r="I51" s="76"/>
      <c r="J51" s="40"/>
      <c r="K51" s="1"/>
      <c r="L51" s="40"/>
      <c r="M51" s="73"/>
      <c r="N51" s="40"/>
      <c r="O51" s="40"/>
    </row>
    <row r="52" spans="1:15">
      <c r="E52" s="40"/>
      <c r="F52" s="40"/>
      <c r="G52" s="74"/>
      <c r="H52" s="75"/>
      <c r="I52" s="76"/>
      <c r="J52" s="40"/>
      <c r="K52" s="71"/>
      <c r="L52" s="40"/>
      <c r="M52" s="71"/>
      <c r="N52" s="40"/>
      <c r="O52" s="40"/>
    </row>
    <row r="53" spans="1:15">
      <c r="E53" s="40"/>
      <c r="F53" s="40"/>
      <c r="G53" s="74"/>
      <c r="H53" s="75"/>
      <c r="I53" s="76"/>
      <c r="J53" s="40"/>
      <c r="K53" s="71"/>
      <c r="L53" s="40"/>
      <c r="M53" s="71"/>
      <c r="N53" s="40"/>
      <c r="O53" s="40"/>
    </row>
    <row r="54" spans="1:15">
      <c r="E54" s="40"/>
      <c r="F54" s="40"/>
      <c r="G54" s="74"/>
      <c r="H54" s="75"/>
      <c r="I54" s="76"/>
      <c r="J54" s="40"/>
      <c r="K54" s="71"/>
      <c r="L54" s="40"/>
      <c r="M54" s="71"/>
      <c r="N54" s="40"/>
      <c r="O54" s="40"/>
    </row>
    <row r="55" spans="1:15">
      <c r="E55" s="40"/>
      <c r="F55" s="40"/>
      <c r="G55" s="40"/>
      <c r="H55" s="40"/>
      <c r="I55" s="40"/>
      <c r="J55" s="40"/>
      <c r="K55" s="73"/>
      <c r="L55" s="40"/>
      <c r="M55" s="73"/>
      <c r="N55" s="40"/>
      <c r="O55" s="40"/>
    </row>
    <row r="56" spans="1:1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>
      <c r="E57" s="40"/>
      <c r="F57" s="40"/>
      <c r="G57" s="74"/>
      <c r="H57" s="40"/>
      <c r="I57" s="40"/>
      <c r="J57" s="40"/>
      <c r="K57" s="1"/>
      <c r="L57" s="40"/>
      <c r="M57" s="1"/>
      <c r="N57" s="40"/>
      <c r="O57" s="40"/>
    </row>
    <row r="58" spans="1:1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>
      <c r="E59" s="40"/>
      <c r="F59" s="40"/>
      <c r="G59" s="40"/>
      <c r="H59" s="40"/>
      <c r="I59" s="40"/>
      <c r="J59" s="40"/>
      <c r="K59" s="40"/>
      <c r="L59" s="40"/>
      <c r="M59" s="1"/>
      <c r="N59" s="40"/>
      <c r="O59" s="40"/>
    </row>
    <row r="60" spans="1:15">
      <c r="E60" s="40"/>
      <c r="F60" s="40"/>
      <c r="G60" s="40"/>
      <c r="H60" s="40"/>
      <c r="I60" s="40"/>
      <c r="J60" s="40"/>
      <c r="K60" s="40"/>
      <c r="L60" s="40"/>
      <c r="M60" s="1"/>
      <c r="N60" s="40"/>
      <c r="O60" s="40"/>
    </row>
    <row r="61" spans="1: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>
      <c r="E62" s="40"/>
      <c r="F62" s="40"/>
      <c r="G62" s="40"/>
      <c r="H62" s="40"/>
      <c r="I62" s="40"/>
      <c r="J62" s="40"/>
      <c r="K62" s="73"/>
      <c r="L62" s="40"/>
      <c r="M62" s="73"/>
      <c r="N62" s="40"/>
      <c r="O62" s="40"/>
    </row>
    <row r="63" spans="1:15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</sheetData>
  <mergeCells count="3">
    <mergeCell ref="A2:I2"/>
    <mergeCell ref="A3:I3"/>
    <mergeCell ref="A5:I5"/>
  </mergeCells>
  <printOptions horizontalCentered="1" verticalCentered="1"/>
  <pageMargins left="1" right="1" top="1" bottom="1" header="0.55000000000000004" footer="0.55000000000000004"/>
  <pageSetup scale="94" orientation="portrait" r:id="rId1"/>
  <headerFooter>
    <oddHeader xml:space="preserve">&amp;RSECTION  V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9"/>
  <sheetViews>
    <sheetView zoomScaleNormal="100" workbookViewId="0">
      <selection activeCell="J4" sqref="J4"/>
    </sheetView>
  </sheetViews>
  <sheetFormatPr defaultColWidth="9.1796875" defaultRowHeight="12.5"/>
  <cols>
    <col min="1" max="1" width="5.453125" style="83" customWidth="1"/>
    <col min="2" max="2" width="11.26953125" style="83" bestFit="1" customWidth="1"/>
    <col min="3" max="3" width="5.7265625" style="83" bestFit="1" customWidth="1"/>
    <col min="4" max="4" width="2.26953125" style="83" customWidth="1"/>
    <col min="5" max="5" width="15.1796875" style="83" customWidth="1"/>
    <col min="6" max="6" width="15.54296875" style="83" customWidth="1"/>
    <col min="7" max="7" width="2.26953125" style="83" customWidth="1"/>
    <col min="8" max="8" width="15" style="83" customWidth="1"/>
    <col min="9" max="9" width="16.7265625" style="83" customWidth="1"/>
    <col min="10" max="10" width="3.7265625" style="83" customWidth="1"/>
    <col min="11" max="11" width="40.7265625" style="83" customWidth="1"/>
    <col min="12" max="13" width="3.7265625" style="83" customWidth="1"/>
    <col min="14" max="14" width="12.7265625" style="83" customWidth="1"/>
    <col min="15" max="15" width="2.26953125" style="83" customWidth="1"/>
    <col min="16" max="16" width="12.7265625" style="83" customWidth="1"/>
    <col min="17" max="17" width="2.26953125" style="83" customWidth="1"/>
    <col min="18" max="18" width="15.7265625" style="83" customWidth="1"/>
    <col min="19" max="19" width="2.26953125" style="83" customWidth="1"/>
    <col min="20" max="20" width="12.1796875" style="83" bestFit="1" customWidth="1"/>
    <col min="21" max="16384" width="9.1796875" style="83"/>
  </cols>
  <sheetData>
    <row r="1" spans="1:19" ht="13">
      <c r="A1" s="447" t="s">
        <v>398</v>
      </c>
      <c r="B1" s="444"/>
      <c r="C1" s="444"/>
      <c r="D1" s="444"/>
      <c r="E1" s="444"/>
      <c r="F1" s="444"/>
      <c r="G1" s="444"/>
      <c r="H1" s="444"/>
      <c r="I1" s="444"/>
      <c r="K1" s="230"/>
    </row>
    <row r="2" spans="1:19" ht="13">
      <c r="A2" s="447"/>
      <c r="B2" s="444"/>
      <c r="C2" s="444"/>
      <c r="D2" s="444"/>
      <c r="E2" s="444"/>
      <c r="F2" s="444"/>
      <c r="G2" s="444"/>
      <c r="H2" s="444"/>
      <c r="I2" s="444"/>
      <c r="K2" s="230"/>
    </row>
    <row r="3" spans="1:19" ht="13">
      <c r="A3" s="447" t="s">
        <v>1089</v>
      </c>
      <c r="B3" s="444"/>
      <c r="C3" s="444"/>
      <c r="D3" s="444"/>
      <c r="E3" s="444"/>
      <c r="F3" s="444"/>
      <c r="G3" s="444"/>
      <c r="H3" s="444"/>
      <c r="I3" s="444"/>
      <c r="K3" s="230"/>
    </row>
    <row r="4" spans="1:19">
      <c r="K4" s="230"/>
    </row>
    <row r="5" spans="1:19">
      <c r="K5" s="230"/>
    </row>
    <row r="6" spans="1:19" ht="13">
      <c r="K6" s="317" t="s">
        <v>1112</v>
      </c>
    </row>
    <row r="7" spans="1:19" ht="13">
      <c r="E7" s="447" t="s">
        <v>757</v>
      </c>
      <c r="F7" s="447"/>
      <c r="G7" s="230"/>
      <c r="H7" s="447" t="s">
        <v>758</v>
      </c>
      <c r="I7" s="447"/>
      <c r="K7" s="230"/>
    </row>
    <row r="8" spans="1:19" ht="26">
      <c r="A8" s="101" t="s">
        <v>556</v>
      </c>
      <c r="B8" s="101" t="s">
        <v>676</v>
      </c>
      <c r="C8" s="101" t="s">
        <v>759</v>
      </c>
      <c r="D8" s="99"/>
      <c r="E8" s="414" t="s">
        <v>818</v>
      </c>
      <c r="F8" s="414" t="s">
        <v>154</v>
      </c>
      <c r="H8" s="414" t="s">
        <v>819</v>
      </c>
      <c r="I8" s="414" t="s">
        <v>154</v>
      </c>
      <c r="K8" s="101" t="s">
        <v>760</v>
      </c>
      <c r="N8" s="414" t="s">
        <v>761</v>
      </c>
      <c r="O8" s="414"/>
      <c r="R8" s="414" t="s">
        <v>762</v>
      </c>
      <c r="S8" s="414"/>
    </row>
    <row r="9" spans="1:19">
      <c r="K9" s="230"/>
    </row>
    <row r="10" spans="1:19" ht="13">
      <c r="A10" s="102">
        <v>1</v>
      </c>
      <c r="B10" s="105" t="s">
        <v>450</v>
      </c>
      <c r="C10" s="412" t="s">
        <v>1110</v>
      </c>
      <c r="E10" s="38">
        <v>3202.56</v>
      </c>
      <c r="F10" s="38">
        <v>1476260.6400000015</v>
      </c>
      <c r="G10" s="232"/>
      <c r="H10" s="38">
        <v>8587</v>
      </c>
      <c r="I10" s="38">
        <v>4101120</v>
      </c>
      <c r="K10" s="414"/>
      <c r="N10" s="414"/>
      <c r="O10" s="414"/>
      <c r="R10" s="414"/>
      <c r="S10" s="414"/>
    </row>
    <row r="11" spans="1:19">
      <c r="A11" s="102">
        <f>+A10+1</f>
        <v>2</v>
      </c>
      <c r="B11" s="105" t="s">
        <v>452</v>
      </c>
      <c r="C11" s="412" t="s">
        <v>1110</v>
      </c>
      <c r="E11" s="38">
        <v>3742.56</v>
      </c>
      <c r="F11" s="38">
        <v>1492055.9999999998</v>
      </c>
      <c r="G11" s="232"/>
      <c r="H11" s="38">
        <v>9471</v>
      </c>
      <c r="I11" s="38">
        <v>4102808</v>
      </c>
      <c r="K11" s="230"/>
    </row>
    <row r="12" spans="1:19">
      <c r="A12" s="102">
        <f t="shared" ref="A12:A21" si="0">+A11+1</f>
        <v>3</v>
      </c>
      <c r="B12" s="105" t="s">
        <v>453</v>
      </c>
      <c r="C12" s="412" t="s">
        <v>1110</v>
      </c>
      <c r="E12" s="38">
        <v>4561.92</v>
      </c>
      <c r="F12" s="38">
        <v>1787149.4399999988</v>
      </c>
      <c r="G12" s="232"/>
      <c r="H12" s="38">
        <v>10937</v>
      </c>
      <c r="I12" s="38">
        <v>4623113</v>
      </c>
      <c r="K12" s="230"/>
      <c r="N12" s="107"/>
      <c r="O12" s="107"/>
      <c r="R12" s="107"/>
      <c r="S12" s="107"/>
    </row>
    <row r="13" spans="1:19">
      <c r="A13" s="102">
        <f t="shared" si="0"/>
        <v>4</v>
      </c>
      <c r="B13" s="105" t="s">
        <v>454</v>
      </c>
      <c r="C13" s="412" t="s">
        <v>1110</v>
      </c>
      <c r="E13" s="38">
        <v>4376.16</v>
      </c>
      <c r="F13" s="38">
        <v>2030168.1600000006</v>
      </c>
      <c r="G13" s="232"/>
      <c r="H13" s="38">
        <v>10373</v>
      </c>
      <c r="I13" s="38">
        <v>5004781</v>
      </c>
      <c r="K13" s="230"/>
      <c r="N13" s="107"/>
      <c r="O13" s="107"/>
      <c r="R13" s="107"/>
      <c r="S13" s="107"/>
    </row>
    <row r="14" spans="1:19">
      <c r="A14" s="102">
        <f t="shared" si="0"/>
        <v>5</v>
      </c>
      <c r="B14" s="105" t="s">
        <v>455</v>
      </c>
      <c r="C14" s="412" t="s">
        <v>1110</v>
      </c>
      <c r="E14" s="38">
        <v>4334.3999999999996</v>
      </c>
      <c r="F14" s="38">
        <v>1912714.5600000005</v>
      </c>
      <c r="G14" s="232"/>
      <c r="H14" s="38">
        <v>10309</v>
      </c>
      <c r="I14" s="38">
        <v>4958752</v>
      </c>
      <c r="K14" s="230"/>
      <c r="N14" s="107"/>
      <c r="O14" s="107"/>
      <c r="R14" s="107"/>
      <c r="S14" s="107"/>
    </row>
    <row r="15" spans="1:19">
      <c r="A15" s="102">
        <f t="shared" si="0"/>
        <v>6</v>
      </c>
      <c r="B15" s="105" t="s">
        <v>456</v>
      </c>
      <c r="C15" s="412" t="s">
        <v>1110</v>
      </c>
      <c r="E15" s="38">
        <v>3706.56</v>
      </c>
      <c r="F15" s="38">
        <v>1522913.7600000007</v>
      </c>
      <c r="G15" s="232"/>
      <c r="H15" s="38">
        <v>9323</v>
      </c>
      <c r="I15" s="38">
        <v>4056377</v>
      </c>
      <c r="K15" s="230"/>
      <c r="N15" s="107"/>
      <c r="O15" s="107"/>
      <c r="R15" s="107"/>
      <c r="S15" s="107"/>
    </row>
    <row r="16" spans="1:19">
      <c r="A16" s="102">
        <f t="shared" si="0"/>
        <v>7</v>
      </c>
      <c r="B16" s="105" t="s">
        <v>457</v>
      </c>
      <c r="C16" s="412" t="s">
        <v>1110</v>
      </c>
      <c r="E16" s="38">
        <v>3196.8</v>
      </c>
      <c r="F16" s="38">
        <v>1472361.1200000022</v>
      </c>
      <c r="G16" s="232"/>
      <c r="H16" s="38">
        <v>8262</v>
      </c>
      <c r="I16" s="38">
        <v>3916711</v>
      </c>
      <c r="K16" s="230"/>
    </row>
    <row r="17" spans="1:20">
      <c r="A17" s="102">
        <f t="shared" si="0"/>
        <v>8</v>
      </c>
      <c r="B17" s="105" t="s">
        <v>458</v>
      </c>
      <c r="C17" s="412" t="s">
        <v>1110</v>
      </c>
      <c r="E17" s="38">
        <v>4312.8</v>
      </c>
      <c r="F17" s="38">
        <v>1768017.5999999959</v>
      </c>
      <c r="G17" s="232"/>
      <c r="H17" s="38">
        <v>10511</v>
      </c>
      <c r="I17" s="38">
        <v>4441940</v>
      </c>
      <c r="K17" s="230"/>
    </row>
    <row r="18" spans="1:20" ht="13">
      <c r="A18" s="102">
        <f t="shared" si="0"/>
        <v>9</v>
      </c>
      <c r="B18" s="105" t="s">
        <v>459</v>
      </c>
      <c r="C18" s="412" t="s">
        <v>1110</v>
      </c>
      <c r="E18" s="38">
        <v>6446.88</v>
      </c>
      <c r="F18" s="38">
        <v>2308914.7200000016</v>
      </c>
      <c r="G18" s="232"/>
      <c r="H18" s="38">
        <v>13147</v>
      </c>
      <c r="I18" s="38">
        <v>5328101</v>
      </c>
      <c r="K18" s="318" t="s">
        <v>763</v>
      </c>
    </row>
    <row r="19" spans="1:20">
      <c r="A19" s="102">
        <f t="shared" si="0"/>
        <v>10</v>
      </c>
      <c r="B19" s="105" t="s">
        <v>460</v>
      </c>
      <c r="C19" s="412" t="s">
        <v>1111</v>
      </c>
      <c r="E19" s="38">
        <v>4292.6400000000003</v>
      </c>
      <c r="F19" s="38">
        <v>2075885.2800000028</v>
      </c>
      <c r="G19" s="232"/>
      <c r="H19" s="38">
        <v>9964</v>
      </c>
      <c r="I19" s="38">
        <v>5160717</v>
      </c>
      <c r="K19" s="230"/>
    </row>
    <row r="20" spans="1:20" ht="13">
      <c r="A20" s="102">
        <f t="shared" si="0"/>
        <v>11</v>
      </c>
      <c r="B20" s="105" t="s">
        <v>461</v>
      </c>
      <c r="C20" s="412" t="s">
        <v>1111</v>
      </c>
      <c r="E20" s="38">
        <v>4505.76</v>
      </c>
      <c r="F20" s="38">
        <v>1686890.8800000024</v>
      </c>
      <c r="G20" s="232"/>
      <c r="H20" s="38">
        <v>10020</v>
      </c>
      <c r="I20" s="38">
        <v>4324504</v>
      </c>
      <c r="K20" s="414" t="s">
        <v>764</v>
      </c>
      <c r="N20" s="414" t="s">
        <v>765</v>
      </c>
      <c r="O20" s="414"/>
      <c r="R20" s="414" t="s">
        <v>765</v>
      </c>
      <c r="S20" s="414"/>
    </row>
    <row r="21" spans="1:20">
      <c r="A21" s="102">
        <f t="shared" si="0"/>
        <v>12</v>
      </c>
      <c r="B21" s="105" t="s">
        <v>462</v>
      </c>
      <c r="C21" s="412" t="s">
        <v>1111</v>
      </c>
      <c r="E21" s="38">
        <v>4197.6000000000004</v>
      </c>
      <c r="F21" s="38">
        <v>1773129.5999999985</v>
      </c>
      <c r="G21" s="232"/>
      <c r="H21" s="38">
        <v>9824</v>
      </c>
      <c r="I21" s="38">
        <v>4473719</v>
      </c>
      <c r="K21" s="230"/>
      <c r="N21" s="107"/>
      <c r="O21" s="107"/>
      <c r="R21" s="107"/>
      <c r="S21" s="107"/>
    </row>
    <row r="22" spans="1:20" ht="26">
      <c r="A22" s="102"/>
      <c r="B22" s="412"/>
      <c r="C22" s="412"/>
      <c r="E22" s="10" t="s">
        <v>679</v>
      </c>
      <c r="F22" s="105" t="s">
        <v>537</v>
      </c>
      <c r="G22" s="232"/>
      <c r="H22" s="10" t="s">
        <v>679</v>
      </c>
      <c r="I22" s="10" t="s">
        <v>537</v>
      </c>
      <c r="K22" s="317" t="s">
        <v>21</v>
      </c>
      <c r="N22" s="319">
        <v>3.4099999999999998E-2</v>
      </c>
      <c r="O22" s="320"/>
      <c r="P22" s="321" t="s">
        <v>836</v>
      </c>
      <c r="Q22" s="320"/>
      <c r="R22" s="319">
        <v>3.4099999999999998E-2</v>
      </c>
      <c r="S22" s="109"/>
      <c r="T22" s="101" t="s">
        <v>839</v>
      </c>
    </row>
    <row r="23" spans="1:20">
      <c r="A23" s="102"/>
      <c r="B23" s="412"/>
      <c r="C23" s="412"/>
      <c r="E23" s="10"/>
      <c r="F23" s="105"/>
      <c r="G23" s="232"/>
      <c r="H23" s="10"/>
      <c r="I23" s="10"/>
      <c r="K23" s="230" t="s">
        <v>766</v>
      </c>
      <c r="N23" s="320">
        <v>5.552E-2</v>
      </c>
      <c r="O23" s="320"/>
      <c r="P23" s="320"/>
      <c r="Q23" s="320"/>
      <c r="R23" s="320">
        <v>5.552E-2</v>
      </c>
      <c r="S23" s="107"/>
      <c r="T23" s="230"/>
    </row>
    <row r="24" spans="1:20" ht="26">
      <c r="A24" s="102">
        <f>+A21+1</f>
        <v>13</v>
      </c>
      <c r="B24" s="412" t="s">
        <v>442</v>
      </c>
      <c r="C24" s="412"/>
      <c r="E24" s="38">
        <f>SUM(E10:E23)</f>
        <v>50876.639999999999</v>
      </c>
      <c r="F24" s="38">
        <f>SUM(F10:F23)</f>
        <v>21306461.760000005</v>
      </c>
      <c r="G24" s="232"/>
      <c r="H24" s="38">
        <f>SUM(H10:H23)</f>
        <v>120728</v>
      </c>
      <c r="I24" s="38">
        <f>SUM(I10:I23)</f>
        <v>54492643</v>
      </c>
      <c r="K24" s="230" t="s">
        <v>767</v>
      </c>
      <c r="N24" s="319">
        <v>5.552E-2</v>
      </c>
      <c r="O24" s="319"/>
      <c r="P24" s="321" t="s">
        <v>837</v>
      </c>
      <c r="Q24" s="320"/>
      <c r="R24" s="319">
        <v>5.552E-2</v>
      </c>
      <c r="S24" s="109"/>
      <c r="T24" s="101" t="s">
        <v>838</v>
      </c>
    </row>
    <row r="25" spans="1:20" ht="13">
      <c r="A25" s="102"/>
      <c r="B25" s="412"/>
      <c r="C25" s="412"/>
      <c r="K25" s="317"/>
      <c r="N25" s="109"/>
      <c r="O25" s="109"/>
      <c r="R25" s="109"/>
      <c r="S25" s="109"/>
    </row>
    <row r="26" spans="1:20" ht="13">
      <c r="A26" s="102"/>
      <c r="B26" s="412"/>
      <c r="C26" s="412"/>
      <c r="E26" s="417"/>
      <c r="F26" s="417"/>
      <c r="H26" s="417"/>
      <c r="I26" s="417"/>
      <c r="P26" s="321"/>
    </row>
    <row r="27" spans="1:20" ht="25.5">
      <c r="A27" s="102">
        <f>+A24+1</f>
        <v>14</v>
      </c>
      <c r="B27" s="420" t="s">
        <v>768</v>
      </c>
      <c r="C27" s="412"/>
      <c r="E27" s="248">
        <f>N24</f>
        <v>5.552E-2</v>
      </c>
      <c r="F27" s="248">
        <f>R24</f>
        <v>5.552E-2</v>
      </c>
      <c r="H27" s="248">
        <f>N22</f>
        <v>3.4099999999999998E-2</v>
      </c>
      <c r="I27" s="248">
        <f>R22</f>
        <v>3.4099999999999998E-2</v>
      </c>
      <c r="J27" s="248" t="s">
        <v>451</v>
      </c>
      <c r="K27" s="317" t="s">
        <v>769</v>
      </c>
    </row>
    <row r="28" spans="1:20">
      <c r="A28" s="102"/>
      <c r="B28" s="412"/>
      <c r="C28" s="412"/>
      <c r="E28" s="417"/>
      <c r="F28" s="417"/>
      <c r="H28" s="417"/>
      <c r="I28" s="417"/>
      <c r="K28" s="461" t="s">
        <v>770</v>
      </c>
      <c r="L28" s="461"/>
      <c r="M28" s="461"/>
      <c r="N28" s="461"/>
      <c r="O28" s="461"/>
      <c r="P28" s="461"/>
    </row>
    <row r="29" spans="1:20">
      <c r="A29" s="102"/>
      <c r="B29" s="420"/>
      <c r="C29" s="412"/>
      <c r="E29" s="412" t="s">
        <v>465</v>
      </c>
      <c r="F29" s="412" t="s">
        <v>466</v>
      </c>
      <c r="H29" s="412" t="s">
        <v>465</v>
      </c>
      <c r="I29" s="412" t="s">
        <v>466</v>
      </c>
      <c r="K29" s="461"/>
      <c r="L29" s="461"/>
      <c r="M29" s="461"/>
      <c r="N29" s="461"/>
      <c r="O29" s="461"/>
      <c r="P29" s="461"/>
    </row>
    <row r="30" spans="1:20" ht="13">
      <c r="A30" s="102"/>
      <c r="B30" s="420"/>
      <c r="C30" s="412"/>
      <c r="E30" s="414" t="s">
        <v>834</v>
      </c>
      <c r="F30" s="414" t="s">
        <v>835</v>
      </c>
      <c r="H30" s="414" t="s">
        <v>834</v>
      </c>
      <c r="I30" s="414" t="s">
        <v>835</v>
      </c>
      <c r="K30" s="230"/>
    </row>
    <row r="31" spans="1:20">
      <c r="A31" s="102"/>
      <c r="B31" s="420"/>
      <c r="C31" s="412"/>
      <c r="K31" s="230"/>
    </row>
    <row r="32" spans="1:20">
      <c r="B32" s="300"/>
      <c r="C32" s="412"/>
      <c r="K32" s="230"/>
    </row>
    <row r="33" spans="1:11">
      <c r="A33" s="102"/>
      <c r="B33" s="420"/>
      <c r="C33" s="412"/>
      <c r="E33" s="412"/>
      <c r="K33" s="230"/>
    </row>
    <row r="34" spans="1:11">
      <c r="B34" s="412"/>
      <c r="C34" s="412"/>
      <c r="K34" s="230"/>
    </row>
    <row r="35" spans="1:11">
      <c r="B35" s="412"/>
      <c r="C35" s="412"/>
    </row>
    <row r="36" spans="1:11">
      <c r="B36" s="412"/>
      <c r="C36" s="412"/>
    </row>
    <row r="37" spans="1:11">
      <c r="A37" s="450" t="s">
        <v>771</v>
      </c>
      <c r="B37" s="450"/>
      <c r="C37" s="450"/>
      <c r="D37" s="450"/>
      <c r="E37" s="450"/>
      <c r="F37" s="450"/>
      <c r="G37" s="450"/>
      <c r="H37" s="450"/>
      <c r="I37" s="450"/>
      <c r="J37" s="450"/>
    </row>
    <row r="38" spans="1:11">
      <c r="B38" s="412"/>
      <c r="C38" s="412"/>
    </row>
    <row r="39" spans="1:11">
      <c r="B39" s="412"/>
      <c r="C39" s="412"/>
    </row>
  </sheetData>
  <mergeCells count="7">
    <mergeCell ref="K28:P29"/>
    <mergeCell ref="A37:J37"/>
    <mergeCell ref="A1:I1"/>
    <mergeCell ref="A2:I2"/>
    <mergeCell ref="A3:I3"/>
    <mergeCell ref="E7:F7"/>
    <mergeCell ref="H7:I7"/>
  </mergeCells>
  <printOptions horizontalCentered="1" verticalCentered="1"/>
  <pageMargins left="0" right="0" top="0" bottom="0" header="0.5" footer="0.5"/>
  <pageSetup scale="65" orientation="landscape" r:id="rId1"/>
  <headerFooter alignWithMargins="0">
    <oddHeader xml:space="preserve">&amp;RSECTION 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4"/>
  <sheetViews>
    <sheetView zoomScale="130" zoomScaleNormal="130" workbookViewId="0">
      <pane ySplit="8" topLeftCell="A9" activePane="bottomLeft" state="frozen"/>
      <selection activeCell="C38" sqref="C38"/>
      <selection pane="bottomLeft" sqref="A1:XFD1048576"/>
    </sheetView>
  </sheetViews>
  <sheetFormatPr defaultColWidth="9.1796875" defaultRowHeight="12.5"/>
  <cols>
    <col min="1" max="1" width="7.26953125" style="83" bestFit="1" customWidth="1"/>
    <col min="2" max="2" width="3.7265625" style="83" customWidth="1"/>
    <col min="3" max="3" width="40.7265625" style="83" customWidth="1"/>
    <col min="4" max="4" width="2.26953125" style="83" customWidth="1"/>
    <col min="5" max="5" width="18.7265625" style="83" customWidth="1"/>
    <col min="6" max="6" width="2.26953125" style="83" customWidth="1"/>
    <col min="7" max="7" width="18.7265625" style="83" customWidth="1"/>
    <col min="8" max="8" width="2.26953125" style="83" customWidth="1"/>
    <col min="9" max="9" width="18.7265625" style="83" customWidth="1"/>
    <col min="10" max="10" width="2.26953125" style="83" customWidth="1"/>
    <col min="11" max="11" width="16.453125" style="83" bestFit="1" customWidth="1"/>
    <col min="12" max="12" width="11.453125" style="83" bestFit="1" customWidth="1"/>
    <col min="13" max="13" width="2.26953125" style="83" customWidth="1"/>
    <col min="14" max="16" width="9.1796875" style="83"/>
    <col min="17" max="17" width="17.453125" style="84" customWidth="1"/>
    <col min="18" max="16384" width="9.1796875" style="83"/>
  </cols>
  <sheetData>
    <row r="1" spans="1:11">
      <c r="D1" s="436" t="s">
        <v>334</v>
      </c>
      <c r="I1" s="95" t="s">
        <v>528</v>
      </c>
    </row>
    <row r="2" spans="1:11">
      <c r="D2" s="436" t="s">
        <v>529</v>
      </c>
      <c r="I2" s="95" t="s">
        <v>530</v>
      </c>
    </row>
    <row r="3" spans="1:11">
      <c r="D3" s="435" t="s">
        <v>1088</v>
      </c>
    </row>
    <row r="5" spans="1:11" ht="13">
      <c r="K5" s="97"/>
    </row>
    <row r="7" spans="1:11" ht="25.5">
      <c r="A7" s="98" t="s">
        <v>531</v>
      </c>
      <c r="B7" s="99"/>
      <c r="C7" s="100" t="s">
        <v>336</v>
      </c>
      <c r="D7" s="99"/>
      <c r="E7" s="98" t="s">
        <v>532</v>
      </c>
      <c r="F7" s="99"/>
      <c r="G7" s="98" t="s">
        <v>533</v>
      </c>
      <c r="H7" s="99"/>
      <c r="I7" s="98" t="s">
        <v>534</v>
      </c>
      <c r="K7" s="101"/>
    </row>
    <row r="8" spans="1:11">
      <c r="A8" s="102">
        <v>-1</v>
      </c>
      <c r="C8" s="102">
        <f>+A8-1</f>
        <v>-2</v>
      </c>
      <c r="E8" s="102">
        <f>+C8-1</f>
        <v>-3</v>
      </c>
      <c r="G8" s="102">
        <f>+E8-1</f>
        <v>-4</v>
      </c>
      <c r="I8" s="102">
        <f>+G8-1</f>
        <v>-5</v>
      </c>
    </row>
    <row r="9" spans="1:11">
      <c r="A9" s="102"/>
      <c r="C9" s="102"/>
      <c r="E9" s="102"/>
      <c r="G9" s="102"/>
      <c r="I9" s="102"/>
    </row>
    <row r="10" spans="1:11" ht="13">
      <c r="B10" s="103" t="s">
        <v>535</v>
      </c>
      <c r="K10" s="3"/>
    </row>
    <row r="11" spans="1:11">
      <c r="A11" s="102">
        <v>1</v>
      </c>
      <c r="C11" s="83" t="s">
        <v>536</v>
      </c>
      <c r="E11" s="104">
        <f>'Sch 4'!G7+'Sch 4'!G8+'Sch 4'!G9</f>
        <v>502666637.70000005</v>
      </c>
      <c r="F11" s="104"/>
      <c r="G11" s="104">
        <f>+'Sch 2'!E20</f>
        <v>74666028</v>
      </c>
      <c r="H11" s="104"/>
      <c r="I11" s="104">
        <f>+E11+G11</f>
        <v>577332665.70000005</v>
      </c>
      <c r="K11" s="104"/>
    </row>
    <row r="12" spans="1:11">
      <c r="A12" s="102">
        <f>+A11+1</f>
        <v>2</v>
      </c>
      <c r="C12" s="83" t="s">
        <v>172</v>
      </c>
      <c r="E12" s="38">
        <f>'Sch 4'!G10</f>
        <v>36027812.930000007</v>
      </c>
      <c r="F12" s="38"/>
      <c r="G12" s="38">
        <v>0</v>
      </c>
      <c r="H12" s="38"/>
      <c r="I12" s="38">
        <f>+E12+G12</f>
        <v>36027812.930000007</v>
      </c>
    </row>
    <row r="13" spans="1:11">
      <c r="A13" s="102">
        <f>+A12+1</f>
        <v>3</v>
      </c>
      <c r="C13" s="83" t="s">
        <v>911</v>
      </c>
      <c r="E13" s="38">
        <f>'Sch 4'!G11</f>
        <v>36603925.668540001</v>
      </c>
      <c r="F13" s="38"/>
      <c r="G13" s="38">
        <v>0</v>
      </c>
      <c r="H13" s="38"/>
      <c r="I13" s="38">
        <f>+E13+G13</f>
        <v>36603925.668540001</v>
      </c>
    </row>
    <row r="14" spans="1:11">
      <c r="A14" s="102"/>
      <c r="E14" s="105" t="s">
        <v>537</v>
      </c>
      <c r="G14" s="105" t="s">
        <v>537</v>
      </c>
      <c r="I14" s="105" t="s">
        <v>537</v>
      </c>
    </row>
    <row r="15" spans="1:11">
      <c r="A15" s="102">
        <f>+A13+1</f>
        <v>4</v>
      </c>
      <c r="B15" s="83" t="s">
        <v>538</v>
      </c>
      <c r="E15" s="104">
        <f>+E11+E12+E13</f>
        <v>575298376.29854012</v>
      </c>
      <c r="G15" s="104">
        <f>+G11+G12</f>
        <v>74666028</v>
      </c>
      <c r="I15" s="104">
        <f>+I11+I12+I13</f>
        <v>649964404.29854012</v>
      </c>
    </row>
    <row r="16" spans="1:11">
      <c r="A16" s="102"/>
      <c r="E16" s="105" t="s">
        <v>537</v>
      </c>
      <c r="G16" s="105" t="s">
        <v>537</v>
      </c>
      <c r="I16" s="105" t="s">
        <v>537</v>
      </c>
    </row>
    <row r="17" spans="1:12">
      <c r="A17" s="102"/>
      <c r="B17" s="103" t="s">
        <v>539</v>
      </c>
      <c r="K17" s="107"/>
      <c r="L17" s="104"/>
    </row>
    <row r="18" spans="1:12">
      <c r="A18" s="102">
        <f>+A15+1</f>
        <v>5</v>
      </c>
      <c r="C18" s="83" t="s">
        <v>540</v>
      </c>
      <c r="E18" s="104">
        <f>'Sch 4'!G23</f>
        <v>382869476.21406102</v>
      </c>
      <c r="G18" s="104">
        <f>G15*('2 P2'!G11+'2 P2'!G12)</f>
        <v>410140.49180399999</v>
      </c>
      <c r="I18" s="104">
        <f>+E18+G18</f>
        <v>383279616.70586503</v>
      </c>
      <c r="K18" s="104"/>
    </row>
    <row r="19" spans="1:12">
      <c r="A19" s="102">
        <f>+A18+1</f>
        <v>6</v>
      </c>
      <c r="C19" s="83" t="s">
        <v>541</v>
      </c>
      <c r="E19" s="104">
        <f>'Sch 4'!G25</f>
        <v>102854473.40795</v>
      </c>
      <c r="F19" s="38"/>
      <c r="G19" s="38">
        <v>0</v>
      </c>
      <c r="H19" s="38"/>
      <c r="I19" s="38">
        <f>+E19+G19</f>
        <v>102854473.40795</v>
      </c>
    </row>
    <row r="20" spans="1:12">
      <c r="A20" s="102">
        <f>+A19+1</f>
        <v>7</v>
      </c>
      <c r="C20" s="83" t="s">
        <v>542</v>
      </c>
      <c r="E20" s="104">
        <f>'Sch 4'!G26</f>
        <v>28619815</v>
      </c>
      <c r="F20" s="38"/>
      <c r="G20" s="38">
        <v>0</v>
      </c>
      <c r="H20" s="38"/>
      <c r="I20" s="38">
        <f t="shared" ref="I20:I26" si="0">+E20+G20</f>
        <v>28619815</v>
      </c>
    </row>
    <row r="21" spans="1:12">
      <c r="A21" s="102">
        <f>+A20+1</f>
        <v>8</v>
      </c>
      <c r="C21" s="83" t="s">
        <v>31</v>
      </c>
      <c r="E21" s="104">
        <f>'Sch 4'!G27</f>
        <v>3230013.6124404473</v>
      </c>
      <c r="F21" s="38"/>
      <c r="G21" s="10">
        <f>ROUND((+G11-G18)*'Sch 5'!C510,0)</f>
        <v>3717621</v>
      </c>
      <c r="H21" s="38"/>
      <c r="I21" s="38">
        <f>+E21+G21</f>
        <v>6947634.6124404473</v>
      </c>
    </row>
    <row r="22" spans="1:12">
      <c r="A22" s="102"/>
      <c r="C22" s="83" t="s">
        <v>826</v>
      </c>
      <c r="E22" s="104">
        <f>'Sch 4'!G28+'Sch 4'!G29</f>
        <v>5774888.2905000001</v>
      </c>
      <c r="F22" s="38"/>
      <c r="G22" s="10"/>
      <c r="H22" s="38"/>
      <c r="I22" s="38">
        <f t="shared" si="0"/>
        <v>5774888.2905000001</v>
      </c>
      <c r="K22" s="14"/>
      <c r="L22" s="14"/>
    </row>
    <row r="23" spans="1:12">
      <c r="A23" s="102"/>
      <c r="C23" s="83" t="s">
        <v>543</v>
      </c>
      <c r="E23" s="38"/>
      <c r="F23" s="38"/>
      <c r="G23" s="38"/>
      <c r="H23" s="38"/>
      <c r="I23" s="38"/>
    </row>
    <row r="24" spans="1:12">
      <c r="A24" s="102">
        <f>+A21+1</f>
        <v>9</v>
      </c>
      <c r="C24" s="83" t="s">
        <v>544</v>
      </c>
      <c r="E24" s="104">
        <f>'Sch 4'!G33</f>
        <v>14262843.886194136</v>
      </c>
      <c r="F24" s="38"/>
      <c r="G24" s="10">
        <f>ROUND((+G11+G12-G18-G19-G20-G21)*'Sch 5'!C511,0)</f>
        <v>14813036</v>
      </c>
      <c r="H24" s="38"/>
      <c r="I24" s="38">
        <f t="shared" si="0"/>
        <v>29075879.886194136</v>
      </c>
    </row>
    <row r="25" spans="1:12">
      <c r="A25" s="102">
        <f>+A24+1</f>
        <v>10</v>
      </c>
      <c r="C25" s="83" t="s">
        <v>545</v>
      </c>
      <c r="E25" s="104">
        <f>'Sch 4'!G34+'Sch 4'!G35</f>
        <v>-8715251.9140379764</v>
      </c>
      <c r="F25" s="38"/>
      <c r="G25" s="38">
        <v>0</v>
      </c>
      <c r="H25" s="38"/>
      <c r="I25" s="38">
        <f t="shared" si="0"/>
        <v>-8715251.9140379764</v>
      </c>
    </row>
    <row r="26" spans="1:12">
      <c r="A26" s="102">
        <f>+A25+1</f>
        <v>11</v>
      </c>
      <c r="C26" s="83" t="s">
        <v>546</v>
      </c>
      <c r="E26" s="104">
        <f>'Sch 4'!G36</f>
        <v>0</v>
      </c>
      <c r="F26" s="38"/>
      <c r="G26" s="38">
        <v>0</v>
      </c>
      <c r="H26" s="38"/>
      <c r="I26" s="38">
        <f t="shared" si="0"/>
        <v>0</v>
      </c>
    </row>
    <row r="27" spans="1:12">
      <c r="A27" s="102"/>
      <c r="E27" s="105" t="s">
        <v>537</v>
      </c>
      <c r="G27" s="105" t="s">
        <v>537</v>
      </c>
      <c r="I27" s="105" t="s">
        <v>537</v>
      </c>
    </row>
    <row r="28" spans="1:12">
      <c r="A28" s="102">
        <f>+A26+1</f>
        <v>12</v>
      </c>
      <c r="B28" s="83" t="s">
        <v>547</v>
      </c>
      <c r="E28" s="104">
        <f>SUM(E18:E27)</f>
        <v>528896258.49710757</v>
      </c>
      <c r="G28" s="104">
        <f>SUM(G18:G27)</f>
        <v>18940797.491804</v>
      </c>
      <c r="I28" s="104">
        <f>SUM(I18:I27)</f>
        <v>547837055.98891163</v>
      </c>
    </row>
    <row r="29" spans="1:12">
      <c r="A29" s="102"/>
      <c r="E29" s="105" t="s">
        <v>537</v>
      </c>
      <c r="G29" s="105" t="s">
        <v>537</v>
      </c>
      <c r="I29" s="105" t="s">
        <v>537</v>
      </c>
    </row>
    <row r="30" spans="1:12">
      <c r="A30" s="102"/>
    </row>
    <row r="31" spans="1:12">
      <c r="A31" s="102">
        <f>+A28+1</f>
        <v>13</v>
      </c>
      <c r="B31" s="83" t="s">
        <v>944</v>
      </c>
      <c r="E31" s="104">
        <f>+E15-E28</f>
        <v>46402117.80143255</v>
      </c>
      <c r="G31" s="104">
        <f>+G15-G28</f>
        <v>55725230.508195996</v>
      </c>
      <c r="I31" s="104">
        <f>+I15-I28</f>
        <v>102127348.30962849</v>
      </c>
      <c r="K31" s="104"/>
    </row>
    <row r="32" spans="1:12">
      <c r="A32" s="102">
        <f>+A31+1</f>
        <v>14</v>
      </c>
      <c r="B32" s="83" t="s">
        <v>548</v>
      </c>
      <c r="E32" s="38">
        <f>'Sch 4'!G40</f>
        <v>8482581</v>
      </c>
      <c r="G32" s="38">
        <v>0</v>
      </c>
      <c r="I32" s="38">
        <f>+E32+G32</f>
        <v>8482581</v>
      </c>
    </row>
    <row r="33" spans="1:12">
      <c r="A33" s="102"/>
      <c r="E33" s="105" t="s">
        <v>537</v>
      </c>
      <c r="G33" s="105" t="s">
        <v>537</v>
      </c>
      <c r="I33" s="105" t="s">
        <v>537</v>
      </c>
    </row>
    <row r="34" spans="1:12">
      <c r="A34" s="102">
        <f>+A32+1</f>
        <v>15</v>
      </c>
      <c r="B34" s="83" t="s">
        <v>549</v>
      </c>
      <c r="E34" s="104">
        <f>+E31+E32</f>
        <v>54884698.80143255</v>
      </c>
      <c r="G34" s="104">
        <f>+G31+G32</f>
        <v>55725230.508195996</v>
      </c>
      <c r="I34" s="104">
        <f>+I31+I32</f>
        <v>110609929.30962849</v>
      </c>
    </row>
    <row r="35" spans="1:12">
      <c r="A35" s="102"/>
      <c r="E35" s="105" t="s">
        <v>550</v>
      </c>
      <c r="G35" s="105" t="s">
        <v>550</v>
      </c>
      <c r="I35" s="105" t="s">
        <v>550</v>
      </c>
    </row>
    <row r="36" spans="1:12">
      <c r="A36" s="102"/>
    </row>
    <row r="37" spans="1:12">
      <c r="A37" s="102">
        <f>+A34+1</f>
        <v>16</v>
      </c>
      <c r="B37" s="103"/>
      <c r="C37" s="83" t="s">
        <v>167</v>
      </c>
      <c r="I37" s="104">
        <f>'Sch 4'!G53</f>
        <v>1619471412.6022277</v>
      </c>
    </row>
    <row r="38" spans="1:12">
      <c r="A38" s="102">
        <f>+A37+1</f>
        <v>17</v>
      </c>
      <c r="C38" s="83" t="s">
        <v>49</v>
      </c>
      <c r="E38" s="104"/>
      <c r="G38" s="104"/>
      <c r="I38" s="107">
        <f>ROUND(I34/I37,4)</f>
        <v>6.83E-2</v>
      </c>
      <c r="K38" s="104"/>
    </row>
    <row r="39" spans="1:12">
      <c r="A39" s="102"/>
      <c r="E39" s="38"/>
      <c r="F39" s="38"/>
      <c r="G39" s="38"/>
      <c r="H39" s="38"/>
      <c r="I39" s="38"/>
    </row>
    <row r="40" spans="1:12">
      <c r="A40" s="102">
        <f>+A38+1</f>
        <v>18</v>
      </c>
      <c r="C40" s="83" t="s">
        <v>551</v>
      </c>
      <c r="E40" s="105"/>
      <c r="G40" s="105"/>
      <c r="I40" s="108">
        <f>+'2 P1'!E17</f>
        <v>1812539575.0683222</v>
      </c>
      <c r="K40" s="104"/>
    </row>
    <row r="41" spans="1:12">
      <c r="A41" s="102">
        <f>+A40+1</f>
        <v>19</v>
      </c>
      <c r="C41" s="83" t="s">
        <v>49</v>
      </c>
      <c r="E41" s="104"/>
      <c r="G41" s="104"/>
      <c r="I41" s="107">
        <f>+'2 P1'!K17</f>
        <v>6.83E-2</v>
      </c>
      <c r="K41" s="336"/>
    </row>
    <row r="42" spans="1:12">
      <c r="A42" s="102"/>
      <c r="E42" s="104"/>
      <c r="G42" s="104"/>
      <c r="I42" s="107"/>
      <c r="K42" s="104"/>
    </row>
    <row r="43" spans="1:12">
      <c r="A43" s="102"/>
      <c r="E43" s="38"/>
      <c r="G43" s="38"/>
      <c r="I43" s="38"/>
    </row>
    <row r="44" spans="1:12">
      <c r="A44" s="102">
        <f>A41+1</f>
        <v>20</v>
      </c>
      <c r="C44" s="83" t="s">
        <v>849</v>
      </c>
      <c r="E44" s="38"/>
      <c r="G44" s="38"/>
      <c r="I44" s="38">
        <f>I15</f>
        <v>649964404.29854012</v>
      </c>
    </row>
    <row r="45" spans="1:12">
      <c r="A45" s="102"/>
      <c r="E45" s="38"/>
      <c r="G45" s="38"/>
      <c r="I45" s="105" t="s">
        <v>550</v>
      </c>
    </row>
    <row r="46" spans="1:12">
      <c r="A46" s="102"/>
      <c r="E46" s="38"/>
      <c r="F46" s="38"/>
      <c r="G46" s="38"/>
      <c r="H46" s="38"/>
      <c r="I46" s="38"/>
    </row>
    <row r="47" spans="1:12">
      <c r="A47" s="102">
        <f>A44+1</f>
        <v>21</v>
      </c>
      <c r="C47" s="83" t="s">
        <v>552</v>
      </c>
      <c r="E47" s="38"/>
      <c r="I47" s="38">
        <f>G15</f>
        <v>74666028</v>
      </c>
      <c r="L47" s="38"/>
    </row>
    <row r="48" spans="1:12">
      <c r="A48" s="102"/>
      <c r="E48" s="38"/>
      <c r="G48" s="38"/>
      <c r="I48" s="38"/>
    </row>
    <row r="49" spans="1:9" ht="13">
      <c r="A49" s="102"/>
      <c r="E49" s="38"/>
      <c r="F49" s="38"/>
      <c r="G49" s="38"/>
      <c r="H49" s="38"/>
      <c r="I49" s="109"/>
    </row>
    <row r="50" spans="1:9">
      <c r="A50" s="102"/>
      <c r="E50" s="38"/>
      <c r="F50" s="38"/>
      <c r="G50" s="38"/>
      <c r="H50" s="38"/>
      <c r="I50" s="38"/>
    </row>
    <row r="51" spans="1:9">
      <c r="A51" s="102"/>
      <c r="E51" s="38"/>
      <c r="F51" s="38"/>
      <c r="G51" s="38"/>
      <c r="H51" s="38"/>
      <c r="I51" s="38"/>
    </row>
    <row r="52" spans="1:9">
      <c r="A52" s="102"/>
      <c r="E52" s="38"/>
      <c r="F52" s="38"/>
      <c r="G52" s="38"/>
      <c r="H52" s="38"/>
      <c r="I52" s="38"/>
    </row>
    <row r="53" spans="1:9">
      <c r="A53" s="102"/>
      <c r="E53" s="38"/>
      <c r="F53" s="38"/>
      <c r="G53" s="38"/>
      <c r="H53" s="38"/>
      <c r="I53" s="38"/>
    </row>
    <row r="54" spans="1:9">
      <c r="A54" s="102"/>
      <c r="E54" s="38"/>
      <c r="F54" s="38"/>
      <c r="G54" s="38"/>
      <c r="H54" s="38"/>
      <c r="I54" s="38"/>
    </row>
    <row r="55" spans="1:9">
      <c r="A55" s="102"/>
      <c r="E55" s="38"/>
      <c r="F55" s="38"/>
      <c r="G55" s="38"/>
      <c r="H55" s="38"/>
      <c r="I55" s="38"/>
    </row>
    <row r="56" spans="1:9" ht="13">
      <c r="A56" s="102"/>
      <c r="B56" s="3"/>
      <c r="E56" s="38"/>
      <c r="F56" s="38"/>
      <c r="G56" s="38"/>
      <c r="H56" s="38"/>
      <c r="I56" s="38"/>
    </row>
    <row r="57" spans="1:9">
      <c r="A57" s="102"/>
      <c r="E57" s="38"/>
      <c r="F57" s="38"/>
      <c r="G57" s="38"/>
      <c r="H57" s="38"/>
      <c r="I57" s="38"/>
    </row>
    <row r="58" spans="1:9" ht="13">
      <c r="A58" s="102"/>
      <c r="C58" s="99"/>
      <c r="E58" s="104"/>
      <c r="F58" s="38"/>
      <c r="G58" s="101"/>
      <c r="H58" s="38"/>
      <c r="I58" s="106"/>
    </row>
    <row r="59" spans="1:9">
      <c r="A59" s="102"/>
      <c r="E59" s="104"/>
      <c r="F59" s="38"/>
      <c r="G59" s="38"/>
      <c r="H59" s="38"/>
      <c r="I59" s="38"/>
    </row>
    <row r="60" spans="1:9">
      <c r="A60" s="102"/>
      <c r="C60" s="436"/>
      <c r="E60" s="38"/>
      <c r="F60" s="38"/>
      <c r="G60" s="38"/>
      <c r="H60" s="38"/>
      <c r="I60" s="38"/>
    </row>
    <row r="61" spans="1:9">
      <c r="A61" s="102"/>
      <c r="E61" s="38"/>
      <c r="F61" s="38"/>
      <c r="G61" s="38"/>
      <c r="H61" s="38"/>
      <c r="I61" s="38"/>
    </row>
    <row r="62" spans="1:9">
      <c r="A62" s="102"/>
      <c r="E62" s="107"/>
      <c r="F62" s="104"/>
      <c r="G62" s="104"/>
      <c r="H62" s="104"/>
      <c r="I62" s="104"/>
    </row>
    <row r="63" spans="1:9">
      <c r="A63" s="102"/>
      <c r="E63" s="105"/>
      <c r="G63" s="105"/>
      <c r="I63" s="105"/>
    </row>
    <row r="64" spans="1:9">
      <c r="A64" s="102"/>
      <c r="C64" s="99"/>
      <c r="E64" s="38"/>
    </row>
    <row r="65" spans="1:5">
      <c r="A65" s="102"/>
      <c r="E65" s="105"/>
    </row>
    <row r="66" spans="1:5">
      <c r="A66" s="102"/>
      <c r="C66" s="110"/>
      <c r="E66" s="104"/>
    </row>
    <row r="67" spans="1:5">
      <c r="A67" s="102"/>
      <c r="E67" s="105"/>
    </row>
    <row r="68" spans="1:5">
      <c r="A68" s="102"/>
    </row>
    <row r="69" spans="1:5">
      <c r="A69" s="102"/>
    </row>
    <row r="70" spans="1:5">
      <c r="A70" s="102"/>
    </row>
    <row r="71" spans="1:5">
      <c r="A71" s="102"/>
    </row>
    <row r="72" spans="1:5">
      <c r="A72" s="102"/>
    </row>
    <row r="73" spans="1:5">
      <c r="A73" s="102"/>
    </row>
    <row r="74" spans="1:5">
      <c r="A74" s="102"/>
    </row>
    <row r="75" spans="1:5">
      <c r="A75" s="102"/>
    </row>
    <row r="76" spans="1:5">
      <c r="A76" s="102"/>
    </row>
    <row r="77" spans="1:5">
      <c r="A77" s="102"/>
    </row>
    <row r="78" spans="1:5">
      <c r="A78" s="102"/>
    </row>
    <row r="79" spans="1:5">
      <c r="A79" s="102"/>
    </row>
    <row r="80" spans="1:5">
      <c r="A80" s="102"/>
    </row>
    <row r="81" spans="1:1">
      <c r="A81" s="102"/>
    </row>
    <row r="82" spans="1:1">
      <c r="A82" s="102"/>
    </row>
    <row r="83" spans="1:1">
      <c r="A83" s="102"/>
    </row>
    <row r="84" spans="1:1">
      <c r="A84" s="102"/>
    </row>
    <row r="85" spans="1:1">
      <c r="A85" s="102"/>
    </row>
    <row r="86" spans="1:1">
      <c r="A86" s="102"/>
    </row>
    <row r="87" spans="1:1">
      <c r="A87" s="102"/>
    </row>
    <row r="88" spans="1:1">
      <c r="A88" s="102"/>
    </row>
    <row r="89" spans="1:1">
      <c r="A89" s="102"/>
    </row>
    <row r="90" spans="1:1">
      <c r="A90" s="102"/>
    </row>
    <row r="91" spans="1:1">
      <c r="A91" s="102"/>
    </row>
    <row r="92" spans="1:1">
      <c r="A92" s="102"/>
    </row>
    <row r="93" spans="1:1">
      <c r="A93" s="102"/>
    </row>
    <row r="94" spans="1:1">
      <c r="A94" s="102"/>
    </row>
    <row r="95" spans="1:1">
      <c r="A95" s="102"/>
    </row>
    <row r="96" spans="1:1">
      <c r="A96" s="102"/>
    </row>
    <row r="97" spans="1:1">
      <c r="A97" s="102"/>
    </row>
    <row r="98" spans="1:1">
      <c r="A98" s="102"/>
    </row>
    <row r="99" spans="1:1">
      <c r="A99" s="102"/>
    </row>
    <row r="100" spans="1:1">
      <c r="A100" s="102"/>
    </row>
    <row r="101" spans="1:1">
      <c r="A101" s="102"/>
    </row>
    <row r="102" spans="1:1">
      <c r="A102" s="102"/>
    </row>
    <row r="103" spans="1:1">
      <c r="A103" s="102"/>
    </row>
    <row r="104" spans="1:1">
      <c r="A104" s="102"/>
    </row>
    <row r="105" spans="1:1">
      <c r="A105" s="102"/>
    </row>
    <row r="106" spans="1:1">
      <c r="A106" s="102"/>
    </row>
    <row r="107" spans="1:1">
      <c r="A107" s="102"/>
    </row>
    <row r="108" spans="1:1">
      <c r="A108" s="102"/>
    </row>
    <row r="109" spans="1:1">
      <c r="A109" s="102"/>
    </row>
    <row r="110" spans="1:1">
      <c r="A110" s="102"/>
    </row>
    <row r="111" spans="1:1">
      <c r="A111" s="102"/>
    </row>
    <row r="112" spans="1:1">
      <c r="A112" s="102"/>
    </row>
    <row r="113" spans="1:1">
      <c r="A113" s="102"/>
    </row>
    <row r="114" spans="1:1">
      <c r="A114" s="102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</sheetData>
  <printOptions horizontalCentered="1"/>
  <pageMargins left="0" right="0" top="1" bottom="0.5" header="0" footer="0"/>
  <pageSetup scale="7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7C9A-81C5-4B95-8300-9D7C7C099029}">
  <dimension ref="A1:P82"/>
  <sheetViews>
    <sheetView showRuler="0" topLeftCell="B1" zoomScale="130" zoomScaleNormal="130" workbookViewId="0">
      <pane ySplit="7" topLeftCell="A42" activePane="bottomLeft" state="frozen"/>
      <selection activeCell="J8" sqref="J8:J9"/>
      <selection pane="bottomLeft" activeCell="F54" sqref="F54"/>
    </sheetView>
  </sheetViews>
  <sheetFormatPr defaultColWidth="13.7265625" defaultRowHeight="12.5"/>
  <cols>
    <col min="1" max="1" width="8.453125" style="467" customWidth="1"/>
    <col min="2" max="2" width="44.54296875" style="467" customWidth="1"/>
    <col min="3" max="3" width="20.453125" style="467" customWidth="1"/>
    <col min="4" max="4" width="13.81640625" style="467" customWidth="1"/>
    <col min="5" max="5" width="16.26953125" style="467" customWidth="1"/>
    <col min="6" max="9" width="13.81640625" style="467" customWidth="1"/>
    <col min="10" max="10" width="22" style="467" customWidth="1"/>
    <col min="11" max="11" width="16.26953125" style="467" bestFit="1" customWidth="1"/>
    <col min="12" max="12" width="57" style="467" customWidth="1"/>
    <col min="13" max="13" width="60.54296875" style="467" bestFit="1" customWidth="1"/>
    <col min="14" max="15" width="13.7265625" style="467"/>
    <col min="16" max="16" width="14" style="467" bestFit="1" customWidth="1"/>
    <col min="17" max="16384" width="13.7265625" style="467"/>
  </cols>
  <sheetData>
    <row r="1" spans="1:13" ht="16.75" customHeight="1">
      <c r="A1" s="465" t="s">
        <v>398</v>
      </c>
      <c r="B1" s="466"/>
      <c r="C1" s="466"/>
      <c r="D1" s="466"/>
      <c r="E1" s="466"/>
      <c r="F1" s="466"/>
    </row>
    <row r="2" spans="1:13" ht="16.75" customHeight="1">
      <c r="A2" s="465" t="s">
        <v>1125</v>
      </c>
      <c r="B2" s="466"/>
      <c r="C2" s="466"/>
      <c r="D2" s="466"/>
      <c r="E2" s="466"/>
      <c r="F2" s="466"/>
      <c r="H2" s="468"/>
    </row>
    <row r="3" spans="1:13" ht="16.75" customHeight="1">
      <c r="A3" s="465" t="s">
        <v>1087</v>
      </c>
      <c r="B3" s="466"/>
      <c r="C3" s="466"/>
      <c r="D3" s="466"/>
      <c r="E3" s="466"/>
      <c r="F3" s="466"/>
      <c r="H3" s="469"/>
    </row>
    <row r="4" spans="1:13" ht="16.75" customHeight="1">
      <c r="A4" s="465" t="s">
        <v>1202</v>
      </c>
      <c r="B4" s="466"/>
      <c r="C4" s="466"/>
      <c r="D4" s="466"/>
      <c r="E4" s="466"/>
      <c r="F4" s="466"/>
    </row>
    <row r="5" spans="1:13" ht="16.75" customHeight="1"/>
    <row r="6" spans="1:13" ht="16.75" customHeight="1">
      <c r="C6" s="467" t="s">
        <v>1186</v>
      </c>
    </row>
    <row r="7" spans="1:13" ht="39.25" customHeight="1">
      <c r="A7" s="470" t="s">
        <v>684</v>
      </c>
      <c r="B7" s="471" t="s">
        <v>1126</v>
      </c>
      <c r="C7" s="471" t="s">
        <v>1127</v>
      </c>
      <c r="D7" s="471" t="s">
        <v>1128</v>
      </c>
      <c r="E7" s="471" t="s">
        <v>1129</v>
      </c>
      <c r="F7" s="471" t="s">
        <v>1130</v>
      </c>
      <c r="G7" s="471" t="s">
        <v>1131</v>
      </c>
      <c r="H7" s="471" t="s">
        <v>1132</v>
      </c>
      <c r="I7" s="471" t="s">
        <v>1133</v>
      </c>
      <c r="J7" s="471" t="s">
        <v>1134</v>
      </c>
      <c r="L7" s="472" t="s">
        <v>1135</v>
      </c>
      <c r="M7" s="472"/>
    </row>
    <row r="8" spans="1:13" ht="16.75" customHeight="1">
      <c r="L8" s="473"/>
    </row>
    <row r="9" spans="1:13" ht="15" customHeight="1">
      <c r="A9" s="474"/>
      <c r="B9" s="475"/>
      <c r="F9" s="476"/>
      <c r="J9" s="468"/>
      <c r="K9" s="468"/>
    </row>
    <row r="10" spans="1:13" ht="26">
      <c r="A10" s="477">
        <v>1</v>
      </c>
      <c r="B10" s="478" t="s">
        <v>1136</v>
      </c>
      <c r="C10" s="395">
        <f>'Sch 4'!E311+'Sch 4'!E312+'Sch 4'!E310</f>
        <v>94599256</v>
      </c>
      <c r="D10" s="395">
        <v>0</v>
      </c>
      <c r="E10" s="395">
        <f>C10-D10</f>
        <v>94599256</v>
      </c>
      <c r="F10" s="479">
        <f>E10/365</f>
        <v>259176.04383561644</v>
      </c>
      <c r="G10" s="480">
        <v>4.5199999999999996</v>
      </c>
      <c r="H10" s="434">
        <v>-23</v>
      </c>
      <c r="I10" s="434">
        <f>G10+H10</f>
        <v>-18.48</v>
      </c>
      <c r="J10" s="479">
        <f>I10*F10</f>
        <v>-4789573.290082192</v>
      </c>
      <c r="K10" s="481"/>
      <c r="L10" s="482" t="s">
        <v>1173</v>
      </c>
    </row>
    <row r="11" spans="1:13" ht="15" customHeight="1">
      <c r="A11" s="477">
        <f t="shared" ref="A11:A52" si="0">A10+1</f>
        <v>2</v>
      </c>
      <c r="B11" s="478"/>
      <c r="C11" s="396"/>
      <c r="D11" s="395"/>
      <c r="E11" s="483"/>
      <c r="F11" s="476"/>
      <c r="G11" s="401"/>
      <c r="H11" s="476"/>
      <c r="I11" s="476"/>
      <c r="J11" s="476"/>
      <c r="K11" s="481"/>
    </row>
    <row r="12" spans="1:13" ht="26">
      <c r="A12" s="477">
        <f t="shared" si="0"/>
        <v>3</v>
      </c>
      <c r="B12" s="478" t="s">
        <v>1137</v>
      </c>
      <c r="C12" s="395">
        <f>'Sch 4'!E335+'Sch 4'!E336+'Sch 5'!BB322+'Sch 5'!AS322+'Sch 5'!AS323</f>
        <v>244724183.04071999</v>
      </c>
      <c r="D12" s="395">
        <v>0</v>
      </c>
      <c r="E12" s="395">
        <f>C12-D12</f>
        <v>244724183.04071999</v>
      </c>
      <c r="F12" s="395">
        <f>E12/365</f>
        <v>670477.21381019172</v>
      </c>
      <c r="G12" s="480">
        <v>4.5199999999999996</v>
      </c>
      <c r="H12" s="434">
        <v>-27.92</v>
      </c>
      <c r="I12" s="434">
        <f>G12+H12</f>
        <v>-23.400000000000002</v>
      </c>
      <c r="J12" s="484">
        <f>I12*F12</f>
        <v>-15689166.803158488</v>
      </c>
      <c r="K12" s="481"/>
      <c r="L12" s="485" t="s">
        <v>1174</v>
      </c>
    </row>
    <row r="13" spans="1:13" ht="15" customHeight="1">
      <c r="A13" s="477">
        <f t="shared" si="0"/>
        <v>4</v>
      </c>
      <c r="B13" s="478"/>
      <c r="C13" s="396"/>
      <c r="D13" s="483"/>
      <c r="E13" s="483"/>
      <c r="F13" s="395"/>
      <c r="G13" s="401"/>
      <c r="H13" s="476"/>
      <c r="I13" s="476"/>
      <c r="J13" s="486"/>
      <c r="K13" s="481"/>
    </row>
    <row r="14" spans="1:13" ht="39.5">
      <c r="A14" s="477">
        <f t="shared" si="0"/>
        <v>5</v>
      </c>
      <c r="B14" s="478" t="s">
        <v>1138</v>
      </c>
      <c r="C14" s="395">
        <f>'Sch 4'!G23-SUM('Sch 4'!G310+'Sch 4'!G311+'Sch 4'!G312+'Sch 4'!G335+'Sch 4'!G336+CWC!C16)+'Sch 4'!G489+'Sch 4'!G502+'Sch 4'!G479+'Sch 4'!G493+'Sch 4'!G512-C24</f>
        <v>172010341.47740033</v>
      </c>
      <c r="D14" s="487">
        <v>2131433.04</v>
      </c>
      <c r="E14" s="395">
        <f>C14-D14</f>
        <v>169878908.43740034</v>
      </c>
      <c r="F14" s="395">
        <f>E14/365</f>
        <v>465421.66695178178</v>
      </c>
      <c r="G14" s="480">
        <v>4.5199999999999996</v>
      </c>
      <c r="H14" s="434">
        <v>-58.44</v>
      </c>
      <c r="I14" s="434">
        <f>G14+H14</f>
        <v>-53.92</v>
      </c>
      <c r="J14" s="484">
        <f>I14*F14</f>
        <v>-25095536.282040074</v>
      </c>
      <c r="K14" s="481"/>
      <c r="L14" s="482" t="s">
        <v>1175</v>
      </c>
    </row>
    <row r="15" spans="1:13" ht="16.75" customHeight="1">
      <c r="A15" s="477">
        <f t="shared" si="0"/>
        <v>6</v>
      </c>
      <c r="B15" s="401"/>
      <c r="C15" s="395"/>
      <c r="D15" s="395"/>
      <c r="E15" s="395"/>
      <c r="F15" s="395"/>
      <c r="G15" s="476"/>
      <c r="H15" s="476"/>
      <c r="I15" s="476"/>
      <c r="J15" s="486"/>
      <c r="K15" s="481"/>
    </row>
    <row r="16" spans="1:13" ht="78.75" customHeight="1">
      <c r="A16" s="477">
        <f t="shared" si="0"/>
        <v>7</v>
      </c>
      <c r="B16" s="401" t="s">
        <v>1176</v>
      </c>
      <c r="C16" s="395">
        <v>26836561.079999998</v>
      </c>
      <c r="D16" s="395">
        <v>0</v>
      </c>
      <c r="E16" s="395">
        <f>C16-D16</f>
        <v>26836561.079999998</v>
      </c>
      <c r="F16" s="395">
        <f>E16/365</f>
        <v>73524.82487671233</v>
      </c>
      <c r="G16" s="480">
        <v>4.5199999999999996</v>
      </c>
      <c r="H16" s="434">
        <v>-13.82</v>
      </c>
      <c r="I16" s="434">
        <f>G16+H16</f>
        <v>-9.3000000000000007</v>
      </c>
      <c r="J16" s="484">
        <f>I16*F16</f>
        <v>-683780.87135342474</v>
      </c>
      <c r="K16" s="481"/>
      <c r="L16" s="488" t="s">
        <v>1139</v>
      </c>
    </row>
    <row r="17" spans="1:16" ht="15" customHeight="1">
      <c r="A17" s="477">
        <f t="shared" si="0"/>
        <v>8</v>
      </c>
      <c r="B17" s="401"/>
      <c r="C17" s="397"/>
      <c r="D17" s="397"/>
      <c r="E17" s="397"/>
      <c r="F17" s="397"/>
      <c r="J17" s="489"/>
      <c r="K17" s="481"/>
    </row>
    <row r="18" spans="1:16" ht="13">
      <c r="A18" s="477">
        <f t="shared" si="0"/>
        <v>9</v>
      </c>
      <c r="B18" s="478" t="s">
        <v>541</v>
      </c>
      <c r="C18" s="395">
        <f>'Sch 4'!G25</f>
        <v>102854473.40795</v>
      </c>
      <c r="D18" s="395">
        <v>0</v>
      </c>
      <c r="E18" s="395">
        <f>C18-D18</f>
        <v>102854473.40795</v>
      </c>
      <c r="F18" s="395">
        <f>E18/365</f>
        <v>281793.07783000002</v>
      </c>
      <c r="G18" s="480">
        <v>0</v>
      </c>
      <c r="H18" s="434">
        <v>0</v>
      </c>
      <c r="I18" s="434">
        <f>G18+H18</f>
        <v>0</v>
      </c>
      <c r="J18" s="484">
        <f>I18*F18</f>
        <v>0</v>
      </c>
      <c r="K18" s="481"/>
      <c r="L18" s="482" t="s">
        <v>1177</v>
      </c>
      <c r="P18" s="468"/>
    </row>
    <row r="19" spans="1:16" ht="15" customHeight="1">
      <c r="A19" s="477">
        <f t="shared" si="0"/>
        <v>10</v>
      </c>
      <c r="C19" s="395"/>
      <c r="D19" s="397"/>
      <c r="E19" s="397"/>
      <c r="F19" s="397"/>
      <c r="J19" s="489"/>
      <c r="K19" s="481"/>
    </row>
    <row r="20" spans="1:16" ht="15" customHeight="1">
      <c r="A20" s="477">
        <f t="shared" si="0"/>
        <v>11</v>
      </c>
      <c r="B20" s="401" t="s">
        <v>1141</v>
      </c>
      <c r="C20" s="395">
        <f>'Sch 4'!G492</f>
        <v>5698</v>
      </c>
      <c r="D20" s="395">
        <v>0</v>
      </c>
      <c r="E20" s="395">
        <f>C20-D20</f>
        <v>5698</v>
      </c>
      <c r="F20" s="395">
        <f>E20/365</f>
        <v>15.610958904109589</v>
      </c>
      <c r="G20" s="480">
        <v>4.5199999999999996</v>
      </c>
      <c r="H20" s="434">
        <v>-76.42</v>
      </c>
      <c r="I20" s="434">
        <f>G20+H20</f>
        <v>-71.900000000000006</v>
      </c>
      <c r="J20" s="484">
        <f>I20*F20</f>
        <v>-1122.4279452054795</v>
      </c>
      <c r="K20" s="481"/>
      <c r="L20" s="482" t="s">
        <v>1178</v>
      </c>
      <c r="M20" s="490"/>
    </row>
    <row r="21" spans="1:16" ht="15" customHeight="1">
      <c r="A21" s="477">
        <f t="shared" si="0"/>
        <v>12</v>
      </c>
      <c r="C21" s="395"/>
      <c r="D21" s="397"/>
      <c r="E21" s="397"/>
      <c r="F21" s="397"/>
      <c r="J21" s="489"/>
      <c r="K21" s="481"/>
      <c r="M21" s="490"/>
    </row>
    <row r="22" spans="1:16" ht="27.65" customHeight="1">
      <c r="A22" s="477">
        <f t="shared" si="0"/>
        <v>13</v>
      </c>
      <c r="B22" s="401" t="s">
        <v>1142</v>
      </c>
      <c r="C22" s="395">
        <v>39161.74</v>
      </c>
      <c r="D22" s="395">
        <v>0</v>
      </c>
      <c r="E22" s="395">
        <f>C22-D22</f>
        <v>39161.74</v>
      </c>
      <c r="F22" s="395">
        <f>E22/365</f>
        <v>107.29243835616438</v>
      </c>
      <c r="G22" s="480">
        <v>4.5199999999999996</v>
      </c>
      <c r="H22" s="434">
        <v>-59.42</v>
      </c>
      <c r="I22" s="434">
        <f>G22+H22</f>
        <v>-54.900000000000006</v>
      </c>
      <c r="J22" s="484">
        <f>I22*F22</f>
        <v>-5890.3548657534247</v>
      </c>
      <c r="K22" s="481"/>
      <c r="L22" s="482" t="s">
        <v>1179</v>
      </c>
      <c r="M22" s="490"/>
    </row>
    <row r="23" spans="1:16" ht="15" customHeight="1">
      <c r="A23" s="477">
        <f t="shared" si="0"/>
        <v>14</v>
      </c>
      <c r="C23" s="395"/>
      <c r="D23" s="397"/>
      <c r="E23" s="397"/>
      <c r="F23" s="397"/>
      <c r="J23" s="489"/>
      <c r="K23" s="481"/>
      <c r="M23" s="490"/>
    </row>
    <row r="24" spans="1:16" ht="13">
      <c r="A24" s="477">
        <f t="shared" si="0"/>
        <v>15</v>
      </c>
      <c r="B24" s="401" t="s">
        <v>1143</v>
      </c>
      <c r="C24" s="395">
        <f>'Sch 4'!G430</f>
        <v>137624.2591</v>
      </c>
      <c r="D24" s="395">
        <v>0</v>
      </c>
      <c r="E24" s="395">
        <f>C24-D24</f>
        <v>137624.2591</v>
      </c>
      <c r="F24" s="395">
        <f>E24/365</f>
        <v>377.05276465753423</v>
      </c>
      <c r="G24" s="480">
        <v>4.5199999999999996</v>
      </c>
      <c r="H24" s="434">
        <v>-207.23</v>
      </c>
      <c r="I24" s="434">
        <f>G24+H24</f>
        <v>-202.70999999999998</v>
      </c>
      <c r="J24" s="484">
        <f>I24*F24</f>
        <v>-76432.36592372875</v>
      </c>
      <c r="K24" s="481"/>
      <c r="L24" s="482" t="s">
        <v>1180</v>
      </c>
    </row>
    <row r="25" spans="1:16" ht="15" customHeight="1">
      <c r="A25" s="477">
        <f t="shared" si="0"/>
        <v>16</v>
      </c>
      <c r="C25" s="395"/>
      <c r="D25" s="397"/>
      <c r="E25" s="397"/>
      <c r="F25" s="397"/>
      <c r="J25" s="489"/>
      <c r="K25" s="481"/>
    </row>
    <row r="26" spans="1:16" ht="15" customHeight="1">
      <c r="A26" s="477">
        <f t="shared" si="0"/>
        <v>17</v>
      </c>
      <c r="B26" s="478" t="s">
        <v>1181</v>
      </c>
      <c r="C26" s="395">
        <f>'Sch 4'!G484</f>
        <v>20057176</v>
      </c>
      <c r="D26" s="395">
        <v>0</v>
      </c>
      <c r="E26" s="395">
        <f>C26-D26</f>
        <v>20057176</v>
      </c>
      <c r="F26" s="395">
        <f>E26/365</f>
        <v>54951.167123287669</v>
      </c>
      <c r="G26" s="480">
        <v>4.5199999999999996</v>
      </c>
      <c r="H26" s="434">
        <v>-264.85000000000002</v>
      </c>
      <c r="I26" s="434">
        <f>G26+H26</f>
        <v>-260.33000000000004</v>
      </c>
      <c r="J26" s="484">
        <f>I26*F26</f>
        <v>-14305437.337205481</v>
      </c>
      <c r="K26" s="481"/>
      <c r="L26" s="482" t="s">
        <v>1182</v>
      </c>
    </row>
    <row r="27" spans="1:16" ht="15" customHeight="1">
      <c r="A27" s="477">
        <f t="shared" si="0"/>
        <v>18</v>
      </c>
      <c r="C27" s="395"/>
      <c r="D27" s="397"/>
      <c r="E27" s="395"/>
      <c r="F27" s="395"/>
      <c r="J27" s="484"/>
      <c r="K27" s="481"/>
    </row>
    <row r="28" spans="1:16" ht="15" customHeight="1">
      <c r="A28" s="477">
        <f t="shared" si="0"/>
        <v>19</v>
      </c>
      <c r="B28" s="478" t="s">
        <v>1195</v>
      </c>
      <c r="C28" s="395">
        <f>'Sch 4'!G480</f>
        <v>13073</v>
      </c>
      <c r="D28" s="397"/>
      <c r="E28" s="395">
        <f t="shared" ref="E28:E32" si="1">C28-D28</f>
        <v>13073</v>
      </c>
      <c r="F28" s="395">
        <f t="shared" ref="F28:F32" si="2">E28/365</f>
        <v>35.816438356164383</v>
      </c>
      <c r="G28" s="480">
        <v>4.5199999999999996</v>
      </c>
      <c r="H28" s="467">
        <v>-75.239999999999995</v>
      </c>
      <c r="I28" s="434">
        <f>G28+H28</f>
        <v>-70.72</v>
      </c>
      <c r="J28" s="484">
        <f t="shared" ref="J28:J32" si="3">I28*F28</f>
        <v>-2532.9385205479452</v>
      </c>
      <c r="K28" s="481"/>
    </row>
    <row r="29" spans="1:16" ht="15" customHeight="1">
      <c r="A29" s="477">
        <f t="shared" si="0"/>
        <v>20</v>
      </c>
      <c r="B29" s="478"/>
      <c r="C29" s="395"/>
      <c r="D29" s="397"/>
      <c r="E29" s="395"/>
      <c r="F29" s="395"/>
      <c r="J29" s="484"/>
      <c r="K29" s="481"/>
    </row>
    <row r="30" spans="1:16" ht="15" customHeight="1">
      <c r="A30" s="477">
        <f t="shared" si="0"/>
        <v>21</v>
      </c>
      <c r="B30" s="478" t="s">
        <v>1196</v>
      </c>
      <c r="C30" s="395">
        <v>3245.5274093216804</v>
      </c>
      <c r="D30" s="397"/>
      <c r="E30" s="395">
        <f t="shared" si="1"/>
        <v>3245.5274093216804</v>
      </c>
      <c r="F30" s="395">
        <f t="shared" si="2"/>
        <v>8.8918559159498098</v>
      </c>
      <c r="G30" s="480">
        <v>4.5199999999999996</v>
      </c>
      <c r="H30" s="467">
        <v>-75.209999999999994</v>
      </c>
      <c r="I30" s="434">
        <f>G30+H30</f>
        <v>-70.69</v>
      </c>
      <c r="J30" s="484">
        <f t="shared" si="3"/>
        <v>-628.56529469849204</v>
      </c>
      <c r="K30" s="481"/>
    </row>
    <row r="31" spans="1:16" ht="15" customHeight="1">
      <c r="A31" s="477">
        <f t="shared" si="0"/>
        <v>22</v>
      </c>
      <c r="B31" s="478"/>
      <c r="C31" s="395"/>
      <c r="D31" s="397"/>
      <c r="E31" s="395"/>
      <c r="F31" s="395"/>
      <c r="J31" s="484"/>
      <c r="K31" s="481"/>
    </row>
    <row r="32" spans="1:16" ht="15" customHeight="1">
      <c r="A32" s="477">
        <f t="shared" si="0"/>
        <v>23</v>
      </c>
      <c r="B32" s="478" t="s">
        <v>1197</v>
      </c>
      <c r="C32" s="395">
        <v>19254.265420678319</v>
      </c>
      <c r="D32" s="397"/>
      <c r="E32" s="395">
        <f t="shared" si="1"/>
        <v>19254.265420678319</v>
      </c>
      <c r="F32" s="395">
        <f t="shared" si="2"/>
        <v>52.751412111447451</v>
      </c>
      <c r="G32" s="480">
        <v>4.5199999999999996</v>
      </c>
      <c r="H32" s="467">
        <v>-75.31</v>
      </c>
      <c r="I32" s="434">
        <f>G32+H32</f>
        <v>-70.790000000000006</v>
      </c>
      <c r="J32" s="484">
        <f t="shared" si="3"/>
        <v>-3734.2724633693651</v>
      </c>
      <c r="K32" s="481"/>
    </row>
    <row r="33" spans="1:13" ht="15" customHeight="1">
      <c r="A33" s="477">
        <f t="shared" si="0"/>
        <v>24</v>
      </c>
      <c r="C33" s="395"/>
      <c r="D33" s="397"/>
      <c r="E33" s="397"/>
      <c r="F33" s="397"/>
      <c r="J33" s="489"/>
      <c r="K33" s="481"/>
    </row>
    <row r="34" spans="1:13" ht="15" customHeight="1">
      <c r="A34" s="477">
        <f t="shared" si="0"/>
        <v>25</v>
      </c>
      <c r="B34" s="401" t="s">
        <v>1144</v>
      </c>
      <c r="C34" s="395"/>
      <c r="D34" s="395"/>
      <c r="E34" s="395"/>
      <c r="F34" s="395"/>
      <c r="G34" s="401"/>
      <c r="H34" s="476"/>
      <c r="I34" s="476"/>
      <c r="J34" s="486"/>
      <c r="K34" s="481"/>
    </row>
    <row r="35" spans="1:13" ht="16.75" customHeight="1">
      <c r="A35" s="477">
        <f t="shared" si="0"/>
        <v>26</v>
      </c>
      <c r="B35" s="478" t="s">
        <v>1145</v>
      </c>
      <c r="C35" s="395">
        <f>'Sch 4'!G518</f>
        <v>14262843.886194136</v>
      </c>
      <c r="D35" s="395">
        <v>0</v>
      </c>
      <c r="E35" s="395">
        <f>C35-D35</f>
        <v>14262843.886194136</v>
      </c>
      <c r="F35" s="395">
        <f>E35/365</f>
        <v>39076.284619709964</v>
      </c>
      <c r="G35" s="480">
        <v>4.5199999999999996</v>
      </c>
      <c r="H35" s="434">
        <v>-37.880000000000003</v>
      </c>
      <c r="I35" s="434">
        <f>G35+H35</f>
        <v>-33.36</v>
      </c>
      <c r="J35" s="484">
        <f>I35*F35</f>
        <v>-1303584.8549135244</v>
      </c>
      <c r="K35" s="481"/>
      <c r="L35" s="482" t="s">
        <v>1146</v>
      </c>
      <c r="M35" s="490"/>
    </row>
    <row r="36" spans="1:13" ht="15" customHeight="1">
      <c r="A36" s="477">
        <f t="shared" si="0"/>
        <v>27</v>
      </c>
      <c r="B36" s="478" t="s">
        <v>1147</v>
      </c>
      <c r="C36" s="395">
        <f>'Sch 4'!G519</f>
        <v>-8715251.9140379764</v>
      </c>
      <c r="D36" s="491">
        <v>0</v>
      </c>
      <c r="E36" s="491">
        <f>C36-D36</f>
        <v>-8715251.9140379764</v>
      </c>
      <c r="F36" s="395">
        <f>E36/365</f>
        <v>-23877.402504213635</v>
      </c>
      <c r="G36" s="434">
        <v>0</v>
      </c>
      <c r="H36" s="434">
        <v>0</v>
      </c>
      <c r="I36" s="434">
        <f>G36+H36</f>
        <v>0</v>
      </c>
      <c r="J36" s="492">
        <f>I36*F36</f>
        <v>0</v>
      </c>
      <c r="K36" s="481"/>
      <c r="L36" s="482" t="s">
        <v>1146</v>
      </c>
      <c r="M36" s="490"/>
    </row>
    <row r="37" spans="1:13" ht="16.75" customHeight="1">
      <c r="A37" s="477">
        <f t="shared" si="0"/>
        <v>28</v>
      </c>
      <c r="B37" s="401" t="s">
        <v>1148</v>
      </c>
      <c r="C37" s="398">
        <f>SUM(C35:C36)</f>
        <v>5547591.9721561596</v>
      </c>
      <c r="D37" s="400">
        <f>SUM(D35:D36)</f>
        <v>0</v>
      </c>
      <c r="E37" s="398">
        <f>SUM(E35:E36)</f>
        <v>5547591.9721561596</v>
      </c>
      <c r="F37" s="395"/>
      <c r="G37" s="401"/>
      <c r="H37" s="476"/>
      <c r="I37" s="476"/>
      <c r="J37" s="493">
        <f>SUM(J35:J36)</f>
        <v>-1303584.8549135244</v>
      </c>
      <c r="K37" s="481"/>
      <c r="M37" s="490"/>
    </row>
    <row r="38" spans="1:13" ht="15" customHeight="1">
      <c r="A38" s="477">
        <f t="shared" si="0"/>
        <v>29</v>
      </c>
      <c r="B38" s="401"/>
      <c r="C38" s="395"/>
      <c r="D38" s="400"/>
      <c r="E38" s="395"/>
      <c r="F38" s="494"/>
      <c r="G38" s="401"/>
      <c r="H38" s="476"/>
      <c r="I38" s="476"/>
      <c r="J38" s="476"/>
      <c r="K38" s="481"/>
      <c r="M38" s="490"/>
    </row>
    <row r="39" spans="1:13" ht="15" customHeight="1">
      <c r="A39" s="477">
        <f t="shared" si="0"/>
        <v>30</v>
      </c>
      <c r="B39" s="401" t="s">
        <v>1149</v>
      </c>
      <c r="C39" s="399"/>
      <c r="D39" s="495"/>
      <c r="E39" s="399"/>
      <c r="F39" s="399"/>
      <c r="G39" s="401"/>
      <c r="H39" s="476"/>
      <c r="I39" s="476"/>
      <c r="J39" s="476"/>
      <c r="K39" s="481"/>
      <c r="M39" s="490"/>
    </row>
    <row r="40" spans="1:13" ht="16.75" customHeight="1">
      <c r="A40" s="477">
        <f t="shared" si="0"/>
        <v>31</v>
      </c>
      <c r="B40" s="478" t="s">
        <v>1145</v>
      </c>
      <c r="C40" s="395">
        <f>'Sch 4'!G517-C41</f>
        <v>3006826.6124404473</v>
      </c>
      <c r="D40" s="395">
        <v>0</v>
      </c>
      <c r="E40" s="395">
        <f>C40-D40</f>
        <v>3006826.6124404473</v>
      </c>
      <c r="F40" s="395">
        <f>E40/365</f>
        <v>8237.8811299738281</v>
      </c>
      <c r="G40" s="480">
        <v>4.5199999999999996</v>
      </c>
      <c r="H40" s="434">
        <f>H35</f>
        <v>-37.880000000000003</v>
      </c>
      <c r="I40" s="434">
        <f t="shared" ref="I40:I41" si="4">G40+H40</f>
        <v>-33.36</v>
      </c>
      <c r="J40" s="434">
        <f>I40*F40</f>
        <v>-274815.71449592692</v>
      </c>
      <c r="K40" s="481"/>
      <c r="L40" s="482" t="s">
        <v>1146</v>
      </c>
      <c r="M40" s="490"/>
    </row>
    <row r="41" spans="1:13" ht="16.75" customHeight="1">
      <c r="A41" s="477">
        <f t="shared" si="0"/>
        <v>32</v>
      </c>
      <c r="B41" s="478" t="s">
        <v>1147</v>
      </c>
      <c r="C41" s="395">
        <v>223187</v>
      </c>
      <c r="D41" s="491">
        <v>0</v>
      </c>
      <c r="E41" s="395">
        <f>C41-D41</f>
        <v>223187</v>
      </c>
      <c r="F41" s="395">
        <f>E41/365</f>
        <v>611.47123287671229</v>
      </c>
      <c r="G41" s="480">
        <v>0</v>
      </c>
      <c r="H41" s="434">
        <v>0</v>
      </c>
      <c r="I41" s="434">
        <f t="shared" si="4"/>
        <v>0</v>
      </c>
      <c r="J41" s="496">
        <f>I41*F41</f>
        <v>0</v>
      </c>
      <c r="K41" s="481"/>
      <c r="L41" s="482"/>
      <c r="M41" s="490"/>
    </row>
    <row r="42" spans="1:13" ht="16.5" customHeight="1">
      <c r="A42" s="477">
        <f t="shared" si="0"/>
        <v>33</v>
      </c>
      <c r="B42" s="478"/>
      <c r="C42" s="398">
        <f>SUM(C40:C41)</f>
        <v>3230013.6124404473</v>
      </c>
      <c r="D42" s="400">
        <f>SUM(D40:D41)</f>
        <v>0</v>
      </c>
      <c r="E42" s="398">
        <f>SUM(E40:E41)</f>
        <v>3230013.6124404473</v>
      </c>
      <c r="F42" s="395"/>
      <c r="G42" s="401"/>
      <c r="H42" s="476"/>
      <c r="I42" s="476"/>
      <c r="J42" s="434">
        <f>SUM(J40:J41)</f>
        <v>-274815.71449592692</v>
      </c>
      <c r="K42" s="481"/>
      <c r="L42" s="482"/>
      <c r="M42" s="490"/>
    </row>
    <row r="43" spans="1:13" ht="16.5" customHeight="1">
      <c r="A43" s="477">
        <f t="shared" si="0"/>
        <v>34</v>
      </c>
      <c r="B43" s="478"/>
      <c r="C43" s="400"/>
      <c r="D43" s="400"/>
      <c r="E43" s="400"/>
      <c r="F43" s="395"/>
      <c r="G43" s="401"/>
      <c r="H43" s="476"/>
      <c r="I43" s="476"/>
      <c r="J43" s="434"/>
      <c r="K43" s="481"/>
      <c r="L43" s="482"/>
      <c r="M43" s="490"/>
    </row>
    <row r="44" spans="1:13" ht="16.5" customHeight="1">
      <c r="A44" s="477">
        <f t="shared" si="0"/>
        <v>35</v>
      </c>
      <c r="B44" s="478" t="s">
        <v>1140</v>
      </c>
      <c r="C44" s="395">
        <f>'Sch 2'!E8*('2 P1'!K11+'2 P1'!K13)</f>
        <v>45507146.694122598</v>
      </c>
      <c r="D44" s="395">
        <v>0</v>
      </c>
      <c r="E44" s="395">
        <f>C44-D44</f>
        <v>45507146.694122598</v>
      </c>
      <c r="F44" s="395">
        <f>E44/365</f>
        <v>124677.11423047287</v>
      </c>
      <c r="G44" s="480">
        <v>4.5199999999999996</v>
      </c>
      <c r="H44" s="434">
        <v>-82.05</v>
      </c>
      <c r="I44" s="434">
        <f>G44+H44</f>
        <v>-77.53</v>
      </c>
      <c r="J44" s="484">
        <f>I44*F44</f>
        <v>-9666216.6662885621</v>
      </c>
      <c r="K44" s="481"/>
      <c r="L44" s="482" t="s">
        <v>1162</v>
      </c>
      <c r="M44" s="490"/>
    </row>
    <row r="45" spans="1:13" ht="16.5" customHeight="1">
      <c r="A45" s="477">
        <f t="shared" si="0"/>
        <v>36</v>
      </c>
      <c r="B45" s="478"/>
      <c r="C45" s="395"/>
      <c r="D45" s="395"/>
      <c r="E45" s="395"/>
      <c r="F45" s="395"/>
      <c r="G45" s="480"/>
      <c r="H45" s="434"/>
      <c r="I45" s="434"/>
      <c r="J45" s="484"/>
      <c r="K45" s="481"/>
      <c r="L45" s="482"/>
      <c r="M45" s="490"/>
    </row>
    <row r="46" spans="1:13" ht="16.5" customHeight="1">
      <c r="A46" s="477">
        <f t="shared" si="0"/>
        <v>37</v>
      </c>
      <c r="B46" s="478" t="s">
        <v>1183</v>
      </c>
      <c r="C46" s="395">
        <f>'Sch 2'!E8*('2 P1'!K15)</f>
        <v>65102750.786609553</v>
      </c>
      <c r="D46" s="395">
        <v>0</v>
      </c>
      <c r="E46" s="395">
        <f t="shared" ref="E46" si="5">C46-D46</f>
        <v>65102750.786609553</v>
      </c>
      <c r="F46" s="395">
        <f t="shared" ref="F46" si="6">E46/365</f>
        <v>178363.70078523166</v>
      </c>
      <c r="G46" s="480">
        <v>0</v>
      </c>
      <c r="H46" s="434">
        <v>0</v>
      </c>
      <c r="I46" s="434">
        <f t="shared" ref="I46" si="7">G46+H46</f>
        <v>0</v>
      </c>
      <c r="J46" s="484">
        <f t="shared" ref="J46" si="8">I46*F46</f>
        <v>0</v>
      </c>
      <c r="K46" s="481"/>
      <c r="L46" s="482" t="s">
        <v>1162</v>
      </c>
      <c r="M46" s="490"/>
    </row>
    <row r="47" spans="1:13" ht="16.75" customHeight="1">
      <c r="A47" s="477">
        <f t="shared" si="0"/>
        <v>38</v>
      </c>
      <c r="B47" s="478"/>
      <c r="C47" s="401"/>
      <c r="D47" s="401"/>
      <c r="E47" s="401"/>
      <c r="F47" s="494"/>
      <c r="G47" s="401"/>
      <c r="H47" s="476"/>
      <c r="I47" s="476"/>
      <c r="J47" s="476"/>
      <c r="K47" s="481"/>
    </row>
    <row r="48" spans="1:13" ht="16.75" customHeight="1" thickBot="1">
      <c r="A48" s="477">
        <f t="shared" si="0"/>
        <v>39</v>
      </c>
      <c r="B48" s="478" t="s">
        <v>665</v>
      </c>
      <c r="C48" s="433">
        <f>C10+C12+C14+C16+C18+C20+C22+C24+C26+C37+C42+C44+C46+C28+C30+C32</f>
        <v>780687550.86332905</v>
      </c>
      <c r="D48" s="433">
        <f>D10+D12+D14+D16+D18+D20+D22+D24+D26+D37+D42+D44+D46+D28+D30+D32</f>
        <v>2131433.04</v>
      </c>
      <c r="E48" s="433">
        <f>E10+E12+E14+E16+E18+E20+E22+E24+E26+E37+E42+E44+E46+E28+E30+E32</f>
        <v>778556117.82332897</v>
      </c>
      <c r="F48" s="497"/>
      <c r="G48" s="401"/>
      <c r="H48" s="476"/>
      <c r="I48" s="476"/>
      <c r="J48" s="433">
        <v>-71898520.403071955</v>
      </c>
      <c r="K48" s="481"/>
    </row>
    <row r="49" spans="1:12" ht="16.75" customHeight="1" thickTop="1">
      <c r="A49" s="477">
        <f t="shared" si="0"/>
        <v>40</v>
      </c>
      <c r="C49" s="498"/>
      <c r="D49" s="499"/>
      <c r="E49" s="499"/>
      <c r="J49" s="473"/>
    </row>
    <row r="50" spans="1:12" ht="16.75" customHeight="1">
      <c r="A50" s="477">
        <f t="shared" si="0"/>
        <v>41</v>
      </c>
      <c r="B50" s="14" t="s">
        <v>1159</v>
      </c>
      <c r="C50" s="500"/>
      <c r="J50" s="501">
        <v>1105953</v>
      </c>
      <c r="L50" s="482" t="s">
        <v>1184</v>
      </c>
    </row>
    <row r="51" spans="1:12" ht="16.75" customHeight="1">
      <c r="A51" s="477">
        <f t="shared" si="0"/>
        <v>42</v>
      </c>
      <c r="C51" s="502"/>
    </row>
    <row r="52" spans="1:12" ht="16.75" customHeight="1" thickBot="1">
      <c r="A52" s="477">
        <f t="shared" si="0"/>
        <v>43</v>
      </c>
      <c r="J52" s="503">
        <f>J48+J50-2258825-13482+23599+140+117445+697+4-168-1</f>
        <v>-72923158.403071955</v>
      </c>
      <c r="K52" s="481" t="s">
        <v>1208</v>
      </c>
    </row>
    <row r="53" spans="1:12" ht="16.75" customHeight="1" thickTop="1">
      <c r="A53" s="477"/>
    </row>
    <row r="54" spans="1:12" ht="16.5" customHeight="1">
      <c r="A54" s="477"/>
      <c r="J54" s="467">
        <v>-72923158.815322489</v>
      </c>
    </row>
    <row r="55" spans="1:12" ht="16.75" customHeight="1">
      <c r="J55" s="504">
        <f>J52-J54</f>
        <v>0.41225053369998932</v>
      </c>
    </row>
    <row r="56" spans="1:12" ht="16.75" customHeight="1"/>
    <row r="57" spans="1:12" ht="16.75" customHeight="1">
      <c r="B57" s="467" t="s">
        <v>1192</v>
      </c>
    </row>
    <row r="58" spans="1:12" ht="16.75" customHeight="1"/>
    <row r="59" spans="1:12" ht="16.75" customHeight="1"/>
    <row r="60" spans="1:12" ht="16.75" customHeight="1"/>
    <row r="61" spans="1:12" ht="16.75" customHeight="1"/>
    <row r="62" spans="1:12" ht="16.75" customHeight="1"/>
    <row r="63" spans="1:12" ht="16.75" customHeight="1"/>
    <row r="64" spans="1:12" ht="16.75" customHeight="1"/>
    <row r="65" spans="1:2" ht="16.75" customHeight="1"/>
    <row r="66" spans="1:2" ht="16.75" customHeight="1"/>
    <row r="67" spans="1:2" ht="16.75" customHeight="1"/>
    <row r="68" spans="1:2" ht="16.75" customHeight="1"/>
    <row r="69" spans="1:2" ht="16.75" customHeight="1"/>
    <row r="70" spans="1:2" ht="16.75" customHeight="1"/>
    <row r="71" spans="1:2" ht="16.75" customHeight="1"/>
    <row r="72" spans="1:2" ht="16.75" customHeight="1"/>
    <row r="73" spans="1:2" ht="16.75" customHeight="1"/>
    <row r="74" spans="1:2" ht="16.75" customHeight="1"/>
    <row r="75" spans="1:2" ht="16.75" customHeight="1"/>
    <row r="76" spans="1:2" ht="16.75" customHeight="1"/>
    <row r="77" spans="1:2" ht="16.75" customHeight="1"/>
    <row r="78" spans="1:2" ht="16.75" customHeight="1"/>
    <row r="79" spans="1:2" ht="16.75" customHeight="1"/>
    <row r="80" spans="1:2" ht="16.75" customHeight="1">
      <c r="A80" s="401" t="s">
        <v>1150</v>
      </c>
      <c r="B80" s="478" t="s">
        <v>1151</v>
      </c>
    </row>
    <row r="81" s="467" customFormat="1" ht="14.15" customHeight="1"/>
    <row r="82" s="467" customFormat="1" ht="16.75" customHeight="1"/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zoomScaleNormal="100" workbookViewId="0">
      <pane ySplit="6" topLeftCell="A7" activePane="bottomLeft" state="frozen"/>
      <selection activeCell="E18" sqref="E18"/>
      <selection pane="bottomLeft" sqref="A1:XFD1048576"/>
    </sheetView>
  </sheetViews>
  <sheetFormatPr defaultColWidth="9.1796875" defaultRowHeight="12.5"/>
  <cols>
    <col min="1" max="1" width="4.453125" style="436" bestFit="1" customWidth="1"/>
    <col min="2" max="2" width="2.26953125" style="83" customWidth="1"/>
    <col min="3" max="3" width="56.1796875" style="83" bestFit="1" customWidth="1"/>
    <col min="4" max="4" width="5.7265625" style="230" customWidth="1"/>
    <col min="5" max="5" width="15" style="83" bestFit="1" customWidth="1"/>
    <col min="6" max="6" width="9.1796875" style="83"/>
    <col min="7" max="7" width="15.1796875" style="83" bestFit="1" customWidth="1"/>
    <col min="8" max="16384" width="9.1796875" style="83"/>
  </cols>
  <sheetData>
    <row r="1" spans="1:7">
      <c r="C1" s="436" t="s">
        <v>334</v>
      </c>
      <c r="E1" s="95" t="s">
        <v>554</v>
      </c>
    </row>
    <row r="2" spans="1:7">
      <c r="C2" s="435" t="s">
        <v>926</v>
      </c>
      <c r="E2" s="95" t="s">
        <v>555</v>
      </c>
    </row>
    <row r="3" spans="1:7">
      <c r="C3" s="435" t="s">
        <v>1088</v>
      </c>
    </row>
    <row r="4" spans="1:7">
      <c r="D4" s="435"/>
    </row>
    <row r="5" spans="1:7" ht="37.5">
      <c r="A5" s="98" t="s">
        <v>556</v>
      </c>
      <c r="C5" s="436" t="s">
        <v>7</v>
      </c>
      <c r="D5" s="435"/>
      <c r="E5" s="98" t="s">
        <v>557</v>
      </c>
    </row>
    <row r="6" spans="1:7">
      <c r="A6" s="251">
        <v>-1</v>
      </c>
      <c r="C6" s="102">
        <f>+A6-1</f>
        <v>-2</v>
      </c>
      <c r="D6" s="435"/>
      <c r="E6" s="102">
        <f>+C6-1</f>
        <v>-3</v>
      </c>
    </row>
    <row r="7" spans="1:7">
      <c r="A7" s="102"/>
    </row>
    <row r="8" spans="1:7">
      <c r="A8" s="102">
        <v>1</v>
      </c>
      <c r="C8" s="83" t="s">
        <v>1118</v>
      </c>
      <c r="E8" s="104">
        <f>'Sch 1'!I37</f>
        <v>1619471412.6022277</v>
      </c>
    </row>
    <row r="9" spans="1:7">
      <c r="A9" s="102"/>
      <c r="E9" s="104"/>
    </row>
    <row r="10" spans="1:7" ht="13">
      <c r="A10" s="102">
        <f>+A8+1</f>
        <v>2</v>
      </c>
      <c r="C10" s="83" t="s">
        <v>553</v>
      </c>
      <c r="E10" s="109">
        <f>+'2 P1'!K17</f>
        <v>6.83E-2</v>
      </c>
    </row>
    <row r="11" spans="1:7">
      <c r="A11" s="102"/>
      <c r="E11" s="252" t="s">
        <v>558</v>
      </c>
    </row>
    <row r="12" spans="1:7" ht="11.25" customHeight="1">
      <c r="A12" s="102">
        <f>+A10+1</f>
        <v>3</v>
      </c>
      <c r="C12" s="83" t="s">
        <v>559</v>
      </c>
      <c r="E12" s="104">
        <f>ROUND(E8*E10,0)</f>
        <v>110609897</v>
      </c>
      <c r="G12" s="250"/>
    </row>
    <row r="13" spans="1:7">
      <c r="A13" s="102"/>
      <c r="E13" s="108"/>
    </row>
    <row r="14" spans="1:7">
      <c r="A14" s="102">
        <f>+A12+1</f>
        <v>4</v>
      </c>
      <c r="C14" s="83" t="s">
        <v>945</v>
      </c>
      <c r="E14" s="104">
        <f>'Sch 4'!G41</f>
        <v>54884698.801432498</v>
      </c>
      <c r="G14" s="104"/>
    </row>
    <row r="15" spans="1:7">
      <c r="A15" s="102"/>
      <c r="E15" s="252" t="s">
        <v>558</v>
      </c>
    </row>
    <row r="16" spans="1:7">
      <c r="A16" s="102">
        <f>+A14+1</f>
        <v>5</v>
      </c>
      <c r="C16" s="83" t="s">
        <v>560</v>
      </c>
      <c r="E16" s="104">
        <f>+E12-E14</f>
        <v>55725198.198567502</v>
      </c>
      <c r="G16" s="250"/>
    </row>
    <row r="17" spans="1:7">
      <c r="A17" s="102"/>
      <c r="E17" s="108"/>
    </row>
    <row r="18" spans="1:7">
      <c r="A18" s="102">
        <f>+A16+1</f>
        <v>6</v>
      </c>
      <c r="C18" s="83" t="s">
        <v>561</v>
      </c>
      <c r="E18" s="340">
        <f>+'2 P2'!G25</f>
        <v>1.3398970400000001</v>
      </c>
    </row>
    <row r="19" spans="1:7">
      <c r="A19" s="102"/>
      <c r="E19" s="252" t="s">
        <v>558</v>
      </c>
    </row>
    <row r="20" spans="1:7">
      <c r="A20" s="102">
        <f>+A18+1</f>
        <v>7</v>
      </c>
      <c r="C20" s="83" t="s">
        <v>562</v>
      </c>
      <c r="E20" s="104">
        <f>ROUND(E16*E18,0)</f>
        <v>74666028</v>
      </c>
      <c r="G20" s="104"/>
    </row>
    <row r="21" spans="1:7">
      <c r="A21" s="102"/>
      <c r="E21" s="252" t="s">
        <v>564</v>
      </c>
    </row>
    <row r="22" spans="1:7">
      <c r="A22" s="102"/>
      <c r="E22" s="341"/>
    </row>
    <row r="23" spans="1:7">
      <c r="A23" s="102"/>
      <c r="E23" s="231"/>
      <c r="G23" s="410"/>
    </row>
    <row r="24" spans="1:7">
      <c r="A24" s="102"/>
      <c r="E24" s="336"/>
      <c r="G24" s="342"/>
    </row>
    <row r="25" spans="1:7" ht="13">
      <c r="A25" s="102"/>
      <c r="E25" s="343"/>
    </row>
    <row r="26" spans="1:7">
      <c r="A26" s="102"/>
    </row>
    <row r="27" spans="1:7">
      <c r="A27" s="102"/>
    </row>
    <row r="28" spans="1:7">
      <c r="A28" s="102"/>
    </row>
    <row r="29" spans="1:7">
      <c r="A29" s="102"/>
    </row>
    <row r="30" spans="1:7">
      <c r="A30" s="102"/>
    </row>
    <row r="31" spans="1:7">
      <c r="A31" s="102"/>
    </row>
    <row r="32" spans="1:7">
      <c r="A32" s="102"/>
    </row>
    <row r="33" spans="1:1">
      <c r="A33" s="102"/>
    </row>
    <row r="34" spans="1:1">
      <c r="A34" s="102"/>
    </row>
    <row r="35" spans="1:1">
      <c r="A35" s="102"/>
    </row>
    <row r="36" spans="1:1">
      <c r="A36" s="102"/>
    </row>
    <row r="37" spans="1:1">
      <c r="A37" s="102"/>
    </row>
    <row r="38" spans="1:1">
      <c r="A38" s="102"/>
    </row>
    <row r="39" spans="1:1">
      <c r="A39" s="102"/>
    </row>
    <row r="40" spans="1:1">
      <c r="A40" s="102"/>
    </row>
    <row r="41" spans="1:1">
      <c r="A41" s="102"/>
    </row>
    <row r="45" spans="1:1" ht="13">
      <c r="A45" s="197"/>
    </row>
    <row r="46" spans="1:1" ht="13">
      <c r="A46" s="197"/>
    </row>
    <row r="47" spans="1:1" ht="13">
      <c r="A47" s="197"/>
    </row>
    <row r="48" spans="1:1" ht="13">
      <c r="A48" s="197"/>
    </row>
  </sheetData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zoomScale="140" zoomScaleNormal="140" workbookViewId="0">
      <selection activeCell="O20" sqref="O20"/>
    </sheetView>
  </sheetViews>
  <sheetFormatPr defaultColWidth="9.1796875" defaultRowHeight="12.5"/>
  <cols>
    <col min="1" max="1" width="4.7265625" style="83" customWidth="1"/>
    <col min="2" max="2" width="3.1796875" style="436" customWidth="1"/>
    <col min="3" max="3" width="29.7265625" style="83" bestFit="1" customWidth="1"/>
    <col min="4" max="4" width="2.7265625" style="83" customWidth="1"/>
    <col min="5" max="5" width="15.54296875" style="83" bestFit="1" customWidth="1"/>
    <col min="6" max="6" width="2.7265625" style="83" customWidth="1"/>
    <col min="7" max="7" width="13.7265625" style="83" bestFit="1" customWidth="1"/>
    <col min="8" max="8" width="2.7265625" style="83" customWidth="1"/>
    <col min="9" max="9" width="13.81640625" style="436" bestFit="1" customWidth="1"/>
    <col min="10" max="10" width="4.1796875" style="436" customWidth="1"/>
    <col min="11" max="11" width="13.7265625" style="83" bestFit="1" customWidth="1"/>
    <col min="12" max="12" width="2.7265625" style="83" customWidth="1"/>
    <col min="13" max="13" width="11.1796875" style="83" bestFit="1" customWidth="1"/>
    <col min="14" max="14" width="2.7265625" style="83" customWidth="1"/>
    <col min="15" max="15" width="12.7265625" style="83" bestFit="1" customWidth="1"/>
    <col min="16" max="16" width="2.7265625" style="83" customWidth="1"/>
    <col min="17" max="17" width="13.7265625" style="83" bestFit="1" customWidth="1"/>
    <col min="18" max="18" width="2.7265625" style="83" customWidth="1"/>
    <col min="19" max="19" width="19" style="83" bestFit="1" customWidth="1"/>
    <col min="20" max="16384" width="9.1796875" style="83"/>
  </cols>
  <sheetData>
    <row r="1" spans="1:19">
      <c r="F1" s="436" t="s">
        <v>334</v>
      </c>
      <c r="K1" s="95" t="s">
        <v>554</v>
      </c>
    </row>
    <row r="2" spans="1:19">
      <c r="F2" s="436" t="s">
        <v>565</v>
      </c>
      <c r="K2" s="95" t="s">
        <v>566</v>
      </c>
    </row>
    <row r="3" spans="1:19">
      <c r="F3" s="436" t="s">
        <v>1088</v>
      </c>
      <c r="K3" s="95" t="s">
        <v>567</v>
      </c>
    </row>
    <row r="5" spans="1:19">
      <c r="E5" s="436" t="s">
        <v>568</v>
      </c>
      <c r="I5" s="436" t="s">
        <v>569</v>
      </c>
      <c r="K5" s="436" t="s">
        <v>570</v>
      </c>
    </row>
    <row r="6" spans="1:19">
      <c r="A6" s="436"/>
      <c r="C6" s="436"/>
      <c r="D6" s="436"/>
      <c r="E6" s="436" t="s">
        <v>571</v>
      </c>
      <c r="F6" s="436"/>
      <c r="G6" s="436" t="s">
        <v>572</v>
      </c>
      <c r="H6" s="436"/>
      <c r="I6" s="436" t="s">
        <v>573</v>
      </c>
      <c r="K6" s="436" t="s">
        <v>574</v>
      </c>
      <c r="L6" s="436"/>
      <c r="M6" s="436"/>
      <c r="N6" s="436"/>
      <c r="O6" s="436"/>
      <c r="P6" s="436"/>
      <c r="Q6" s="436"/>
      <c r="R6" s="436"/>
      <c r="S6" s="436"/>
    </row>
    <row r="7" spans="1:19">
      <c r="A7" s="436" t="s">
        <v>2</v>
      </c>
      <c r="C7" s="436"/>
      <c r="D7" s="436"/>
      <c r="E7" s="436" t="s">
        <v>575</v>
      </c>
      <c r="F7" s="436"/>
      <c r="G7" s="436" t="s">
        <v>576</v>
      </c>
      <c r="H7" s="436"/>
      <c r="I7" s="436" t="s">
        <v>572</v>
      </c>
      <c r="K7" s="436" t="s">
        <v>573</v>
      </c>
      <c r="L7" s="436"/>
      <c r="M7" s="436"/>
      <c r="N7" s="436"/>
      <c r="O7" s="436"/>
      <c r="P7" s="436"/>
      <c r="Q7" s="436"/>
      <c r="R7" s="436"/>
      <c r="S7" s="436"/>
    </row>
    <row r="8" spans="1:19">
      <c r="A8" s="439" t="s">
        <v>6</v>
      </c>
      <c r="B8" s="439"/>
      <c r="C8" s="439" t="s">
        <v>7</v>
      </c>
      <c r="D8" s="439"/>
      <c r="E8" s="439" t="s">
        <v>577</v>
      </c>
      <c r="F8" s="439"/>
      <c r="G8" s="439" t="s">
        <v>442</v>
      </c>
      <c r="H8" s="439"/>
      <c r="I8" s="439" t="s">
        <v>578</v>
      </c>
      <c r="J8" s="439"/>
      <c r="K8" s="439" t="s">
        <v>579</v>
      </c>
      <c r="L8" s="439"/>
      <c r="M8" s="439"/>
      <c r="N8" s="439"/>
      <c r="O8" s="439"/>
      <c r="P8" s="439"/>
      <c r="Q8" s="439"/>
      <c r="R8" s="439"/>
      <c r="S8" s="439"/>
    </row>
    <row r="9" spans="1:19">
      <c r="A9" s="235">
        <v>-1</v>
      </c>
      <c r="B9" s="235"/>
      <c r="C9" s="235">
        <v>-2</v>
      </c>
      <c r="D9" s="235"/>
      <c r="E9" s="235">
        <v>-3</v>
      </c>
      <c r="F9" s="235"/>
      <c r="G9" s="235">
        <v>-4</v>
      </c>
      <c r="H9" s="235"/>
      <c r="I9" s="235">
        <v>-5</v>
      </c>
      <c r="J9" s="235"/>
      <c r="K9" s="98" t="s">
        <v>580</v>
      </c>
      <c r="L9" s="235"/>
      <c r="M9" s="235"/>
      <c r="N9" s="235"/>
      <c r="O9" s="235"/>
      <c r="P9" s="235"/>
      <c r="Q9" s="235"/>
      <c r="R9" s="235"/>
      <c r="S9" s="235"/>
    </row>
    <row r="10" spans="1:19">
      <c r="A10" s="236"/>
      <c r="B10" s="235"/>
      <c r="C10" s="236"/>
      <c r="D10" s="236"/>
      <c r="E10" s="236"/>
      <c r="F10" s="236"/>
      <c r="G10" s="236"/>
      <c r="H10" s="236"/>
      <c r="I10" s="235"/>
      <c r="J10" s="235"/>
      <c r="K10" s="236"/>
      <c r="L10" s="236"/>
      <c r="M10" s="236"/>
      <c r="N10" s="236"/>
      <c r="O10" s="236"/>
      <c r="P10" s="236"/>
      <c r="Q10" s="236"/>
      <c r="R10" s="236"/>
      <c r="S10" s="236"/>
    </row>
    <row r="11" spans="1:19">
      <c r="A11" s="436">
        <v>1</v>
      </c>
      <c r="C11" s="83" t="s">
        <v>581</v>
      </c>
      <c r="E11" s="104">
        <f>'Sch 3'!AD12</f>
        <v>953830263.52099514</v>
      </c>
      <c r="F11" s="104"/>
      <c r="G11" s="107">
        <f>ROUND(E11/$E$17,5)</f>
        <v>0.52624000000000004</v>
      </c>
      <c r="H11" s="104"/>
      <c r="I11" s="352">
        <f>+'3 P1'!S39</f>
        <v>4.9099999999999998E-2</v>
      </c>
      <c r="J11" s="435" t="s">
        <v>582</v>
      </c>
      <c r="K11" s="107">
        <f>ROUND(G11*I11,4)</f>
        <v>2.58E-2</v>
      </c>
      <c r="L11" s="104"/>
      <c r="M11" s="104"/>
      <c r="N11" s="104"/>
      <c r="O11" s="406"/>
      <c r="P11" s="104"/>
      <c r="Q11" s="104"/>
      <c r="R11" s="104"/>
      <c r="S11" s="104"/>
    </row>
    <row r="12" spans="1:19">
      <c r="A12" s="436"/>
      <c r="E12" s="104"/>
      <c r="F12" s="104"/>
      <c r="G12" s="107"/>
      <c r="H12" s="104"/>
      <c r="I12" s="234"/>
      <c r="J12" s="435"/>
      <c r="K12" s="107"/>
      <c r="L12" s="104"/>
      <c r="M12" s="104"/>
      <c r="N12" s="104"/>
      <c r="O12" s="406"/>
      <c r="P12" s="104"/>
      <c r="Q12" s="104"/>
      <c r="R12" s="104"/>
      <c r="S12" s="104"/>
    </row>
    <row r="13" spans="1:19">
      <c r="A13" s="436">
        <v>2</v>
      </c>
      <c r="C13" s="83" t="s">
        <v>583</v>
      </c>
      <c r="E13" s="104">
        <f>'Sch 3'!AD14</f>
        <v>111033942.42631491</v>
      </c>
      <c r="F13" s="38"/>
      <c r="G13" s="107">
        <f>ROUND(E13/$E$17,5)</f>
        <v>6.1260000000000002E-2</v>
      </c>
      <c r="H13" s="38"/>
      <c r="I13" s="352">
        <f>+'3 P2'!F41</f>
        <v>3.73E-2</v>
      </c>
      <c r="J13" s="435" t="s">
        <v>584</v>
      </c>
      <c r="K13" s="107">
        <f>ROUND(G13*I13,4)</f>
        <v>2.3E-3</v>
      </c>
      <c r="L13" s="38"/>
      <c r="M13" s="336">
        <f>SUM(K11:K13)</f>
        <v>2.81E-2</v>
      </c>
      <c r="N13" s="38"/>
      <c r="O13" s="406"/>
      <c r="P13" s="38"/>
      <c r="Q13" s="38"/>
      <c r="R13" s="38"/>
      <c r="S13" s="38"/>
    </row>
    <row r="14" spans="1:19">
      <c r="A14" s="436"/>
      <c r="E14" s="104"/>
      <c r="F14" s="38"/>
      <c r="G14" s="107"/>
      <c r="H14" s="38"/>
      <c r="I14" s="102"/>
      <c r="J14" s="435"/>
      <c r="K14" s="107"/>
      <c r="L14" s="38"/>
      <c r="M14" s="38"/>
      <c r="N14" s="38"/>
      <c r="O14" s="406"/>
      <c r="P14" s="38"/>
      <c r="Q14" s="38"/>
      <c r="R14" s="38"/>
      <c r="S14" s="38"/>
    </row>
    <row r="15" spans="1:19" ht="13">
      <c r="A15" s="436">
        <v>3</v>
      </c>
      <c r="C15" s="83" t="s">
        <v>585</v>
      </c>
      <c r="E15" s="104">
        <f>'Sch 3'!AD16</f>
        <v>747675369.12101221</v>
      </c>
      <c r="F15" s="38"/>
      <c r="G15" s="107">
        <f>ROUND(E15/$E$17,5)</f>
        <v>0.41249999999999998</v>
      </c>
      <c r="H15" s="38"/>
      <c r="I15" s="462">
        <v>9.7500000000000003E-2</v>
      </c>
      <c r="J15" s="435" t="s">
        <v>1191</v>
      </c>
      <c r="K15" s="107">
        <f>ROUND(G15*I15,4)</f>
        <v>4.02E-2</v>
      </c>
      <c r="L15" s="38"/>
      <c r="M15" s="38"/>
      <c r="N15" s="38"/>
      <c r="O15" s="406"/>
      <c r="P15" s="38"/>
      <c r="Q15" s="38"/>
      <c r="R15" s="38"/>
      <c r="S15" s="38"/>
    </row>
    <row r="16" spans="1:19">
      <c r="A16" s="436"/>
      <c r="E16" s="435" t="s">
        <v>586</v>
      </c>
      <c r="F16" s="234"/>
      <c r="G16" s="435" t="s">
        <v>586</v>
      </c>
      <c r="H16" s="234"/>
      <c r="I16" s="435"/>
      <c r="J16" s="435"/>
      <c r="K16" s="404" t="s">
        <v>586</v>
      </c>
      <c r="L16" s="234"/>
      <c r="M16" s="435"/>
      <c r="N16" s="234"/>
      <c r="O16" s="406"/>
      <c r="P16" s="234"/>
      <c r="Q16" s="435"/>
      <c r="R16" s="234"/>
      <c r="S16" s="105"/>
    </row>
    <row r="17" spans="1:19" ht="13">
      <c r="A17" s="436">
        <v>4</v>
      </c>
      <c r="C17" s="83" t="s">
        <v>442</v>
      </c>
      <c r="E17" s="104">
        <f>SUM(E11:E15)</f>
        <v>1812539575.0683222</v>
      </c>
      <c r="F17" s="38"/>
      <c r="G17" s="107">
        <f>SUM(G11:G16)</f>
        <v>1</v>
      </c>
      <c r="H17" s="38"/>
      <c r="I17" s="102"/>
      <c r="J17" s="435"/>
      <c r="K17" s="109">
        <f>SUM(K11:K15)</f>
        <v>6.83E-2</v>
      </c>
      <c r="L17" s="38"/>
      <c r="M17" s="232"/>
      <c r="N17" s="38"/>
      <c r="O17" s="405"/>
      <c r="P17" s="38"/>
      <c r="Q17" s="38"/>
      <c r="R17" s="38"/>
      <c r="S17" s="38"/>
    </row>
    <row r="18" spans="1:19">
      <c r="A18" s="436"/>
      <c r="E18" s="435" t="s">
        <v>587</v>
      </c>
      <c r="F18" s="38"/>
      <c r="G18" s="435" t="s">
        <v>587</v>
      </c>
      <c r="H18" s="38"/>
      <c r="I18" s="102"/>
      <c r="J18" s="435"/>
      <c r="K18" s="435" t="s">
        <v>587</v>
      </c>
      <c r="L18" s="38"/>
      <c r="M18" s="38"/>
      <c r="N18" s="38"/>
      <c r="O18" s="38"/>
      <c r="P18" s="38"/>
      <c r="Q18" s="38"/>
      <c r="R18" s="38"/>
      <c r="S18" s="38"/>
    </row>
    <row r="19" spans="1:19">
      <c r="A19" s="436"/>
      <c r="E19" s="38"/>
      <c r="F19" s="38"/>
      <c r="G19" s="107"/>
      <c r="H19" s="38"/>
      <c r="I19" s="102"/>
      <c r="J19" s="102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36"/>
      <c r="E20" s="435"/>
      <c r="F20" s="234"/>
      <c r="G20" s="249"/>
      <c r="H20" s="234"/>
      <c r="I20" s="435"/>
      <c r="J20" s="234"/>
      <c r="K20" s="435"/>
      <c r="L20" s="234"/>
      <c r="M20" s="435"/>
      <c r="N20" s="234"/>
      <c r="O20" s="435"/>
      <c r="P20" s="234"/>
      <c r="Q20" s="435"/>
      <c r="R20" s="234"/>
      <c r="S20" s="105"/>
    </row>
    <row r="21" spans="1:19">
      <c r="A21" s="436"/>
      <c r="B21" s="435" t="s">
        <v>588</v>
      </c>
      <c r="C21" s="83" t="s">
        <v>1165</v>
      </c>
      <c r="E21" s="104"/>
      <c r="F21" s="104"/>
      <c r="G21" s="250"/>
      <c r="H21" s="104"/>
      <c r="I21" s="234"/>
      <c r="J21" s="23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>
      <c r="A22" s="436"/>
      <c r="B22" s="435" t="s">
        <v>582</v>
      </c>
      <c r="C22" s="83" t="s">
        <v>850</v>
      </c>
      <c r="E22" s="435"/>
      <c r="F22" s="436"/>
      <c r="G22" s="435"/>
      <c r="H22" s="436"/>
      <c r="I22" s="435"/>
      <c r="K22" s="435"/>
      <c r="L22" s="436"/>
      <c r="M22" s="435"/>
      <c r="N22" s="436"/>
      <c r="O22" s="435"/>
      <c r="P22" s="436"/>
      <c r="Q22" s="435"/>
      <c r="R22" s="436"/>
      <c r="S22" s="105"/>
    </row>
    <row r="23" spans="1:19">
      <c r="A23" s="436"/>
      <c r="B23" s="435" t="s">
        <v>584</v>
      </c>
      <c r="C23" s="83" t="s">
        <v>589</v>
      </c>
      <c r="E23" s="435"/>
      <c r="F23" s="436"/>
      <c r="G23" s="435"/>
      <c r="H23" s="436"/>
      <c r="I23" s="435"/>
      <c r="K23" s="435"/>
      <c r="L23" s="436"/>
      <c r="M23" s="435"/>
      <c r="N23" s="436"/>
      <c r="O23" s="435"/>
      <c r="P23" s="436"/>
      <c r="Q23" s="435"/>
      <c r="R23" s="436"/>
      <c r="S23" s="105"/>
    </row>
    <row r="24" spans="1:19">
      <c r="A24" s="436"/>
      <c r="B24" s="435" t="s">
        <v>1191</v>
      </c>
      <c r="C24" s="83" t="s">
        <v>902</v>
      </c>
      <c r="E24" s="215"/>
    </row>
    <row r="25" spans="1:19">
      <c r="A25" s="436"/>
      <c r="B25" s="435"/>
    </row>
    <row r="26" spans="1:19">
      <c r="A26" s="436"/>
      <c r="B26" s="435"/>
    </row>
    <row r="27" spans="1:19">
      <c r="B27" s="435"/>
    </row>
    <row r="28" spans="1:19">
      <c r="B28" s="435"/>
    </row>
    <row r="29" spans="1:19">
      <c r="B29" s="435"/>
    </row>
    <row r="30" spans="1:19">
      <c r="B30" s="435"/>
    </row>
    <row r="31" spans="1:19">
      <c r="B31" s="435"/>
    </row>
  </sheetData>
  <printOptions horizontalCentered="1"/>
  <pageMargins left="0.75" right="0" top="1" bottom="0.5" header="0" footer="0"/>
  <pageSetup scale="8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zoomScale="110" zoomScaleNormal="110" workbookViewId="0">
      <pane ySplit="7" topLeftCell="A8" activePane="bottomLeft" state="frozen"/>
      <selection activeCell="E18" sqref="E18"/>
      <selection pane="bottomLeft" activeCell="M20" sqref="M20"/>
    </sheetView>
  </sheetViews>
  <sheetFormatPr defaultColWidth="9.1796875" defaultRowHeight="12.5"/>
  <cols>
    <col min="1" max="1" width="4.453125" style="417" bestFit="1" customWidth="1"/>
    <col min="2" max="2" width="2.26953125" style="83" customWidth="1"/>
    <col min="3" max="3" width="42.54296875" style="83" bestFit="1" customWidth="1"/>
    <col min="4" max="4" width="8.7265625" style="230" customWidth="1"/>
    <col min="5" max="5" width="12.7265625" style="83" bestFit="1" customWidth="1"/>
    <col min="6" max="6" width="2.26953125" style="83" customWidth="1"/>
    <col min="7" max="7" width="20.453125" style="83" bestFit="1" customWidth="1"/>
    <col min="8" max="8" width="2.26953125" style="83" customWidth="1"/>
    <col min="9" max="16384" width="9.1796875" style="83"/>
  </cols>
  <sheetData>
    <row r="1" spans="1:7">
      <c r="C1" s="443" t="s">
        <v>334</v>
      </c>
      <c r="D1" s="444"/>
      <c r="E1" s="444"/>
      <c r="F1" s="413"/>
      <c r="G1" s="95" t="s">
        <v>554</v>
      </c>
    </row>
    <row r="2" spans="1:7">
      <c r="C2" s="443" t="s">
        <v>927</v>
      </c>
      <c r="D2" s="444"/>
      <c r="E2" s="444"/>
      <c r="F2" s="413"/>
      <c r="G2" s="95" t="s">
        <v>566</v>
      </c>
    </row>
    <row r="3" spans="1:7">
      <c r="C3" s="443" t="s">
        <v>928</v>
      </c>
      <c r="D3" s="444"/>
      <c r="E3" s="444"/>
      <c r="F3" s="413"/>
      <c r="G3" s="95" t="s">
        <v>590</v>
      </c>
    </row>
    <row r="4" spans="1:7">
      <c r="C4" s="443" t="s">
        <v>1088</v>
      </c>
      <c r="D4" s="444"/>
      <c r="E4" s="444"/>
      <c r="F4" s="413"/>
    </row>
    <row r="5" spans="1:7">
      <c r="D5" s="412"/>
    </row>
    <row r="6" spans="1:7" ht="37.5">
      <c r="A6" s="98" t="s">
        <v>556</v>
      </c>
      <c r="C6" s="417" t="s">
        <v>7</v>
      </c>
      <c r="D6" s="412"/>
      <c r="E6" s="98"/>
      <c r="F6" s="98"/>
      <c r="G6" s="98" t="s">
        <v>557</v>
      </c>
    </row>
    <row r="7" spans="1:7">
      <c r="A7" s="251">
        <v>-1</v>
      </c>
      <c r="C7" s="102">
        <f>+A7-1</f>
        <v>-2</v>
      </c>
      <c r="D7" s="412"/>
      <c r="E7" s="102"/>
      <c r="F7" s="102"/>
      <c r="G7" s="102">
        <f>+C7-1</f>
        <v>-3</v>
      </c>
    </row>
    <row r="8" spans="1:7">
      <c r="A8" s="102"/>
    </row>
    <row r="9" spans="1:7">
      <c r="A9" s="102">
        <v>1</v>
      </c>
      <c r="C9" s="83" t="s">
        <v>535</v>
      </c>
      <c r="E9" s="104"/>
      <c r="F9" s="104"/>
      <c r="G9" s="107">
        <v>1</v>
      </c>
    </row>
    <row r="10" spans="1:7">
      <c r="A10" s="102"/>
      <c r="E10" s="104"/>
      <c r="F10" s="104"/>
      <c r="G10" s="107"/>
    </row>
    <row r="11" spans="1:7">
      <c r="A11" s="102">
        <f>+A9+1</f>
        <v>2</v>
      </c>
      <c r="C11" s="83" t="s">
        <v>591</v>
      </c>
      <c r="E11" s="104"/>
      <c r="F11" s="104"/>
      <c r="G11" s="253">
        <f>+'2 P3'!G19</f>
        <v>4.0000000000000001E-3</v>
      </c>
    </row>
    <row r="12" spans="1:7">
      <c r="A12" s="102">
        <f>+A11+1</f>
        <v>3</v>
      </c>
      <c r="C12" s="83" t="s">
        <v>592</v>
      </c>
      <c r="E12" s="104"/>
      <c r="F12" s="104"/>
      <c r="G12" s="253">
        <v>1.493E-3</v>
      </c>
    </row>
    <row r="13" spans="1:7">
      <c r="A13" s="102"/>
      <c r="E13" s="104"/>
      <c r="F13" s="104"/>
      <c r="G13" s="252" t="s">
        <v>558</v>
      </c>
    </row>
    <row r="14" spans="1:7">
      <c r="A14" s="102">
        <f>+A12+1</f>
        <v>4</v>
      </c>
      <c r="C14" s="83" t="s">
        <v>593</v>
      </c>
      <c r="E14" s="104"/>
      <c r="F14" s="104"/>
      <c r="G14" s="253">
        <f>+G9-G11-G12</f>
        <v>0.99450700000000003</v>
      </c>
    </row>
    <row r="15" spans="1:7">
      <c r="A15" s="102"/>
      <c r="E15" s="105"/>
      <c r="F15" s="105"/>
      <c r="G15" s="252"/>
    </row>
    <row r="16" spans="1:7">
      <c r="A16" s="102">
        <f>+A14+1</f>
        <v>5</v>
      </c>
      <c r="C16" s="83" t="s">
        <v>917</v>
      </c>
      <c r="E16" s="253">
        <f>+G53</f>
        <v>5.0065000000000005E-2</v>
      </c>
      <c r="F16" s="253"/>
      <c r="G16" s="253">
        <f>ROUND(G14*E16,6)</f>
        <v>4.9790000000000001E-2</v>
      </c>
    </row>
    <row r="17" spans="1:7">
      <c r="A17" s="102"/>
      <c r="E17" s="105"/>
      <c r="F17" s="105"/>
      <c r="G17" s="252" t="s">
        <v>558</v>
      </c>
    </row>
    <row r="18" spans="1:7">
      <c r="A18" s="102"/>
      <c r="E18" s="105"/>
      <c r="F18" s="105"/>
      <c r="G18" s="252"/>
    </row>
    <row r="19" spans="1:7">
      <c r="A19" s="102">
        <f>+A16+1</f>
        <v>6</v>
      </c>
      <c r="C19" s="83" t="s">
        <v>594</v>
      </c>
      <c r="E19" s="104"/>
      <c r="F19" s="104"/>
      <c r="G19" s="253">
        <f>+G14-G16</f>
        <v>0.94471700000000003</v>
      </c>
    </row>
    <row r="20" spans="1:7">
      <c r="A20" s="102"/>
      <c r="E20" s="105"/>
      <c r="F20" s="105"/>
      <c r="G20" s="252"/>
    </row>
    <row r="21" spans="1:7">
      <c r="A21" s="102">
        <f>+A19+1</f>
        <v>7</v>
      </c>
      <c r="C21" s="83" t="s">
        <v>595</v>
      </c>
      <c r="E21" s="107">
        <v>0.21</v>
      </c>
      <c r="F21" s="107"/>
      <c r="G21" s="253">
        <f>ROUND(G19*E21,6)</f>
        <v>0.19839100000000001</v>
      </c>
    </row>
    <row r="22" spans="1:7">
      <c r="A22" s="102"/>
      <c r="E22" s="104"/>
      <c r="F22" s="104"/>
      <c r="G22" s="107"/>
    </row>
    <row r="23" spans="1:7">
      <c r="A23" s="102">
        <f>+A21+1</f>
        <v>8</v>
      </c>
      <c r="C23" s="83" t="s">
        <v>596</v>
      </c>
      <c r="E23" s="104"/>
      <c r="F23" s="104"/>
      <c r="G23" s="253">
        <f>+G19-G21</f>
        <v>0.74632600000000004</v>
      </c>
    </row>
    <row r="24" spans="1:7">
      <c r="A24" s="102"/>
      <c r="E24" s="104"/>
      <c r="F24" s="104"/>
      <c r="G24" s="252" t="s">
        <v>558</v>
      </c>
    </row>
    <row r="25" spans="1:7" ht="13">
      <c r="A25" s="102">
        <f>+A23+1</f>
        <v>9</v>
      </c>
      <c r="C25" s="83" t="s">
        <v>597</v>
      </c>
      <c r="E25" s="104"/>
      <c r="F25" s="104"/>
      <c r="G25" s="345">
        <f>ROUND(1/G23,8)</f>
        <v>1.3398970400000001</v>
      </c>
    </row>
    <row r="26" spans="1:7">
      <c r="A26" s="102"/>
      <c r="E26" s="104"/>
      <c r="F26" s="104"/>
      <c r="G26" s="252" t="s">
        <v>564</v>
      </c>
    </row>
    <row r="27" spans="1:7">
      <c r="A27" s="102"/>
      <c r="E27" s="104"/>
      <c r="F27" s="104"/>
    </row>
    <row r="28" spans="1:7">
      <c r="A28" s="102"/>
      <c r="E28" s="104"/>
      <c r="F28" s="104"/>
    </row>
    <row r="29" spans="1:7">
      <c r="A29" s="102"/>
      <c r="C29" s="83" t="s">
        <v>598</v>
      </c>
      <c r="E29" s="104"/>
      <c r="F29" s="104"/>
    </row>
    <row r="30" spans="1:7">
      <c r="A30" s="102"/>
      <c r="E30" s="104"/>
      <c r="F30" s="104"/>
    </row>
    <row r="31" spans="1:7">
      <c r="A31" s="102"/>
      <c r="C31" s="83" t="s">
        <v>599</v>
      </c>
      <c r="E31" s="104"/>
      <c r="F31" s="104"/>
    </row>
    <row r="32" spans="1:7">
      <c r="A32" s="102"/>
    </row>
    <row r="33" spans="1:7">
      <c r="A33" s="102"/>
      <c r="C33" s="83" t="s">
        <v>600</v>
      </c>
      <c r="E33" s="107">
        <v>9.5000000000000001E-2</v>
      </c>
    </row>
    <row r="34" spans="1:7">
      <c r="A34" s="102"/>
      <c r="C34" s="83" t="s">
        <v>601</v>
      </c>
      <c r="E34" s="253">
        <v>0</v>
      </c>
    </row>
    <row r="35" spans="1:7">
      <c r="A35" s="102"/>
      <c r="E35" s="105" t="s">
        <v>602</v>
      </c>
    </row>
    <row r="36" spans="1:7" s="357" customFormat="1">
      <c r="A36" s="356"/>
      <c r="C36" s="357" t="s">
        <v>603</v>
      </c>
      <c r="G36" s="358">
        <f>ROUND(E33*E34,6)</f>
        <v>0</v>
      </c>
    </row>
    <row r="37" spans="1:7">
      <c r="A37" s="102"/>
      <c r="E37" s="107"/>
    </row>
    <row r="38" spans="1:7">
      <c r="A38" s="102"/>
      <c r="C38" s="83" t="s">
        <v>604</v>
      </c>
      <c r="E38" s="107">
        <v>0.05</v>
      </c>
    </row>
    <row r="39" spans="1:7">
      <c r="A39" s="102"/>
      <c r="C39" s="83" t="s">
        <v>601</v>
      </c>
      <c r="E39" s="253">
        <v>1</v>
      </c>
    </row>
    <row r="40" spans="1:7">
      <c r="A40" s="102"/>
      <c r="E40" s="105" t="s">
        <v>602</v>
      </c>
    </row>
    <row r="41" spans="1:7" s="357" customFormat="1" ht="25.9" customHeight="1">
      <c r="A41" s="356"/>
      <c r="C41" s="357" t="s">
        <v>605</v>
      </c>
      <c r="G41" s="358">
        <f>ROUND(E38*E39,6)</f>
        <v>0.05</v>
      </c>
    </row>
    <row r="42" spans="1:7">
      <c r="A42" s="102"/>
    </row>
    <row r="43" spans="1:7">
      <c r="A43" s="102"/>
      <c r="C43" s="83" t="s">
        <v>606</v>
      </c>
      <c r="E43" s="107">
        <v>0.06</v>
      </c>
      <c r="F43" s="107"/>
      <c r="G43" s="107"/>
    </row>
    <row r="44" spans="1:7">
      <c r="A44" s="102"/>
      <c r="C44" s="83" t="s">
        <v>601</v>
      </c>
      <c r="E44" s="253">
        <v>0</v>
      </c>
      <c r="F44" s="107"/>
      <c r="G44" s="107"/>
    </row>
    <row r="45" spans="1:7">
      <c r="A45" s="102"/>
      <c r="E45" s="105" t="s">
        <v>602</v>
      </c>
      <c r="F45" s="105"/>
      <c r="G45" s="107"/>
    </row>
    <row r="46" spans="1:7" s="357" customFormat="1">
      <c r="A46" s="356"/>
      <c r="C46" s="357" t="s">
        <v>607</v>
      </c>
      <c r="G46" s="358">
        <f>ROUND(E43*E44,6)</f>
        <v>0</v>
      </c>
    </row>
    <row r="47" spans="1:7">
      <c r="A47" s="102"/>
      <c r="E47" s="107"/>
      <c r="F47" s="107"/>
      <c r="G47" s="253"/>
    </row>
    <row r="48" spans="1:7">
      <c r="A48" s="102"/>
      <c r="C48" s="83" t="s">
        <v>608</v>
      </c>
      <c r="E48" s="107">
        <v>6.5000000000000002E-2</v>
      </c>
      <c r="F48" s="107"/>
      <c r="G48" s="253"/>
    </row>
    <row r="49" spans="1:7">
      <c r="A49" s="102"/>
      <c r="C49" s="83" t="s">
        <v>601</v>
      </c>
      <c r="E49" s="253">
        <v>1E-3</v>
      </c>
      <c r="F49" s="253"/>
      <c r="G49" s="253"/>
    </row>
    <row r="50" spans="1:7">
      <c r="A50" s="102"/>
      <c r="E50" s="105" t="s">
        <v>602</v>
      </c>
      <c r="F50" s="105"/>
      <c r="G50" s="253"/>
    </row>
    <row r="51" spans="1:7" s="357" customFormat="1">
      <c r="A51" s="356"/>
      <c r="C51" s="357" t="s">
        <v>609</v>
      </c>
      <c r="G51" s="358">
        <f>ROUND(E48*E49,6)</f>
        <v>6.4999999999999994E-5</v>
      </c>
    </row>
    <row r="52" spans="1:7">
      <c r="E52" s="107"/>
      <c r="F52" s="107"/>
      <c r="G52" s="255" t="s">
        <v>602</v>
      </c>
    </row>
    <row r="53" spans="1:7" ht="13">
      <c r="A53" s="197"/>
      <c r="C53" s="83" t="s">
        <v>610</v>
      </c>
      <c r="E53" s="107"/>
      <c r="F53" s="107"/>
      <c r="G53" s="253">
        <f>SUM(G36:G51)</f>
        <v>5.0065000000000005E-2</v>
      </c>
    </row>
    <row r="54" spans="1:7" ht="13">
      <c r="A54" s="197"/>
      <c r="E54" s="107"/>
      <c r="F54" s="107"/>
      <c r="G54" s="105" t="s">
        <v>466</v>
      </c>
    </row>
    <row r="55" spans="1:7" ht="13">
      <c r="A55" s="197"/>
      <c r="E55" s="107"/>
      <c r="F55" s="107"/>
      <c r="G55" s="107"/>
    </row>
    <row r="56" spans="1:7" ht="13">
      <c r="A56" s="197"/>
      <c r="E56" s="107"/>
      <c r="F56" s="107"/>
      <c r="G56" s="107"/>
    </row>
    <row r="57" spans="1:7">
      <c r="E57" s="107"/>
      <c r="F57" s="107"/>
      <c r="G57" s="107"/>
    </row>
    <row r="58" spans="1:7">
      <c r="E58" s="107"/>
      <c r="F58" s="107"/>
      <c r="G58" s="107"/>
    </row>
    <row r="59" spans="1:7">
      <c r="E59" s="107"/>
      <c r="F59" s="107"/>
      <c r="G59" s="107"/>
    </row>
    <row r="60" spans="1:7">
      <c r="E60" s="107"/>
      <c r="F60" s="107"/>
      <c r="G60" s="107"/>
    </row>
    <row r="61" spans="1:7">
      <c r="E61" s="107"/>
      <c r="F61" s="107"/>
      <c r="G61" s="107"/>
    </row>
    <row r="62" spans="1:7">
      <c r="E62" s="107"/>
      <c r="F62" s="107"/>
      <c r="G62" s="107"/>
    </row>
    <row r="63" spans="1:7">
      <c r="E63" s="107"/>
      <c r="F63" s="107"/>
      <c r="G63" s="107"/>
    </row>
    <row r="64" spans="1:7">
      <c r="E64" s="107"/>
      <c r="F64" s="107"/>
      <c r="G64" s="107"/>
    </row>
    <row r="65" spans="5:7">
      <c r="E65" s="107"/>
      <c r="F65" s="107"/>
      <c r="G65" s="107"/>
    </row>
    <row r="66" spans="5:7">
      <c r="E66" s="107"/>
      <c r="F66" s="107"/>
      <c r="G66" s="107"/>
    </row>
    <row r="67" spans="5:7">
      <c r="E67" s="107"/>
      <c r="F67" s="107"/>
      <c r="G67" s="107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zoomScale="90" zoomScaleNormal="90" workbookViewId="0">
      <selection activeCell="E40" sqref="E40"/>
    </sheetView>
  </sheetViews>
  <sheetFormatPr defaultColWidth="9.1796875" defaultRowHeight="12.5"/>
  <cols>
    <col min="1" max="1" width="4.453125" style="417" bestFit="1" customWidth="1"/>
    <col min="2" max="2" width="2.26953125" style="83" customWidth="1"/>
    <col min="3" max="3" width="25.81640625" style="83" bestFit="1" customWidth="1"/>
    <col min="4" max="4" width="8.7265625" style="230" customWidth="1"/>
    <col min="5" max="5" width="15.453125" style="83" bestFit="1" customWidth="1"/>
    <col min="6" max="7" width="13.7265625" style="83" bestFit="1" customWidth="1"/>
    <col min="8" max="8" width="5.7265625" style="83" customWidth="1"/>
    <col min="9" max="9" width="2.26953125" style="83" customWidth="1"/>
    <col min="10" max="16384" width="9.1796875" style="83"/>
  </cols>
  <sheetData>
    <row r="1" spans="1:7">
      <c r="D1" s="412" t="s">
        <v>334</v>
      </c>
      <c r="G1" s="95" t="s">
        <v>554</v>
      </c>
    </row>
    <row r="2" spans="1:7">
      <c r="D2" s="412" t="s">
        <v>929</v>
      </c>
      <c r="G2" s="95" t="s">
        <v>566</v>
      </c>
    </row>
    <row r="3" spans="1:7">
      <c r="D3" s="412" t="s">
        <v>931</v>
      </c>
      <c r="G3" s="95" t="s">
        <v>611</v>
      </c>
    </row>
    <row r="4" spans="1:7">
      <c r="D4" s="412" t="s">
        <v>930</v>
      </c>
    </row>
    <row r="5" spans="1:7">
      <c r="D5" s="412" t="s">
        <v>932</v>
      </c>
    </row>
    <row r="6" spans="1:7">
      <c r="D6" s="412" t="s">
        <v>1088</v>
      </c>
    </row>
    <row r="7" spans="1:7">
      <c r="D7" s="412"/>
    </row>
    <row r="8" spans="1:7" ht="37.5">
      <c r="A8" s="98" t="s">
        <v>556</v>
      </c>
      <c r="C8" s="417" t="s">
        <v>7</v>
      </c>
      <c r="D8" s="412"/>
      <c r="E8" s="98" t="s">
        <v>612</v>
      </c>
      <c r="F8" s="98" t="s">
        <v>613</v>
      </c>
      <c r="G8" s="98" t="s">
        <v>614</v>
      </c>
    </row>
    <row r="9" spans="1:7">
      <c r="A9" s="251">
        <v>-1</v>
      </c>
      <c r="C9" s="102">
        <f>+A9-1</f>
        <v>-2</v>
      </c>
      <c r="D9" s="412"/>
      <c r="E9" s="102">
        <f>+C9-1</f>
        <v>-3</v>
      </c>
      <c r="F9" s="102">
        <f>+E9-1</f>
        <v>-4</v>
      </c>
      <c r="G9" s="102">
        <f>+F9-1</f>
        <v>-5</v>
      </c>
    </row>
    <row r="10" spans="1:7">
      <c r="A10" s="102"/>
    </row>
    <row r="11" spans="1:7">
      <c r="A11" s="102">
        <v>1</v>
      </c>
      <c r="C11" s="83" t="s">
        <v>1090</v>
      </c>
      <c r="E11" s="104">
        <v>513366929.04000002</v>
      </c>
      <c r="F11" s="104">
        <v>1142647.1599999997</v>
      </c>
      <c r="G11" s="107">
        <f>ROUND(F11/E11,4)</f>
        <v>2.2000000000000001E-3</v>
      </c>
    </row>
    <row r="12" spans="1:7">
      <c r="A12" s="102"/>
      <c r="E12" s="104"/>
      <c r="F12" s="104"/>
    </row>
    <row r="13" spans="1:7">
      <c r="A13" s="102">
        <f>+A11+1</f>
        <v>2</v>
      </c>
      <c r="C13" s="83" t="s">
        <v>1091</v>
      </c>
      <c r="E13" s="104">
        <v>605045038.77999997</v>
      </c>
      <c r="F13" s="104">
        <v>3545167.0900000003</v>
      </c>
      <c r="G13" s="107">
        <f>ROUND(F13/E13,4)</f>
        <v>5.8999999999999999E-3</v>
      </c>
    </row>
    <row r="14" spans="1:7">
      <c r="A14" s="102"/>
      <c r="E14" s="104"/>
      <c r="F14" s="104"/>
    </row>
    <row r="15" spans="1:7">
      <c r="A15" s="102">
        <f>+A13+1</f>
        <v>3</v>
      </c>
      <c r="C15" s="83" t="s">
        <v>1092</v>
      </c>
      <c r="E15" s="104">
        <v>694002526.22000003</v>
      </c>
      <c r="F15" s="104">
        <v>2550995.0300000003</v>
      </c>
      <c r="G15" s="107">
        <f>ROUND(F15/E15,4)</f>
        <v>3.7000000000000002E-3</v>
      </c>
    </row>
    <row r="16" spans="1:7">
      <c r="A16" s="102"/>
      <c r="E16" s="105" t="s">
        <v>558</v>
      </c>
      <c r="F16" s="105" t="s">
        <v>558</v>
      </c>
      <c r="G16" s="105" t="s">
        <v>558</v>
      </c>
    </row>
    <row r="17" spans="1:7">
      <c r="A17" s="102">
        <f>+A15+1</f>
        <v>4</v>
      </c>
      <c r="C17" s="83" t="s">
        <v>442</v>
      </c>
      <c r="E17" s="104">
        <f>SUM(E11:E16)</f>
        <v>1812414494.04</v>
      </c>
      <c r="F17" s="104">
        <f>SUM(F11:F16)</f>
        <v>7238809.2800000003</v>
      </c>
      <c r="G17" s="107">
        <f>SUM(G11:G15)</f>
        <v>1.18E-2</v>
      </c>
    </row>
    <row r="18" spans="1:7">
      <c r="A18" s="102"/>
      <c r="E18" s="105" t="s">
        <v>558</v>
      </c>
      <c r="F18" s="105" t="s">
        <v>558</v>
      </c>
      <c r="G18" s="105" t="s">
        <v>558</v>
      </c>
    </row>
    <row r="19" spans="1:7" ht="13">
      <c r="A19" s="102">
        <f>+A17+1</f>
        <v>5</v>
      </c>
      <c r="C19" s="83" t="s">
        <v>615</v>
      </c>
      <c r="E19" s="104">
        <f>ROUND(E17/3,0)</f>
        <v>604138165</v>
      </c>
      <c r="F19" s="104">
        <f>ROUND(F17/3,0)</f>
        <v>2412936</v>
      </c>
      <c r="G19" s="109">
        <f>ROUND(F19/E19,4)</f>
        <v>4.0000000000000001E-3</v>
      </c>
    </row>
    <row r="20" spans="1:7">
      <c r="A20" s="102"/>
      <c r="E20" s="105" t="s">
        <v>564</v>
      </c>
      <c r="F20" s="105" t="s">
        <v>564</v>
      </c>
      <c r="G20" s="105" t="s">
        <v>564</v>
      </c>
    </row>
    <row r="21" spans="1:7">
      <c r="A21" s="102"/>
      <c r="E21" s="104"/>
      <c r="F21" s="104"/>
    </row>
    <row r="22" spans="1:7">
      <c r="A22" s="102"/>
      <c r="E22" s="250"/>
      <c r="F22" s="250"/>
    </row>
    <row r="23" spans="1:7">
      <c r="A23" s="102"/>
      <c r="E23" s="104"/>
      <c r="F23" s="104"/>
    </row>
    <row r="24" spans="1:7">
      <c r="A24" s="102"/>
      <c r="E24" s="104"/>
      <c r="F24" s="104"/>
    </row>
    <row r="25" spans="1:7">
      <c r="A25" s="102"/>
      <c r="E25" s="104"/>
      <c r="F25" s="104"/>
    </row>
    <row r="26" spans="1:7">
      <c r="A26" s="102"/>
      <c r="E26" s="104"/>
      <c r="F26" s="104"/>
    </row>
    <row r="27" spans="1:7">
      <c r="A27" s="102"/>
      <c r="E27" s="104"/>
      <c r="F27" s="104"/>
    </row>
    <row r="28" spans="1:7">
      <c r="A28" s="102"/>
      <c r="E28" s="104"/>
      <c r="F28" s="104"/>
    </row>
    <row r="29" spans="1:7">
      <c r="A29" s="102"/>
      <c r="E29" s="104"/>
      <c r="F29" s="104"/>
    </row>
    <row r="30" spans="1:7">
      <c r="A30" s="102"/>
      <c r="E30" s="104"/>
      <c r="F30" s="104"/>
    </row>
    <row r="31" spans="1:7">
      <c r="A31" s="102"/>
      <c r="E31" s="104"/>
      <c r="F31" s="104"/>
    </row>
    <row r="32" spans="1:7">
      <c r="A32" s="102"/>
    </row>
    <row r="33" spans="1:1">
      <c r="A33" s="102"/>
    </row>
    <row r="34" spans="1:1">
      <c r="A34" s="102"/>
    </row>
    <row r="35" spans="1:1">
      <c r="A35" s="102"/>
    </row>
    <row r="36" spans="1:1">
      <c r="A36" s="102"/>
    </row>
    <row r="37" spans="1:1">
      <c r="A37" s="102"/>
    </row>
    <row r="38" spans="1:1">
      <c r="A38" s="102"/>
    </row>
    <row r="39" spans="1:1">
      <c r="A39" s="102"/>
    </row>
    <row r="40" spans="1:1">
      <c r="A40" s="102"/>
    </row>
    <row r="41" spans="1:1">
      <c r="A41" s="102"/>
    </row>
    <row r="42" spans="1:1">
      <c r="A42" s="102"/>
    </row>
    <row r="43" spans="1:1">
      <c r="A43" s="102"/>
    </row>
    <row r="44" spans="1:1">
      <c r="A44" s="102"/>
    </row>
    <row r="48" spans="1:1" ht="13">
      <c r="A48" s="197"/>
    </row>
    <row r="49" spans="1:1" ht="13">
      <c r="A49" s="197"/>
    </row>
    <row r="50" spans="1:1" ht="13">
      <c r="A50" s="197"/>
    </row>
    <row r="51" spans="1:1" ht="13">
      <c r="A51" s="197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4"/>
  <sheetViews>
    <sheetView zoomScaleNormal="100" workbookViewId="0">
      <pane xSplit="3" ySplit="10" topLeftCell="I11" activePane="bottomRight" state="frozen"/>
      <selection activeCell="E18" sqref="E18"/>
      <selection pane="topRight" activeCell="E18" sqref="E18"/>
      <selection pane="bottomLeft" activeCell="E18" sqref="E18"/>
      <selection pane="bottomRight" activeCell="M37" sqref="M37"/>
    </sheetView>
  </sheetViews>
  <sheetFormatPr defaultColWidth="9.1796875" defaultRowHeight="12.5"/>
  <cols>
    <col min="1" max="1" width="4.7265625" style="83" customWidth="1"/>
    <col min="2" max="2" width="2.7265625" style="83" customWidth="1"/>
    <col min="3" max="3" width="26.54296875" style="83" customWidth="1"/>
    <col min="4" max="4" width="2.7265625" style="83" customWidth="1"/>
    <col min="5" max="5" width="16" style="83" bestFit="1" customWidth="1"/>
    <col min="6" max="6" width="3.26953125" style="83" customWidth="1"/>
    <col min="7" max="7" width="16.81640625" style="83" customWidth="1"/>
    <col min="8" max="8" width="2.7265625" style="83" customWidth="1"/>
    <col min="9" max="9" width="16.7265625" style="83" customWidth="1"/>
    <col min="10" max="10" width="2.7265625" style="83" customWidth="1"/>
    <col min="11" max="11" width="15.1796875" style="83" bestFit="1" customWidth="1"/>
    <col min="12" max="12" width="2.7265625" style="83" customWidth="1"/>
    <col min="13" max="13" width="15.26953125" style="83" bestFit="1" customWidth="1"/>
    <col min="14" max="14" width="2.7265625" style="83" customWidth="1"/>
    <col min="15" max="15" width="13.1796875" style="83" customWidth="1"/>
    <col min="16" max="16" width="2.7265625" style="83" customWidth="1"/>
    <col min="17" max="17" width="17" style="83" customWidth="1"/>
    <col min="18" max="18" width="2.7265625" style="83" customWidth="1"/>
    <col min="19" max="19" width="14.453125" style="83" customWidth="1"/>
    <col min="20" max="20" width="2.7265625" style="83" customWidth="1"/>
    <col min="21" max="21" width="15.7265625" style="83" customWidth="1"/>
    <col min="22" max="22" width="2.7265625" style="83" customWidth="1"/>
    <col min="23" max="23" width="13.7265625" style="83" customWidth="1"/>
    <col min="24" max="24" width="2.7265625" style="83" customWidth="1"/>
    <col min="25" max="25" width="13.453125" style="83" customWidth="1"/>
    <col min="26" max="27" width="2.7265625" style="83" customWidth="1"/>
    <col min="28" max="28" width="19.54296875" style="83" bestFit="1" customWidth="1"/>
    <col min="29" max="29" width="2.7265625" style="83" customWidth="1"/>
    <col min="30" max="30" width="19.54296875" style="83" customWidth="1"/>
    <col min="31" max="31" width="2.7265625" style="83" customWidth="1"/>
    <col min="32" max="32" width="17.1796875" style="83" customWidth="1"/>
    <col min="33" max="33" width="2.7265625" style="83" customWidth="1"/>
    <col min="34" max="16384" width="9.1796875" style="83"/>
  </cols>
  <sheetData>
    <row r="1" spans="1:33">
      <c r="N1" s="436" t="s">
        <v>334</v>
      </c>
      <c r="AF1" s="95" t="s">
        <v>554</v>
      </c>
    </row>
    <row r="2" spans="1:33">
      <c r="N2" s="436" t="s">
        <v>616</v>
      </c>
      <c r="AF2" s="95" t="s">
        <v>674</v>
      </c>
    </row>
    <row r="3" spans="1:33">
      <c r="N3" s="436" t="s">
        <v>1088</v>
      </c>
      <c r="AF3" s="95"/>
    </row>
    <row r="6" spans="1:33">
      <c r="G6" s="436" t="s">
        <v>900</v>
      </c>
    </row>
    <row r="7" spans="1:33" ht="15" customHeight="1">
      <c r="A7" s="436"/>
      <c r="B7" s="436"/>
      <c r="C7" s="436"/>
      <c r="D7" s="436"/>
      <c r="E7" s="436"/>
      <c r="F7" s="436"/>
      <c r="G7" s="436" t="s">
        <v>896</v>
      </c>
      <c r="H7" s="436"/>
      <c r="I7" s="436"/>
      <c r="J7" s="436"/>
      <c r="K7" s="436" t="s">
        <v>815</v>
      </c>
      <c r="L7" s="436"/>
      <c r="M7" s="436" t="s">
        <v>815</v>
      </c>
      <c r="N7" s="436"/>
      <c r="O7" s="438"/>
      <c r="P7" s="436"/>
      <c r="Q7" s="436" t="s">
        <v>970</v>
      </c>
      <c r="R7" s="436"/>
      <c r="S7" s="436" t="s">
        <v>972</v>
      </c>
      <c r="T7" s="436"/>
      <c r="U7" s="436" t="s">
        <v>617</v>
      </c>
      <c r="V7" s="436"/>
      <c r="W7" s="436" t="s">
        <v>618</v>
      </c>
      <c r="X7" s="436"/>
      <c r="Y7" s="436" t="s">
        <v>619</v>
      </c>
      <c r="Z7" s="436"/>
      <c r="AA7" s="436"/>
      <c r="AB7" s="436" t="s">
        <v>897</v>
      </c>
      <c r="AC7" s="436"/>
      <c r="AD7" s="436" t="s">
        <v>571</v>
      </c>
      <c r="AE7" s="436"/>
      <c r="AF7" s="436"/>
    </row>
    <row r="8" spans="1:33">
      <c r="A8" s="436" t="s">
        <v>2</v>
      </c>
      <c r="B8" s="436"/>
      <c r="C8" s="436"/>
      <c r="D8" s="436"/>
      <c r="E8" s="436" t="s">
        <v>620</v>
      </c>
      <c r="F8" s="436"/>
      <c r="G8" s="436" t="s">
        <v>620</v>
      </c>
      <c r="H8" s="436"/>
      <c r="I8" s="436" t="s">
        <v>892</v>
      </c>
      <c r="J8" s="436"/>
      <c r="K8" s="436" t="s">
        <v>888</v>
      </c>
      <c r="L8" s="436"/>
      <c r="M8" s="436" t="s">
        <v>816</v>
      </c>
      <c r="N8" s="436"/>
      <c r="O8" s="438"/>
      <c r="P8" s="436"/>
      <c r="Q8" s="436" t="s">
        <v>971</v>
      </c>
      <c r="R8" s="436"/>
      <c r="S8" s="436" t="s">
        <v>973</v>
      </c>
      <c r="T8" s="436"/>
      <c r="U8" s="436" t="s">
        <v>621</v>
      </c>
      <c r="V8" s="436"/>
      <c r="W8" s="436" t="s">
        <v>622</v>
      </c>
      <c r="X8" s="436"/>
      <c r="Y8" s="436" t="s">
        <v>623</v>
      </c>
      <c r="Z8" s="436"/>
      <c r="AA8" s="436"/>
      <c r="AB8" s="436" t="s">
        <v>898</v>
      </c>
      <c r="AC8" s="436"/>
      <c r="AD8" s="439" t="s">
        <v>575</v>
      </c>
      <c r="AE8" s="436"/>
      <c r="AF8" s="436"/>
    </row>
    <row r="9" spans="1:33">
      <c r="A9" s="439" t="s">
        <v>6</v>
      </c>
      <c r="B9" s="439"/>
      <c r="C9" s="439" t="s">
        <v>7</v>
      </c>
      <c r="D9" s="439"/>
      <c r="E9" s="439" t="s">
        <v>624</v>
      </c>
      <c r="F9" s="439"/>
      <c r="G9" s="439" t="s">
        <v>624</v>
      </c>
      <c r="H9" s="439"/>
      <c r="I9" s="439" t="s">
        <v>822</v>
      </c>
      <c r="J9" s="439"/>
      <c r="K9" s="439" t="s">
        <v>822</v>
      </c>
      <c r="L9" s="439"/>
      <c r="M9" s="439" t="s">
        <v>817</v>
      </c>
      <c r="N9" s="439"/>
      <c r="O9" s="439" t="s">
        <v>1189</v>
      </c>
      <c r="P9" s="439"/>
      <c r="Q9" s="439" t="s">
        <v>822</v>
      </c>
      <c r="R9" s="439"/>
      <c r="S9" s="439" t="s">
        <v>822</v>
      </c>
      <c r="T9" s="439"/>
      <c r="U9" s="439" t="s">
        <v>625</v>
      </c>
      <c r="V9" s="439"/>
      <c r="W9" s="439" t="s">
        <v>626</v>
      </c>
      <c r="X9" s="439"/>
      <c r="Y9" s="439" t="s">
        <v>626</v>
      </c>
      <c r="Z9" s="439"/>
      <c r="AA9" s="439"/>
      <c r="AB9" s="439" t="s">
        <v>772</v>
      </c>
      <c r="AC9" s="439"/>
      <c r="AD9" s="439" t="s">
        <v>442</v>
      </c>
      <c r="AE9" s="439"/>
      <c r="AF9" s="439"/>
    </row>
    <row r="10" spans="1:33">
      <c r="A10" s="235">
        <v>-1</v>
      </c>
      <c r="B10" s="235"/>
      <c r="C10" s="235">
        <f>+A10-1</f>
        <v>-2</v>
      </c>
      <c r="D10" s="235"/>
      <c r="E10" s="235">
        <f>+C10-1</f>
        <v>-3</v>
      </c>
      <c r="F10" s="235"/>
      <c r="G10" s="235">
        <f>+E10-1</f>
        <v>-4</v>
      </c>
      <c r="H10" s="235"/>
      <c r="I10" s="235">
        <f>+G10-1</f>
        <v>-5</v>
      </c>
      <c r="J10" s="235"/>
      <c r="K10" s="235">
        <f>I10-1</f>
        <v>-6</v>
      </c>
      <c r="L10" s="235"/>
      <c r="M10" s="235">
        <f>K10-1</f>
        <v>-7</v>
      </c>
      <c r="N10" s="235"/>
      <c r="O10" s="235">
        <f>M10-1</f>
        <v>-8</v>
      </c>
      <c r="P10" s="235"/>
      <c r="Q10" s="235">
        <f>O10-1</f>
        <v>-9</v>
      </c>
      <c r="R10" s="235"/>
      <c r="S10" s="235">
        <f>Q10-1</f>
        <v>-10</v>
      </c>
      <c r="T10" s="235"/>
      <c r="U10" s="235">
        <f>S10-1</f>
        <v>-11</v>
      </c>
      <c r="V10" s="235"/>
      <c r="W10" s="235">
        <f>+U10-1</f>
        <v>-12</v>
      </c>
      <c r="X10" s="235"/>
      <c r="Y10" s="235">
        <f>W10-1</f>
        <v>-13</v>
      </c>
      <c r="Z10" s="235"/>
      <c r="AA10" s="235"/>
      <c r="AB10" s="235">
        <f>Y10-1</f>
        <v>-14</v>
      </c>
      <c r="AC10" s="235"/>
      <c r="AD10" s="235">
        <f>AB10-1</f>
        <v>-15</v>
      </c>
      <c r="AE10" s="235"/>
      <c r="AF10" s="235"/>
      <c r="AG10" s="235"/>
    </row>
    <row r="11" spans="1:33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</row>
    <row r="12" spans="1:33">
      <c r="A12" s="436">
        <v>1</v>
      </c>
      <c r="C12" s="83" t="s">
        <v>581</v>
      </c>
      <c r="E12" s="104">
        <v>1180000000</v>
      </c>
      <c r="F12" s="104"/>
      <c r="G12" s="104">
        <f>E12*$G$24</f>
        <v>1163480000</v>
      </c>
      <c r="H12" s="104"/>
      <c r="I12" s="237">
        <f>I18*($E$12/($E$12+$E$16))</f>
        <v>-122409195.99667428</v>
      </c>
      <c r="J12" s="104"/>
      <c r="K12" s="237">
        <f>K18*($E$12/($E$12+$E$16))</f>
        <v>-1048682.3106649979</v>
      </c>
      <c r="L12" s="104"/>
      <c r="M12" s="237">
        <f>M18*($E$12/($E$12+$E$16))</f>
        <v>-83037539.665846035</v>
      </c>
      <c r="N12" s="104"/>
      <c r="O12" s="237">
        <f>O18*($E$12/($E$12+$E$16))</f>
        <v>29042030.039546855</v>
      </c>
      <c r="P12" s="104"/>
      <c r="Q12" s="237">
        <f>Q18*($E$12/($E$12+$E$16))</f>
        <v>-1772406.405375025</v>
      </c>
      <c r="R12" s="104"/>
      <c r="S12" s="237">
        <f>S18*($E$12/($E$12+$E$16))</f>
        <v>-22434615.790803112</v>
      </c>
      <c r="T12" s="104"/>
      <c r="U12" s="237">
        <v>-8693139.1711249799</v>
      </c>
      <c r="V12" s="104"/>
      <c r="W12" s="237">
        <f>W18*($E$12/($E$12+$E$16))</f>
        <v>-367274.37571862875</v>
      </c>
      <c r="X12" s="104"/>
      <c r="Y12" s="237">
        <f>Y18*($E$12/($E$12+$E$16))</f>
        <v>-320490.10074795474</v>
      </c>
      <c r="Z12" s="104"/>
      <c r="AA12" s="104"/>
      <c r="AB12" s="250">
        <f>(I12*$I$24)+(K12*$K$24)+(M12*$M$24)+(U12*$U$24)+(W12*$W$24)+(Y12*$Y$24)+(O12*$O$24)+(Q12*$Q$24)+(S12*$S$24)</f>
        <v>-209649736.47900489</v>
      </c>
      <c r="AC12" s="104"/>
      <c r="AD12" s="104">
        <f>G12+AB12</f>
        <v>953830263.52099514</v>
      </c>
      <c r="AE12" s="104"/>
      <c r="AF12" s="104"/>
    </row>
    <row r="13" spans="1:33">
      <c r="A13" s="436"/>
      <c r="E13" s="104"/>
      <c r="F13" s="104"/>
      <c r="G13" s="104"/>
      <c r="H13" s="104"/>
      <c r="I13" s="237"/>
      <c r="J13" s="104"/>
      <c r="K13" s="237"/>
      <c r="L13" s="104"/>
      <c r="M13" s="237"/>
      <c r="N13" s="104"/>
      <c r="O13" s="104"/>
      <c r="P13" s="104"/>
      <c r="Q13" s="104"/>
      <c r="R13" s="104"/>
      <c r="S13" s="104"/>
      <c r="T13" s="104"/>
      <c r="U13" s="237"/>
      <c r="V13" s="104"/>
      <c r="W13" s="237"/>
      <c r="X13" s="104"/>
      <c r="Y13" s="237"/>
      <c r="Z13" s="104"/>
      <c r="AA13" s="104"/>
      <c r="AB13" s="104"/>
      <c r="AC13" s="104"/>
      <c r="AD13" s="104"/>
      <c r="AE13" s="104"/>
      <c r="AF13" s="104"/>
    </row>
    <row r="14" spans="1:33">
      <c r="A14" s="436">
        <v>2</v>
      </c>
      <c r="C14" s="83" t="s">
        <v>583</v>
      </c>
      <c r="E14" s="38">
        <v>113624551.78</v>
      </c>
      <c r="F14" s="38"/>
      <c r="G14" s="104">
        <f>E14*U24</f>
        <v>112033808.05508</v>
      </c>
      <c r="H14" s="38"/>
      <c r="I14" s="237">
        <v>0</v>
      </c>
      <c r="J14" s="38"/>
      <c r="K14" s="237">
        <v>0</v>
      </c>
      <c r="L14" s="38"/>
      <c r="M14" s="237">
        <v>0</v>
      </c>
      <c r="N14" s="38"/>
      <c r="O14" s="38"/>
      <c r="P14" s="38"/>
      <c r="Q14" s="38"/>
      <c r="R14" s="38"/>
      <c r="S14" s="38"/>
      <c r="T14" s="38"/>
      <c r="U14" s="237">
        <f>U18+15507398</f>
        <v>-1014062.5038185436</v>
      </c>
      <c r="V14" s="38"/>
      <c r="W14" s="237">
        <v>0</v>
      </c>
      <c r="X14" s="38"/>
      <c r="Y14" s="237">
        <v>0</v>
      </c>
      <c r="Z14" s="38"/>
      <c r="AA14" s="38"/>
      <c r="AB14" s="104">
        <f>(I14*$I$24)+(K14*$K$24)+(M14*$M$24)+(U14*$U$24)+(W14*$W$24)+(Y14*$Y$24)+(O14*$O$24)+(Q14*$Q$24)+(S14*$S$24)</f>
        <v>-999865.62876508397</v>
      </c>
      <c r="AC14" s="104"/>
      <c r="AD14" s="104">
        <f>G14+AB14</f>
        <v>111033942.42631491</v>
      </c>
      <c r="AE14" s="38"/>
      <c r="AF14" s="38"/>
    </row>
    <row r="15" spans="1:33">
      <c r="A15" s="436"/>
      <c r="E15" s="38"/>
      <c r="F15" s="38"/>
      <c r="G15" s="38"/>
      <c r="H15" s="38"/>
      <c r="I15" s="237"/>
      <c r="J15" s="38"/>
      <c r="K15" s="237"/>
      <c r="L15" s="38"/>
      <c r="M15" s="237"/>
      <c r="N15" s="38"/>
      <c r="O15" s="38"/>
      <c r="P15" s="38"/>
      <c r="Q15" s="38"/>
      <c r="R15" s="38"/>
      <c r="S15" s="38"/>
      <c r="T15" s="38"/>
      <c r="U15" s="237"/>
      <c r="V15" s="38"/>
      <c r="W15" s="237"/>
      <c r="X15" s="38"/>
      <c r="Y15" s="237"/>
      <c r="Z15" s="38"/>
      <c r="AA15" s="38"/>
      <c r="AB15" s="38"/>
      <c r="AC15" s="38"/>
      <c r="AD15" s="38"/>
      <c r="AE15" s="38"/>
      <c r="AF15" s="38"/>
    </row>
    <row r="16" spans="1:33">
      <c r="A16" s="436">
        <v>4</v>
      </c>
      <c r="C16" s="83" t="s">
        <v>585</v>
      </c>
      <c r="E16" s="104">
        <v>924962196.41600013</v>
      </c>
      <c r="F16" s="38"/>
      <c r="G16" s="104">
        <f>E16*$G$24</f>
        <v>912012725.66617608</v>
      </c>
      <c r="H16" s="38"/>
      <c r="I16" s="237">
        <f>I18*($E$16/($E$16+$E$12))</f>
        <v>-95952439.653051257</v>
      </c>
      <c r="J16" s="38"/>
      <c r="K16" s="237">
        <f>K18*($E$16/($E$16+$E$12))</f>
        <v>-822026.68933500221</v>
      </c>
      <c r="L16" s="38"/>
      <c r="M16" s="237">
        <f>M18*($E$16/($E$16+$E$12))</f>
        <v>-65090326.334153973</v>
      </c>
      <c r="N16" s="38"/>
      <c r="O16" s="237">
        <f>O18*($E$16/($E$16+$E$12))</f>
        <v>22765067.706575181</v>
      </c>
      <c r="P16" s="38"/>
      <c r="Q16" s="237">
        <f>Q18*($E$16/($E$16+$E$12))</f>
        <v>-1389329.594624975</v>
      </c>
      <c r="R16" s="38"/>
      <c r="S16" s="237">
        <f>S18*($E$16/($E$16+$E$12))</f>
        <v>-17585738.557296887</v>
      </c>
      <c r="T16" s="38"/>
      <c r="U16" s="237">
        <v>-6814258.5533833317</v>
      </c>
      <c r="V16" s="38"/>
      <c r="W16" s="237">
        <f>W18*($E$16/($E$16+$E$12))</f>
        <v>-287893.9942813713</v>
      </c>
      <c r="X16" s="38"/>
      <c r="Y16" s="237">
        <f>Y18*($E$16/($E$16+$E$12))</f>
        <v>-251221.37925204524</v>
      </c>
      <c r="Z16" s="38"/>
      <c r="AA16" s="38"/>
      <c r="AB16" s="104">
        <f>(I16*$I$24)+(K16*$K$24)+(M16*$M$24)+(U16*$U$24)+(W16*$W$24)+(Y16*$Y$24)+(O16*$O$24)+(Q16*$Q$24)+(S16*$S$24)</f>
        <v>-164337356.54516381</v>
      </c>
      <c r="AC16" s="104"/>
      <c r="AD16" s="104">
        <f>G16+AB16</f>
        <v>747675369.12101221</v>
      </c>
      <c r="AE16" s="38"/>
      <c r="AF16" s="38"/>
    </row>
    <row r="17" spans="1:32">
      <c r="A17" s="436"/>
      <c r="E17" s="105" t="s">
        <v>586</v>
      </c>
      <c r="F17" s="105"/>
      <c r="G17" s="105" t="s">
        <v>586</v>
      </c>
      <c r="H17" s="435"/>
      <c r="I17" s="435" t="s">
        <v>586</v>
      </c>
      <c r="J17" s="435"/>
      <c r="K17" s="435" t="s">
        <v>586</v>
      </c>
      <c r="L17" s="435"/>
      <c r="M17" s="435" t="s">
        <v>586</v>
      </c>
      <c r="N17" s="435"/>
      <c r="O17" s="435" t="s">
        <v>586</v>
      </c>
      <c r="P17" s="435"/>
      <c r="Q17" s="435" t="s">
        <v>586</v>
      </c>
      <c r="R17" s="435"/>
      <c r="S17" s="435" t="s">
        <v>586</v>
      </c>
      <c r="T17" s="435"/>
      <c r="U17" s="435" t="s">
        <v>586</v>
      </c>
      <c r="V17" s="435"/>
      <c r="W17" s="435" t="s">
        <v>586</v>
      </c>
      <c r="X17" s="234"/>
      <c r="Y17" s="105" t="s">
        <v>679</v>
      </c>
      <c r="Z17" s="234"/>
      <c r="AA17" s="234"/>
      <c r="AB17" s="105" t="s">
        <v>586</v>
      </c>
      <c r="AC17" s="105"/>
      <c r="AD17" s="105" t="s">
        <v>586</v>
      </c>
      <c r="AE17" s="234"/>
      <c r="AF17" s="105"/>
    </row>
    <row r="18" spans="1:32">
      <c r="A18" s="436">
        <v>5</v>
      </c>
      <c r="C18" s="83" t="s">
        <v>627</v>
      </c>
      <c r="E18" s="38">
        <f>SUM(E12:E16)</f>
        <v>2218586748.1960001</v>
      </c>
      <c r="F18" s="38"/>
      <c r="G18" s="38">
        <f>SUM(G12:G16)</f>
        <v>2187526533.7212563</v>
      </c>
      <c r="H18" s="38"/>
      <c r="I18" s="38">
        <v>-218361635.64972553</v>
      </c>
      <c r="J18" s="38"/>
      <c r="K18" s="38">
        <v>-1870709</v>
      </c>
      <c r="L18" s="38"/>
      <c r="M18" s="38">
        <f>-136858429+-11269437</f>
        <v>-148127866</v>
      </c>
      <c r="N18" s="38"/>
      <c r="O18" s="38">
        <v>51807097.746122032</v>
      </c>
      <c r="P18" s="38"/>
      <c r="Q18" s="38">
        <v>-3161736</v>
      </c>
      <c r="R18" s="38"/>
      <c r="S18" s="38">
        <v>-40020354.348099999</v>
      </c>
      <c r="T18" s="38"/>
      <c r="U18" s="38">
        <f>'3 P3'!I34</f>
        <v>-16521460.503818544</v>
      </c>
      <c r="V18" s="38"/>
      <c r="W18" s="38">
        <v>-655168.37</v>
      </c>
      <c r="X18" s="38"/>
      <c r="Y18" s="38">
        <v>-571711.48</v>
      </c>
      <c r="Z18" s="38"/>
      <c r="AA18" s="38"/>
      <c r="AB18" s="38">
        <f>SUM(AB12:AB16)</f>
        <v>-374986958.65293378</v>
      </c>
      <c r="AC18" s="38"/>
      <c r="AD18" s="38">
        <f>SUM(AD12:AD16)</f>
        <v>1812539575.0683222</v>
      </c>
      <c r="AE18" s="38"/>
      <c r="AF18" s="38"/>
    </row>
    <row r="19" spans="1:32">
      <c r="A19" s="4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>
      <c r="A20" s="436"/>
      <c r="E20" s="105" t="s">
        <v>586</v>
      </c>
      <c r="F20" s="105"/>
      <c r="G20" s="105"/>
      <c r="H20" s="435"/>
      <c r="I20" s="435" t="s">
        <v>586</v>
      </c>
      <c r="J20" s="435"/>
      <c r="K20" s="435" t="s">
        <v>586</v>
      </c>
      <c r="L20" s="435"/>
      <c r="M20" s="435" t="s">
        <v>586</v>
      </c>
      <c r="N20" s="435"/>
      <c r="O20" s="435" t="s">
        <v>586</v>
      </c>
      <c r="P20" s="435"/>
      <c r="Q20" s="435" t="s">
        <v>586</v>
      </c>
      <c r="R20" s="435"/>
      <c r="S20" s="435" t="s">
        <v>586</v>
      </c>
      <c r="T20" s="435"/>
      <c r="U20" s="435" t="s">
        <v>586</v>
      </c>
      <c r="V20" s="435"/>
      <c r="W20" s="435" t="s">
        <v>586</v>
      </c>
      <c r="X20" s="234"/>
      <c r="Y20" s="435" t="s">
        <v>712</v>
      </c>
      <c r="Z20" s="234"/>
      <c r="AA20" s="234"/>
      <c r="AB20" s="105" t="s">
        <v>586</v>
      </c>
      <c r="AC20" s="105"/>
      <c r="AD20" s="105" t="s">
        <v>586</v>
      </c>
      <c r="AE20" s="234"/>
      <c r="AF20" s="105"/>
    </row>
    <row r="21" spans="1:32">
      <c r="A21" s="436">
        <v>7</v>
      </c>
      <c r="C21" s="83" t="s">
        <v>442</v>
      </c>
      <c r="E21" s="104">
        <f>SUM(E18:E19)</f>
        <v>2218586748.1960001</v>
      </c>
      <c r="F21" s="104"/>
      <c r="G21" s="104">
        <f>SUM(G18:G19)</f>
        <v>2187526533.7212563</v>
      </c>
      <c r="H21" s="104"/>
      <c r="I21" s="104">
        <f>SUM(I18:I19)</f>
        <v>-218361635.64972553</v>
      </c>
      <c r="J21" s="108"/>
      <c r="K21" s="104">
        <f>SUM(K18:K19)</f>
        <v>-1870709</v>
      </c>
      <c r="L21" s="108"/>
      <c r="M21" s="104">
        <f>SUM(M18:M19)</f>
        <v>-148127866</v>
      </c>
      <c r="N21" s="108"/>
      <c r="O21" s="104">
        <f>SUM(O18:O19)</f>
        <v>51807097.746122032</v>
      </c>
      <c r="P21" s="108"/>
      <c r="Q21" s="104">
        <f>SUM(Q18:Q19)</f>
        <v>-3161736</v>
      </c>
      <c r="R21" s="108"/>
      <c r="S21" s="104">
        <f>SUM(S18:S19)</f>
        <v>-40020354.348099999</v>
      </c>
      <c r="T21" s="108"/>
      <c r="U21" s="104">
        <f>SUM(U18:U19)</f>
        <v>-16521460.503818544</v>
      </c>
      <c r="V21" s="108"/>
      <c r="W21" s="104">
        <f>SUM(W18:W19)</f>
        <v>-655168.37</v>
      </c>
      <c r="X21" s="108"/>
      <c r="Y21" s="104">
        <f>SUM(Y18:Y19)</f>
        <v>-571711.48</v>
      </c>
      <c r="Z21" s="108"/>
      <c r="AA21" s="108"/>
      <c r="AB21" s="108">
        <f>SUM(AB18:AB19)</f>
        <v>-374986958.65293378</v>
      </c>
      <c r="AC21" s="108"/>
      <c r="AD21" s="108">
        <f>SUM(AD18:AD19)</f>
        <v>1812539575.0683222</v>
      </c>
      <c r="AE21" s="108"/>
      <c r="AF21" s="108"/>
    </row>
    <row r="22" spans="1:32">
      <c r="A22" s="436"/>
      <c r="E22" s="105" t="s">
        <v>788</v>
      </c>
      <c r="F22" s="105"/>
      <c r="G22" s="105"/>
      <c r="H22" s="435"/>
      <c r="I22" s="105" t="s">
        <v>550</v>
      </c>
      <c r="J22" s="105"/>
      <c r="K22" s="105" t="s">
        <v>550</v>
      </c>
      <c r="L22" s="105"/>
      <c r="M22" s="105" t="s">
        <v>550</v>
      </c>
      <c r="N22" s="105"/>
      <c r="O22" s="105" t="s">
        <v>550</v>
      </c>
      <c r="P22" s="105"/>
      <c r="Q22" s="105" t="s">
        <v>550</v>
      </c>
      <c r="R22" s="105"/>
      <c r="S22" s="105" t="s">
        <v>550</v>
      </c>
      <c r="T22" s="105"/>
      <c r="U22" s="105" t="s">
        <v>550</v>
      </c>
      <c r="V22" s="105"/>
      <c r="W22" s="105" t="s">
        <v>550</v>
      </c>
      <c r="X22" s="95"/>
      <c r="Y22" s="105" t="s">
        <v>564</v>
      </c>
      <c r="Z22" s="95"/>
      <c r="AA22" s="95"/>
      <c r="AB22" s="105" t="s">
        <v>550</v>
      </c>
      <c r="AC22" s="105"/>
      <c r="AD22" s="105" t="s">
        <v>550</v>
      </c>
      <c r="AE22" s="95"/>
      <c r="AF22" s="105"/>
    </row>
    <row r="23" spans="1:32">
      <c r="A23" s="436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6"/>
      <c r="Y23" s="435"/>
      <c r="Z23" s="436"/>
      <c r="AA23" s="436"/>
      <c r="AB23" s="435"/>
      <c r="AC23" s="435"/>
      <c r="AD23" s="435"/>
      <c r="AE23" s="436"/>
      <c r="AF23" s="105"/>
    </row>
    <row r="24" spans="1:32" ht="13">
      <c r="A24" s="436">
        <v>8</v>
      </c>
      <c r="C24" s="83" t="s">
        <v>756</v>
      </c>
      <c r="F24" s="225"/>
      <c r="G24" s="225">
        <f>'Allocation Factors'!$G$24</f>
        <v>0.98599999999999999</v>
      </c>
      <c r="H24" s="225"/>
      <c r="I24" s="225">
        <v>1</v>
      </c>
      <c r="K24" s="225">
        <f>'Allocation Factors'!G14</f>
        <v>0.98599999999999999</v>
      </c>
      <c r="M24" s="225">
        <f>'Allocation Factors'!$G$10</f>
        <v>0.98499999999999999</v>
      </c>
      <c r="O24" s="225">
        <v>1</v>
      </c>
      <c r="Q24" s="225">
        <v>1</v>
      </c>
      <c r="S24" s="225">
        <v>1</v>
      </c>
      <c r="U24" s="225">
        <f>'Allocation Factors'!G14</f>
        <v>0.98599999999999999</v>
      </c>
      <c r="W24" s="225">
        <f>'Allocation Factors'!$G$24</f>
        <v>0.98599999999999999</v>
      </c>
      <c r="Y24" s="225">
        <f>'Allocation Factors'!$G$24</f>
        <v>0.98599999999999999</v>
      </c>
      <c r="AB24" s="237"/>
      <c r="AC24" s="237"/>
      <c r="AD24" s="237"/>
    </row>
    <row r="25" spans="1:32">
      <c r="A25" s="436"/>
      <c r="AB25" s="104"/>
      <c r="AC25" s="104"/>
      <c r="AD25" s="104"/>
    </row>
    <row r="26" spans="1:32">
      <c r="A26" s="436"/>
      <c r="E26" s="436"/>
      <c r="F26" s="436"/>
      <c r="G26" s="436" t="s">
        <v>354</v>
      </c>
      <c r="H26" s="436"/>
      <c r="I26" s="436" t="s">
        <v>362</v>
      </c>
      <c r="J26" s="436"/>
      <c r="K26" s="436" t="s">
        <v>344</v>
      </c>
      <c r="L26" s="436"/>
      <c r="M26" s="436" t="s">
        <v>341</v>
      </c>
      <c r="N26" s="436"/>
      <c r="O26" s="436" t="s">
        <v>362</v>
      </c>
      <c r="P26" s="436"/>
      <c r="Q26" s="436" t="s">
        <v>362</v>
      </c>
      <c r="R26" s="436"/>
      <c r="S26" s="436" t="s">
        <v>362</v>
      </c>
      <c r="T26" s="436"/>
      <c r="U26" s="436" t="s">
        <v>344</v>
      </c>
      <c r="V26" s="436"/>
      <c r="W26" s="436" t="s">
        <v>354</v>
      </c>
      <c r="X26" s="436"/>
      <c r="Y26" s="436" t="s">
        <v>354</v>
      </c>
    </row>
    <row r="29" spans="1:32">
      <c r="C29" s="194"/>
      <c r="G29" s="104"/>
      <c r="U29" s="256"/>
    </row>
    <row r="30" spans="1:32">
      <c r="I30" s="14"/>
      <c r="M30" s="83" t="s">
        <v>48</v>
      </c>
      <c r="U30" s="84">
        <v>-16521460.503818544</v>
      </c>
    </row>
    <row r="31" spans="1:32">
      <c r="U31" s="256"/>
    </row>
    <row r="32" spans="1:32">
      <c r="I32" s="257"/>
    </row>
    <row r="49" spans="32:32" ht="24" customHeight="1">
      <c r="AF49" s="445"/>
    </row>
    <row r="50" spans="32:32" ht="24" customHeight="1">
      <c r="AF50" s="445"/>
    </row>
    <row r="51" spans="32:32">
      <c r="AF51" s="445"/>
    </row>
    <row r="52" spans="32:32">
      <c r="AF52" s="445"/>
    </row>
    <row r="53" spans="32:32">
      <c r="AF53" s="445"/>
    </row>
    <row r="54" spans="32:32">
      <c r="AF54" s="445"/>
    </row>
  </sheetData>
  <mergeCells count="1">
    <mergeCell ref="AF49:AF54"/>
  </mergeCells>
  <printOptions horizontalCentered="1"/>
  <pageMargins left="0" right="0" top="1" bottom="0.5" header="0" footer="0"/>
  <pageSetup scale="4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"/>
  <sheetViews>
    <sheetView zoomScale="110" zoomScaleNormal="110" workbookViewId="0">
      <pane xSplit="2" ySplit="13" topLeftCell="C32" activePane="bottomRight" state="frozen"/>
      <selection activeCell="E18" sqref="E18"/>
      <selection pane="topRight" activeCell="E18" sqref="E18"/>
      <selection pane="bottomLeft" activeCell="E18" sqref="E18"/>
      <selection pane="bottomRight" activeCell="L53" sqref="L53"/>
    </sheetView>
  </sheetViews>
  <sheetFormatPr defaultColWidth="9.1796875" defaultRowHeight="12.5"/>
  <cols>
    <col min="1" max="1" width="3.26953125" style="344" bestFit="1" customWidth="1"/>
    <col min="2" max="2" width="23.7265625" style="89" customWidth="1"/>
    <col min="3" max="3" width="2.26953125" style="89" customWidth="1"/>
    <col min="4" max="4" width="14.26953125" style="89" customWidth="1"/>
    <col min="5" max="5" width="12.81640625" style="89" customWidth="1"/>
    <col min="6" max="6" width="10.7265625" style="89" customWidth="1"/>
    <col min="7" max="7" width="8.1796875" style="89" bestFit="1" customWidth="1"/>
    <col min="8" max="8" width="11.7265625" style="89" customWidth="1"/>
    <col min="9" max="9" width="2.26953125" style="40" customWidth="1"/>
    <col min="10" max="10" width="10.7265625" style="89" customWidth="1"/>
    <col min="11" max="11" width="2.26953125" style="40" customWidth="1"/>
    <col min="12" max="12" width="13.54296875" style="89" bestFit="1" customWidth="1"/>
    <col min="13" max="14" width="9.26953125" style="89" bestFit="1" customWidth="1"/>
    <col min="15" max="15" width="11.7265625" style="89" bestFit="1" customWidth="1"/>
    <col min="16" max="16" width="2.26953125" style="40" customWidth="1"/>
    <col min="17" max="17" width="11.7265625" style="89" bestFit="1" customWidth="1"/>
    <col min="18" max="18" width="2.26953125" style="89" customWidth="1"/>
    <col min="19" max="19" width="9" style="89" bestFit="1" customWidth="1"/>
    <col min="20" max="20" width="8.7265625" style="344" customWidth="1"/>
    <col min="21" max="21" width="2.26953125" style="89" customWidth="1"/>
    <col min="22" max="16384" width="9.1796875" style="89"/>
  </cols>
  <sheetData>
    <row r="1" spans="1:20" ht="13">
      <c r="B1" s="447" t="s">
        <v>334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S1" s="258"/>
      <c r="T1" s="95" t="s">
        <v>554</v>
      </c>
    </row>
    <row r="2" spans="1:20" ht="13">
      <c r="B2" s="447" t="s">
        <v>933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S2" s="259"/>
      <c r="T2" s="95" t="s">
        <v>674</v>
      </c>
    </row>
    <row r="3" spans="1:20" ht="13">
      <c r="B3" s="447" t="s">
        <v>1088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S3" s="259"/>
      <c r="T3" s="95" t="s">
        <v>675</v>
      </c>
    </row>
    <row r="4" spans="1:20" ht="13">
      <c r="B4" s="447" t="s">
        <v>628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3"/>
      <c r="S4" s="3"/>
      <c r="T4" s="197"/>
    </row>
    <row r="7" spans="1:20">
      <c r="B7" s="344"/>
      <c r="C7" s="344"/>
      <c r="D7" s="344"/>
      <c r="E7" s="344"/>
      <c r="F7" s="344"/>
      <c r="G7" s="344"/>
      <c r="H7" s="344"/>
      <c r="I7" s="260"/>
      <c r="J7" s="344"/>
      <c r="K7" s="260"/>
      <c r="L7" s="344"/>
      <c r="M7" s="344"/>
      <c r="N7" s="344"/>
      <c r="O7" s="344"/>
      <c r="P7" s="260"/>
      <c r="Q7" s="344" t="s">
        <v>574</v>
      </c>
      <c r="R7" s="344"/>
      <c r="S7" s="344"/>
    </row>
    <row r="8" spans="1:20">
      <c r="B8" s="344"/>
      <c r="C8" s="344"/>
      <c r="D8" s="344"/>
      <c r="E8" s="344"/>
      <c r="F8" s="344"/>
      <c r="G8" s="344"/>
      <c r="H8" s="344"/>
      <c r="I8" s="260"/>
      <c r="J8" s="344" t="s">
        <v>442</v>
      </c>
      <c r="K8" s="260"/>
      <c r="L8" s="344" t="s">
        <v>629</v>
      </c>
      <c r="M8" s="344"/>
      <c r="N8" s="344"/>
      <c r="O8" s="344"/>
      <c r="P8" s="260"/>
      <c r="Q8" s="344" t="s">
        <v>630</v>
      </c>
      <c r="R8" s="344"/>
      <c r="S8" s="344"/>
    </row>
    <row r="9" spans="1:20">
      <c r="B9" s="344"/>
      <c r="C9" s="344"/>
      <c r="D9" s="344"/>
      <c r="E9" s="344"/>
      <c r="F9" s="344"/>
      <c r="G9" s="344"/>
      <c r="H9" s="344"/>
      <c r="I9" s="260"/>
      <c r="J9" s="344" t="s">
        <v>631</v>
      </c>
      <c r="K9" s="260"/>
      <c r="L9" s="344" t="s">
        <v>632</v>
      </c>
      <c r="M9" s="344"/>
      <c r="N9" s="344"/>
      <c r="O9" s="344"/>
      <c r="P9" s="260"/>
      <c r="Q9" s="417" t="s">
        <v>633</v>
      </c>
      <c r="R9" s="417"/>
      <c r="S9" s="417"/>
    </row>
    <row r="10" spans="1:20">
      <c r="B10" s="344"/>
      <c r="C10" s="344"/>
      <c r="D10" s="344"/>
      <c r="E10" s="344"/>
      <c r="F10" s="344"/>
      <c r="G10" s="344" t="s">
        <v>634</v>
      </c>
      <c r="H10" s="344" t="s">
        <v>635</v>
      </c>
      <c r="I10" s="260"/>
      <c r="J10" s="344" t="s">
        <v>636</v>
      </c>
      <c r="K10" s="260"/>
      <c r="L10" s="344" t="s">
        <v>637</v>
      </c>
      <c r="M10" s="344" t="s">
        <v>638</v>
      </c>
      <c r="N10" s="344" t="s">
        <v>639</v>
      </c>
      <c r="O10" s="344" t="s">
        <v>640</v>
      </c>
      <c r="P10" s="260"/>
      <c r="Q10" s="344" t="s">
        <v>641</v>
      </c>
      <c r="R10" s="344"/>
      <c r="S10" s="344" t="s">
        <v>574</v>
      </c>
      <c r="T10" s="344" t="s">
        <v>642</v>
      </c>
    </row>
    <row r="11" spans="1:20">
      <c r="A11" s="344" t="s">
        <v>643</v>
      </c>
      <c r="B11" s="344"/>
      <c r="C11" s="344"/>
      <c r="D11" s="344" t="s">
        <v>644</v>
      </c>
      <c r="E11" s="344" t="s">
        <v>645</v>
      </c>
      <c r="F11" s="344" t="s">
        <v>645</v>
      </c>
      <c r="G11" s="344" t="s">
        <v>646</v>
      </c>
      <c r="H11" s="344" t="s">
        <v>647</v>
      </c>
      <c r="I11" s="260"/>
      <c r="J11" s="344" t="s">
        <v>648</v>
      </c>
      <c r="K11" s="260"/>
      <c r="L11" s="344" t="s">
        <v>649</v>
      </c>
      <c r="M11" s="344" t="s">
        <v>650</v>
      </c>
      <c r="N11" s="344" t="s">
        <v>573</v>
      </c>
      <c r="O11" s="344" t="s">
        <v>647</v>
      </c>
      <c r="P11" s="260"/>
      <c r="Q11" s="344" t="s">
        <v>651</v>
      </c>
      <c r="R11" s="344"/>
      <c r="S11" s="344" t="s">
        <v>652</v>
      </c>
      <c r="T11" s="344" t="s">
        <v>576</v>
      </c>
    </row>
    <row r="12" spans="1:20">
      <c r="A12" s="419" t="s">
        <v>653</v>
      </c>
      <c r="B12" s="419" t="s">
        <v>7</v>
      </c>
      <c r="C12" s="419"/>
      <c r="D12" s="419" t="s">
        <v>654</v>
      </c>
      <c r="E12" s="419" t="s">
        <v>655</v>
      </c>
      <c r="F12" s="419" t="s">
        <v>656</v>
      </c>
      <c r="G12" s="419" t="s">
        <v>657</v>
      </c>
      <c r="H12" s="419" t="s">
        <v>658</v>
      </c>
      <c r="I12" s="261"/>
      <c r="J12" s="419" t="s">
        <v>400</v>
      </c>
      <c r="K12" s="261"/>
      <c r="L12" s="419" t="s">
        <v>659</v>
      </c>
      <c r="M12" s="419" t="s">
        <v>660</v>
      </c>
      <c r="N12" s="419" t="s">
        <v>578</v>
      </c>
      <c r="O12" s="419" t="s">
        <v>661</v>
      </c>
      <c r="P12" s="261"/>
      <c r="Q12" s="419" t="s">
        <v>662</v>
      </c>
      <c r="R12" s="419"/>
      <c r="S12" s="419" t="s">
        <v>633</v>
      </c>
      <c r="T12" s="419" t="s">
        <v>663</v>
      </c>
    </row>
    <row r="13" spans="1:20">
      <c r="A13" s="262">
        <v>-1</v>
      </c>
      <c r="B13" s="262">
        <f>+A13-1</f>
        <v>-2</v>
      </c>
      <c r="C13" s="262"/>
      <c r="D13" s="262">
        <f>+B13-1</f>
        <v>-3</v>
      </c>
      <c r="E13" s="262">
        <f>+D13-1</f>
        <v>-4</v>
      </c>
      <c r="F13" s="262">
        <f t="shared" ref="F13:T13" si="0">+E13-1</f>
        <v>-5</v>
      </c>
      <c r="G13" s="262">
        <f t="shared" si="0"/>
        <v>-6</v>
      </c>
      <c r="H13" s="262">
        <f t="shared" si="0"/>
        <v>-7</v>
      </c>
      <c r="I13" s="263"/>
      <c r="J13" s="262">
        <f>+H13-1</f>
        <v>-8</v>
      </c>
      <c r="K13" s="263"/>
      <c r="L13" s="262">
        <f>+J13-1</f>
        <v>-9</v>
      </c>
      <c r="M13" s="262">
        <f t="shared" si="0"/>
        <v>-10</v>
      </c>
      <c r="N13" s="262">
        <f t="shared" si="0"/>
        <v>-11</v>
      </c>
      <c r="O13" s="262">
        <f t="shared" si="0"/>
        <v>-12</v>
      </c>
      <c r="P13" s="263"/>
      <c r="Q13" s="262">
        <f>+O13-1</f>
        <v>-13</v>
      </c>
      <c r="R13" s="262"/>
      <c r="S13" s="262">
        <f>+Q13-1</f>
        <v>-14</v>
      </c>
      <c r="T13" s="262">
        <f t="shared" si="0"/>
        <v>-15</v>
      </c>
    </row>
    <row r="15" spans="1:20" ht="13">
      <c r="B15" s="264" t="s">
        <v>666</v>
      </c>
      <c r="D15" s="265"/>
      <c r="E15" s="266"/>
      <c r="F15" s="266"/>
      <c r="G15" s="267"/>
      <c r="H15" s="268"/>
      <c r="I15" s="269"/>
      <c r="J15" s="268"/>
      <c r="K15" s="269"/>
      <c r="L15" s="268"/>
      <c r="M15" s="270"/>
      <c r="N15" s="265"/>
      <c r="O15" s="268"/>
      <c r="P15" s="269"/>
    </row>
    <row r="16" spans="1:20">
      <c r="A16" s="344">
        <v>1</v>
      </c>
      <c r="B16" s="89" t="s">
        <v>667</v>
      </c>
      <c r="D16" s="265">
        <v>5.6250000000000001E-2</v>
      </c>
      <c r="E16" s="360" t="s">
        <v>668</v>
      </c>
      <c r="F16" s="360" t="s">
        <v>669</v>
      </c>
      <c r="G16" s="421">
        <v>29.466666666666665</v>
      </c>
      <c r="H16" s="268">
        <v>75000</v>
      </c>
      <c r="I16" s="269"/>
      <c r="J16" s="268">
        <v>736.57500000000005</v>
      </c>
      <c r="K16" s="269"/>
      <c r="L16" s="268">
        <f>+H16-J16</f>
        <v>74263.425000000003</v>
      </c>
      <c r="M16" s="271">
        <f>L16/H16*100</f>
        <v>99.017899999999997</v>
      </c>
      <c r="N16" s="265">
        <v>5.6939686730081547E-2</v>
      </c>
      <c r="O16" s="268">
        <v>75000</v>
      </c>
      <c r="P16" s="269"/>
      <c r="Q16" s="272">
        <f t="shared" ref="Q16:Q24" si="1">ROUND(O16*N16,0)</f>
        <v>4270</v>
      </c>
      <c r="R16" s="272"/>
      <c r="T16" s="344" t="s">
        <v>664</v>
      </c>
    </row>
    <row r="17" spans="1:20">
      <c r="A17" s="344">
        <v>2</v>
      </c>
      <c r="B17" s="89" t="s">
        <v>667</v>
      </c>
      <c r="D17" s="265">
        <v>8.0299999999999996E-2</v>
      </c>
      <c r="E17" s="360" t="s">
        <v>670</v>
      </c>
      <c r="F17" s="360" t="s">
        <v>671</v>
      </c>
      <c r="G17" s="421">
        <v>20</v>
      </c>
      <c r="H17" s="268">
        <v>30000</v>
      </c>
      <c r="I17" s="269"/>
      <c r="J17" s="268">
        <v>148.03200000000001</v>
      </c>
      <c r="K17" s="269"/>
      <c r="L17" s="268">
        <f t="shared" ref="L17:L24" si="2">+H17-J17</f>
        <v>29851.968000000001</v>
      </c>
      <c r="M17" s="271">
        <f t="shared" ref="M17:M24" si="3">L17/H17*100</f>
        <v>99.506559999999993</v>
      </c>
      <c r="N17" s="265">
        <v>8.0801583951206277E-2</v>
      </c>
      <c r="O17" s="268">
        <v>30000</v>
      </c>
      <c r="P17" s="269"/>
      <c r="Q17" s="272">
        <f t="shared" si="1"/>
        <v>2424</v>
      </c>
      <c r="R17" s="272"/>
      <c r="T17" s="344" t="s">
        <v>664</v>
      </c>
    </row>
    <row r="18" spans="1:20">
      <c r="A18" s="344">
        <v>3</v>
      </c>
      <c r="B18" s="89" t="s">
        <v>667</v>
      </c>
      <c r="D18" s="265">
        <v>8.1299999999999997E-2</v>
      </c>
      <c r="E18" s="360" t="s">
        <v>670</v>
      </c>
      <c r="F18" s="360" t="s">
        <v>672</v>
      </c>
      <c r="G18" s="421">
        <v>30</v>
      </c>
      <c r="H18" s="268">
        <v>60000</v>
      </c>
      <c r="I18" s="269"/>
      <c r="J18" s="268">
        <v>342.28500000000003</v>
      </c>
      <c r="K18" s="269"/>
      <c r="L18" s="268">
        <f t="shared" si="2"/>
        <v>59657.714999999997</v>
      </c>
      <c r="M18" s="271">
        <f t="shared" si="3"/>
        <v>99.429524999999998</v>
      </c>
      <c r="N18" s="265">
        <v>8.1813005441215558E-2</v>
      </c>
      <c r="O18" s="268">
        <v>60000</v>
      </c>
      <c r="P18" s="269"/>
      <c r="Q18" s="272">
        <f t="shared" si="1"/>
        <v>4909</v>
      </c>
      <c r="R18" s="272"/>
      <c r="T18" s="344" t="s">
        <v>664</v>
      </c>
    </row>
    <row r="19" spans="1:20">
      <c r="A19" s="344">
        <f t="shared" ref="A19:A24" si="4">A18+1</f>
        <v>4</v>
      </c>
      <c r="B19" s="89" t="s">
        <v>667</v>
      </c>
      <c r="D19" s="265">
        <v>4.1799999999999997E-2</v>
      </c>
      <c r="E19" s="360" t="s">
        <v>777</v>
      </c>
      <c r="F19" s="360" t="s">
        <v>778</v>
      </c>
      <c r="G19" s="421">
        <v>12</v>
      </c>
      <c r="H19" s="268">
        <v>120000</v>
      </c>
      <c r="I19" s="269"/>
      <c r="J19" s="268">
        <v>638.46400000000006</v>
      </c>
      <c r="K19" s="269"/>
      <c r="L19" s="268">
        <f t="shared" si="2"/>
        <v>119361.53599999999</v>
      </c>
      <c r="M19" s="271">
        <f t="shared" si="3"/>
        <v>99.467946666666663</v>
      </c>
      <c r="N19" s="265">
        <v>4.237018604935102E-2</v>
      </c>
      <c r="O19" s="268">
        <v>120000</v>
      </c>
      <c r="P19" s="269"/>
      <c r="Q19" s="272">
        <f t="shared" si="1"/>
        <v>5084</v>
      </c>
      <c r="R19" s="272"/>
      <c r="T19" s="344" t="s">
        <v>664</v>
      </c>
    </row>
    <row r="20" spans="1:20">
      <c r="A20" s="344">
        <f t="shared" si="4"/>
        <v>5</v>
      </c>
      <c r="B20" s="89" t="s">
        <v>667</v>
      </c>
      <c r="D20" s="265">
        <v>4.3299999999999998E-2</v>
      </c>
      <c r="E20" s="360" t="s">
        <v>865</v>
      </c>
      <c r="F20" s="360" t="s">
        <v>866</v>
      </c>
      <c r="G20" s="421">
        <v>12</v>
      </c>
      <c r="H20" s="268">
        <v>80000</v>
      </c>
      <c r="I20" s="269"/>
      <c r="J20" s="268">
        <v>414.94099999999997</v>
      </c>
      <c r="K20" s="269"/>
      <c r="L20" s="268">
        <f t="shared" si="2"/>
        <v>79585.058999999994</v>
      </c>
      <c r="M20" s="271">
        <f t="shared" si="3"/>
        <v>99.481323750000001</v>
      </c>
      <c r="N20" s="265">
        <v>4.3860525468707098E-2</v>
      </c>
      <c r="O20" s="268">
        <v>80000</v>
      </c>
      <c r="P20" s="269"/>
      <c r="Q20" s="272">
        <f t="shared" si="1"/>
        <v>3509</v>
      </c>
      <c r="R20" s="272"/>
      <c r="T20" s="344" t="s">
        <v>664</v>
      </c>
    </row>
    <row r="21" spans="1:20">
      <c r="A21" s="344">
        <f t="shared" si="4"/>
        <v>6</v>
      </c>
      <c r="B21" s="89" t="s">
        <v>667</v>
      </c>
      <c r="D21" s="265">
        <v>3.1300000000000001E-2</v>
      </c>
      <c r="E21" s="360" t="s">
        <v>948</v>
      </c>
      <c r="F21" s="360" t="s">
        <v>949</v>
      </c>
      <c r="G21" s="421">
        <v>7</v>
      </c>
      <c r="H21" s="268">
        <v>65000</v>
      </c>
      <c r="I21" s="269"/>
      <c r="J21" s="268">
        <v>210.76400000000001</v>
      </c>
      <c r="K21" s="269"/>
      <c r="L21" s="268">
        <f t="shared" si="2"/>
        <v>64789.235999999997</v>
      </c>
      <c r="M21" s="271">
        <f t="shared" si="3"/>
        <v>99.675747692307695</v>
      </c>
      <c r="N21" s="265">
        <v>3.1820380538221012E-2</v>
      </c>
      <c r="O21" s="268">
        <v>65000</v>
      </c>
      <c r="P21" s="269"/>
      <c r="Q21" s="272">
        <f t="shared" si="1"/>
        <v>2068</v>
      </c>
      <c r="R21" s="272"/>
      <c r="T21" s="344" t="s">
        <v>664</v>
      </c>
    </row>
    <row r="22" spans="1:20">
      <c r="A22" s="344">
        <f t="shared" si="4"/>
        <v>7</v>
      </c>
      <c r="B22" s="89" t="s">
        <v>667</v>
      </c>
      <c r="D22" s="265">
        <v>3.3500000000000002E-2</v>
      </c>
      <c r="E22" s="360" t="s">
        <v>948</v>
      </c>
      <c r="F22" s="360" t="s">
        <v>950</v>
      </c>
      <c r="G22" s="421">
        <v>10</v>
      </c>
      <c r="H22" s="268">
        <v>40000</v>
      </c>
      <c r="I22" s="269"/>
      <c r="J22" s="268">
        <v>129.70099999999999</v>
      </c>
      <c r="K22" s="269"/>
      <c r="L22" s="268">
        <f t="shared" si="2"/>
        <v>39870.298999999999</v>
      </c>
      <c r="M22" s="271">
        <f t="shared" si="3"/>
        <v>99.6757475</v>
      </c>
      <c r="N22" s="265">
        <v>3.3884998839074414E-2</v>
      </c>
      <c r="O22" s="268">
        <v>40000</v>
      </c>
      <c r="P22" s="269"/>
      <c r="Q22" s="272">
        <f t="shared" si="1"/>
        <v>1355</v>
      </c>
      <c r="R22" s="272"/>
      <c r="T22" s="344" t="s">
        <v>664</v>
      </c>
    </row>
    <row r="23" spans="1:20">
      <c r="A23" s="344">
        <f t="shared" si="4"/>
        <v>8</v>
      </c>
      <c r="B23" s="89" t="s">
        <v>667</v>
      </c>
      <c r="D23" s="265">
        <v>3.4500000000000003E-2</v>
      </c>
      <c r="E23" s="360" t="s">
        <v>948</v>
      </c>
      <c r="F23" s="360" t="s">
        <v>951</v>
      </c>
      <c r="G23" s="421">
        <v>12</v>
      </c>
      <c r="H23" s="268">
        <v>165000</v>
      </c>
      <c r="I23" s="269"/>
      <c r="J23" s="268">
        <v>535.01700000000005</v>
      </c>
      <c r="K23" s="269"/>
      <c r="L23" s="268">
        <f t="shared" si="2"/>
        <v>164464.98300000001</v>
      </c>
      <c r="M23" s="271">
        <f t="shared" si="3"/>
        <v>99.675747272727278</v>
      </c>
      <c r="N23" s="265">
        <v>3.4832919427011416E-2</v>
      </c>
      <c r="O23" s="268">
        <v>165000</v>
      </c>
      <c r="P23" s="269"/>
      <c r="Q23" s="272">
        <f t="shared" si="1"/>
        <v>5747</v>
      </c>
      <c r="R23" s="272"/>
      <c r="T23" s="344" t="s">
        <v>664</v>
      </c>
    </row>
    <row r="24" spans="1:20">
      <c r="A24" s="344">
        <f t="shared" si="4"/>
        <v>9</v>
      </c>
      <c r="B24" s="89" t="s">
        <v>667</v>
      </c>
      <c r="D24" s="265">
        <v>4.1200000000000001E-2</v>
      </c>
      <c r="E24" s="360" t="s">
        <v>948</v>
      </c>
      <c r="F24" s="360" t="s">
        <v>952</v>
      </c>
      <c r="G24" s="421">
        <v>30</v>
      </c>
      <c r="H24" s="268">
        <v>55000</v>
      </c>
      <c r="I24" s="269"/>
      <c r="J24" s="268">
        <v>178.339</v>
      </c>
      <c r="K24" s="269"/>
      <c r="L24" s="268">
        <f t="shared" si="2"/>
        <v>54821.661</v>
      </c>
      <c r="M24" s="271">
        <f t="shared" si="3"/>
        <v>99.675747272727278</v>
      </c>
      <c r="N24" s="265">
        <v>4.1389713673920497E-2</v>
      </c>
      <c r="O24" s="268">
        <v>55000</v>
      </c>
      <c r="P24" s="269"/>
      <c r="Q24" s="272">
        <f t="shared" si="1"/>
        <v>2276</v>
      </c>
      <c r="R24" s="272"/>
      <c r="T24" s="344" t="s">
        <v>664</v>
      </c>
    </row>
    <row r="25" spans="1:20">
      <c r="D25" s="265"/>
      <c r="E25" s="273"/>
      <c r="F25" s="273"/>
      <c r="G25" s="274"/>
      <c r="H25" s="268"/>
      <c r="I25" s="269"/>
      <c r="L25" s="268"/>
      <c r="M25" s="270"/>
      <c r="N25" s="265"/>
      <c r="O25" s="268"/>
      <c r="P25" s="269"/>
      <c r="Q25" s="275"/>
      <c r="R25" s="40"/>
    </row>
    <row r="26" spans="1:20">
      <c r="A26" s="344">
        <v>10</v>
      </c>
      <c r="B26" s="89" t="s">
        <v>665</v>
      </c>
      <c r="D26" s="416"/>
      <c r="E26" s="416"/>
      <c r="F26" s="416"/>
      <c r="G26" s="274"/>
      <c r="H26" s="276">
        <f>SUM(H16:H25)</f>
        <v>690000</v>
      </c>
      <c r="I26" s="269"/>
      <c r="J26" s="276">
        <f>SUM(J16:J25)</f>
        <v>3334.1180000000004</v>
      </c>
      <c r="K26" s="269"/>
      <c r="L26" s="276">
        <f>SUM(L16:L25)</f>
        <v>686665.88199999987</v>
      </c>
      <c r="M26" s="277"/>
      <c r="N26" s="269"/>
      <c r="O26" s="276">
        <f>SUM(O16:O25)</f>
        <v>690000</v>
      </c>
      <c r="P26" s="269"/>
      <c r="Q26" s="276">
        <f>SUM(Q16:Q25)</f>
        <v>31642</v>
      </c>
      <c r="R26" s="269"/>
    </row>
    <row r="28" spans="1:20" ht="13">
      <c r="B28" s="278" t="s">
        <v>779</v>
      </c>
    </row>
    <row r="29" spans="1:20">
      <c r="A29" s="344">
        <f>A26+1</f>
        <v>11</v>
      </c>
      <c r="B29" s="83" t="s">
        <v>779</v>
      </c>
      <c r="D29" s="422">
        <v>2.35E-2</v>
      </c>
      <c r="E29" s="361">
        <v>44001</v>
      </c>
      <c r="F29" s="361">
        <v>45096</v>
      </c>
      <c r="G29" s="362">
        <v>3</v>
      </c>
      <c r="H29" s="423">
        <v>65000</v>
      </c>
      <c r="J29" s="423">
        <v>340</v>
      </c>
      <c r="L29" s="268">
        <f t="shared" ref="L29" si="5">+H29-J29</f>
        <v>64660</v>
      </c>
      <c r="M29" s="271">
        <f>L29/H29*100</f>
        <v>99.476923076923072</v>
      </c>
      <c r="N29" s="265">
        <f t="shared" ref="N29" si="6">YIELD(E29,F29,D29,M29,100,2)</f>
        <v>2.5321663266587711E-2</v>
      </c>
      <c r="O29" s="423">
        <v>65000</v>
      </c>
      <c r="Q29" s="272">
        <f>ROUND(O29*N29,0)</f>
        <v>1646</v>
      </c>
      <c r="T29" s="344" t="s">
        <v>664</v>
      </c>
    </row>
    <row r="30" spans="1:20">
      <c r="G30" s="344"/>
      <c r="H30" s="279">
        <f>SUM(H29)</f>
        <v>65000</v>
      </c>
      <c r="J30" s="279">
        <f>SUM(J29)</f>
        <v>340</v>
      </c>
      <c r="L30" s="279">
        <f>SUM(L29)</f>
        <v>64660</v>
      </c>
      <c r="O30" s="279">
        <f>SUM(O29)</f>
        <v>65000</v>
      </c>
      <c r="Q30" s="276">
        <f>SUM(Q29)</f>
        <v>1646</v>
      </c>
    </row>
    <row r="31" spans="1:20">
      <c r="G31" s="344"/>
    </row>
    <row r="32" spans="1:20" ht="13">
      <c r="A32" s="238"/>
      <c r="B32" s="280" t="s">
        <v>961</v>
      </c>
      <c r="C32" s="238"/>
      <c r="D32" s="238"/>
      <c r="E32" s="238"/>
      <c r="F32" s="238"/>
      <c r="G32" s="281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</row>
    <row r="33" spans="1:20">
      <c r="A33" s="281">
        <v>12</v>
      </c>
      <c r="B33" s="194" t="s">
        <v>1152</v>
      </c>
      <c r="C33" s="238"/>
      <c r="D33" s="424">
        <v>5.9898300000000002E-2</v>
      </c>
      <c r="E33" s="425">
        <v>44810</v>
      </c>
      <c r="F33" s="425">
        <v>45291</v>
      </c>
      <c r="G33" s="362">
        <v>1.3178082191780822</v>
      </c>
      <c r="H33" s="426">
        <v>125000</v>
      </c>
      <c r="I33" s="238"/>
      <c r="J33" s="426">
        <v>62.5</v>
      </c>
      <c r="K33" s="238"/>
      <c r="L33" s="268">
        <f t="shared" ref="L33:L36" si="7">+H33-J33</f>
        <v>124937.5</v>
      </c>
      <c r="M33" s="271">
        <f>L33/H33*100</f>
        <v>99.95</v>
      </c>
      <c r="N33" s="424">
        <v>6.0278721589263007E-2</v>
      </c>
      <c r="O33" s="427">
        <v>125000</v>
      </c>
      <c r="P33" s="238"/>
      <c r="Q33" s="272">
        <f>ROUND(O33*N33,0)</f>
        <v>7535</v>
      </c>
      <c r="R33" s="238"/>
      <c r="S33" s="238"/>
      <c r="T33" s="281" t="s">
        <v>664</v>
      </c>
    </row>
    <row r="34" spans="1:20">
      <c r="A34" s="281">
        <v>13</v>
      </c>
      <c r="B34" s="194" t="s">
        <v>1152</v>
      </c>
      <c r="C34" s="238"/>
      <c r="D34" s="424">
        <v>5.5899999999999998E-2</v>
      </c>
      <c r="E34" s="425">
        <v>44364</v>
      </c>
      <c r="F34" s="425">
        <v>45094</v>
      </c>
      <c r="G34" s="362">
        <v>2</v>
      </c>
      <c r="H34" s="426">
        <v>150000</v>
      </c>
      <c r="I34" s="238"/>
      <c r="J34" s="426">
        <v>0</v>
      </c>
      <c r="K34" s="238"/>
      <c r="L34" s="268">
        <f t="shared" si="7"/>
        <v>150000</v>
      </c>
      <c r="M34" s="271">
        <f t="shared" ref="M34:M36" si="8">L34/H34*100</f>
        <v>100</v>
      </c>
      <c r="N34" s="424">
        <v>5.5899999999999998E-2</v>
      </c>
      <c r="O34" s="427">
        <v>150000</v>
      </c>
      <c r="P34" s="238"/>
      <c r="Q34" s="272">
        <f t="shared" ref="Q34:Q36" si="9">ROUND(O34*N34,0)</f>
        <v>8385</v>
      </c>
      <c r="R34" s="238"/>
      <c r="S34" s="238"/>
      <c r="T34" s="281" t="s">
        <v>664</v>
      </c>
    </row>
    <row r="35" spans="1:20">
      <c r="A35" s="281">
        <v>14</v>
      </c>
      <c r="B35" s="194" t="s">
        <v>1152</v>
      </c>
      <c r="C35" s="238"/>
      <c r="D35" s="424">
        <v>5.7034700000000001E-2</v>
      </c>
      <c r="E35" s="425">
        <v>44764</v>
      </c>
      <c r="F35" s="425">
        <v>45291</v>
      </c>
      <c r="G35" s="362">
        <v>1.4438356164383561</v>
      </c>
      <c r="H35" s="426">
        <v>75000</v>
      </c>
      <c r="I35" s="238"/>
      <c r="J35" s="426">
        <v>0</v>
      </c>
      <c r="K35" s="238"/>
      <c r="L35" s="268">
        <f t="shared" si="7"/>
        <v>75000</v>
      </c>
      <c r="M35" s="271">
        <f t="shared" si="8"/>
        <v>100</v>
      </c>
      <c r="N35" s="424">
        <v>5.7021132824692199E-2</v>
      </c>
      <c r="O35" s="427">
        <v>75000</v>
      </c>
      <c r="P35" s="238"/>
      <c r="Q35" s="272">
        <f t="shared" si="9"/>
        <v>4277</v>
      </c>
      <c r="R35" s="238"/>
      <c r="S35" s="238"/>
      <c r="T35" s="281" t="s">
        <v>664</v>
      </c>
    </row>
    <row r="36" spans="1:20">
      <c r="A36" s="281">
        <v>15</v>
      </c>
      <c r="B36" s="194" t="s">
        <v>1152</v>
      </c>
      <c r="C36" s="238"/>
      <c r="D36" s="424">
        <v>5.9103000000000003E-2</v>
      </c>
      <c r="E36" s="425">
        <v>44785</v>
      </c>
      <c r="F36" s="425">
        <v>45291</v>
      </c>
      <c r="G36" s="362">
        <v>1.3863013698630138</v>
      </c>
      <c r="H36" s="426">
        <v>75000</v>
      </c>
      <c r="I36" s="238"/>
      <c r="J36" s="426">
        <v>0</v>
      </c>
      <c r="K36" s="238"/>
      <c r="L36" s="268">
        <f t="shared" si="7"/>
        <v>75000</v>
      </c>
      <c r="M36" s="271">
        <f t="shared" si="8"/>
        <v>100</v>
      </c>
      <c r="N36" s="424">
        <v>5.9082562697543341E-2</v>
      </c>
      <c r="O36" s="427">
        <v>75000</v>
      </c>
      <c r="P36" s="238"/>
      <c r="Q36" s="272">
        <f t="shared" si="9"/>
        <v>4431</v>
      </c>
      <c r="R36" s="238"/>
      <c r="S36" s="238"/>
      <c r="T36" s="281" t="s">
        <v>664</v>
      </c>
    </row>
    <row r="37" spans="1:20">
      <c r="A37" s="238"/>
      <c r="B37" s="238"/>
      <c r="C37" s="238"/>
      <c r="D37" s="238"/>
      <c r="E37" s="238"/>
      <c r="F37" s="238"/>
      <c r="G37" s="281"/>
      <c r="H37" s="282">
        <f>SUM(H33:H36)</f>
        <v>425000</v>
      </c>
      <c r="I37" s="238"/>
      <c r="J37" s="282">
        <f>SUM(J33:J36)</f>
        <v>62.5</v>
      </c>
      <c r="K37" s="238"/>
      <c r="L37" s="282">
        <f>SUM(L33:L36)</f>
        <v>424937.5</v>
      </c>
      <c r="M37" s="238"/>
      <c r="N37" s="238"/>
      <c r="O37" s="283">
        <f>SUM(O33:O36)</f>
        <v>425000</v>
      </c>
      <c r="P37" s="238"/>
      <c r="Q37" s="283">
        <f>SUM(Q33:Q36)</f>
        <v>24628</v>
      </c>
      <c r="R37" s="238"/>
      <c r="S37" s="238"/>
      <c r="T37" s="238"/>
    </row>
    <row r="38" spans="1:20">
      <c r="O38" s="268"/>
      <c r="P38" s="269"/>
      <c r="T38" s="446"/>
    </row>
    <row r="39" spans="1:20" ht="13.5" customHeight="1" thickBot="1">
      <c r="A39" s="344">
        <v>14</v>
      </c>
      <c r="B39" s="89" t="s">
        <v>673</v>
      </c>
      <c r="H39" s="284">
        <f>H37+H30+H26</f>
        <v>1180000</v>
      </c>
      <c r="I39" s="269"/>
      <c r="J39" s="284">
        <f>J37+J30+J26</f>
        <v>3736.6180000000004</v>
      </c>
      <c r="K39" s="269"/>
      <c r="L39" s="284">
        <f>L37+L30+L26</f>
        <v>1176263.3819999998</v>
      </c>
      <c r="O39" s="284">
        <f>O37+O30+O26</f>
        <v>1180000</v>
      </c>
      <c r="P39" s="269"/>
      <c r="Q39" s="284">
        <f>Q37+Q30+Q26</f>
        <v>57916</v>
      </c>
      <c r="R39" s="269"/>
      <c r="S39" s="285">
        <f>ROUND(Q39/O39,4)</f>
        <v>4.9099999999999998E-2</v>
      </c>
      <c r="T39" s="446"/>
    </row>
    <row r="40" spans="1:20" ht="13.5" customHeight="1" thickTop="1">
      <c r="T40" s="446"/>
    </row>
    <row r="41" spans="1:20" ht="14.25" customHeight="1">
      <c r="A41" s="286"/>
      <c r="T41" s="446"/>
    </row>
    <row r="42" spans="1:20">
      <c r="B42" s="238"/>
      <c r="T42" s="446"/>
    </row>
    <row r="43" spans="1:20">
      <c r="T43" s="446"/>
    </row>
    <row r="44" spans="1:20" ht="18" customHeight="1">
      <c r="T44" s="446"/>
    </row>
    <row r="45" spans="1:20" ht="16.5" customHeight="1">
      <c r="T45" s="224"/>
    </row>
  </sheetData>
  <mergeCells count="5">
    <mergeCell ref="T38:T44"/>
    <mergeCell ref="B1:Q1"/>
    <mergeCell ref="B2:Q2"/>
    <mergeCell ref="B3:Q3"/>
    <mergeCell ref="B4:Q4"/>
  </mergeCells>
  <printOptions horizontalCentered="1"/>
  <pageMargins left="0" right="0" top="1" bottom="0.5" header="0" footer="0"/>
  <pageSetup scale="7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1"/>
  <sheetViews>
    <sheetView zoomScale="120" zoomScaleNormal="120" workbookViewId="0">
      <pane ySplit="8" topLeftCell="A21" activePane="bottomLeft" state="frozen"/>
      <selection activeCell="E18" sqref="E18"/>
      <selection pane="bottomLeft" activeCell="E46" sqref="E46"/>
    </sheetView>
  </sheetViews>
  <sheetFormatPr defaultColWidth="9.1796875" defaultRowHeight="12.5"/>
  <cols>
    <col min="1" max="1" width="7.7265625" style="260" customWidth="1"/>
    <col min="2" max="2" width="2.26953125" style="40" customWidth="1"/>
    <col min="3" max="3" width="12.26953125" style="363" customWidth="1"/>
    <col min="4" max="4" width="7" style="40" customWidth="1"/>
    <col min="5" max="5" width="39.54296875" style="40" bestFit="1" customWidth="1"/>
    <col min="6" max="6" width="17" style="40" customWidth="1"/>
    <col min="7" max="7" width="3.7265625" style="40" customWidth="1"/>
    <col min="8" max="16384" width="9.1796875" style="40"/>
  </cols>
  <sheetData>
    <row r="1" spans="1:6">
      <c r="B1" s="448" t="s">
        <v>334</v>
      </c>
      <c r="C1" s="448"/>
      <c r="D1" s="448"/>
      <c r="E1" s="448"/>
      <c r="F1" s="187" t="s">
        <v>554</v>
      </c>
    </row>
    <row r="2" spans="1:6">
      <c r="B2" s="448" t="s">
        <v>934</v>
      </c>
      <c r="C2" s="448"/>
      <c r="D2" s="448"/>
      <c r="E2" s="448"/>
      <c r="F2" s="187" t="s">
        <v>674</v>
      </c>
    </row>
    <row r="3" spans="1:6">
      <c r="B3" s="448" t="s">
        <v>1088</v>
      </c>
      <c r="C3" s="448"/>
      <c r="D3" s="448"/>
      <c r="E3" s="448"/>
      <c r="F3" s="187" t="s">
        <v>918</v>
      </c>
    </row>
    <row r="4" spans="1:6">
      <c r="E4" s="415"/>
    </row>
    <row r="5" spans="1:6">
      <c r="E5" s="415"/>
    </row>
    <row r="6" spans="1:6">
      <c r="E6" s="364"/>
    </row>
    <row r="7" spans="1:6" ht="37.5">
      <c r="A7" s="365" t="s">
        <v>556</v>
      </c>
      <c r="C7" s="260" t="s">
        <v>676</v>
      </c>
      <c r="D7" s="260" t="s">
        <v>677</v>
      </c>
      <c r="E7" s="366"/>
      <c r="F7" s="365" t="s">
        <v>678</v>
      </c>
    </row>
    <row r="8" spans="1:6">
      <c r="A8" s="367">
        <v>-1</v>
      </c>
      <c r="C8" s="368">
        <f>+A8-1</f>
        <v>-2</v>
      </c>
      <c r="D8" s="368">
        <f>+C8-1</f>
        <v>-3</v>
      </c>
      <c r="E8" s="366"/>
      <c r="F8" s="368">
        <f>+D8-1</f>
        <v>-4</v>
      </c>
    </row>
    <row r="9" spans="1:6">
      <c r="A9" s="368"/>
      <c r="C9" s="369"/>
      <c r="D9" s="364"/>
      <c r="E9" s="364"/>
    </row>
    <row r="10" spans="1:6">
      <c r="A10" s="368">
        <v>1</v>
      </c>
      <c r="C10" s="375" t="s">
        <v>450</v>
      </c>
      <c r="D10" s="260">
        <v>2022</v>
      </c>
      <c r="E10" s="364"/>
      <c r="F10" s="269">
        <v>111166079.83</v>
      </c>
    </row>
    <row r="11" spans="1:6">
      <c r="A11" s="368"/>
      <c r="C11" s="40"/>
      <c r="D11" s="260"/>
      <c r="E11" s="364"/>
      <c r="F11" s="269"/>
    </row>
    <row r="12" spans="1:6">
      <c r="A12" s="368">
        <f>+A10+1</f>
        <v>2</v>
      </c>
      <c r="C12" s="375" t="s">
        <v>452</v>
      </c>
      <c r="D12" s="260">
        <v>2022</v>
      </c>
      <c r="E12" s="364"/>
      <c r="F12" s="269">
        <v>103111849.98999999</v>
      </c>
    </row>
    <row r="13" spans="1:6">
      <c r="A13" s="368"/>
      <c r="C13" s="40"/>
      <c r="D13" s="260"/>
      <c r="E13" s="364"/>
      <c r="F13" s="269"/>
    </row>
    <row r="14" spans="1:6">
      <c r="A14" s="368">
        <f>+A12+1</f>
        <v>3</v>
      </c>
      <c r="C14" s="375" t="s">
        <v>453</v>
      </c>
      <c r="D14" s="260">
        <v>2022</v>
      </c>
      <c r="E14" s="364"/>
      <c r="F14" s="269">
        <v>140777682.81</v>
      </c>
    </row>
    <row r="15" spans="1:6">
      <c r="A15" s="368"/>
      <c r="C15" s="40"/>
      <c r="D15" s="260"/>
      <c r="E15" s="364"/>
      <c r="F15" s="269"/>
    </row>
    <row r="16" spans="1:6">
      <c r="A16" s="368">
        <f>+A14+1</f>
        <v>4</v>
      </c>
      <c r="C16" s="375" t="s">
        <v>454</v>
      </c>
      <c r="D16" s="260">
        <v>2022</v>
      </c>
      <c r="E16" s="364"/>
      <c r="F16" s="269">
        <v>67229500.579999998</v>
      </c>
    </row>
    <row r="17" spans="1:6">
      <c r="A17" s="368"/>
      <c r="C17" s="40"/>
      <c r="D17" s="260"/>
      <c r="E17" s="364"/>
      <c r="F17" s="269"/>
    </row>
    <row r="18" spans="1:6">
      <c r="A18" s="368">
        <f>+A16+1</f>
        <v>5</v>
      </c>
      <c r="C18" s="375" t="s">
        <v>455</v>
      </c>
      <c r="D18" s="260">
        <v>2022</v>
      </c>
      <c r="E18" s="364"/>
      <c r="F18" s="269">
        <v>40321937.670000002</v>
      </c>
    </row>
    <row r="19" spans="1:6">
      <c r="A19" s="368"/>
      <c r="C19" s="40"/>
      <c r="E19" s="364"/>
      <c r="F19" s="269"/>
    </row>
    <row r="20" spans="1:6">
      <c r="A20" s="368">
        <f>+A18+1</f>
        <v>6</v>
      </c>
      <c r="C20" s="375" t="s">
        <v>456</v>
      </c>
      <c r="D20" s="260">
        <v>2022</v>
      </c>
      <c r="E20" s="364"/>
      <c r="F20" s="269">
        <v>48494003.07</v>
      </c>
    </row>
    <row r="21" spans="1:6">
      <c r="A21" s="368"/>
      <c r="C21" s="40"/>
      <c r="E21" s="364"/>
      <c r="F21" s="269"/>
    </row>
    <row r="22" spans="1:6">
      <c r="A22" s="368">
        <f>+A20+1</f>
        <v>7</v>
      </c>
      <c r="C22" s="375" t="s">
        <v>457</v>
      </c>
      <c r="D22" s="260">
        <v>2022</v>
      </c>
      <c r="E22" s="364"/>
      <c r="F22" s="269">
        <v>61189592.840000004</v>
      </c>
    </row>
    <row r="23" spans="1:6">
      <c r="A23" s="368"/>
      <c r="C23" s="40"/>
      <c r="E23" s="364"/>
      <c r="F23" s="269"/>
    </row>
    <row r="24" spans="1:6">
      <c r="A24" s="368">
        <f>+A22+1</f>
        <v>8</v>
      </c>
      <c r="C24" s="187" t="s">
        <v>458</v>
      </c>
      <c r="D24" s="260">
        <v>2022</v>
      </c>
      <c r="E24" s="364"/>
      <c r="F24" s="269">
        <v>84862406.840000004</v>
      </c>
    </row>
    <row r="25" spans="1:6">
      <c r="A25" s="368"/>
      <c r="C25" s="40"/>
      <c r="E25" s="364"/>
      <c r="F25" s="269"/>
    </row>
    <row r="26" spans="1:6">
      <c r="A26" s="368">
        <f>+A24+1</f>
        <v>9</v>
      </c>
      <c r="C26" s="375" t="s">
        <v>459</v>
      </c>
      <c r="D26" s="260">
        <v>2022</v>
      </c>
      <c r="E26" s="364"/>
      <c r="F26" s="269">
        <v>94427543.109999999</v>
      </c>
    </row>
    <row r="27" spans="1:6">
      <c r="A27" s="368"/>
      <c r="C27" s="40"/>
      <c r="E27" s="364"/>
      <c r="F27" s="269"/>
    </row>
    <row r="28" spans="1:6">
      <c r="A28" s="368">
        <f>+A26+1</f>
        <v>10</v>
      </c>
      <c r="C28" s="375" t="s">
        <v>962</v>
      </c>
      <c r="D28" s="260">
        <v>2023</v>
      </c>
      <c r="F28" s="269">
        <v>108341358.26000001</v>
      </c>
    </row>
    <row r="29" spans="1:6">
      <c r="A29" s="368"/>
      <c r="C29" s="40"/>
      <c r="E29" s="364"/>
      <c r="F29" s="269"/>
    </row>
    <row r="30" spans="1:6">
      <c r="A30" s="368">
        <f>+A28+1</f>
        <v>11</v>
      </c>
      <c r="C30" s="187" t="s">
        <v>963</v>
      </c>
      <c r="D30" s="260">
        <v>2023</v>
      </c>
      <c r="E30" s="364"/>
      <c r="F30" s="269">
        <v>99287775.950000003</v>
      </c>
    </row>
    <row r="31" spans="1:6">
      <c r="A31" s="368"/>
      <c r="C31" s="40"/>
      <c r="E31" s="364"/>
      <c r="F31" s="269"/>
    </row>
    <row r="32" spans="1:6">
      <c r="A32" s="368">
        <f>+A30+1</f>
        <v>12</v>
      </c>
      <c r="C32" s="375" t="s">
        <v>462</v>
      </c>
      <c r="D32" s="260">
        <v>2023</v>
      </c>
      <c r="F32" s="269">
        <v>113624551.78</v>
      </c>
    </row>
    <row r="33" spans="1:7">
      <c r="A33" s="368"/>
      <c r="D33" s="364"/>
      <c r="F33" s="370" t="s">
        <v>679</v>
      </c>
    </row>
    <row r="34" spans="1:7">
      <c r="A34" s="368">
        <f>+A32+1</f>
        <v>13</v>
      </c>
      <c r="C34" s="363" t="s">
        <v>442</v>
      </c>
      <c r="F34" s="269">
        <f>SUM(F10:F33)</f>
        <v>1072834282.73</v>
      </c>
    </row>
    <row r="35" spans="1:7">
      <c r="A35" s="368"/>
      <c r="F35" s="370" t="s">
        <v>679</v>
      </c>
    </row>
    <row r="36" spans="1:7">
      <c r="A36" s="368">
        <f>+A34+1</f>
        <v>14</v>
      </c>
      <c r="C36" s="363" t="s">
        <v>680</v>
      </c>
      <c r="F36" s="269">
        <f>ROUND(F34/12,0)</f>
        <v>89402857</v>
      </c>
    </row>
    <row r="37" spans="1:7">
      <c r="A37" s="368"/>
      <c r="F37" s="370" t="s">
        <v>679</v>
      </c>
    </row>
    <row r="38" spans="1:7" ht="13">
      <c r="A38" s="368">
        <f>+A36+1</f>
        <v>15</v>
      </c>
      <c r="C38" s="41" t="s">
        <v>1153</v>
      </c>
      <c r="F38" s="269">
        <v>3336421.59</v>
      </c>
      <c r="G38" s="371"/>
    </row>
    <row r="39" spans="1:7">
      <c r="A39" s="368"/>
      <c r="F39" s="370" t="s">
        <v>679</v>
      </c>
    </row>
    <row r="40" spans="1:7">
      <c r="A40" s="368">
        <f>+A38+1</f>
        <v>16</v>
      </c>
      <c r="C40" s="363" t="s">
        <v>681</v>
      </c>
      <c r="F40" s="1"/>
    </row>
    <row r="41" spans="1:7">
      <c r="A41" s="368"/>
      <c r="C41" s="363" t="s">
        <v>682</v>
      </c>
      <c r="F41" s="372">
        <f>ROUND(F38/F36,4)</f>
        <v>3.73E-2</v>
      </c>
    </row>
    <row r="42" spans="1:7">
      <c r="F42" s="370" t="s">
        <v>683</v>
      </c>
    </row>
    <row r="43" spans="1:7">
      <c r="F43" s="370"/>
    </row>
    <row r="44" spans="1:7">
      <c r="F44" s="1"/>
    </row>
    <row r="45" spans="1:7">
      <c r="F45" s="1"/>
    </row>
    <row r="46" spans="1:7" ht="13">
      <c r="A46" s="371"/>
      <c r="C46" s="373"/>
      <c r="F46" s="1"/>
    </row>
    <row r="47" spans="1:7" ht="13">
      <c r="A47" s="371"/>
      <c r="C47" s="373"/>
      <c r="F47" s="1"/>
    </row>
    <row r="48" spans="1:7" ht="13">
      <c r="A48" s="371"/>
      <c r="C48" s="374"/>
      <c r="F48" s="1"/>
    </row>
    <row r="49" spans="1:6" ht="13">
      <c r="A49" s="371"/>
      <c r="C49" s="374"/>
      <c r="F49" s="1"/>
    </row>
    <row r="50" spans="1:6">
      <c r="F50" s="338"/>
    </row>
    <row r="51" spans="1:6">
      <c r="F51" s="415"/>
    </row>
    <row r="52" spans="1:6">
      <c r="F52" s="338"/>
    </row>
    <row r="53" spans="1:6">
      <c r="F53" s="415"/>
    </row>
    <row r="54" spans="1:6">
      <c r="F54" s="338"/>
    </row>
    <row r="56" spans="1:6">
      <c r="F56" s="338"/>
    </row>
    <row r="57" spans="1:6">
      <c r="F57" s="338"/>
    </row>
    <row r="58" spans="1:6">
      <c r="F58" s="338"/>
    </row>
    <row r="59" spans="1:6">
      <c r="F59" s="415"/>
    </row>
    <row r="60" spans="1:6">
      <c r="F60" s="338"/>
    </row>
    <row r="61" spans="1:6">
      <c r="F61" s="415"/>
    </row>
  </sheetData>
  <mergeCells count="3">
    <mergeCell ref="B1:E1"/>
    <mergeCell ref="B2:E2"/>
    <mergeCell ref="B3:E3"/>
  </mergeCells>
  <printOptions horizontalCentered="1"/>
  <pageMargins left="0" right="0" top="0.75" bottom="0" header="0" footer="0"/>
  <pageSetup scale="90" orientation="portrait" horizontalDpi="300" verticalDpi="300" r:id="rId1"/>
  <headerFooter alignWithMargins="0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YyMzY4PC9Vc2VyTmFtZT48RGF0ZVRpbWU+NC80LzIwMjMgNjozNjozNC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860A7D38-5C20-44C6-A1CC-84F1EDEC8B9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DCF1AEB-7610-405D-821E-D935F17E8F37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Summary</vt:lpstr>
      <vt:lpstr>Sch 1</vt:lpstr>
      <vt:lpstr>Sch 2</vt:lpstr>
      <vt:lpstr>2 P1</vt:lpstr>
      <vt:lpstr>2 P2</vt:lpstr>
      <vt:lpstr>2 P3</vt:lpstr>
      <vt:lpstr>Sch 3</vt:lpstr>
      <vt:lpstr>3 P1</vt:lpstr>
      <vt:lpstr>3 P2</vt:lpstr>
      <vt:lpstr>3 P3</vt:lpstr>
      <vt:lpstr>Sch 4</vt:lpstr>
      <vt:lpstr>Sch 5</vt:lpstr>
      <vt:lpstr>Sch 6</vt:lpstr>
      <vt:lpstr>Sch 7</vt:lpstr>
      <vt:lpstr>Sch 8</vt:lpstr>
      <vt:lpstr>Sch 9</vt:lpstr>
      <vt:lpstr>Sch 10</vt:lpstr>
      <vt:lpstr>Allocation Factors</vt:lpstr>
      <vt:lpstr>Olive Hill - Vanceburg</vt:lpstr>
      <vt:lpstr>CWC</vt:lpstr>
      <vt:lpstr>'2 P1'!Print_Area</vt:lpstr>
      <vt:lpstr>'3 P2'!Print_Area</vt:lpstr>
      <vt:lpstr>'3 P3'!Print_Area</vt:lpstr>
      <vt:lpstr>'Allocation Factors'!Print_Area</vt:lpstr>
      <vt:lpstr>CWC!Print_Area</vt:lpstr>
      <vt:lpstr>'Sch 1'!Print_Area</vt:lpstr>
      <vt:lpstr>'Sch 10'!Print_Area</vt:lpstr>
      <vt:lpstr>'Sch 3'!Print_Area</vt:lpstr>
      <vt:lpstr>'Sch 4'!Print_Area</vt:lpstr>
      <vt:lpstr>'Sch 5'!Print_Area</vt:lpstr>
      <vt:lpstr>'Sch 6'!Print_Area</vt:lpstr>
      <vt:lpstr>'Sch 8'!Print_Area</vt:lpstr>
      <vt:lpstr>'Sch 9'!Print_Area</vt:lpstr>
      <vt:lpstr>Summary!Print_Area</vt:lpstr>
      <vt:lpstr>'3 P2'!Print_Titles</vt:lpstr>
      <vt:lpstr>'Sch 1'!Print_Titles</vt:lpstr>
      <vt:lpstr>'Sch 4'!Print_Titles</vt:lpstr>
      <vt:lpstr>'Sch 5'!Print_Titles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Katharine I Walsh</cp:lastModifiedBy>
  <cp:lastPrinted>2023-12-14T14:56:03Z</cp:lastPrinted>
  <dcterms:created xsi:type="dcterms:W3CDTF">2014-01-30T18:45:48Z</dcterms:created>
  <dcterms:modified xsi:type="dcterms:W3CDTF">2023-12-14T14:59:21Z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f964774e-1ea0-4d62-8159-9903ec911db6</vt:lpwstr>
  </property>
  <property fmtid="{D5CDD505-2E9C-101B-9397-08002B2CF9AE}" pid="3" name="bjSaver">
    <vt:lpwstr>xZzrf02Aubzx74tgVp24Vul5jA7mQze+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{ADCF1AEB-7610-405D-821E-D935F17E8F37}</vt:lpwstr>
  </property>
</Properties>
</file>