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55" yWindow="435" windowWidth="4965" windowHeight="6600" tabRatio="941" activeTab="0"/>
  </bookViews>
  <sheets>
    <sheet name="613" sheetId="1" r:id="rId1"/>
    <sheet name="1313" sheetId="2" r:id="rId2"/>
    <sheet name="2259" sheetId="3" r:id="rId3"/>
    <sheet name="Surcharge Factors" sheetId="4" r:id="rId4"/>
  </sheets>
  <definedNames/>
  <calcPr fullCalcOnLoad="1"/>
</workbook>
</file>

<file path=xl/comments4.xml><?xml version="1.0" encoding="utf-8"?>
<comments xmlns="http://schemas.openxmlformats.org/spreadsheetml/2006/main">
  <authors>
    <author>s290792</author>
  </authors>
  <commentList>
    <comment ref="L4" authorId="0">
      <text>
        <r>
          <rPr>
            <b/>
            <sz val="9"/>
            <rFont val="Tahoma"/>
            <family val="2"/>
          </rPr>
          <t>s290792:</t>
        </r>
        <r>
          <rPr>
            <sz val="9"/>
            <rFont val="Tahoma"/>
            <family val="2"/>
          </rPr>
          <t xml:space="preserve">
Previously Home Energy Assistance Program </t>
        </r>
      </text>
    </comment>
  </commentList>
</comments>
</file>

<file path=xl/sharedStrings.xml><?xml version="1.0" encoding="utf-8"?>
<sst xmlns="http://schemas.openxmlformats.org/spreadsheetml/2006/main" count="623" uniqueCount="84">
  <si>
    <t xml:space="preserve"> </t>
  </si>
  <si>
    <t>KWH</t>
  </si>
  <si>
    <t>x</t>
  </si>
  <si>
    <t>Rate Billing</t>
  </si>
  <si>
    <t>Fuel Adjustment Clause (FAC)</t>
  </si>
  <si>
    <t>System Sales Clause</t>
  </si>
  <si>
    <t>Environmental Surcharge</t>
  </si>
  <si>
    <t>Total Bill</t>
  </si>
  <si>
    <t>Dollar Increase</t>
  </si>
  <si>
    <t>Percentage Change</t>
  </si>
  <si>
    <t>Purchase Power Adjustment</t>
  </si>
  <si>
    <t>Decommissioning Rider</t>
  </si>
  <si>
    <t>Residential Service</t>
  </si>
  <si>
    <t>Demand Side Management</t>
  </si>
  <si>
    <t>Energy Charge (Kwh)</t>
  </si>
  <si>
    <t>Fuel Adj. Clause (/kWh)</t>
  </si>
  <si>
    <t>System Sales Clause (/kWh)</t>
  </si>
  <si>
    <t>Combined Factor on Customer Bill      (/kWh)</t>
  </si>
  <si>
    <t xml:space="preserve">Capacity Charge </t>
  </si>
  <si>
    <t>DSM Residential (/kWh)</t>
  </si>
  <si>
    <t>DSM Commercial      (/kWh)</t>
  </si>
  <si>
    <t>Federal Tax Cut</t>
  </si>
  <si>
    <t>Cycle 1 Begin Date</t>
  </si>
  <si>
    <t>All Other Customers (/kWh)</t>
  </si>
  <si>
    <t>Inustrial Gen. Service Customers Only (/kWh)</t>
  </si>
  <si>
    <t>Residential Environ. Surcharge (/dollar)</t>
  </si>
  <si>
    <t>All Other Classes (/dollar)</t>
  </si>
  <si>
    <t>Residential (/dollar)</t>
  </si>
  <si>
    <t>Residential (/kWh)</t>
  </si>
  <si>
    <t>All Other Classes (/kWh)</t>
  </si>
  <si>
    <t>(1)</t>
  </si>
  <si>
    <t xml:space="preserve">  (2)</t>
  </si>
  <si>
    <t xml:space="preserve">    (3)</t>
  </si>
  <si>
    <t xml:space="preserve">   (4)                                                  </t>
  </si>
  <si>
    <t xml:space="preserve">  (5)                                                           (3) + (4)</t>
  </si>
  <si>
    <t xml:space="preserve">  (6)</t>
  </si>
  <si>
    <t>(7)</t>
  </si>
  <si>
    <t>October</t>
  </si>
  <si>
    <t>November</t>
  </si>
  <si>
    <t>RS, RS-LM-TOD, RS-TOD, RS-TOD2, RSD</t>
  </si>
  <si>
    <t>GS, SGS-TOD, MGS-TOD</t>
  </si>
  <si>
    <t>LGS, LGS-TOD</t>
  </si>
  <si>
    <t>LGS-LM-TOD</t>
  </si>
  <si>
    <t>IGS, CS-IRP</t>
  </si>
  <si>
    <t>MW</t>
  </si>
  <si>
    <t>OL</t>
  </si>
  <si>
    <t>SL</t>
  </si>
  <si>
    <t>/kWh</t>
  </si>
  <si>
    <t>/kW</t>
  </si>
  <si>
    <t>(4)</t>
  </si>
  <si>
    <t>(5)</t>
  </si>
  <si>
    <t>Purchased Power Adjustment</t>
  </si>
  <si>
    <t>Service Charge</t>
  </si>
  <si>
    <t>REA</t>
  </si>
  <si>
    <r>
      <t xml:space="preserve">Residential Energy Assistance </t>
    </r>
    <r>
      <rPr>
        <b/>
        <sz val="8"/>
        <color indexed="10"/>
        <rFont val="Arial"/>
        <family val="2"/>
      </rPr>
      <t>(Residential only)</t>
    </r>
  </si>
  <si>
    <r>
      <t xml:space="preserve">Kentucky Economic Develop. Surcharge </t>
    </r>
    <r>
      <rPr>
        <b/>
        <sz val="8"/>
        <color indexed="10"/>
        <rFont val="Arial"/>
        <family val="2"/>
      </rPr>
      <t>(Commercial Only)</t>
    </r>
  </si>
  <si>
    <t>November Bill</t>
  </si>
  <si>
    <t>To November Bill</t>
  </si>
  <si>
    <t>School Tax</t>
  </si>
  <si>
    <t>Subtotal Pre-Taxes</t>
  </si>
  <si>
    <t>Franchise Tax</t>
  </si>
  <si>
    <t>Securitization Financing Rider</t>
  </si>
  <si>
    <t>Usage</t>
  </si>
  <si>
    <t>Non % of Revenue Surcharges</t>
  </si>
  <si>
    <t>Settlement (Before Securitization)</t>
  </si>
  <si>
    <t>Settlement (After Securitization)</t>
  </si>
  <si>
    <r>
      <t>REA</t>
    </r>
    <r>
      <rPr>
        <vertAlign val="superscript"/>
        <sz val="8"/>
        <rFont val="Arial"/>
        <family val="2"/>
      </rPr>
      <t>1</t>
    </r>
  </si>
  <si>
    <r>
      <t>In its application, the Company proposed to increase the per meter monthly residential customer Tariff REA surcharge and corresponding one-for-one Company shareholder match from 0.30 to 0.40. (</t>
    </r>
    <r>
      <rPr>
        <i/>
        <sz val="10"/>
        <rFont val="Arial"/>
        <family val="2"/>
      </rPr>
      <t>Cobern Direct Testimony, pp. 5</t>
    </r>
    <r>
      <rPr>
        <sz val="10"/>
        <rFont val="Arial"/>
        <family val="2"/>
      </rPr>
      <t>). The Company has agreed to double its shareholder match from 0.40 to 0.80 (two-for-one match) per the Settlement Agreement. (</t>
    </r>
    <r>
      <rPr>
        <i/>
        <sz val="10"/>
        <rFont val="Arial"/>
        <family val="2"/>
      </rPr>
      <t>West Settlement Testimony S19</t>
    </r>
    <r>
      <rPr>
        <sz val="10"/>
        <rFont val="Arial"/>
        <family val="2"/>
      </rPr>
      <t>).</t>
    </r>
  </si>
  <si>
    <r>
      <t>The Distribution Reliability Rider is proposed to be a zero-start rider with the first rate going into effect April 2025. (</t>
    </r>
    <r>
      <rPr>
        <i/>
        <sz val="10"/>
        <rFont val="Arial"/>
        <family val="2"/>
      </rPr>
      <t>West Direct Testimony, pp. 17</t>
    </r>
    <r>
      <rPr>
        <sz val="10"/>
        <rFont val="Arial"/>
        <family val="2"/>
      </rPr>
      <t>).</t>
    </r>
  </si>
  <si>
    <r>
      <t>Purchase Power Adjustment</t>
    </r>
    <r>
      <rPr>
        <vertAlign val="superscript"/>
        <sz val="8"/>
        <rFont val="Arial"/>
        <family val="2"/>
      </rPr>
      <t>2</t>
    </r>
  </si>
  <si>
    <r>
      <t>Federal Tax Change</t>
    </r>
    <r>
      <rPr>
        <vertAlign val="superscript"/>
        <sz val="8"/>
        <rFont val="Arial"/>
        <family val="2"/>
      </rPr>
      <t>3</t>
    </r>
  </si>
  <si>
    <r>
      <t>Distribution Reliability Rider</t>
    </r>
    <r>
      <rPr>
        <vertAlign val="superscript"/>
        <sz val="8"/>
        <rFont val="Arial"/>
        <family val="2"/>
      </rPr>
      <t>4</t>
    </r>
  </si>
  <si>
    <r>
      <t>Decommissioning Rider</t>
    </r>
    <r>
      <rPr>
        <vertAlign val="superscript"/>
        <sz val="8"/>
        <rFont val="Arial"/>
        <family val="2"/>
      </rPr>
      <t>2</t>
    </r>
  </si>
  <si>
    <r>
      <t>Securitization Financing Rider</t>
    </r>
    <r>
      <rPr>
        <vertAlign val="superscript"/>
        <sz val="8"/>
        <rFont val="Arial"/>
        <family val="2"/>
      </rPr>
      <t>6</t>
    </r>
  </si>
  <si>
    <r>
      <t>KY Power Solar Credit</t>
    </r>
    <r>
      <rPr>
        <vertAlign val="superscript"/>
        <sz val="8"/>
        <rFont val="Arial"/>
        <family val="2"/>
      </rPr>
      <t>5</t>
    </r>
  </si>
  <si>
    <r>
      <t>The Securitization Financing Rider is designed to recover from customers the amounts necessary to service, repay, and administer customer-backed bonds associated with the approved securitized costs pursuant to the terms of the financing order of the Kentucky Public Service Commission in this proceeding. (</t>
    </r>
    <r>
      <rPr>
        <i/>
        <sz val="10"/>
        <rFont val="Arial"/>
        <family val="2"/>
      </rPr>
      <t>Spaeth Direct Testimony, pp. 20-22</t>
    </r>
    <r>
      <rPr>
        <sz val="10"/>
        <rFont val="Arial"/>
        <family val="2"/>
      </rPr>
      <t>).</t>
    </r>
  </si>
  <si>
    <r>
      <t>City's Franchise Fee</t>
    </r>
    <r>
      <rPr>
        <vertAlign val="superscript"/>
        <sz val="8"/>
        <rFont val="Arial"/>
        <family val="2"/>
      </rPr>
      <t>7</t>
    </r>
  </si>
  <si>
    <r>
      <t>The Company requested to change the name of the Franchise Tariff to City's Franchise Fee. (</t>
    </r>
    <r>
      <rPr>
        <i/>
        <sz val="10"/>
        <rFont val="Arial"/>
        <family val="2"/>
      </rPr>
      <t>Kahn Direct Testimony, pp. 15 and 20</t>
    </r>
    <r>
      <rPr>
        <sz val="10"/>
        <rFont val="Arial"/>
        <family val="2"/>
      </rPr>
      <t>).</t>
    </r>
  </si>
  <si>
    <r>
      <t>As a  measure to mitigate January 2024 bill impacts, Kentucky Power conditionally committed to suspending collection of the Decommissioning Rider and the Rockport Deferral (collected through Tariff PPA) upon implementation of base rates approved in this case. This commitment is predicated on a) Commission's approval of the Company's request to securitize the Decommissioning Rider and Rockport Deferral regulatory assets; b) Commission's authorization that the Company continue to accrue carrying charges at the Company's weighted average cost of capital until securitization bonds are issued; and c) securitized bonds being issued. (</t>
    </r>
    <r>
      <rPr>
        <i/>
        <sz val="10"/>
        <rFont val="Arial"/>
        <family val="2"/>
      </rPr>
      <t>Wiseman Direct Testimony, pp. 19</t>
    </r>
    <r>
      <rPr>
        <sz val="10"/>
        <rFont val="Arial"/>
        <family val="2"/>
      </rPr>
      <t xml:space="preserve">). The above assumes these conditions are met. </t>
    </r>
  </si>
  <si>
    <r>
      <t>The Company requested to change the name of the Federal Tax Cut Tariff to Federal Tax Change. (</t>
    </r>
    <r>
      <rPr>
        <i/>
        <sz val="10"/>
        <rFont val="Arial"/>
        <family val="2"/>
      </rPr>
      <t>Kahn Direct Testimony, pp. 17</t>
    </r>
    <r>
      <rPr>
        <sz val="10"/>
        <rFont val="Arial"/>
        <family val="2"/>
      </rPr>
      <t>). Further the application sought to include CAMT; however, the Settlement Agreement sets forth the Company will normalize CAMT and include the acrrued CAMT deferred tax asset in rate base. (</t>
    </r>
    <r>
      <rPr>
        <i/>
        <sz val="10"/>
        <rFont val="Arial"/>
        <family val="2"/>
      </rPr>
      <t>West Settlement Testimony, pp. S12</t>
    </r>
    <r>
      <rPr>
        <sz val="10"/>
        <rFont val="Arial"/>
        <family val="2"/>
      </rPr>
      <t>). Accordingly, CAMT will not flow-through Tariff FTC. Lastly, the Company will flow the ADIT benefit related to the Non-Decommissioning Rider Regulatory Assets approved for securitization back to customers through Tariff FTC at its Commission-approved WACC. (</t>
    </r>
    <r>
      <rPr>
        <i/>
        <sz val="10"/>
        <rFont val="Arial"/>
        <family val="2"/>
      </rPr>
      <t>West Settlement Testimony, pp S15</t>
    </r>
    <r>
      <rPr>
        <sz val="10"/>
        <rFont val="Arial"/>
        <family val="2"/>
      </rPr>
      <t>).</t>
    </r>
  </si>
  <si>
    <r>
      <t>In its application, the Company proposed distributed solar (Solar Gardens) with a low-income benefit option whereby 50% of the energy benefits from the Solar Gardens would go to customers participating in LIHEAP. (</t>
    </r>
    <r>
      <rPr>
        <i/>
        <sz val="10"/>
        <rFont val="Arial"/>
        <family val="2"/>
      </rPr>
      <t>Vaughan Direct Testimony, pp. 27-34</t>
    </r>
    <r>
      <rPr>
        <sz val="10"/>
        <rFont val="Arial"/>
        <family val="2"/>
      </rPr>
      <t>). Additionally, the Company provided language and bill example for this in response to KPSC 3-29. Timing of the first credit is unknown.</t>
    </r>
  </si>
  <si>
    <t>Application (Before Securitization)</t>
  </si>
  <si>
    <t>Application (After Securitization)</t>
  </si>
  <si>
    <t>The City’s Franchise Fee charge is not applicable to this sample bill because the customer was not located within a city’s limit for which the charge would apply.</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</si>
</sst>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000000_);_(&quot;$&quot;* \(#,##0.0000000\);_(&quot;$&quot;* &quot;-&quot;??_);_(@_)"/>
    <numFmt numFmtId="167" formatCode="0.000%"/>
    <numFmt numFmtId="168" formatCode="_(&quot;$&quot;* #,##0.000000_);_(&quot;$&quot;* \(#,##0.000000\);_(&quot;$&quot;* &quot;-&quot;??_);_(@_)"/>
    <numFmt numFmtId="169" formatCode="_(&quot;$&quot;* #,##0.00000000_);_(&quot;$&quot;* \(#,##0.00000000\);_(&quot;$&quot;* &quot;-&quot;??_);_(@_)"/>
    <numFmt numFmtId="170" formatCode="_(&quot;$&quot;* #,##0.00000_);_(&quot;$&quot;* \(#,##0.00000\);_(&quot;$&quot;* &quot;-&quot;??_);_(@_)"/>
    <numFmt numFmtId="171" formatCode="_(&quot;$&quot;* #,##0.00000000000_);_(&quot;$&quot;* \(#,##0.00000000000\);_(&quot;$&quot;* &quot;-&quot;??_);_(@_)"/>
    <numFmt numFmtId="172" formatCode="0.0000%"/>
    <numFmt numFmtId="173" formatCode="0.0%"/>
    <numFmt numFmtId="174" formatCode="_(&quot;$&quot;* #,##0.000_);_(&quot;$&quot;* \(#,##0.000\);_(&quot;$&quot;* &quot;-&quot;??_);_(@_)"/>
    <numFmt numFmtId="175" formatCode="_(&quot;$&quot;* #,##0.0000_);_(&quot;$&quot;* \(#,##0.0000\);_(&quot;$&quot;* &quot;-&quot;??_);_(@_)"/>
    <numFmt numFmtId="176" formatCode="_(* #,##0.0_);_(* \(#,##0.0\);_(* &quot;-&quot;?_);_(@_)"/>
    <numFmt numFmtId="177" formatCode="_(&quot;$&quot;* #,##0.0000000_);_(&quot;$&quot;* \(#,##0.0000000\);_(&quot;$&quot;* &quot;-&quot;???????_);_(@_)"/>
    <numFmt numFmtId="178" formatCode="_(* #,##0_);_(* \(#,##0\);_(* &quot;-&quot;?_);_(@_)"/>
    <numFmt numFmtId="179" formatCode="_(* #,##0.0_);_(* \(#,##0.0\);_(* &quot;-&quot;??_);_(@_)"/>
    <numFmt numFmtId="180" formatCode="#,##0.0"/>
    <numFmt numFmtId="181" formatCode="_(&quot;$&quot;* #,##0.00000_);_(&quot;$&quot;* \(#,##0.00000\);_(&quot;$&quot;* &quot;-&quot;?????_);_(@_)"/>
    <numFmt numFmtId="182" formatCode="0.00000"/>
    <numFmt numFmtId="183" formatCode="#,##0.000000"/>
    <numFmt numFmtId="184" formatCode="&quot;$&quot;#,##0.00"/>
    <numFmt numFmtId="185" formatCode="#,##0.0000000_);\(#,##0.0000000\)"/>
    <numFmt numFmtId="186" formatCode="0.00_);\(0.00\)"/>
    <numFmt numFmtId="187" formatCode="0.000000_);\(0.000000\)"/>
    <numFmt numFmtId="188" formatCode="#,##0.000000_);\(#,##0.000000\)"/>
    <numFmt numFmtId="189" formatCode="0.00000%"/>
    <numFmt numFmtId="190" formatCode="_(&quot;$&quot;* #,##0.000000000_);_(&quot;$&quot;* \(#,##0.000000000\);_(&quot;$&quot;* &quot;-&quot;??_);_(@_)"/>
    <numFmt numFmtId="191" formatCode="0.000000"/>
    <numFmt numFmtId="192" formatCode="0_);\(0\)"/>
    <numFmt numFmtId="193" formatCode="0.00000_);[Red]\(0.00000\)"/>
    <numFmt numFmtId="194" formatCode="[$-409]mmmm\ d\,\ yyyy;@"/>
    <numFmt numFmtId="195" formatCode="0.0000000_);[Red]\(0.0000000\)"/>
    <numFmt numFmtId="196" formatCode="0.000000_);[Red]\(0.000000\)"/>
    <numFmt numFmtId="197" formatCode="0.00_);[Red]\(0.00\)"/>
    <numFmt numFmtId="198" formatCode="_(&quot;$&quot;* #,##0.000000000000_);_(&quot;$&quot;* \(#,##0.000000000000\);_(&quot;$&quot;* &quot;-&quot;??_);_(@_)"/>
    <numFmt numFmtId="199" formatCode="_(&quot;$&quot;* #,##0.0000000000_);_(&quot;$&quot;* \(#,##0.0000000000\);_(&quot;$&quot;* &quot;-&quot;??_);_(@_)"/>
    <numFmt numFmtId="200" formatCode="0.0000"/>
    <numFmt numFmtId="201" formatCode="_(&quot;$&quot;* #,##0.0000_);_(&quot;$&quot;* \(#,##0.0000\);_(&quot;$&quot;* &quot;-&quot;????_);_(@_)"/>
    <numFmt numFmtId="202" formatCode="_(&quot;$&quot;* #,##0.000000_);_(&quot;$&quot;* \(#,##0.000000\);_(&quot;$&quot;* &quot;-&quot;??????_);_(@_)"/>
    <numFmt numFmtId="203" formatCode="_(&quot;$&quot;* #,##0.0_);_(&quot;$&quot;* \(#,##0.0\);_(&quot;$&quot;* &quot;-&quot;??_);_(@_)"/>
    <numFmt numFmtId="204" formatCode="_(&quot;$&quot;* #,##0_);_(&quot;$&quot;* \(#,##0\);_(&quot;$&quot;* &quot;-&quot;??_);_(@_)"/>
    <numFmt numFmtId="205" formatCode="_(* #,##0.000_);_(* \(#,##0.000\);_(* &quot;-&quot;??_);_(@_)"/>
  </numFmts>
  <fonts count="63">
    <font>
      <sz val="11"/>
      <color theme="1"/>
      <name val="Calibri"/>
      <family val="2"/>
    </font>
    <font>
      <sz val="11"/>
      <color indexed="8"/>
      <name val="Calibri"/>
      <family val="2"/>
    </font>
    <font>
      <sz val="10"/>
      <name val="Arial"/>
      <family val="2"/>
    </font>
    <font>
      <b/>
      <sz val="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name val="Arial MT"/>
      <family val="0"/>
    </font>
    <font>
      <sz val="10"/>
      <name val="MS Sans Serif"/>
      <family val="2"/>
    </font>
    <font>
      <b/>
      <sz val="10"/>
      <name val="MS Sans Serif"/>
      <family val="2"/>
    </font>
    <font>
      <sz val="10"/>
      <name val="Helv"/>
      <family val="0"/>
    </font>
    <font>
      <b/>
      <sz val="9"/>
      <name val="Tahoma"/>
      <family val="2"/>
    </font>
    <font>
      <sz val="9"/>
      <name val="Tahoma"/>
      <family val="2"/>
    </font>
    <font>
      <b/>
      <sz val="8"/>
      <color indexed="12"/>
      <name val="Arial"/>
      <family val="2"/>
    </font>
    <font>
      <b/>
      <sz val="8"/>
      <color indexed="10"/>
      <name val="Arial"/>
      <family val="2"/>
    </font>
    <font>
      <vertAlign val="superscript"/>
      <sz val="8"/>
      <name val="Arial"/>
      <family val="2"/>
    </font>
    <font>
      <i/>
      <sz val="10"/>
      <name val="Arial"/>
      <family val="2"/>
    </font>
    <font>
      <u val="single"/>
      <sz val="11"/>
      <color indexed="20"/>
      <name val="Calibri"/>
      <family val="2"/>
    </font>
    <font>
      <u val="single"/>
      <sz val="11"/>
      <color indexed="12"/>
      <name val="Calibri"/>
      <family val="2"/>
    </font>
    <font>
      <sz val="8"/>
      <color indexed="8"/>
      <name val="Arial"/>
      <family val="2"/>
    </font>
    <font>
      <b/>
      <sz val="10"/>
      <color indexed="12"/>
      <name val="Arial"/>
      <family val="2"/>
    </font>
    <font>
      <b/>
      <sz val="12"/>
      <color indexed="12"/>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rgb="FF0000FF"/>
      <name val="Arial"/>
      <family val="2"/>
    </font>
    <font>
      <b/>
      <sz val="10"/>
      <color rgb="FF0000FF"/>
      <name val="Arial"/>
      <family val="2"/>
    </font>
    <font>
      <b/>
      <sz val="12"/>
      <color rgb="FF0000FF"/>
      <name val="Arial"/>
      <family val="2"/>
    </font>
    <font>
      <b/>
      <sz val="8"/>
      <color theme="1"/>
      <name val="Arial"/>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mediumGray">
        <fgColor indexed="22"/>
      </patternFill>
    </fill>
    <fill>
      <patternFill patternType="solid">
        <fgColor theme="0" tint="-0.3499799966812134"/>
        <bgColor indexed="64"/>
      </patternFill>
    </fill>
    <fill>
      <patternFill patternType="solid">
        <fgColor rgb="FFCCFFCC"/>
        <bgColor indexed="64"/>
      </patternFill>
    </fill>
    <fill>
      <patternFill patternType="solid">
        <fgColor rgb="FFCC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thin"/>
      <right style="thin"/>
      <top>
        <color indexed="63"/>
      </top>
      <bottom style="thin"/>
    </border>
    <border>
      <left>
        <color indexed="63"/>
      </left>
      <right>
        <color indexed="63"/>
      </right>
      <top style="medium"/>
      <bottom>
        <color indexed="63"/>
      </bottom>
    </border>
    <border>
      <left/>
      <right style="medium"/>
      <top style="medium"/>
      <bottom/>
    </border>
    <border>
      <left>
        <color indexed="63"/>
      </left>
      <right style="medium"/>
      <top>
        <color indexed="63"/>
      </top>
      <bottom style="thin"/>
    </border>
    <border>
      <left>
        <color indexed="63"/>
      </left>
      <right style="medium"/>
      <top style="thin"/>
      <bottom style="double"/>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bottom style="medium"/>
    </border>
    <border>
      <left style="medium"/>
      <right style="medium"/>
      <top style="medium"/>
      <bottom style="medium"/>
    </border>
    <border>
      <left style="thin"/>
      <right style="thin"/>
      <top style="thin"/>
      <bottom style="thin"/>
    </border>
    <border>
      <left style="medium"/>
      <right style="medium"/>
      <top style="medium"/>
      <bottom/>
    </border>
    <border>
      <left style="medium"/>
      <right style="medium"/>
      <top/>
      <bottom/>
    </border>
    <border>
      <left style="medium"/>
      <right/>
      <top style="medium"/>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s>
  <cellStyleXfs count="5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39" fillId="24" borderId="0" applyNumberFormat="0" applyBorder="0" applyAlignment="0" applyProtection="0"/>
    <xf numFmtId="0" fontId="6" fillId="25" borderId="0" applyNumberFormat="0" applyBorder="0" applyAlignment="0" applyProtection="0"/>
    <xf numFmtId="0" fontId="39" fillId="26" borderId="0" applyNumberFormat="0" applyBorder="0" applyAlignment="0" applyProtection="0"/>
    <xf numFmtId="0" fontId="6" fillId="17" borderId="0" applyNumberFormat="0" applyBorder="0" applyAlignment="0" applyProtection="0"/>
    <xf numFmtId="0" fontId="39" fillId="27" borderId="0" applyNumberFormat="0" applyBorder="0" applyAlignment="0" applyProtection="0"/>
    <xf numFmtId="0" fontId="6" fillId="19" borderId="0" applyNumberFormat="0" applyBorder="0" applyAlignment="0" applyProtection="0"/>
    <xf numFmtId="0" fontId="39" fillId="28" borderId="0" applyNumberFormat="0" applyBorder="0" applyAlignment="0" applyProtection="0"/>
    <xf numFmtId="0" fontId="6" fillId="29" borderId="0" applyNumberFormat="0" applyBorder="0" applyAlignment="0" applyProtection="0"/>
    <xf numFmtId="0" fontId="39"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6" fillId="33" borderId="0" applyNumberFormat="0" applyBorder="0" applyAlignment="0" applyProtection="0"/>
    <xf numFmtId="0" fontId="39"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6" fillId="37" borderId="0" applyNumberFormat="0" applyBorder="0" applyAlignment="0" applyProtection="0"/>
    <xf numFmtId="0" fontId="39" fillId="38" borderId="0" applyNumberFormat="0" applyBorder="0" applyAlignment="0" applyProtection="0"/>
    <xf numFmtId="0" fontId="6" fillId="39" borderId="0" applyNumberFormat="0" applyBorder="0" applyAlignment="0" applyProtection="0"/>
    <xf numFmtId="0" fontId="39" fillId="40" borderId="0" applyNumberFormat="0" applyBorder="0" applyAlignment="0" applyProtection="0"/>
    <xf numFmtId="0" fontId="6" fillId="29" borderId="0" applyNumberFormat="0" applyBorder="0" applyAlignment="0" applyProtection="0"/>
    <xf numFmtId="0" fontId="39" fillId="41" borderId="0" applyNumberFormat="0" applyBorder="0" applyAlignment="0" applyProtection="0"/>
    <xf numFmtId="0" fontId="6" fillId="31" borderId="0" applyNumberFormat="0" applyBorder="0" applyAlignment="0" applyProtection="0"/>
    <xf numFmtId="0" fontId="39" fillId="42" borderId="0" applyNumberFormat="0" applyBorder="0" applyAlignment="0" applyProtection="0"/>
    <xf numFmtId="0" fontId="6" fillId="43" borderId="0" applyNumberFormat="0" applyBorder="0" applyAlignment="0" applyProtection="0"/>
    <xf numFmtId="0" fontId="40" fillId="44" borderId="0" applyNumberFormat="0" applyBorder="0" applyAlignment="0" applyProtection="0"/>
    <xf numFmtId="0" fontId="7" fillId="5" borderId="0" applyNumberFormat="0" applyBorder="0" applyAlignment="0" applyProtection="0"/>
    <xf numFmtId="0" fontId="41" fillId="45" borderId="1" applyNumberFormat="0" applyAlignment="0" applyProtection="0"/>
    <xf numFmtId="0" fontId="8" fillId="46" borderId="2" applyNumberFormat="0" applyAlignment="0" applyProtection="0"/>
    <xf numFmtId="0" fontId="4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11" fillId="7" borderId="0" applyNumberFormat="0" applyBorder="0" applyAlignment="0" applyProtection="0"/>
    <xf numFmtId="0" fontId="46" fillId="0" borderId="5" applyNumberFormat="0" applyFill="0" applyAlignment="0" applyProtection="0"/>
    <xf numFmtId="0" fontId="12" fillId="0" borderId="6" applyNumberFormat="0" applyFill="0" applyAlignment="0" applyProtection="0"/>
    <xf numFmtId="0" fontId="47" fillId="0" borderId="7" applyNumberFormat="0" applyFill="0" applyAlignment="0" applyProtection="0"/>
    <xf numFmtId="0" fontId="13" fillId="0" borderId="8" applyNumberFormat="0" applyFill="0" applyAlignment="0" applyProtection="0"/>
    <xf numFmtId="0" fontId="48" fillId="0" borderId="9" applyNumberFormat="0" applyFill="0" applyAlignment="0" applyProtection="0"/>
    <xf numFmtId="0" fontId="14" fillId="0" borderId="10" applyNumberFormat="0" applyFill="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15" fillId="13" borderId="2" applyNumberFormat="0" applyAlignment="0" applyProtection="0"/>
    <xf numFmtId="0" fontId="51" fillId="0" borderId="11" applyNumberFormat="0" applyFill="0" applyAlignment="0" applyProtection="0"/>
    <xf numFmtId="0" fontId="16" fillId="0" borderId="12" applyNumberFormat="0" applyFill="0" applyAlignment="0" applyProtection="0"/>
    <xf numFmtId="0" fontId="52" fillId="51" borderId="0" applyNumberFormat="0" applyBorder="0" applyAlignment="0" applyProtection="0"/>
    <xf numFmtId="0" fontId="17" fillId="52"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0" fontId="2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37" fontId="23" fillId="0" borderId="0">
      <alignment/>
      <protection/>
    </xf>
    <xf numFmtId="37" fontId="23" fillId="0" borderId="0">
      <alignment/>
      <protection/>
    </xf>
    <xf numFmtId="37" fontId="23" fillId="0" borderId="0">
      <alignment/>
      <protection/>
    </xf>
    <xf numFmtId="0" fontId="2" fillId="0" borderId="0">
      <alignment/>
      <protection/>
    </xf>
    <xf numFmtId="0" fontId="24" fillId="0" borderId="0">
      <alignment/>
      <protection/>
    </xf>
    <xf numFmtId="0" fontId="24" fillId="0" borderId="0">
      <alignment/>
      <protection/>
    </xf>
    <xf numFmtId="0" fontId="2" fillId="0" borderId="0">
      <alignment/>
      <protection/>
    </xf>
    <xf numFmtId="0" fontId="2" fillId="0" borderId="0">
      <alignment/>
      <protection/>
    </xf>
    <xf numFmtId="37" fontId="23"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4" fillId="0" borderId="0">
      <alignment/>
      <protection/>
    </xf>
    <xf numFmtId="0" fontId="2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5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8" fontId="26"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0" fontId="25" fillId="0" borderId="17">
      <alignment horizontal="center"/>
      <protection/>
    </xf>
    <xf numFmtId="0" fontId="25" fillId="0" borderId="17">
      <alignment horizontal="center"/>
      <protection/>
    </xf>
    <xf numFmtId="3" fontId="24" fillId="0" borderId="0" applyFont="0" applyFill="0" applyBorder="0" applyAlignment="0" applyProtection="0"/>
    <xf numFmtId="3" fontId="24" fillId="0" borderId="0" applyFont="0" applyFill="0" applyBorder="0" applyAlignment="0" applyProtection="0"/>
    <xf numFmtId="0" fontId="24" fillId="55" borderId="0" applyNumberFormat="0" applyFont="0" applyBorder="0" applyAlignment="0" applyProtection="0"/>
    <xf numFmtId="0" fontId="24" fillId="55" borderId="0" applyNumberFormat="0" applyFont="0" applyBorder="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0" borderId="18" applyNumberFormat="0" applyFill="0" applyAlignment="0" applyProtection="0"/>
    <xf numFmtId="0" fontId="20" fillId="0" borderId="19" applyNumberFormat="0" applyFill="0" applyAlignment="0" applyProtection="0"/>
    <xf numFmtId="0" fontId="56" fillId="0" borderId="0" applyNumberFormat="0" applyFill="0" applyBorder="0" applyAlignment="0" applyProtection="0"/>
    <xf numFmtId="0" fontId="21" fillId="0" borderId="0" applyNumberFormat="0" applyFill="0" applyBorder="0" applyAlignment="0" applyProtection="0"/>
  </cellStyleXfs>
  <cellXfs count="105">
    <xf numFmtId="0" fontId="0" fillId="0" borderId="0" xfId="0" applyFont="1" applyAlignment="1">
      <alignment/>
    </xf>
    <xf numFmtId="0" fontId="4" fillId="0" borderId="0" xfId="314" applyFont="1">
      <alignment/>
      <protection/>
    </xf>
    <xf numFmtId="0" fontId="2" fillId="0" borderId="0" xfId="314">
      <alignment/>
      <protection/>
    </xf>
    <xf numFmtId="0" fontId="5" fillId="0" borderId="0" xfId="314" applyFont="1" applyBorder="1">
      <alignment/>
      <protection/>
    </xf>
    <xf numFmtId="0" fontId="4" fillId="0" borderId="0" xfId="314" applyFont="1" applyBorder="1">
      <alignment/>
      <protection/>
    </xf>
    <xf numFmtId="0" fontId="2" fillId="0" borderId="0" xfId="314" applyBorder="1">
      <alignment/>
      <protection/>
    </xf>
    <xf numFmtId="44" fontId="5" fillId="0" borderId="20" xfId="257" applyFont="1" applyBorder="1" applyAlignment="1">
      <alignment/>
    </xf>
    <xf numFmtId="0" fontId="4" fillId="0" borderId="0" xfId="314" applyFont="1" applyBorder="1" applyAlignment="1">
      <alignment horizontal="center"/>
      <protection/>
    </xf>
    <xf numFmtId="0" fontId="4" fillId="0" borderId="0" xfId="314" applyFont="1" applyFill="1" applyBorder="1">
      <alignment/>
      <protection/>
    </xf>
    <xf numFmtId="165" fontId="4" fillId="0" borderId="0" xfId="155" applyNumberFormat="1" applyFont="1" applyBorder="1" applyAlignment="1">
      <alignment/>
    </xf>
    <xf numFmtId="44" fontId="4" fillId="0" borderId="0" xfId="257" applyFont="1" applyFill="1" applyBorder="1" applyAlignment="1">
      <alignment/>
    </xf>
    <xf numFmtId="0" fontId="4" fillId="0" borderId="0" xfId="314" applyFont="1" applyFill="1" applyBorder="1" applyAlignment="1">
      <alignment horizontal="center"/>
      <protection/>
    </xf>
    <xf numFmtId="170" fontId="4" fillId="0" borderId="0" xfId="257" applyNumberFormat="1" applyFont="1" applyFill="1" applyBorder="1" applyAlignment="1">
      <alignment/>
    </xf>
    <xf numFmtId="44" fontId="4" fillId="0" borderId="0" xfId="314" applyNumberFormat="1" applyFont="1" applyBorder="1">
      <alignment/>
      <protection/>
    </xf>
    <xf numFmtId="44" fontId="4" fillId="0" borderId="0" xfId="257" applyFont="1" applyBorder="1" applyAlignment="1">
      <alignment/>
    </xf>
    <xf numFmtId="0" fontId="2" fillId="0" borderId="0" xfId="314" applyFill="1">
      <alignment/>
      <protection/>
    </xf>
    <xf numFmtId="49" fontId="5" fillId="0" borderId="21" xfId="0" applyNumberFormat="1" applyFont="1" applyFill="1" applyBorder="1" applyAlignment="1">
      <alignment horizontal="center" vertical="top"/>
    </xf>
    <xf numFmtId="49" fontId="5" fillId="0" borderId="21" xfId="0" applyNumberFormat="1" applyFont="1" applyFill="1" applyBorder="1" applyAlignment="1">
      <alignment horizontal="center" vertical="top" wrapText="1"/>
    </xf>
    <xf numFmtId="192" fontId="5" fillId="0" borderId="21" xfId="0" applyNumberFormat="1" applyFont="1" applyFill="1" applyBorder="1" applyAlignment="1">
      <alignment horizontal="center" vertical="top"/>
    </xf>
    <xf numFmtId="0" fontId="4" fillId="0" borderId="22" xfId="314" applyFont="1" applyBorder="1">
      <alignment/>
      <protection/>
    </xf>
    <xf numFmtId="0" fontId="4" fillId="0" borderId="0" xfId="314" applyFont="1" applyBorder="1" applyAlignment="1">
      <alignment horizontal="left"/>
      <protection/>
    </xf>
    <xf numFmtId="44" fontId="5" fillId="0" borderId="23" xfId="257" applyFont="1" applyBorder="1" applyAlignment="1">
      <alignment/>
    </xf>
    <xf numFmtId="44" fontId="5" fillId="0" borderId="20" xfId="257" applyNumberFormat="1" applyFont="1" applyFill="1" applyBorder="1" applyAlignment="1">
      <alignment vertical="center"/>
    </xf>
    <xf numFmtId="44" fontId="4" fillId="0" borderId="20" xfId="257" applyFont="1" applyFill="1" applyBorder="1" applyAlignment="1">
      <alignment vertical="center"/>
    </xf>
    <xf numFmtId="44" fontId="4" fillId="0" borderId="20" xfId="257" applyFont="1" applyFill="1" applyBorder="1" applyAlignment="1">
      <alignment horizontal="right" vertical="center"/>
    </xf>
    <xf numFmtId="44" fontId="4" fillId="0" borderId="20" xfId="257" applyFont="1" applyFill="1" applyBorder="1" applyAlignment="1">
      <alignment horizontal="left" vertical="center"/>
    </xf>
    <xf numFmtId="44" fontId="4" fillId="0" borderId="24" xfId="257" applyFont="1" applyFill="1" applyBorder="1" applyAlignment="1">
      <alignment horizontal="left" vertical="center"/>
    </xf>
    <xf numFmtId="44" fontId="5" fillId="0" borderId="25" xfId="257" applyFont="1" applyBorder="1" applyAlignment="1">
      <alignment/>
    </xf>
    <xf numFmtId="44" fontId="5" fillId="0" borderId="20" xfId="257" applyNumberFormat="1" applyFont="1" applyFill="1" applyBorder="1" applyAlignment="1">
      <alignment horizontal="left" vertical="center"/>
    </xf>
    <xf numFmtId="44" fontId="5" fillId="0" borderId="20" xfId="257" applyFont="1" applyFill="1" applyBorder="1" applyAlignment="1">
      <alignment horizontal="left" vertical="center"/>
    </xf>
    <xf numFmtId="0" fontId="4" fillId="56" borderId="26" xfId="314" applyFont="1" applyFill="1" applyBorder="1" applyAlignment="1">
      <alignment horizontal="center"/>
      <protection/>
    </xf>
    <xf numFmtId="0" fontId="4" fillId="56" borderId="27" xfId="314" applyFont="1" applyFill="1" applyBorder="1" applyAlignment="1">
      <alignment horizontal="center"/>
      <protection/>
    </xf>
    <xf numFmtId="0" fontId="4" fillId="56" borderId="28" xfId="314" applyFont="1" applyFill="1" applyBorder="1" applyAlignment="1">
      <alignment horizontal="center"/>
      <protection/>
    </xf>
    <xf numFmtId="44" fontId="4" fillId="0" borderId="24" xfId="257" applyNumberFormat="1" applyFont="1" applyFill="1" applyBorder="1" applyAlignment="1">
      <alignment horizontal="right" vertical="center"/>
    </xf>
    <xf numFmtId="44" fontId="5" fillId="0" borderId="25" xfId="257" applyFont="1" applyFill="1" applyBorder="1" applyAlignment="1">
      <alignment/>
    </xf>
    <xf numFmtId="44" fontId="5" fillId="0" borderId="20" xfId="257" applyFont="1" applyFill="1" applyBorder="1" applyAlignment="1">
      <alignment vertical="center"/>
    </xf>
    <xf numFmtId="44" fontId="4" fillId="0" borderId="24" xfId="257" applyNumberFormat="1" applyFont="1" applyFill="1" applyBorder="1" applyAlignment="1">
      <alignment vertical="center"/>
    </xf>
    <xf numFmtId="0" fontId="29"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9" xfId="0" applyFont="1" applyFill="1" applyBorder="1" applyAlignment="1" quotePrefix="1">
      <alignment horizontal="center" vertical="center" wrapText="1"/>
    </xf>
    <xf numFmtId="193" fontId="4" fillId="0" borderId="21" xfId="0" applyNumberFormat="1" applyFont="1" applyFill="1" applyBorder="1" applyAlignment="1">
      <alignment wrapText="1"/>
    </xf>
    <xf numFmtId="194" fontId="4" fillId="0" borderId="31" xfId="0" applyNumberFormat="1" applyFont="1" applyFill="1" applyBorder="1" applyAlignment="1">
      <alignment/>
    </xf>
    <xf numFmtId="193" fontId="4" fillId="0" borderId="31" xfId="0" applyNumberFormat="1" applyFont="1" applyFill="1" applyBorder="1" applyAlignment="1">
      <alignment wrapText="1"/>
    </xf>
    <xf numFmtId="196" fontId="4" fillId="0" borderId="31" xfId="0" applyNumberFormat="1" applyFont="1" applyFill="1" applyBorder="1" applyAlignment="1">
      <alignment wrapText="1"/>
    </xf>
    <xf numFmtId="0" fontId="5" fillId="0" borderId="31" xfId="0" applyFont="1" applyFill="1" applyBorder="1" applyAlignment="1">
      <alignment/>
    </xf>
    <xf numFmtId="0" fontId="57" fillId="0" borderId="0" xfId="0" applyFont="1" applyFill="1" applyAlignment="1">
      <alignment/>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2" fillId="0" borderId="0" xfId="314" applyFill="1" applyAlignment="1">
      <alignment horizontal="right"/>
      <protection/>
    </xf>
    <xf numFmtId="0" fontId="4" fillId="0" borderId="0" xfId="314" applyFont="1" applyAlignment="1">
      <alignment horizontal="right"/>
      <protection/>
    </xf>
    <xf numFmtId="0" fontId="4" fillId="0" borderId="0" xfId="314" applyFont="1" applyBorder="1" applyAlignment="1">
      <alignment horizontal="right"/>
      <protection/>
    </xf>
    <xf numFmtId="0" fontId="4" fillId="56" borderId="27" xfId="314" applyFont="1" applyFill="1" applyBorder="1" applyAlignment="1">
      <alignment horizontal="right"/>
      <protection/>
    </xf>
    <xf numFmtId="0" fontId="5" fillId="0" borderId="22" xfId="314" applyFont="1" applyBorder="1" applyAlignment="1">
      <alignment horizontal="right"/>
      <protection/>
    </xf>
    <xf numFmtId="0" fontId="4" fillId="0" borderId="0" xfId="314" applyFont="1" applyBorder="1" applyAlignment="1" quotePrefix="1">
      <alignment horizontal="right"/>
      <protection/>
    </xf>
    <xf numFmtId="0" fontId="5" fillId="0" borderId="0" xfId="314" applyFont="1" applyBorder="1" applyAlignment="1">
      <alignment horizontal="right"/>
      <protection/>
    </xf>
    <xf numFmtId="0" fontId="2" fillId="0" borderId="0" xfId="314" applyAlignment="1">
      <alignment horizontal="right"/>
      <protection/>
    </xf>
    <xf numFmtId="44" fontId="4" fillId="0" borderId="0" xfId="257" applyFont="1" applyFill="1" applyBorder="1" applyAlignment="1">
      <alignment horizontal="center"/>
    </xf>
    <xf numFmtId="166" fontId="4" fillId="0" borderId="0" xfId="257" applyNumberFormat="1" applyFont="1" applyFill="1" applyBorder="1" applyAlignment="1">
      <alignment horizontal="center"/>
    </xf>
    <xf numFmtId="44" fontId="4" fillId="0" borderId="0" xfId="257" applyNumberFormat="1" applyFont="1" applyFill="1" applyBorder="1" applyAlignment="1">
      <alignment horizontal="center"/>
    </xf>
    <xf numFmtId="168" fontId="4" fillId="0" borderId="0" xfId="257" applyNumberFormat="1" applyFont="1" applyFill="1" applyBorder="1" applyAlignment="1">
      <alignment horizontal="center"/>
    </xf>
    <xf numFmtId="171" fontId="4" fillId="0" borderId="0" xfId="257" applyNumberFormat="1" applyFont="1" applyFill="1" applyBorder="1" applyAlignment="1">
      <alignment/>
    </xf>
    <xf numFmtId="172" fontId="4" fillId="0" borderId="0" xfId="436" applyNumberFormat="1" applyFont="1" applyFill="1" applyBorder="1" applyAlignment="1">
      <alignment horizontal="center"/>
    </xf>
    <xf numFmtId="0" fontId="58" fillId="0" borderId="34" xfId="314" applyFont="1" applyFill="1" applyBorder="1">
      <alignment/>
      <protection/>
    </xf>
    <xf numFmtId="0" fontId="58" fillId="0" borderId="22" xfId="314" applyFont="1" applyFill="1" applyBorder="1">
      <alignment/>
      <protection/>
    </xf>
    <xf numFmtId="44" fontId="58" fillId="0" borderId="23" xfId="314" applyNumberFormat="1" applyFont="1" applyFill="1" applyBorder="1">
      <alignment/>
      <protection/>
    </xf>
    <xf numFmtId="0" fontId="58" fillId="0" borderId="35" xfId="314" applyFont="1" applyFill="1" applyBorder="1">
      <alignment/>
      <protection/>
    </xf>
    <xf numFmtId="0" fontId="58" fillId="0" borderId="17" xfId="314" applyFont="1" applyFill="1" applyBorder="1">
      <alignment/>
      <protection/>
    </xf>
    <xf numFmtId="10" fontId="58" fillId="0" borderId="36" xfId="314" applyNumberFormat="1" applyFont="1" applyFill="1" applyBorder="1">
      <alignment/>
      <protection/>
    </xf>
    <xf numFmtId="0" fontId="59" fillId="0" borderId="0" xfId="314" applyFont="1" applyAlignment="1">
      <alignment/>
      <protection/>
    </xf>
    <xf numFmtId="44" fontId="4" fillId="57" borderId="0" xfId="257" applyFont="1" applyFill="1" applyBorder="1" applyAlignment="1">
      <alignment horizontal="center"/>
    </xf>
    <xf numFmtId="170" fontId="4" fillId="57" borderId="0" xfId="257" applyNumberFormat="1" applyFont="1" applyFill="1" applyBorder="1" applyAlignment="1">
      <alignment/>
    </xf>
    <xf numFmtId="44" fontId="4" fillId="57" borderId="0" xfId="257" applyNumberFormat="1" applyFont="1" applyFill="1" applyBorder="1" applyAlignment="1">
      <alignment horizontal="center"/>
    </xf>
    <xf numFmtId="168" fontId="4" fillId="57" borderId="0" xfId="257" applyNumberFormat="1" applyFont="1" applyFill="1" applyBorder="1" applyAlignment="1">
      <alignment horizontal="center"/>
    </xf>
    <xf numFmtId="172" fontId="4" fillId="57" borderId="0" xfId="436" applyNumberFormat="1" applyFont="1" applyFill="1" applyBorder="1" applyAlignment="1">
      <alignment horizontal="center"/>
    </xf>
    <xf numFmtId="0" fontId="3" fillId="58" borderId="37" xfId="314" applyFont="1" applyFill="1" applyBorder="1" applyAlignment="1">
      <alignment horizontal="center" vertical="center"/>
      <protection/>
    </xf>
    <xf numFmtId="0" fontId="4" fillId="0" borderId="27" xfId="314" applyFont="1" applyBorder="1">
      <alignment/>
      <protection/>
    </xf>
    <xf numFmtId="0" fontId="4" fillId="0" borderId="27" xfId="314" applyFont="1" applyBorder="1" applyAlignment="1">
      <alignment horizontal="right"/>
      <protection/>
    </xf>
    <xf numFmtId="0" fontId="4" fillId="0" borderId="38" xfId="314" applyFont="1" applyBorder="1" applyAlignment="1">
      <alignment horizontal="center"/>
      <protection/>
    </xf>
    <xf numFmtId="0" fontId="5" fillId="0" borderId="27" xfId="314" applyFont="1" applyBorder="1">
      <alignment/>
      <protection/>
    </xf>
    <xf numFmtId="3" fontId="5" fillId="0" borderId="27" xfId="314" applyNumberFormat="1" applyFont="1" applyFill="1" applyBorder="1">
      <alignment/>
      <protection/>
    </xf>
    <xf numFmtId="0" fontId="4" fillId="57" borderId="0" xfId="314" applyFont="1" applyFill="1" applyBorder="1">
      <alignment/>
      <protection/>
    </xf>
    <xf numFmtId="0" fontId="2" fillId="0" borderId="0" xfId="314" applyAlignment="1">
      <alignment vertical="top"/>
      <protection/>
    </xf>
    <xf numFmtId="44" fontId="2" fillId="0" borderId="0" xfId="314" applyNumberFormat="1" applyFill="1">
      <alignment/>
      <protection/>
    </xf>
    <xf numFmtId="44" fontId="4" fillId="0" borderId="0" xfId="314" applyNumberFormat="1" applyFont="1" applyFill="1" applyBorder="1">
      <alignment/>
      <protection/>
    </xf>
    <xf numFmtId="0" fontId="4" fillId="0" borderId="0" xfId="314" applyFont="1" applyFill="1" applyBorder="1" applyAlignment="1">
      <alignment horizontal="right"/>
      <protection/>
    </xf>
    <xf numFmtId="0" fontId="3" fillId="58" borderId="34" xfId="314" applyFont="1" applyFill="1" applyBorder="1" applyAlignment="1">
      <alignment horizontal="center" vertical="center" wrapText="1"/>
      <protection/>
    </xf>
    <xf numFmtId="0" fontId="3" fillId="58" borderId="39" xfId="314" applyFont="1" applyFill="1" applyBorder="1" applyAlignment="1">
      <alignment horizontal="center" vertical="center" wrapText="1"/>
      <protection/>
    </xf>
    <xf numFmtId="0" fontId="3" fillId="58" borderId="35" xfId="314" applyFont="1" applyFill="1" applyBorder="1" applyAlignment="1">
      <alignment horizontal="center" vertical="center" wrapText="1"/>
      <protection/>
    </xf>
    <xf numFmtId="0" fontId="60" fillId="0" borderId="0" xfId="314" applyFont="1" applyFill="1" applyAlignment="1">
      <alignment horizontal="left"/>
      <protection/>
    </xf>
    <xf numFmtId="0" fontId="2" fillId="0" borderId="0" xfId="314" applyAlignment="1">
      <alignment horizontal="left" vertical="top" wrapText="1"/>
      <protection/>
    </xf>
    <xf numFmtId="0" fontId="5" fillId="0" borderId="3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61" fillId="0" borderId="17" xfId="0" applyFont="1" applyFill="1" applyBorder="1" applyAlignment="1">
      <alignment horizontal="center"/>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3" xfId="0" applyFont="1" applyFill="1" applyBorder="1" applyAlignment="1">
      <alignment horizontal="center" vertical="center" wrapText="1"/>
    </xf>
    <xf numFmtId="191" fontId="29" fillId="0" borderId="32" xfId="0" applyNumberFormat="1" applyFont="1" applyFill="1" applyBorder="1" applyAlignment="1">
      <alignment horizontal="center" vertical="center" wrapText="1"/>
    </xf>
    <xf numFmtId="191" fontId="29" fillId="0" borderId="33" xfId="0" applyNumberFormat="1" applyFont="1" applyFill="1" applyBorder="1" applyAlignment="1">
      <alignment horizontal="center" vertical="center" wrapText="1"/>
    </xf>
    <xf numFmtId="191" fontId="29" fillId="0" borderId="29" xfId="0" applyNumberFormat="1" applyFont="1" applyFill="1" applyBorder="1" applyAlignment="1">
      <alignment horizontal="center" vertical="center" wrapText="1"/>
    </xf>
    <xf numFmtId="191" fontId="5" fillId="0" borderId="34" xfId="0" applyNumberFormat="1" applyFont="1" applyFill="1" applyBorder="1" applyAlignment="1">
      <alignment horizontal="center" vertical="center"/>
    </xf>
    <xf numFmtId="191" fontId="5" fillId="0" borderId="23" xfId="0" applyNumberFormat="1" applyFont="1" applyFill="1" applyBorder="1" applyAlignment="1">
      <alignment horizontal="center" vertical="center"/>
    </xf>
    <xf numFmtId="191" fontId="5" fillId="0" borderId="35" xfId="0" applyNumberFormat="1" applyFont="1" applyFill="1" applyBorder="1" applyAlignment="1">
      <alignment horizontal="center" vertical="center"/>
    </xf>
    <xf numFmtId="191" fontId="5" fillId="0" borderId="36" xfId="0" applyNumberFormat="1" applyFont="1" applyFill="1" applyBorder="1" applyAlignment="1">
      <alignment horizontal="center" vertical="center"/>
    </xf>
  </cellXfs>
  <cellStyles count="514">
    <cellStyle name="Normal" xfId="0"/>
    <cellStyle name="20% - Accent1" xfId="15"/>
    <cellStyle name="20% - Accent1 2" xfId="16"/>
    <cellStyle name="20% - Accent1 3" xfId="17"/>
    <cellStyle name="20% - Accent1 3 2" xfId="18"/>
    <cellStyle name="20% - Accent1 3 3" xfId="19"/>
    <cellStyle name="20% - Accent1 3 4" xfId="20"/>
    <cellStyle name="20% - Accent1 4" xfId="21"/>
    <cellStyle name="20% - Accent1 5" xfId="22"/>
    <cellStyle name="20% - Accent1 6" xfId="23"/>
    <cellStyle name="20% - Accent2" xfId="24"/>
    <cellStyle name="20% - Accent2 2" xfId="25"/>
    <cellStyle name="20% - Accent2 3" xfId="26"/>
    <cellStyle name="20% - Accent2 3 2" xfId="27"/>
    <cellStyle name="20% - Accent2 3 3" xfId="28"/>
    <cellStyle name="20% - Accent2 3 4" xfId="29"/>
    <cellStyle name="20% - Accent2 4" xfId="30"/>
    <cellStyle name="20% - Accent2 5" xfId="31"/>
    <cellStyle name="20% - Accent2 6" xfId="32"/>
    <cellStyle name="20% - Accent3" xfId="33"/>
    <cellStyle name="20% - Accent3 2" xfId="34"/>
    <cellStyle name="20% - Accent3 3" xfId="35"/>
    <cellStyle name="20% - Accent3 3 2" xfId="36"/>
    <cellStyle name="20% - Accent3 3 3" xfId="37"/>
    <cellStyle name="20% - Accent3 3 4" xfId="38"/>
    <cellStyle name="20% - Accent3 4" xfId="39"/>
    <cellStyle name="20% - Accent3 5" xfId="40"/>
    <cellStyle name="20% - Accent3 6" xfId="41"/>
    <cellStyle name="20% - Accent4" xfId="42"/>
    <cellStyle name="20% - Accent4 2" xfId="43"/>
    <cellStyle name="20% - Accent4 3" xfId="44"/>
    <cellStyle name="20% - Accent4 3 2" xfId="45"/>
    <cellStyle name="20% - Accent4 3 3" xfId="46"/>
    <cellStyle name="20% - Accent4 3 4" xfId="47"/>
    <cellStyle name="20% - Accent4 4" xfId="48"/>
    <cellStyle name="20% - Accent4 5" xfId="49"/>
    <cellStyle name="20% - Accent4 6" xfId="50"/>
    <cellStyle name="20% - Accent5" xfId="51"/>
    <cellStyle name="20% - Accent5 2" xfId="52"/>
    <cellStyle name="20% - Accent5 3" xfId="53"/>
    <cellStyle name="20% - Accent5 3 2" xfId="54"/>
    <cellStyle name="20% - Accent5 3 3" xfId="55"/>
    <cellStyle name="20% - Accent5 3 4" xfId="56"/>
    <cellStyle name="20% - Accent5 4" xfId="57"/>
    <cellStyle name="20% - Accent5 5" xfId="58"/>
    <cellStyle name="20% - Accent5 6" xfId="59"/>
    <cellStyle name="20% - Accent6" xfId="60"/>
    <cellStyle name="20% - Accent6 2" xfId="61"/>
    <cellStyle name="20% - Accent6 3" xfId="62"/>
    <cellStyle name="20% - Accent6 3 2" xfId="63"/>
    <cellStyle name="20% - Accent6 3 3" xfId="64"/>
    <cellStyle name="20% - Accent6 3 4" xfId="65"/>
    <cellStyle name="20% - Accent6 4" xfId="66"/>
    <cellStyle name="20% - Accent6 5" xfId="67"/>
    <cellStyle name="20% - Accent6 6" xfId="68"/>
    <cellStyle name="40% - Accent1" xfId="69"/>
    <cellStyle name="40% - Accent1 2" xfId="70"/>
    <cellStyle name="40% - Accent1 3" xfId="71"/>
    <cellStyle name="40% - Accent1 3 2" xfId="72"/>
    <cellStyle name="40% - Accent1 3 3" xfId="73"/>
    <cellStyle name="40% - Accent1 3 4" xfId="74"/>
    <cellStyle name="40% - Accent1 4" xfId="75"/>
    <cellStyle name="40% - Accent1 5" xfId="76"/>
    <cellStyle name="40% - Accent1 6" xfId="77"/>
    <cellStyle name="40% - Accent2" xfId="78"/>
    <cellStyle name="40% - Accent2 2" xfId="79"/>
    <cellStyle name="40% - Accent2 3" xfId="80"/>
    <cellStyle name="40% - Accent2 3 2" xfId="81"/>
    <cellStyle name="40% - Accent2 3 3" xfId="82"/>
    <cellStyle name="40% - Accent2 3 4" xfId="83"/>
    <cellStyle name="40% - Accent2 4" xfId="84"/>
    <cellStyle name="40% - Accent2 5" xfId="85"/>
    <cellStyle name="40% - Accent2 6" xfId="86"/>
    <cellStyle name="40% - Accent3" xfId="87"/>
    <cellStyle name="40% - Accent3 2" xfId="88"/>
    <cellStyle name="40% - Accent3 3" xfId="89"/>
    <cellStyle name="40% - Accent3 3 2" xfId="90"/>
    <cellStyle name="40% - Accent3 3 3" xfId="91"/>
    <cellStyle name="40% - Accent3 3 4" xfId="92"/>
    <cellStyle name="40% - Accent3 4" xfId="93"/>
    <cellStyle name="40% - Accent3 5" xfId="94"/>
    <cellStyle name="40% - Accent3 6" xfId="95"/>
    <cellStyle name="40% - Accent4" xfId="96"/>
    <cellStyle name="40% - Accent4 2" xfId="97"/>
    <cellStyle name="40% - Accent4 3" xfId="98"/>
    <cellStyle name="40% - Accent4 3 2" xfId="99"/>
    <cellStyle name="40% - Accent4 3 3" xfId="100"/>
    <cellStyle name="40% - Accent4 3 4" xfId="101"/>
    <cellStyle name="40% - Accent4 4" xfId="102"/>
    <cellStyle name="40% - Accent4 5" xfId="103"/>
    <cellStyle name="40% - Accent4 6" xfId="104"/>
    <cellStyle name="40% - Accent5" xfId="105"/>
    <cellStyle name="40% - Accent5 2" xfId="106"/>
    <cellStyle name="40% - Accent5 3" xfId="107"/>
    <cellStyle name="40% - Accent5 3 2" xfId="108"/>
    <cellStyle name="40% - Accent5 3 3" xfId="109"/>
    <cellStyle name="40% - Accent5 3 4" xfId="110"/>
    <cellStyle name="40% - Accent5 4" xfId="111"/>
    <cellStyle name="40% - Accent5 5" xfId="112"/>
    <cellStyle name="40% - Accent5 6" xfId="113"/>
    <cellStyle name="40% - Accent6" xfId="114"/>
    <cellStyle name="40% - Accent6 2" xfId="115"/>
    <cellStyle name="40% - Accent6 3" xfId="116"/>
    <cellStyle name="40% - Accent6 3 2" xfId="117"/>
    <cellStyle name="40% - Accent6 3 3" xfId="118"/>
    <cellStyle name="40% - Accent6 3 4" xfId="119"/>
    <cellStyle name="40% - Accent6 4" xfId="120"/>
    <cellStyle name="40% - Accent6 5" xfId="121"/>
    <cellStyle name="40% - Accent6 6" xfId="122"/>
    <cellStyle name="60% - Accent1" xfId="123"/>
    <cellStyle name="60% - Accent1 2" xfId="124"/>
    <cellStyle name="60% - Accent2" xfId="125"/>
    <cellStyle name="60% - Accent2 2" xfId="126"/>
    <cellStyle name="60% - Accent3" xfId="127"/>
    <cellStyle name="60% - Accent3 2" xfId="128"/>
    <cellStyle name="60% - Accent4" xfId="129"/>
    <cellStyle name="60% - Accent4 2" xfId="130"/>
    <cellStyle name="60% - Accent5" xfId="131"/>
    <cellStyle name="60% - Accent5 2" xfId="132"/>
    <cellStyle name="60% - Accent6" xfId="133"/>
    <cellStyle name="60% - Accent6 2" xfId="134"/>
    <cellStyle name="Accent1" xfId="135"/>
    <cellStyle name="Accent1 2" xfId="136"/>
    <cellStyle name="Accent2" xfId="137"/>
    <cellStyle name="Accent2 2" xfId="138"/>
    <cellStyle name="Accent3" xfId="139"/>
    <cellStyle name="Accent3 2" xfId="140"/>
    <cellStyle name="Accent4" xfId="141"/>
    <cellStyle name="Accent4 2" xfId="142"/>
    <cellStyle name="Accent5" xfId="143"/>
    <cellStyle name="Accent5 2" xfId="144"/>
    <cellStyle name="Accent6" xfId="145"/>
    <cellStyle name="Accent6 2" xfId="146"/>
    <cellStyle name="Bad" xfId="147"/>
    <cellStyle name="Bad 2" xfId="148"/>
    <cellStyle name="Calculation" xfId="149"/>
    <cellStyle name="Calculation 2" xfId="150"/>
    <cellStyle name="Check Cell" xfId="151"/>
    <cellStyle name="Check Cell 2" xfId="152"/>
    <cellStyle name="Comma" xfId="153"/>
    <cellStyle name="Comma [0]" xfId="154"/>
    <cellStyle name="Comma 2" xfId="155"/>
    <cellStyle name="Comma 2 2" xfId="156"/>
    <cellStyle name="Comma 2 2 2" xfId="157"/>
    <cellStyle name="Comma 2 2 2 2" xfId="158"/>
    <cellStyle name="Comma 2 2 2 2 2" xfId="159"/>
    <cellStyle name="Comma 2 2 2 3" xfId="160"/>
    <cellStyle name="Comma 2 2 3" xfId="161"/>
    <cellStyle name="Comma 2 2 3 2" xfId="162"/>
    <cellStyle name="Comma 2 2 3 2 2" xfId="163"/>
    <cellStyle name="Comma 2 2 3 3" xfId="164"/>
    <cellStyle name="Comma 2 2 4" xfId="165"/>
    <cellStyle name="Comma 2 2 4 2" xfId="166"/>
    <cellStyle name="Comma 2 2 4 2 2" xfId="167"/>
    <cellStyle name="Comma 2 2 4 3" xfId="168"/>
    <cellStyle name="Comma 2 2 5" xfId="169"/>
    <cellStyle name="Comma 2 3" xfId="170"/>
    <cellStyle name="Comma 2 3 2" xfId="171"/>
    <cellStyle name="Comma 2 3 2 2" xfId="172"/>
    <cellStyle name="Comma 2 3 2 2 2" xfId="173"/>
    <cellStyle name="Comma 2 3 2 3" xfId="174"/>
    <cellStyle name="Comma 2 3 3" xfId="175"/>
    <cellStyle name="Comma 2 3 3 2" xfId="176"/>
    <cellStyle name="Comma 2 3 3 2 2" xfId="177"/>
    <cellStyle name="Comma 2 3 3 3" xfId="178"/>
    <cellStyle name="Comma 2 3 4" xfId="179"/>
    <cellStyle name="Comma 2 3 4 2" xfId="180"/>
    <cellStyle name="Comma 2 3 4 2 2" xfId="181"/>
    <cellStyle name="Comma 2 3 4 3" xfId="182"/>
    <cellStyle name="Comma 2 3 5" xfId="183"/>
    <cellStyle name="Comma 2 4" xfId="184"/>
    <cellStyle name="Comma 2 4 2" xfId="185"/>
    <cellStyle name="Comma 2 4 2 2" xfId="186"/>
    <cellStyle name="Comma 2 4 3" xfId="187"/>
    <cellStyle name="Comma 2 5" xfId="188"/>
    <cellStyle name="Comma 2 5 2" xfId="189"/>
    <cellStyle name="Comma 2 5 2 2" xfId="190"/>
    <cellStyle name="Comma 2 5 3" xfId="191"/>
    <cellStyle name="Comma 2 6" xfId="192"/>
    <cellStyle name="Comma 2 6 2" xfId="193"/>
    <cellStyle name="Comma 2 6 2 2" xfId="194"/>
    <cellStyle name="Comma 2 6 3" xfId="195"/>
    <cellStyle name="Comma 2 7" xfId="196"/>
    <cellStyle name="Comma 2 8" xfId="197"/>
    <cellStyle name="Comma 2 8 2" xfId="198"/>
    <cellStyle name="Comma 3" xfId="199"/>
    <cellStyle name="Comma 3 2" xfId="200"/>
    <cellStyle name="Comma 3 2 2" xfId="201"/>
    <cellStyle name="Comma 3 2 2 2" xfId="202"/>
    <cellStyle name="Comma 3 2 3" xfId="203"/>
    <cellStyle name="Comma 3 3" xfId="204"/>
    <cellStyle name="Comma 3 3 2" xfId="205"/>
    <cellStyle name="Comma 3 3 2 2" xfId="206"/>
    <cellStyle name="Comma 3 3 3" xfId="207"/>
    <cellStyle name="Comma 3 4" xfId="208"/>
    <cellStyle name="Comma 3 4 2" xfId="209"/>
    <cellStyle name="Comma 3 4 2 2" xfId="210"/>
    <cellStyle name="Comma 3 4 3" xfId="211"/>
    <cellStyle name="Comma 3 5" xfId="212"/>
    <cellStyle name="Comma 3 5 2" xfId="213"/>
    <cellStyle name="Comma 3 5 2 2" xfId="214"/>
    <cellStyle name="Comma 3 5 2 2 2" xfId="215"/>
    <cellStyle name="Comma 3 5 2 2 3" xfId="216"/>
    <cellStyle name="Comma 3 5 2 2 4" xfId="217"/>
    <cellStyle name="Comma 3 5 2 3" xfId="218"/>
    <cellStyle name="Comma 3 5 2 4" xfId="219"/>
    <cellStyle name="Comma 3 5 2 5" xfId="220"/>
    <cellStyle name="Comma 3 5 3" xfId="221"/>
    <cellStyle name="Comma 3 5 3 2" xfId="222"/>
    <cellStyle name="Comma 3 5 3 3" xfId="223"/>
    <cellStyle name="Comma 3 5 3 4" xfId="224"/>
    <cellStyle name="Comma 3 5 4" xfId="225"/>
    <cellStyle name="Comma 3 5 5" xfId="226"/>
    <cellStyle name="Comma 3 5 6" xfId="227"/>
    <cellStyle name="Comma 3 6" xfId="228"/>
    <cellStyle name="Comma 4" xfId="229"/>
    <cellStyle name="Comma 4 2" xfId="230"/>
    <cellStyle name="Comma 5" xfId="231"/>
    <cellStyle name="Comma 5 2" xfId="232"/>
    <cellStyle name="Comma 6" xfId="233"/>
    <cellStyle name="Comma 6 2" xfId="234"/>
    <cellStyle name="Comma 6 3" xfId="235"/>
    <cellStyle name="Comma 6 4" xfId="236"/>
    <cellStyle name="Comma 7" xfId="237"/>
    <cellStyle name="Comma 7 2" xfId="238"/>
    <cellStyle name="Comma 7 2 2" xfId="239"/>
    <cellStyle name="Comma 7 2 2 2" xfId="240"/>
    <cellStyle name="Comma 7 2 2 3" xfId="241"/>
    <cellStyle name="Comma 7 2 2 4" xfId="242"/>
    <cellStyle name="Comma 7 2 3" xfId="243"/>
    <cellStyle name="Comma 7 2 4" xfId="244"/>
    <cellStyle name="Comma 7 2 5" xfId="245"/>
    <cellStyle name="Comma 7 3" xfId="246"/>
    <cellStyle name="Comma 7 3 2" xfId="247"/>
    <cellStyle name="Comma 7 3 3" xfId="248"/>
    <cellStyle name="Comma 7 3 4" xfId="249"/>
    <cellStyle name="Comma 7 4" xfId="250"/>
    <cellStyle name="Comma 7 5" xfId="251"/>
    <cellStyle name="Comma 7 6" xfId="252"/>
    <cellStyle name="Comma 8" xfId="253"/>
    <cellStyle name="Comma 9" xfId="254"/>
    <cellStyle name="Currency" xfId="255"/>
    <cellStyle name="Currency [0]" xfId="256"/>
    <cellStyle name="Currency 2" xfId="257"/>
    <cellStyle name="Currency 2 2" xfId="258"/>
    <cellStyle name="Currency 2 2 2" xfId="259"/>
    <cellStyle name="Currency 2 2 3" xfId="260"/>
    <cellStyle name="Currency 2 2 3 2" xfId="261"/>
    <cellStyle name="Currency 2 3" xfId="262"/>
    <cellStyle name="Currency 2 3 2" xfId="263"/>
    <cellStyle name="Currency 2 3 2 2" xfId="264"/>
    <cellStyle name="Currency 2 3 3" xfId="265"/>
    <cellStyle name="Currency 2 4" xfId="266"/>
    <cellStyle name="Currency 2 4 2" xfId="267"/>
    <cellStyle name="Currency 2 4 2 2" xfId="268"/>
    <cellStyle name="Currency 2 4 3" xfId="269"/>
    <cellStyle name="Currency 2 5" xfId="270"/>
    <cellStyle name="Currency 2 5 2" xfId="271"/>
    <cellStyle name="Currency 3" xfId="272"/>
    <cellStyle name="Currency 4" xfId="273"/>
    <cellStyle name="Currency 5" xfId="274"/>
    <cellStyle name="Currency 5 2" xfId="275"/>
    <cellStyle name="Currency 5 2 2" xfId="276"/>
    <cellStyle name="Currency 5 2 3" xfId="277"/>
    <cellStyle name="Currency 5 2 4" xfId="278"/>
    <cellStyle name="Currency 5 3" xfId="279"/>
    <cellStyle name="Currency 5 4" xfId="280"/>
    <cellStyle name="Currency 5 5" xfId="281"/>
    <cellStyle name="Currency 6" xfId="282"/>
    <cellStyle name="Currency 7" xfId="283"/>
    <cellStyle name="Currency 7 2" xfId="284"/>
    <cellStyle name="Currency 7 3" xfId="285"/>
    <cellStyle name="Currency 7 4" xfId="286"/>
    <cellStyle name="Currency 8" xfId="287"/>
    <cellStyle name="Currency 9" xfId="288"/>
    <cellStyle name="Explanatory Text" xfId="289"/>
    <cellStyle name="Explanatory Text 2" xfId="290"/>
    <cellStyle name="Followed Hyperlink" xfId="291"/>
    <cellStyle name="Good" xfId="292"/>
    <cellStyle name="Good 2" xfId="293"/>
    <cellStyle name="Heading 1" xfId="294"/>
    <cellStyle name="Heading 1 2" xfId="295"/>
    <cellStyle name="Heading 2" xfId="296"/>
    <cellStyle name="Heading 2 2" xfId="297"/>
    <cellStyle name="Heading 3" xfId="298"/>
    <cellStyle name="Heading 3 2" xfId="299"/>
    <cellStyle name="Heading 4" xfId="300"/>
    <cellStyle name="Heading 4 2" xfId="301"/>
    <cellStyle name="Hyperlink" xfId="302"/>
    <cellStyle name="Input" xfId="303"/>
    <cellStyle name="Input 2" xfId="304"/>
    <cellStyle name="Linked Cell" xfId="305"/>
    <cellStyle name="Linked Cell 2" xfId="306"/>
    <cellStyle name="Neutral" xfId="307"/>
    <cellStyle name="Neutral 2" xfId="308"/>
    <cellStyle name="Normal 10" xfId="309"/>
    <cellStyle name="Normal 11" xfId="310"/>
    <cellStyle name="Normal 12" xfId="311"/>
    <cellStyle name="Normal 13" xfId="312"/>
    <cellStyle name="Normal 14" xfId="313"/>
    <cellStyle name="Normal 2" xfId="314"/>
    <cellStyle name="Normal 2 2" xfId="315"/>
    <cellStyle name="Normal 2 2 2" xfId="316"/>
    <cellStyle name="Normal 2 2 2 2" xfId="317"/>
    <cellStyle name="Normal 2 2 2 2 2" xfId="318"/>
    <cellStyle name="Normal 2 2 2 3" xfId="319"/>
    <cellStyle name="Normal 2 2 3" xfId="320"/>
    <cellStyle name="Normal 2 2 3 2" xfId="321"/>
    <cellStyle name="Normal 2 2 3 2 2" xfId="322"/>
    <cellStyle name="Normal 2 2 3 3" xfId="323"/>
    <cellStyle name="Normal 2 2 4" xfId="324"/>
    <cellStyle name="Normal 2 2 4 2" xfId="325"/>
    <cellStyle name="Normal 2 2 4 2 2" xfId="326"/>
    <cellStyle name="Normal 2 2 4 3" xfId="327"/>
    <cellStyle name="Normal 2 2 5" xfId="328"/>
    <cellStyle name="Normal 2 2 5 2" xfId="329"/>
    <cellStyle name="Normal 2 2 6" xfId="330"/>
    <cellStyle name="Normal 2 3" xfId="331"/>
    <cellStyle name="Normal 2 3 2" xfId="332"/>
    <cellStyle name="Normal 2 3 2 2" xfId="333"/>
    <cellStyle name="Normal 2 3 2 2 2" xfId="334"/>
    <cellStyle name="Normal 2 3 2 3" xfId="335"/>
    <cellStyle name="Normal 2 3 3" xfId="336"/>
    <cellStyle name="Normal 2 3 3 2" xfId="337"/>
    <cellStyle name="Normal 2 3 3 2 2" xfId="338"/>
    <cellStyle name="Normal 2 3 3 3" xfId="339"/>
    <cellStyle name="Normal 2 3 4" xfId="340"/>
    <cellStyle name="Normal 2 3 4 2" xfId="341"/>
    <cellStyle name="Normal 2 3 4 2 2" xfId="342"/>
    <cellStyle name="Normal 2 3 4 3" xfId="343"/>
    <cellStyle name="Normal 2 3 5" xfId="344"/>
    <cellStyle name="Normal 2 4" xfId="345"/>
    <cellStyle name="Normal 2 5" xfId="346"/>
    <cellStyle name="Normal 2 6" xfId="347"/>
    <cellStyle name="Normal 3" xfId="348"/>
    <cellStyle name="Normal 3 2" xfId="349"/>
    <cellStyle name="Normal 3 3" xfId="350"/>
    <cellStyle name="Normal 3 3 2" xfId="351"/>
    <cellStyle name="Normal 3 4" xfId="352"/>
    <cellStyle name="Normal 3 4 2" xfId="353"/>
    <cellStyle name="Normal 3 5" xfId="354"/>
    <cellStyle name="Normal 4" xfId="355"/>
    <cellStyle name="Normal 4 2" xfId="356"/>
    <cellStyle name="Normal 4 2 2" xfId="357"/>
    <cellStyle name="Normal 4 3" xfId="358"/>
    <cellStyle name="Normal 4 3 2" xfId="359"/>
    <cellStyle name="Normal 4 3 2 2" xfId="360"/>
    <cellStyle name="Normal 4 3 2 3" xfId="361"/>
    <cellStyle name="Normal 4 3 2 4" xfId="362"/>
    <cellStyle name="Normal 4 3 3" xfId="363"/>
    <cellStyle name="Normal 4 3 4" xfId="364"/>
    <cellStyle name="Normal 4 3 5" xfId="365"/>
    <cellStyle name="Normal 4 4" xfId="366"/>
    <cellStyle name="Normal 4 4 2" xfId="367"/>
    <cellStyle name="Normal 4 4 3" xfId="368"/>
    <cellStyle name="Normal 4 4 4" xfId="369"/>
    <cellStyle name="Normal 4 5" xfId="370"/>
    <cellStyle name="Normal 4 6" xfId="371"/>
    <cellStyle name="Normal 4 7" xfId="372"/>
    <cellStyle name="Normal 5" xfId="373"/>
    <cellStyle name="Normal 5 2" xfId="374"/>
    <cellStyle name="Normal 5 2 2" xfId="375"/>
    <cellStyle name="Normal 6" xfId="376"/>
    <cellStyle name="Normal 6 2" xfId="377"/>
    <cellStyle name="Normal 6 2 2" xfId="378"/>
    <cellStyle name="Normal 6 2 2 2" xfId="379"/>
    <cellStyle name="Normal 6 2 2 2 2" xfId="380"/>
    <cellStyle name="Normal 6 2 2 2 3" xfId="381"/>
    <cellStyle name="Normal 6 2 2 2 4" xfId="382"/>
    <cellStyle name="Normal 6 2 2 3" xfId="383"/>
    <cellStyle name="Normal 6 2 2 4" xfId="384"/>
    <cellStyle name="Normal 6 2 2 5" xfId="385"/>
    <cellStyle name="Normal 6 2 3" xfId="386"/>
    <cellStyle name="Normal 6 2 3 2" xfId="387"/>
    <cellStyle name="Normal 6 2 3 3" xfId="388"/>
    <cellStyle name="Normal 6 2 3 4" xfId="389"/>
    <cellStyle name="Normal 6 2 4" xfId="390"/>
    <cellStyle name="Normal 6 2 5" xfId="391"/>
    <cellStyle name="Normal 6 2 6" xfId="392"/>
    <cellStyle name="Normal 7" xfId="393"/>
    <cellStyle name="Normal 8" xfId="394"/>
    <cellStyle name="Normal 8 2" xfId="395"/>
    <cellStyle name="Normal 8 2 2" xfId="396"/>
    <cellStyle name="Normal 8 2 3" xfId="397"/>
    <cellStyle name="Normal 8 2 4" xfId="398"/>
    <cellStyle name="Normal 8 3" xfId="399"/>
    <cellStyle name="Normal 8 4" xfId="400"/>
    <cellStyle name="Normal 8 5" xfId="401"/>
    <cellStyle name="Normal 9" xfId="402"/>
    <cellStyle name="Normal 9 2" xfId="403"/>
    <cellStyle name="Normal 9 3" xfId="404"/>
    <cellStyle name="Normal 9 4" xfId="405"/>
    <cellStyle name="Note" xfId="406"/>
    <cellStyle name="Note 2" xfId="407"/>
    <cellStyle name="Note 2 2" xfId="408"/>
    <cellStyle name="Note 2 2 2" xfId="409"/>
    <cellStyle name="Note 2 3" xfId="410"/>
    <cellStyle name="Note 3" xfId="411"/>
    <cellStyle name="Note 3 2" xfId="412"/>
    <cellStyle name="Note 3 2 2" xfId="413"/>
    <cellStyle name="Note 3 3" xfId="414"/>
    <cellStyle name="Note 4" xfId="415"/>
    <cellStyle name="Note 4 2" xfId="416"/>
    <cellStyle name="Note 4 2 2" xfId="417"/>
    <cellStyle name="Note 4 3" xfId="418"/>
    <cellStyle name="Note 5" xfId="419"/>
    <cellStyle name="Note 5 2" xfId="420"/>
    <cellStyle name="Note 6" xfId="421"/>
    <cellStyle name="Note 6 2" xfId="422"/>
    <cellStyle name="Note 6 2 2" xfId="423"/>
    <cellStyle name="Note 6 2 3" xfId="424"/>
    <cellStyle name="Note 6 2 4" xfId="425"/>
    <cellStyle name="Note 6 3" xfId="426"/>
    <cellStyle name="Note 6 4" xfId="427"/>
    <cellStyle name="Note 6 5" xfId="428"/>
    <cellStyle name="Note 7" xfId="429"/>
    <cellStyle name="Note 7 2" xfId="430"/>
    <cellStyle name="Note 7 3" xfId="431"/>
    <cellStyle name="Note 7 4" xfId="432"/>
    <cellStyle name="Note 8" xfId="433"/>
    <cellStyle name="Output" xfId="434"/>
    <cellStyle name="Output 2" xfId="435"/>
    <cellStyle name="Percent" xfId="436"/>
    <cellStyle name="Percent 2" xfId="437"/>
    <cellStyle name="Percent 2 2" xfId="438"/>
    <cellStyle name="Percent 2 2 2" xfId="439"/>
    <cellStyle name="Percent 2 2 2 2" xfId="440"/>
    <cellStyle name="Percent 2 2 2 2 2" xfId="441"/>
    <cellStyle name="Percent 2 2 2 3" xfId="442"/>
    <cellStyle name="Percent 2 2 3" xfId="443"/>
    <cellStyle name="Percent 2 2 3 2" xfId="444"/>
    <cellStyle name="Percent 2 2 3 2 2" xfId="445"/>
    <cellStyle name="Percent 2 2 3 3" xfId="446"/>
    <cellStyle name="Percent 2 2 4" xfId="447"/>
    <cellStyle name="Percent 2 2 4 2" xfId="448"/>
    <cellStyle name="Percent 2 2 4 2 2" xfId="449"/>
    <cellStyle name="Percent 2 2 4 3" xfId="450"/>
    <cellStyle name="Percent 2 2 5" xfId="451"/>
    <cellStyle name="Percent 2 3" xfId="452"/>
    <cellStyle name="Percent 2 3 2" xfId="453"/>
    <cellStyle name="Percent 2 3 2 2" xfId="454"/>
    <cellStyle name="Percent 2 3 2 2 2" xfId="455"/>
    <cellStyle name="Percent 2 3 2 3" xfId="456"/>
    <cellStyle name="Percent 2 3 3" xfId="457"/>
    <cellStyle name="Percent 2 3 3 2" xfId="458"/>
    <cellStyle name="Percent 2 3 3 2 2" xfId="459"/>
    <cellStyle name="Percent 2 3 3 3" xfId="460"/>
    <cellStyle name="Percent 2 3 4" xfId="461"/>
    <cellStyle name="Percent 2 3 4 2" xfId="462"/>
    <cellStyle name="Percent 2 3 4 2 2" xfId="463"/>
    <cellStyle name="Percent 2 3 4 3" xfId="464"/>
    <cellStyle name="Percent 2 3 5" xfId="465"/>
    <cellStyle name="Percent 2 4" xfId="466"/>
    <cellStyle name="Percent 2 4 2" xfId="467"/>
    <cellStyle name="Percent 2 4 2 2" xfId="468"/>
    <cellStyle name="Percent 2 4 3" xfId="469"/>
    <cellStyle name="Percent 2 5" xfId="470"/>
    <cellStyle name="Percent 2 5 2" xfId="471"/>
    <cellStyle name="Percent 2 5 2 2" xfId="472"/>
    <cellStyle name="Percent 2 5 3" xfId="473"/>
    <cellStyle name="Percent 2 6" xfId="474"/>
    <cellStyle name="Percent 2 6 2" xfId="475"/>
    <cellStyle name="Percent 2 6 2 2" xfId="476"/>
    <cellStyle name="Percent 2 6 3" xfId="477"/>
    <cellStyle name="Percent 2 7" xfId="478"/>
    <cellStyle name="Percent 3" xfId="479"/>
    <cellStyle name="Percent 3 2" xfId="480"/>
    <cellStyle name="Percent 3 2 2" xfId="481"/>
    <cellStyle name="Percent 3 2 2 2" xfId="482"/>
    <cellStyle name="Percent 3 2 3" xfId="483"/>
    <cellStyle name="Percent 3 3" xfId="484"/>
    <cellStyle name="Percent 3 3 2" xfId="485"/>
    <cellStyle name="Percent 3 3 2 2" xfId="486"/>
    <cellStyle name="Percent 3 3 3" xfId="487"/>
    <cellStyle name="Percent 3 4" xfId="488"/>
    <cellStyle name="Percent 3 4 2" xfId="489"/>
    <cellStyle name="Percent 3 4 2 2" xfId="490"/>
    <cellStyle name="Percent 3 4 3" xfId="491"/>
    <cellStyle name="Percent 3 5" xfId="492"/>
    <cellStyle name="Percent 3 5 2" xfId="493"/>
    <cellStyle name="Percent 3 6" xfId="494"/>
    <cellStyle name="Percent 4" xfId="495"/>
    <cellStyle name="Percent 5" xfId="496"/>
    <cellStyle name="Percent 5 2" xfId="497"/>
    <cellStyle name="Percent 6" xfId="498"/>
    <cellStyle name="Percent 6 2" xfId="499"/>
    <cellStyle name="Percent 6 3" xfId="500"/>
    <cellStyle name="Percent 6 4" xfId="501"/>
    <cellStyle name="Percent 7" xfId="502"/>
    <cellStyle name="Percent 8" xfId="503"/>
    <cellStyle name="Percent 9" xfId="504"/>
    <cellStyle name="PSChar" xfId="505"/>
    <cellStyle name="PSChar 2" xfId="506"/>
    <cellStyle name="PSChar 2 2" xfId="507"/>
    <cellStyle name="PSChar 3" xfId="508"/>
    <cellStyle name="PSChar 3 2" xfId="509"/>
    <cellStyle name="PSDate" xfId="510"/>
    <cellStyle name="PSDate 2" xfId="511"/>
    <cellStyle name="PSDec" xfId="512"/>
    <cellStyle name="PSDec 2" xfId="513"/>
    <cellStyle name="PSDec 2 2" xfId="514"/>
    <cellStyle name="PSDec 3" xfId="515"/>
    <cellStyle name="PSHeading" xfId="516"/>
    <cellStyle name="PSHeading 2" xfId="517"/>
    <cellStyle name="PSInt" xfId="518"/>
    <cellStyle name="PSInt 2" xfId="519"/>
    <cellStyle name="PSSpacer" xfId="520"/>
    <cellStyle name="PSSpacer 2" xfId="521"/>
    <cellStyle name="Title" xfId="522"/>
    <cellStyle name="Title 2" xfId="523"/>
    <cellStyle name="Total" xfId="524"/>
    <cellStyle name="Total 2" xfId="525"/>
    <cellStyle name="Warning Text" xfId="526"/>
    <cellStyle name="Warning Text 2" xfId="5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3</xdr:row>
      <xdr:rowOff>114300</xdr:rowOff>
    </xdr:from>
    <xdr:to>
      <xdr:col>31</xdr:col>
      <xdr:colOff>133350</xdr:colOff>
      <xdr:row>81</xdr:row>
      <xdr:rowOff>104775</xdr:rowOff>
    </xdr:to>
    <xdr:pic>
      <xdr:nvPicPr>
        <xdr:cNvPr id="1" name="Picture 1"/>
        <xdr:cNvPicPr preferRelativeResize="1">
          <a:picLocks noChangeAspect="1"/>
        </xdr:cNvPicPr>
      </xdr:nvPicPr>
      <xdr:blipFill>
        <a:blip r:embed="rId1"/>
        <a:stretch>
          <a:fillRect/>
        </a:stretch>
      </xdr:blipFill>
      <xdr:spPr>
        <a:xfrm>
          <a:off x="10610850" y="600075"/>
          <a:ext cx="9544050" cy="1227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352425</xdr:colOff>
      <xdr:row>4</xdr:row>
      <xdr:rowOff>57150</xdr:rowOff>
    </xdr:from>
    <xdr:to>
      <xdr:col>27</xdr:col>
      <xdr:colOff>504825</xdr:colOff>
      <xdr:row>63</xdr:row>
      <xdr:rowOff>114300</xdr:rowOff>
    </xdr:to>
    <xdr:pic>
      <xdr:nvPicPr>
        <xdr:cNvPr id="1" name="Picture 2"/>
        <xdr:cNvPicPr preferRelativeResize="1">
          <a:picLocks noChangeAspect="1"/>
        </xdr:cNvPicPr>
      </xdr:nvPicPr>
      <xdr:blipFill>
        <a:blip r:embed="rId1"/>
        <a:stretch>
          <a:fillRect/>
        </a:stretch>
      </xdr:blipFill>
      <xdr:spPr>
        <a:xfrm>
          <a:off x="10925175" y="704850"/>
          <a:ext cx="7239000" cy="9353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5</xdr:row>
      <xdr:rowOff>0</xdr:rowOff>
    </xdr:from>
    <xdr:to>
      <xdr:col>29</xdr:col>
      <xdr:colOff>247650</xdr:colOff>
      <xdr:row>67</xdr:row>
      <xdr:rowOff>123825</xdr:rowOff>
    </xdr:to>
    <xdr:pic>
      <xdr:nvPicPr>
        <xdr:cNvPr id="1" name="Picture 2"/>
        <xdr:cNvPicPr preferRelativeResize="1">
          <a:picLocks noChangeAspect="1"/>
        </xdr:cNvPicPr>
      </xdr:nvPicPr>
      <xdr:blipFill>
        <a:blip r:embed="rId1"/>
        <a:stretch>
          <a:fillRect/>
        </a:stretch>
      </xdr:blipFill>
      <xdr:spPr>
        <a:xfrm>
          <a:off x="11163300" y="723900"/>
          <a:ext cx="7924800" cy="9991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9FF99"/>
    <pageSetUpPr fitToPage="1"/>
  </sheetPr>
  <dimension ref="B1:M154"/>
  <sheetViews>
    <sheetView showGridLines="0"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N4" sqref="N4"/>
    </sheetView>
  </sheetViews>
  <sheetFormatPr defaultColWidth="8.8515625" defaultRowHeight="15"/>
  <cols>
    <col min="1" max="1" width="5.57421875" style="2" customWidth="1"/>
    <col min="2" max="2" width="15.7109375" style="2" customWidth="1"/>
    <col min="3" max="3" width="24.140625" style="2" customWidth="1"/>
    <col min="4" max="4" width="5.140625" style="2" customWidth="1"/>
    <col min="5" max="5" width="11.57421875" style="2" customWidth="1"/>
    <col min="6" max="6" width="7.00390625" style="2" customWidth="1"/>
    <col min="7" max="7" width="11.57421875" style="2" customWidth="1"/>
    <col min="8" max="8" width="15.421875" style="55" customWidth="1"/>
    <col min="9" max="9" width="14.00390625" style="2" customWidth="1"/>
    <col min="10" max="10" width="4.140625" style="2" customWidth="1"/>
    <col min="11" max="16384" width="8.8515625" style="2" customWidth="1"/>
  </cols>
  <sheetData>
    <row r="1" s="15" customFormat="1" ht="12.75">
      <c r="H1" s="48"/>
    </row>
    <row r="2" spans="2:9" s="15" customFormat="1" ht="12.75" customHeight="1">
      <c r="B2" s="88" t="s">
        <v>12</v>
      </c>
      <c r="C2" s="88"/>
      <c r="D2" s="88"/>
      <c r="E2" s="88"/>
      <c r="F2" s="88"/>
      <c r="G2" s="88"/>
      <c r="H2" s="88"/>
      <c r="I2" s="88"/>
    </row>
    <row r="3" spans="2:9" ht="12.75" customHeight="1" thickBot="1">
      <c r="B3" s="68" t="s">
        <v>38</v>
      </c>
      <c r="C3" s="1"/>
      <c r="D3" s="1"/>
      <c r="E3" s="1"/>
      <c r="F3" s="1"/>
      <c r="G3" s="1"/>
      <c r="H3" s="49"/>
      <c r="I3" s="1"/>
    </row>
    <row r="4" spans="2:9" ht="12.75" customHeight="1" thickBot="1">
      <c r="B4" s="74" t="s">
        <v>62</v>
      </c>
      <c r="C4" s="78"/>
      <c r="D4" s="79">
        <v>613</v>
      </c>
      <c r="E4" s="78" t="s">
        <v>1</v>
      </c>
      <c r="F4" s="75"/>
      <c r="G4" s="75"/>
      <c r="H4" s="76"/>
      <c r="I4" s="77"/>
    </row>
    <row r="5" spans="2:9" ht="6" customHeight="1" thickBot="1">
      <c r="B5" s="30"/>
      <c r="C5" s="31"/>
      <c r="D5" s="31"/>
      <c r="E5" s="31"/>
      <c r="F5" s="31"/>
      <c r="G5" s="31"/>
      <c r="H5" s="51"/>
      <c r="I5" s="32"/>
    </row>
    <row r="6" spans="2:9" ht="12.75" customHeight="1">
      <c r="B6" s="85" t="s">
        <v>56</v>
      </c>
      <c r="C6" s="19"/>
      <c r="D6" s="19"/>
      <c r="E6" s="19"/>
      <c r="F6" s="19"/>
      <c r="G6" s="19"/>
      <c r="H6" s="52"/>
      <c r="I6" s="21"/>
    </row>
    <row r="7" spans="2:9" ht="12.75" customHeight="1">
      <c r="B7" s="86"/>
      <c r="C7" s="20" t="s">
        <v>52</v>
      </c>
      <c r="D7" s="4"/>
      <c r="E7" s="4">
        <v>1</v>
      </c>
      <c r="F7" s="7" t="s">
        <v>2</v>
      </c>
      <c r="G7" s="56">
        <v>17.5</v>
      </c>
      <c r="H7" s="53"/>
      <c r="I7" s="23">
        <f>G7</f>
        <v>17.5</v>
      </c>
    </row>
    <row r="8" spans="2:9" ht="12.75" customHeight="1">
      <c r="B8" s="86"/>
      <c r="C8" s="4" t="s">
        <v>14</v>
      </c>
      <c r="D8" s="4"/>
      <c r="E8" s="9">
        <f>$D$4</f>
        <v>613</v>
      </c>
      <c r="F8" s="7" t="s">
        <v>2</v>
      </c>
      <c r="G8" s="12">
        <v>0.10799</v>
      </c>
      <c r="H8" s="50"/>
      <c r="I8" s="36">
        <f>E8*G8</f>
        <v>66.19787</v>
      </c>
    </row>
    <row r="9" spans="2:9" ht="12.75" customHeight="1">
      <c r="B9" s="86"/>
      <c r="C9" s="4"/>
      <c r="D9" s="5"/>
      <c r="E9" s="10"/>
      <c r="F9" s="11"/>
      <c r="G9" s="10"/>
      <c r="H9" s="54" t="s">
        <v>3</v>
      </c>
      <c r="I9" s="35">
        <f>SUM(I7:I8)</f>
        <v>83.69787</v>
      </c>
    </row>
    <row r="10" spans="2:9" ht="12.75" customHeight="1">
      <c r="B10" s="86"/>
      <c r="C10" s="4"/>
      <c r="D10" s="5"/>
      <c r="E10" s="10"/>
      <c r="F10" s="11"/>
      <c r="G10" s="10"/>
      <c r="H10" s="54"/>
      <c r="I10" s="22"/>
    </row>
    <row r="11" spans="2:9" ht="12.75" customHeight="1">
      <c r="B11" s="86"/>
      <c r="C11" s="4" t="s">
        <v>4</v>
      </c>
      <c r="D11" s="4"/>
      <c r="E11" s="9">
        <f>$D$4</f>
        <v>613</v>
      </c>
      <c r="F11" s="7" t="s">
        <v>2</v>
      </c>
      <c r="G11" s="57">
        <f>VLOOKUP($B$3,'Surcharge Factors'!$A$4:$AB$9,3,0)</f>
        <v>0.00745</v>
      </c>
      <c r="H11" s="50"/>
      <c r="I11" s="23">
        <f>E11*G11</f>
        <v>4.56685</v>
      </c>
    </row>
    <row r="12" spans="2:9" ht="12.75" customHeight="1">
      <c r="B12" s="86"/>
      <c r="C12" s="4" t="s">
        <v>5</v>
      </c>
      <c r="D12" s="4"/>
      <c r="E12" s="9">
        <f>$D$4</f>
        <v>613</v>
      </c>
      <c r="F12" s="7" t="s">
        <v>2</v>
      </c>
      <c r="G12" s="57">
        <f>VLOOKUP($B$3,'Surcharge Factors'!$A$4:$AB$9,4,0)</f>
        <v>0.00016</v>
      </c>
      <c r="H12" s="50" t="s">
        <v>0</v>
      </c>
      <c r="I12" s="24">
        <f>E12*G12</f>
        <v>0.09808000000000001</v>
      </c>
    </row>
    <row r="13" spans="2:9" ht="12.75" customHeight="1">
      <c r="B13" s="86"/>
      <c r="C13" s="4" t="s">
        <v>53</v>
      </c>
      <c r="D13" s="4"/>
      <c r="E13" s="9">
        <v>1</v>
      </c>
      <c r="F13" s="7" t="s">
        <v>2</v>
      </c>
      <c r="G13" s="58">
        <f>VLOOKUP($B$3,'Surcharge Factors'!$A$4:$AB$9,12,0)</f>
        <v>0.3</v>
      </c>
      <c r="H13" s="50"/>
      <c r="I13" s="25">
        <f>G13*E13</f>
        <v>0.3</v>
      </c>
    </row>
    <row r="14" spans="2:9" ht="12.75" customHeight="1">
      <c r="B14" s="86"/>
      <c r="C14" s="4" t="s">
        <v>13</v>
      </c>
      <c r="D14" s="4"/>
      <c r="E14" s="9">
        <f>$D$4</f>
        <v>613</v>
      </c>
      <c r="F14" s="7" t="s">
        <v>2</v>
      </c>
      <c r="G14" s="59">
        <f>VLOOKUP($B$3,'Surcharge Factors'!$A$4:$AB$9,10,0)</f>
        <v>0.000247</v>
      </c>
      <c r="H14" s="50"/>
      <c r="I14" s="25">
        <f>E14*G14</f>
        <v>0.151411</v>
      </c>
    </row>
    <row r="15" spans="2:9" ht="12.75" customHeight="1">
      <c r="B15" s="86"/>
      <c r="C15" s="4" t="s">
        <v>10</v>
      </c>
      <c r="D15" s="4"/>
      <c r="E15" s="9">
        <f>$D$4</f>
        <v>613</v>
      </c>
      <c r="F15" s="7" t="s">
        <v>2</v>
      </c>
      <c r="G15" s="59">
        <f>VLOOKUP($B$3,'Surcharge Factors'!$A$4:$AB$9,18,0)</f>
        <v>0.00558</v>
      </c>
      <c r="H15" s="50"/>
      <c r="I15" s="25">
        <f>E15*G15</f>
        <v>3.42054</v>
      </c>
    </row>
    <row r="16" spans="2:9" ht="12.75" customHeight="1">
      <c r="B16" s="86"/>
      <c r="C16" s="4" t="s">
        <v>21</v>
      </c>
      <c r="D16" s="4"/>
      <c r="E16" s="9">
        <f>$D$4</f>
        <v>613</v>
      </c>
      <c r="F16" s="7" t="s">
        <v>2</v>
      </c>
      <c r="G16" s="59">
        <f>VLOOKUP($B$3,'Surcharge Factors'!$A$4:$AB$9,16,0)</f>
        <v>-0.0001</v>
      </c>
      <c r="H16" s="50"/>
      <c r="I16" s="26">
        <f>E16*G16</f>
        <v>-0.0613</v>
      </c>
    </row>
    <row r="17" spans="2:9" ht="12.75" customHeight="1">
      <c r="B17" s="86"/>
      <c r="C17" s="4"/>
      <c r="D17" s="4"/>
      <c r="E17" s="9"/>
      <c r="F17" s="7"/>
      <c r="G17" s="12"/>
      <c r="H17" s="54" t="s">
        <v>63</v>
      </c>
      <c r="I17" s="28">
        <f>(SUM(I11:I16))</f>
        <v>8.475581000000002</v>
      </c>
    </row>
    <row r="18" spans="2:9" ht="12.75" customHeight="1">
      <c r="B18" s="86"/>
      <c r="C18" s="4"/>
      <c r="D18" s="5"/>
      <c r="E18" s="4"/>
      <c r="F18" s="7"/>
      <c r="G18" s="60"/>
      <c r="H18" s="54"/>
      <c r="I18" s="29"/>
    </row>
    <row r="19" spans="2:9" ht="12.75" customHeight="1">
      <c r="B19" s="86"/>
      <c r="C19" s="4" t="s">
        <v>11</v>
      </c>
      <c r="D19" s="3"/>
      <c r="E19" s="13">
        <f>+I9+I17</f>
        <v>92.173451</v>
      </c>
      <c r="F19" s="7" t="s">
        <v>2</v>
      </c>
      <c r="G19" s="61">
        <f>VLOOKUP($B$3,'Surcharge Factors'!$A$4:$AB$9,14,0)</f>
        <v>0.044078</v>
      </c>
      <c r="H19" s="50"/>
      <c r="I19" s="25">
        <f>E19*G19</f>
        <v>4.062821373178</v>
      </c>
    </row>
    <row r="20" spans="2:9" ht="12.75" customHeight="1">
      <c r="B20" s="86"/>
      <c r="C20" s="4" t="s">
        <v>6</v>
      </c>
      <c r="D20" s="4"/>
      <c r="E20" s="14">
        <f>+I9+I17</f>
        <v>92.173451</v>
      </c>
      <c r="F20" s="7" t="s">
        <v>2</v>
      </c>
      <c r="G20" s="61">
        <f>VLOOKUP($B$3,'Surcharge Factors'!$A$4:$AB$9,8,0)</f>
        <v>0.018473</v>
      </c>
      <c r="H20" s="50"/>
      <c r="I20" s="33">
        <f>ROUND(+E20*G20,3)</f>
        <v>1.703</v>
      </c>
    </row>
    <row r="21" spans="2:9" ht="12.75" customHeight="1" thickBot="1">
      <c r="B21" s="86"/>
      <c r="C21" s="4"/>
      <c r="D21" s="4"/>
      <c r="E21" s="4"/>
      <c r="F21" s="4"/>
      <c r="G21" s="8"/>
      <c r="H21" s="54" t="s">
        <v>59</v>
      </c>
      <c r="I21" s="34">
        <f>+I9+I17+I19+I20</f>
        <v>97.939272373178</v>
      </c>
    </row>
    <row r="22" spans="2:9" ht="12.75" customHeight="1" thickTop="1">
      <c r="B22" s="86"/>
      <c r="C22" s="4"/>
      <c r="D22" s="4"/>
      <c r="E22" s="4"/>
      <c r="F22" s="4"/>
      <c r="G22" s="8"/>
      <c r="H22" s="54"/>
      <c r="I22" s="6"/>
    </row>
    <row r="23" spans="2:9" ht="12.75" customHeight="1">
      <c r="B23" s="86"/>
      <c r="C23" s="4" t="s">
        <v>58</v>
      </c>
      <c r="D23" s="4"/>
      <c r="E23" s="13">
        <f>+I21</f>
        <v>97.939272373178</v>
      </c>
      <c r="F23" s="7" t="s">
        <v>2</v>
      </c>
      <c r="G23" s="61">
        <v>0.03</v>
      </c>
      <c r="H23" s="50"/>
      <c r="I23" s="25">
        <f>E23*G23</f>
        <v>2.93817817119534</v>
      </c>
    </row>
    <row r="24" spans="2:9" ht="12.75" customHeight="1">
      <c r="B24" s="86"/>
      <c r="C24" s="4" t="s">
        <v>60</v>
      </c>
      <c r="D24" s="4"/>
      <c r="E24" s="13">
        <f>+I21</f>
        <v>97.939272373178</v>
      </c>
      <c r="F24" s="7" t="s">
        <v>2</v>
      </c>
      <c r="G24" s="61">
        <v>0.03</v>
      </c>
      <c r="H24" s="50"/>
      <c r="I24" s="25">
        <f>E24*G24</f>
        <v>2.93817817119534</v>
      </c>
    </row>
    <row r="25" spans="2:9" ht="12.75" customHeight="1" thickBot="1">
      <c r="B25" s="86"/>
      <c r="C25" s="4"/>
      <c r="D25" s="4"/>
      <c r="E25" s="13"/>
      <c r="F25" s="7"/>
      <c r="G25" s="7"/>
      <c r="H25" s="54" t="s">
        <v>7</v>
      </c>
      <c r="I25" s="27">
        <f>SUM(I21:I24)</f>
        <v>103.81562871556869</v>
      </c>
    </row>
    <row r="26" spans="2:9" ht="12.75" customHeight="1" thickTop="1">
      <c r="B26" s="86"/>
      <c r="C26" s="4"/>
      <c r="D26" s="4"/>
      <c r="E26" s="13"/>
      <c r="F26" s="7"/>
      <c r="G26" s="7"/>
      <c r="H26" s="54"/>
      <c r="I26" s="6"/>
    </row>
    <row r="27" spans="2:9" ht="12.75" customHeight="1" thickBot="1">
      <c r="B27" s="87"/>
      <c r="C27" s="4"/>
      <c r="D27" s="4"/>
      <c r="E27" s="4"/>
      <c r="F27" s="4"/>
      <c r="G27" s="4"/>
      <c r="H27" s="54"/>
      <c r="I27" s="6"/>
    </row>
    <row r="28" spans="2:9" ht="6" customHeight="1" thickBot="1">
      <c r="B28" s="30"/>
      <c r="C28" s="31"/>
      <c r="D28" s="31"/>
      <c r="E28" s="31"/>
      <c r="F28" s="31"/>
      <c r="G28" s="31"/>
      <c r="H28" s="51"/>
      <c r="I28" s="32"/>
    </row>
    <row r="29" spans="2:9" ht="12.75" customHeight="1">
      <c r="B29" s="85" t="s">
        <v>81</v>
      </c>
      <c r="C29" s="19"/>
      <c r="D29" s="19"/>
      <c r="E29" s="19"/>
      <c r="F29" s="19"/>
      <c r="G29" s="19"/>
      <c r="H29" s="52"/>
      <c r="I29" s="21"/>
    </row>
    <row r="30" spans="2:9" ht="12.75" customHeight="1">
      <c r="B30" s="86"/>
      <c r="C30" s="20" t="s">
        <v>52</v>
      </c>
      <c r="D30" s="4"/>
      <c r="E30" s="4">
        <v>1</v>
      </c>
      <c r="F30" s="7" t="s">
        <v>2</v>
      </c>
      <c r="G30" s="69">
        <v>20</v>
      </c>
      <c r="H30" s="53"/>
      <c r="I30" s="23">
        <f>G30</f>
        <v>20</v>
      </c>
    </row>
    <row r="31" spans="2:9" ht="12.75" customHeight="1">
      <c r="B31" s="86"/>
      <c r="C31" s="4" t="s">
        <v>14</v>
      </c>
      <c r="D31" s="4"/>
      <c r="E31" s="9">
        <f>$D$4</f>
        <v>613</v>
      </c>
      <c r="F31" s="7" t="s">
        <v>2</v>
      </c>
      <c r="G31" s="70">
        <v>0.12947</v>
      </c>
      <c r="H31" s="50"/>
      <c r="I31" s="36">
        <f>E31*G31</f>
        <v>79.36511</v>
      </c>
    </row>
    <row r="32" spans="2:9" ht="12.75" customHeight="1">
      <c r="B32" s="86"/>
      <c r="C32" s="4"/>
      <c r="D32" s="5"/>
      <c r="E32" s="10"/>
      <c r="F32" s="11"/>
      <c r="G32" s="10"/>
      <c r="H32" s="54" t="s">
        <v>3</v>
      </c>
      <c r="I32" s="35">
        <f>SUM(I30:I31)</f>
        <v>99.36511</v>
      </c>
    </row>
    <row r="33" spans="2:9" ht="12.75" customHeight="1">
      <c r="B33" s="86"/>
      <c r="C33" s="4"/>
      <c r="D33" s="5"/>
      <c r="E33" s="10"/>
      <c r="F33" s="11"/>
      <c r="G33" s="10"/>
      <c r="H33" s="54"/>
      <c r="I33" s="22"/>
    </row>
    <row r="34" spans="2:9" ht="12.75" customHeight="1">
      <c r="B34" s="86"/>
      <c r="C34" s="4" t="s">
        <v>4</v>
      </c>
      <c r="D34" s="4"/>
      <c r="E34" s="9">
        <f>$D$4</f>
        <v>613</v>
      </c>
      <c r="F34" s="7" t="s">
        <v>2</v>
      </c>
      <c r="G34" s="57">
        <f>VLOOKUP($B$3,'Surcharge Factors'!$A$4:$AB$9,3,0)</f>
        <v>0.00745</v>
      </c>
      <c r="H34" s="50"/>
      <c r="I34" s="23">
        <f>E34*G34</f>
        <v>4.56685</v>
      </c>
    </row>
    <row r="35" spans="2:9" ht="12.75" customHeight="1">
      <c r="B35" s="86"/>
      <c r="C35" s="4" t="s">
        <v>5</v>
      </c>
      <c r="D35" s="4"/>
      <c r="E35" s="9">
        <f>$D$4</f>
        <v>613</v>
      </c>
      <c r="F35" s="7" t="s">
        <v>2</v>
      </c>
      <c r="G35" s="57">
        <f>VLOOKUP($B$3,'Surcharge Factors'!$A$4:$AB$9,4,0)</f>
        <v>0.00016</v>
      </c>
      <c r="H35" s="50" t="s">
        <v>0</v>
      </c>
      <c r="I35" s="24">
        <f>E35*G35</f>
        <v>0.09808000000000001</v>
      </c>
    </row>
    <row r="36" spans="2:9" ht="12.75" customHeight="1">
      <c r="B36" s="86"/>
      <c r="C36" s="80" t="s">
        <v>66</v>
      </c>
      <c r="D36" s="4"/>
      <c r="E36" s="9">
        <v>1</v>
      </c>
      <c r="F36" s="7" t="s">
        <v>2</v>
      </c>
      <c r="G36" s="71">
        <v>0.4</v>
      </c>
      <c r="H36" s="50"/>
      <c r="I36" s="25">
        <f>G36*E36</f>
        <v>0.4</v>
      </c>
    </row>
    <row r="37" spans="2:9" ht="12.75" customHeight="1">
      <c r="B37" s="86"/>
      <c r="C37" s="4" t="s">
        <v>13</v>
      </c>
      <c r="D37" s="4"/>
      <c r="E37" s="9">
        <f>$D$4</f>
        <v>613</v>
      </c>
      <c r="F37" s="7" t="s">
        <v>2</v>
      </c>
      <c r="G37" s="59">
        <f>VLOOKUP($B$3,'Surcharge Factors'!$A$4:$AB$9,10,0)</f>
        <v>0.000247</v>
      </c>
      <c r="H37" s="50"/>
      <c r="I37" s="25">
        <f>E37*G37</f>
        <v>0.151411</v>
      </c>
    </row>
    <row r="38" spans="2:9" ht="12.75" customHeight="1">
      <c r="B38" s="86"/>
      <c r="C38" s="80" t="s">
        <v>69</v>
      </c>
      <c r="D38" s="4"/>
      <c r="E38" s="9">
        <f>$D$4</f>
        <v>613</v>
      </c>
      <c r="F38" s="7" t="s">
        <v>2</v>
      </c>
      <c r="G38" s="72">
        <v>0.00163</v>
      </c>
      <c r="H38" s="50"/>
      <c r="I38" s="25">
        <f>E38*G38</f>
        <v>0.9991899999999999</v>
      </c>
    </row>
    <row r="39" spans="2:9" ht="12.75" customHeight="1">
      <c r="B39" s="86"/>
      <c r="C39" s="80" t="s">
        <v>70</v>
      </c>
      <c r="D39" s="4"/>
      <c r="E39" s="9">
        <f>$D$4</f>
        <v>613</v>
      </c>
      <c r="F39" s="7" t="s">
        <v>2</v>
      </c>
      <c r="G39" s="72">
        <v>-0.00053</v>
      </c>
      <c r="H39" s="50"/>
      <c r="I39" s="25">
        <f>E39*G39</f>
        <v>-0.32489</v>
      </c>
    </row>
    <row r="40" spans="2:9" ht="12.75" customHeight="1">
      <c r="B40" s="86"/>
      <c r="C40" s="80" t="s">
        <v>71</v>
      </c>
      <c r="D40" s="4"/>
      <c r="E40" s="9">
        <f>$D$4</f>
        <v>613</v>
      </c>
      <c r="F40" s="7" t="s">
        <v>2</v>
      </c>
      <c r="G40" s="72">
        <v>0</v>
      </c>
      <c r="H40" s="50"/>
      <c r="I40" s="25">
        <f>E40*G40</f>
        <v>0</v>
      </c>
    </row>
    <row r="41" spans="2:9" ht="12.75" customHeight="1">
      <c r="B41" s="86"/>
      <c r="C41" s="80" t="s">
        <v>74</v>
      </c>
      <c r="D41" s="4"/>
      <c r="E41" s="9">
        <f>$D$4</f>
        <v>613</v>
      </c>
      <c r="F41" s="7" t="s">
        <v>2</v>
      </c>
      <c r="G41" s="72">
        <v>0</v>
      </c>
      <c r="H41" s="50"/>
      <c r="I41" s="26">
        <f>E41*G41</f>
        <v>0</v>
      </c>
    </row>
    <row r="42" spans="2:9" ht="12.75" customHeight="1">
      <c r="B42" s="86"/>
      <c r="C42" s="4"/>
      <c r="D42" s="4"/>
      <c r="E42" s="9"/>
      <c r="F42" s="7"/>
      <c r="G42" s="12"/>
      <c r="H42" s="54" t="s">
        <v>63</v>
      </c>
      <c r="I42" s="28">
        <f>(SUM(I34:I41))</f>
        <v>5.8906410000000005</v>
      </c>
    </row>
    <row r="43" spans="2:9" ht="12.75" customHeight="1">
      <c r="B43" s="86"/>
      <c r="C43" s="4"/>
      <c r="D43" s="5"/>
      <c r="E43" s="4"/>
      <c r="F43" s="7"/>
      <c r="G43" s="60"/>
      <c r="H43" s="54"/>
      <c r="I43" s="29"/>
    </row>
    <row r="44" spans="2:9" ht="12.75" customHeight="1">
      <c r="B44" s="86"/>
      <c r="C44" s="80" t="s">
        <v>72</v>
      </c>
      <c r="D44" s="3"/>
      <c r="E44" s="13">
        <f>+I32+I42</f>
        <v>105.255751</v>
      </c>
      <c r="F44" s="7" t="s">
        <v>2</v>
      </c>
      <c r="G44" s="73">
        <v>0</v>
      </c>
      <c r="H44" s="50"/>
      <c r="I44" s="25">
        <f>E44*G44</f>
        <v>0</v>
      </c>
    </row>
    <row r="45" spans="2:9" ht="12.75" customHeight="1">
      <c r="B45" s="86"/>
      <c r="C45" s="4" t="s">
        <v>6</v>
      </c>
      <c r="D45" s="4"/>
      <c r="E45" s="14">
        <f>+I32+I42</f>
        <v>105.255751</v>
      </c>
      <c r="F45" s="7" t="s">
        <v>2</v>
      </c>
      <c r="G45" s="61">
        <f>VLOOKUP($B$3,'Surcharge Factors'!$A$4:$AB$9,8,0)</f>
        <v>0.018473</v>
      </c>
      <c r="H45" s="50"/>
      <c r="I45" s="25">
        <f>ROUND(+E45*G45,3)</f>
        <v>1.944</v>
      </c>
    </row>
    <row r="46" spans="2:9" ht="12.75" customHeight="1">
      <c r="B46" s="86"/>
      <c r="C46" s="80" t="s">
        <v>61</v>
      </c>
      <c r="D46" s="4"/>
      <c r="E46" s="14">
        <f>+I32+I42</f>
        <v>105.255751</v>
      </c>
      <c r="F46" s="7" t="s">
        <v>2</v>
      </c>
      <c r="G46" s="73">
        <v>0</v>
      </c>
      <c r="H46" s="50"/>
      <c r="I46" s="33">
        <f>ROUND(+E46*G46,3)</f>
        <v>0</v>
      </c>
    </row>
    <row r="47" spans="2:9" ht="12.75" customHeight="1" thickBot="1">
      <c r="B47" s="86"/>
      <c r="C47" s="4"/>
      <c r="D47" s="4"/>
      <c r="E47" s="4"/>
      <c r="F47" s="4"/>
      <c r="G47" s="8"/>
      <c r="H47" s="54" t="s">
        <v>59</v>
      </c>
      <c r="I47" s="34">
        <f>+I32+I42+I44+I45+I46</f>
        <v>107.199751</v>
      </c>
    </row>
    <row r="48" spans="2:9" ht="12.75" customHeight="1" thickTop="1">
      <c r="B48" s="86"/>
      <c r="C48" s="4"/>
      <c r="D48" s="4"/>
      <c r="E48" s="4"/>
      <c r="F48" s="4"/>
      <c r="G48" s="8"/>
      <c r="H48" s="54"/>
      <c r="I48" s="6"/>
    </row>
    <row r="49" spans="2:9" ht="12.75" customHeight="1">
      <c r="B49" s="86"/>
      <c r="C49" s="4" t="s">
        <v>58</v>
      </c>
      <c r="D49" s="4"/>
      <c r="E49" s="13">
        <f>+I47</f>
        <v>107.199751</v>
      </c>
      <c r="F49" s="7" t="s">
        <v>2</v>
      </c>
      <c r="G49" s="61">
        <v>0.03</v>
      </c>
      <c r="H49" s="50"/>
      <c r="I49" s="25">
        <f>E49*G49</f>
        <v>3.21599253</v>
      </c>
    </row>
    <row r="50" spans="2:11" ht="12.75" customHeight="1" thickBot="1">
      <c r="B50" s="86"/>
      <c r="C50" s="80" t="s">
        <v>76</v>
      </c>
      <c r="D50" s="4"/>
      <c r="E50" s="13">
        <f>+I47</f>
        <v>107.199751</v>
      </c>
      <c r="F50" s="7" t="s">
        <v>2</v>
      </c>
      <c r="G50" s="61">
        <v>0.03</v>
      </c>
      <c r="H50" s="50"/>
      <c r="I50" s="25">
        <f>E50*G50</f>
        <v>3.21599253</v>
      </c>
      <c r="K50" s="3" t="s">
        <v>57</v>
      </c>
    </row>
    <row r="51" spans="2:13" ht="12.75" customHeight="1" thickBot="1">
      <c r="B51" s="86"/>
      <c r="C51" s="4"/>
      <c r="D51" s="4"/>
      <c r="E51" s="13"/>
      <c r="F51" s="7"/>
      <c r="G51" s="7"/>
      <c r="H51" s="54" t="s">
        <v>7</v>
      </c>
      <c r="I51" s="27">
        <f>SUM(I47:I50)</f>
        <v>113.63173606</v>
      </c>
      <c r="K51" s="62" t="s">
        <v>8</v>
      </c>
      <c r="L51" s="63"/>
      <c r="M51" s="64">
        <f>I51-$I$25</f>
        <v>9.816107344431302</v>
      </c>
    </row>
    <row r="52" spans="2:13" ht="12.75" customHeight="1" thickBot="1" thickTop="1">
      <c r="B52" s="87"/>
      <c r="C52" s="4"/>
      <c r="D52" s="4"/>
      <c r="E52" s="13"/>
      <c r="F52" s="7"/>
      <c r="G52" s="7"/>
      <c r="H52" s="54"/>
      <c r="I52" s="6"/>
      <c r="K52" s="65" t="s">
        <v>9</v>
      </c>
      <c r="L52" s="66"/>
      <c r="M52" s="67">
        <f>(I51-$I$25)/$I$25</f>
        <v>0.09455327165936848</v>
      </c>
    </row>
    <row r="53" spans="2:9" ht="6" customHeight="1" thickBot="1">
      <c r="B53" s="30"/>
      <c r="C53" s="31"/>
      <c r="D53" s="31"/>
      <c r="E53" s="31"/>
      <c r="F53" s="31"/>
      <c r="G53" s="31"/>
      <c r="H53" s="51"/>
      <c r="I53" s="32"/>
    </row>
    <row r="54" spans="2:9" ht="12.75" customHeight="1">
      <c r="B54" s="85" t="s">
        <v>82</v>
      </c>
      <c r="C54" s="19"/>
      <c r="D54" s="19"/>
      <c r="E54" s="19"/>
      <c r="F54" s="19"/>
      <c r="G54" s="19"/>
      <c r="H54" s="52"/>
      <c r="I54" s="21"/>
    </row>
    <row r="55" spans="2:9" ht="12.75" customHeight="1">
      <c r="B55" s="86"/>
      <c r="C55" s="20" t="s">
        <v>52</v>
      </c>
      <c r="D55" s="4"/>
      <c r="E55" s="4">
        <v>1</v>
      </c>
      <c r="F55" s="7" t="s">
        <v>2</v>
      </c>
      <c r="G55" s="69">
        <v>20</v>
      </c>
      <c r="H55" s="53"/>
      <c r="I55" s="23">
        <f>G55</f>
        <v>20</v>
      </c>
    </row>
    <row r="56" spans="2:9" ht="12.75" customHeight="1">
      <c r="B56" s="86"/>
      <c r="C56" s="4" t="s">
        <v>14</v>
      </c>
      <c r="D56" s="4"/>
      <c r="E56" s="9">
        <f>$D$4</f>
        <v>613</v>
      </c>
      <c r="F56" s="7" t="s">
        <v>2</v>
      </c>
      <c r="G56" s="70">
        <v>0.12947</v>
      </c>
      <c r="H56" s="50"/>
      <c r="I56" s="36">
        <f>E56*G56</f>
        <v>79.36511</v>
      </c>
    </row>
    <row r="57" spans="2:9" ht="12.75" customHeight="1">
      <c r="B57" s="86"/>
      <c r="C57" s="4"/>
      <c r="D57" s="5"/>
      <c r="E57" s="10"/>
      <c r="F57" s="11"/>
      <c r="G57" s="10"/>
      <c r="H57" s="54" t="s">
        <v>3</v>
      </c>
      <c r="I57" s="35">
        <f>SUM(I55:I56)</f>
        <v>99.36511</v>
      </c>
    </row>
    <row r="58" spans="2:9" ht="12.75" customHeight="1">
      <c r="B58" s="86"/>
      <c r="C58" s="4"/>
      <c r="D58" s="5"/>
      <c r="E58" s="10"/>
      <c r="F58" s="11"/>
      <c r="G58" s="10"/>
      <c r="H58" s="54"/>
      <c r="I58" s="22"/>
    </row>
    <row r="59" spans="2:9" ht="12.75" customHeight="1">
      <c r="B59" s="86"/>
      <c r="C59" s="4" t="s">
        <v>4</v>
      </c>
      <c r="D59" s="4"/>
      <c r="E59" s="9">
        <f>$D$4</f>
        <v>613</v>
      </c>
      <c r="F59" s="7" t="s">
        <v>2</v>
      </c>
      <c r="G59" s="57">
        <f>VLOOKUP($B$3,'Surcharge Factors'!$A$4:$AB$9,3,0)</f>
        <v>0.00745</v>
      </c>
      <c r="H59" s="50"/>
      <c r="I59" s="23">
        <f>E59*G59</f>
        <v>4.56685</v>
      </c>
    </row>
    <row r="60" spans="2:9" ht="12.75" customHeight="1">
      <c r="B60" s="86"/>
      <c r="C60" s="4" t="s">
        <v>5</v>
      </c>
      <c r="D60" s="4"/>
      <c r="E60" s="9">
        <f>$D$4</f>
        <v>613</v>
      </c>
      <c r="F60" s="7" t="s">
        <v>2</v>
      </c>
      <c r="G60" s="57">
        <f>VLOOKUP($B$3,'Surcharge Factors'!$A$4:$AB$9,4,0)</f>
        <v>0.00016</v>
      </c>
      <c r="H60" s="50" t="s">
        <v>0</v>
      </c>
      <c r="I60" s="24">
        <f>E60*G60</f>
        <v>0.09808000000000001</v>
      </c>
    </row>
    <row r="61" spans="2:9" ht="12.75" customHeight="1">
      <c r="B61" s="86"/>
      <c r="C61" s="80" t="s">
        <v>66</v>
      </c>
      <c r="D61" s="4"/>
      <c r="E61" s="9">
        <v>1</v>
      </c>
      <c r="F61" s="7" t="s">
        <v>2</v>
      </c>
      <c r="G61" s="71">
        <v>0.4</v>
      </c>
      <c r="H61" s="50"/>
      <c r="I61" s="25">
        <f>G61*E61</f>
        <v>0.4</v>
      </c>
    </row>
    <row r="62" spans="2:9" ht="12.75" customHeight="1">
      <c r="B62" s="86"/>
      <c r="C62" s="4" t="s">
        <v>13</v>
      </c>
      <c r="D62" s="4"/>
      <c r="E62" s="9">
        <f>$D$4</f>
        <v>613</v>
      </c>
      <c r="F62" s="7" t="s">
        <v>2</v>
      </c>
      <c r="G62" s="59">
        <f>VLOOKUP($B$3,'Surcharge Factors'!$A$4:$AB$9,10,0)</f>
        <v>0.000247</v>
      </c>
      <c r="H62" s="50"/>
      <c r="I62" s="25">
        <f>E62*G62</f>
        <v>0.151411</v>
      </c>
    </row>
    <row r="63" spans="2:9" ht="12.75" customHeight="1">
      <c r="B63" s="86"/>
      <c r="C63" s="80" t="s">
        <v>69</v>
      </c>
      <c r="D63" s="4"/>
      <c r="E63" s="9">
        <f>$D$4</f>
        <v>613</v>
      </c>
      <c r="F63" s="7" t="s">
        <v>2</v>
      </c>
      <c r="G63" s="72">
        <v>0.00163</v>
      </c>
      <c r="H63" s="50"/>
      <c r="I63" s="25">
        <f>E63*G63</f>
        <v>0.9991899999999999</v>
      </c>
    </row>
    <row r="64" spans="2:9" ht="12.75" customHeight="1">
      <c r="B64" s="86"/>
      <c r="C64" s="80" t="s">
        <v>70</v>
      </c>
      <c r="D64" s="4"/>
      <c r="E64" s="9">
        <f>$D$4</f>
        <v>613</v>
      </c>
      <c r="F64" s="7" t="s">
        <v>2</v>
      </c>
      <c r="G64" s="72">
        <v>-0.00053</v>
      </c>
      <c r="H64" s="50"/>
      <c r="I64" s="25">
        <f>E64*G64</f>
        <v>-0.32489</v>
      </c>
    </row>
    <row r="65" spans="2:9" ht="12.75" customHeight="1">
      <c r="B65" s="86"/>
      <c r="C65" s="80" t="s">
        <v>71</v>
      </c>
      <c r="D65" s="4"/>
      <c r="E65" s="9">
        <f>$D$4</f>
        <v>613</v>
      </c>
      <c r="F65" s="7" t="s">
        <v>2</v>
      </c>
      <c r="G65" s="72">
        <v>0</v>
      </c>
      <c r="H65" s="50"/>
      <c r="I65" s="25">
        <f>E65*G65</f>
        <v>0</v>
      </c>
    </row>
    <row r="66" spans="2:9" ht="12.75" customHeight="1">
      <c r="B66" s="86"/>
      <c r="C66" s="80" t="s">
        <v>74</v>
      </c>
      <c r="D66" s="4"/>
      <c r="E66" s="9">
        <f>$D$4</f>
        <v>613</v>
      </c>
      <c r="F66" s="7" t="s">
        <v>2</v>
      </c>
      <c r="G66" s="72">
        <v>0</v>
      </c>
      <c r="H66" s="50"/>
      <c r="I66" s="26">
        <f>E66*G66</f>
        <v>0</v>
      </c>
    </row>
    <row r="67" spans="2:9" ht="12.75" customHeight="1">
      <c r="B67" s="86"/>
      <c r="C67" s="4"/>
      <c r="D67" s="4"/>
      <c r="E67" s="9"/>
      <c r="F67" s="7"/>
      <c r="G67" s="12"/>
      <c r="H67" s="54" t="s">
        <v>63</v>
      </c>
      <c r="I67" s="28">
        <f>(SUM(I59:I66))</f>
        <v>5.8906410000000005</v>
      </c>
    </row>
    <row r="68" spans="2:9" ht="12.75" customHeight="1">
      <c r="B68" s="86"/>
      <c r="C68" s="4"/>
      <c r="D68" s="5"/>
      <c r="E68" s="4"/>
      <c r="F68" s="7"/>
      <c r="G68" s="60"/>
      <c r="H68" s="54"/>
      <c r="I68" s="29"/>
    </row>
    <row r="69" spans="2:9" ht="12.75" customHeight="1">
      <c r="B69" s="86"/>
      <c r="C69" s="80" t="s">
        <v>72</v>
      </c>
      <c r="D69" s="3"/>
      <c r="E69" s="13">
        <f>+I57+I67</f>
        <v>105.255751</v>
      </c>
      <c r="F69" s="7" t="s">
        <v>2</v>
      </c>
      <c r="G69" s="73">
        <v>0</v>
      </c>
      <c r="H69" s="50"/>
      <c r="I69" s="25">
        <f>E69*G69</f>
        <v>0</v>
      </c>
    </row>
    <row r="70" spans="2:9" ht="12.75" customHeight="1">
      <c r="B70" s="86"/>
      <c r="C70" s="4" t="s">
        <v>6</v>
      </c>
      <c r="D70" s="4"/>
      <c r="E70" s="14">
        <f>+I57+I67</f>
        <v>105.255751</v>
      </c>
      <c r="F70" s="7" t="s">
        <v>2</v>
      </c>
      <c r="G70" s="61">
        <f>VLOOKUP($B$3,'Surcharge Factors'!$A$4:$AB$9,8,0)</f>
        <v>0.018473</v>
      </c>
      <c r="H70" s="50"/>
      <c r="I70" s="25">
        <f>ROUND(+E70*G70,3)</f>
        <v>1.944</v>
      </c>
    </row>
    <row r="71" spans="2:9" ht="12.75" customHeight="1">
      <c r="B71" s="86"/>
      <c r="C71" s="80" t="s">
        <v>73</v>
      </c>
      <c r="D71" s="4"/>
      <c r="E71" s="14">
        <f>+I57+I67</f>
        <v>105.255751</v>
      </c>
      <c r="F71" s="7" t="s">
        <v>2</v>
      </c>
      <c r="G71" s="73">
        <v>0.057449</v>
      </c>
      <c r="H71" s="50"/>
      <c r="I71" s="33">
        <f>ROUND(+E71*G71,3)</f>
        <v>6.047</v>
      </c>
    </row>
    <row r="72" spans="2:9" ht="12.75" customHeight="1" thickBot="1">
      <c r="B72" s="86"/>
      <c r="C72" s="4"/>
      <c r="D72" s="4"/>
      <c r="E72" s="4"/>
      <c r="F72" s="4"/>
      <c r="G72" s="8"/>
      <c r="H72" s="54" t="s">
        <v>59</v>
      </c>
      <c r="I72" s="34">
        <f>+I57+I67+I69+I70+I71</f>
        <v>113.246751</v>
      </c>
    </row>
    <row r="73" spans="2:9" ht="12.75" customHeight="1" thickTop="1">
      <c r="B73" s="86"/>
      <c r="C73" s="4"/>
      <c r="D73" s="4"/>
      <c r="E73" s="4"/>
      <c r="F73" s="4"/>
      <c r="G73" s="8"/>
      <c r="H73" s="54"/>
      <c r="I73" s="6"/>
    </row>
    <row r="74" spans="2:9" ht="12.75" customHeight="1">
      <c r="B74" s="86"/>
      <c r="C74" s="4" t="s">
        <v>58</v>
      </c>
      <c r="D74" s="4"/>
      <c r="E74" s="13">
        <f>+I72</f>
        <v>113.246751</v>
      </c>
      <c r="F74" s="7" t="s">
        <v>2</v>
      </c>
      <c r="G74" s="61">
        <v>0.03</v>
      </c>
      <c r="H74" s="50"/>
      <c r="I74" s="25">
        <f>E74*G74</f>
        <v>3.39740253</v>
      </c>
    </row>
    <row r="75" spans="2:11" ht="12.75" customHeight="1" thickBot="1">
      <c r="B75" s="86"/>
      <c r="C75" s="80" t="s">
        <v>76</v>
      </c>
      <c r="D75" s="4"/>
      <c r="E75" s="13">
        <f>+I72</f>
        <v>113.246751</v>
      </c>
      <c r="F75" s="7" t="s">
        <v>2</v>
      </c>
      <c r="G75" s="61">
        <v>0.03</v>
      </c>
      <c r="H75" s="50"/>
      <c r="I75" s="25">
        <f>E75*G75</f>
        <v>3.39740253</v>
      </c>
      <c r="K75" s="3" t="s">
        <v>57</v>
      </c>
    </row>
    <row r="76" spans="2:13" ht="12.75" customHeight="1" thickBot="1">
      <c r="B76" s="86"/>
      <c r="C76" s="4"/>
      <c r="D76" s="4"/>
      <c r="E76" s="13"/>
      <c r="F76" s="7"/>
      <c r="G76" s="7"/>
      <c r="H76" s="54" t="s">
        <v>7</v>
      </c>
      <c r="I76" s="27">
        <f>SUM(I72:I75)</f>
        <v>120.04155605999999</v>
      </c>
      <c r="K76" s="62" t="s">
        <v>8</v>
      </c>
      <c r="L76" s="63"/>
      <c r="M76" s="64">
        <f>I76-$I$25</f>
        <v>16.225927344431298</v>
      </c>
    </row>
    <row r="77" spans="2:13" ht="12.75" customHeight="1" thickBot="1" thickTop="1">
      <c r="B77" s="87"/>
      <c r="C77" s="4"/>
      <c r="D77" s="4"/>
      <c r="E77" s="13"/>
      <c r="F77" s="7"/>
      <c r="G77" s="7"/>
      <c r="H77" s="54"/>
      <c r="I77" s="6"/>
      <c r="K77" s="65" t="s">
        <v>9</v>
      </c>
      <c r="L77" s="66"/>
      <c r="M77" s="67">
        <f>(I76-$I$25)/$I$25</f>
        <v>0.15629561314786874</v>
      </c>
    </row>
    <row r="78" spans="2:9" ht="6" customHeight="1" thickBot="1">
      <c r="B78" s="30"/>
      <c r="C78" s="31"/>
      <c r="D78" s="31"/>
      <c r="E78" s="31"/>
      <c r="F78" s="31"/>
      <c r="G78" s="31"/>
      <c r="H78" s="51"/>
      <c r="I78" s="32"/>
    </row>
    <row r="79" spans="2:9" ht="12.75" customHeight="1">
      <c r="B79" s="85" t="s">
        <v>64</v>
      </c>
      <c r="C79" s="19"/>
      <c r="D79" s="19"/>
      <c r="E79" s="19"/>
      <c r="F79" s="19"/>
      <c r="G79" s="19"/>
      <c r="H79" s="52"/>
      <c r="I79" s="21"/>
    </row>
    <row r="80" spans="2:9" ht="12.75" customHeight="1">
      <c r="B80" s="86"/>
      <c r="C80" s="20" t="s">
        <v>52</v>
      </c>
      <c r="D80" s="4"/>
      <c r="E80" s="4">
        <v>1</v>
      </c>
      <c r="F80" s="7" t="s">
        <v>2</v>
      </c>
      <c r="G80" s="69">
        <v>20</v>
      </c>
      <c r="H80" s="53"/>
      <c r="I80" s="23">
        <f>G80</f>
        <v>20</v>
      </c>
    </row>
    <row r="81" spans="2:9" ht="12.75" customHeight="1">
      <c r="B81" s="86"/>
      <c r="C81" s="4" t="s">
        <v>14</v>
      </c>
      <c r="D81" s="4"/>
      <c r="E81" s="9">
        <f>$D$4</f>
        <v>613</v>
      </c>
      <c r="F81" s="7" t="s">
        <v>2</v>
      </c>
      <c r="G81" s="70">
        <v>0.12036</v>
      </c>
      <c r="H81" s="50"/>
      <c r="I81" s="36">
        <f>E81*G81</f>
        <v>73.78068</v>
      </c>
    </row>
    <row r="82" spans="2:9" ht="12.75" customHeight="1">
      <c r="B82" s="86"/>
      <c r="C82" s="4"/>
      <c r="D82" s="5"/>
      <c r="E82" s="10"/>
      <c r="F82" s="11"/>
      <c r="G82" s="10"/>
      <c r="H82" s="54" t="s">
        <v>3</v>
      </c>
      <c r="I82" s="35">
        <f>SUM(I80:I81)</f>
        <v>93.78068</v>
      </c>
    </row>
    <row r="83" spans="2:9" ht="12.75" customHeight="1">
      <c r="B83" s="86"/>
      <c r="C83" s="4"/>
      <c r="D83" s="5"/>
      <c r="E83" s="10"/>
      <c r="F83" s="11"/>
      <c r="G83" s="10"/>
      <c r="H83" s="54"/>
      <c r="I83" s="22"/>
    </row>
    <row r="84" spans="2:9" ht="12.75" customHeight="1">
      <c r="B84" s="86"/>
      <c r="C84" s="4" t="s">
        <v>4</v>
      </c>
      <c r="D84" s="4"/>
      <c r="E84" s="9">
        <f>$D$4</f>
        <v>613</v>
      </c>
      <c r="F84" s="11" t="s">
        <v>2</v>
      </c>
      <c r="G84" s="57">
        <f>VLOOKUP($B$3,'Surcharge Factors'!$A$4:$AB$9,3,0)</f>
        <v>0.00745</v>
      </c>
      <c r="H84" s="50"/>
      <c r="I84" s="23">
        <f>E84*G84</f>
        <v>4.56685</v>
      </c>
    </row>
    <row r="85" spans="2:9" ht="12.75" customHeight="1">
      <c r="B85" s="86"/>
      <c r="C85" s="4" t="s">
        <v>5</v>
      </c>
      <c r="D85" s="4"/>
      <c r="E85" s="9">
        <f>$D$4</f>
        <v>613</v>
      </c>
      <c r="F85" s="11" t="s">
        <v>2</v>
      </c>
      <c r="G85" s="57">
        <f>VLOOKUP($B$3,'Surcharge Factors'!$A$4:$AB$9,4,0)</f>
        <v>0.00016</v>
      </c>
      <c r="H85" s="50" t="s">
        <v>0</v>
      </c>
      <c r="I85" s="24">
        <f>E85*G85</f>
        <v>0.09808000000000001</v>
      </c>
    </row>
    <row r="86" spans="2:9" ht="12.75" customHeight="1">
      <c r="B86" s="86"/>
      <c r="C86" s="80" t="s">
        <v>66</v>
      </c>
      <c r="D86" s="4"/>
      <c r="E86" s="9">
        <v>1</v>
      </c>
      <c r="F86" s="11" t="s">
        <v>2</v>
      </c>
      <c r="G86" s="71">
        <v>0.4</v>
      </c>
      <c r="H86" s="50"/>
      <c r="I86" s="25">
        <f>G86*E86</f>
        <v>0.4</v>
      </c>
    </row>
    <row r="87" spans="2:9" ht="12.75" customHeight="1">
      <c r="B87" s="86"/>
      <c r="C87" s="4" t="s">
        <v>13</v>
      </c>
      <c r="D87" s="4"/>
      <c r="E87" s="9">
        <f>$D$4</f>
        <v>613</v>
      </c>
      <c r="F87" s="11" t="s">
        <v>2</v>
      </c>
      <c r="G87" s="59">
        <f>VLOOKUP($B$3,'Surcharge Factors'!$A$4:$AB$9,10,0)</f>
        <v>0.000247</v>
      </c>
      <c r="H87" s="50"/>
      <c r="I87" s="25">
        <f>E87*G87</f>
        <v>0.151411</v>
      </c>
    </row>
    <row r="88" spans="2:9" ht="12.75" customHeight="1">
      <c r="B88" s="86"/>
      <c r="C88" s="80" t="s">
        <v>69</v>
      </c>
      <c r="D88" s="4"/>
      <c r="E88" s="9">
        <f>$D$4</f>
        <v>613</v>
      </c>
      <c r="F88" s="11" t="s">
        <v>2</v>
      </c>
      <c r="G88" s="72">
        <v>0.00163</v>
      </c>
      <c r="H88" s="50"/>
      <c r="I88" s="25">
        <f>E88*G88</f>
        <v>0.9991899999999999</v>
      </c>
    </row>
    <row r="89" spans="2:9" ht="12.75" customHeight="1">
      <c r="B89" s="86"/>
      <c r="C89" s="80" t="s">
        <v>70</v>
      </c>
      <c r="D89" s="4"/>
      <c r="E89" s="9">
        <f>$D$4</f>
        <v>613</v>
      </c>
      <c r="F89" s="11" t="s">
        <v>2</v>
      </c>
      <c r="G89" s="72">
        <v>-0.00062</v>
      </c>
      <c r="H89" s="50"/>
      <c r="I89" s="25">
        <f>E89*G89</f>
        <v>-0.38006</v>
      </c>
    </row>
    <row r="90" spans="2:9" ht="12.75" customHeight="1">
      <c r="B90" s="86"/>
      <c r="C90" s="80" t="s">
        <v>71</v>
      </c>
      <c r="D90" s="4"/>
      <c r="E90" s="9">
        <f>$D$4</f>
        <v>613</v>
      </c>
      <c r="F90" s="7" t="s">
        <v>2</v>
      </c>
      <c r="G90" s="72">
        <v>0</v>
      </c>
      <c r="H90" s="50"/>
      <c r="I90" s="25">
        <f>E90*G90</f>
        <v>0</v>
      </c>
    </row>
    <row r="91" spans="2:9" ht="12.75" customHeight="1">
      <c r="B91" s="86"/>
      <c r="C91" s="80" t="s">
        <v>74</v>
      </c>
      <c r="D91" s="4"/>
      <c r="E91" s="9">
        <f>$D$4</f>
        <v>613</v>
      </c>
      <c r="F91" s="7" t="s">
        <v>2</v>
      </c>
      <c r="G91" s="72">
        <v>0</v>
      </c>
      <c r="H91" s="50"/>
      <c r="I91" s="26">
        <f>E91*G91</f>
        <v>0</v>
      </c>
    </row>
    <row r="92" spans="2:9" ht="12.75" customHeight="1">
      <c r="B92" s="86"/>
      <c r="C92" s="4"/>
      <c r="D92" s="4"/>
      <c r="E92" s="9"/>
      <c r="F92" s="11"/>
      <c r="G92" s="12"/>
      <c r="H92" s="54" t="s">
        <v>63</v>
      </c>
      <c r="I92" s="28">
        <f>(SUM(I84:I91))</f>
        <v>5.835471</v>
      </c>
    </row>
    <row r="93" spans="2:9" ht="12.75" customHeight="1">
      <c r="B93" s="86"/>
      <c r="C93" s="4"/>
      <c r="D93" s="5"/>
      <c r="E93" s="4"/>
      <c r="F93" s="11"/>
      <c r="G93" s="60"/>
      <c r="H93" s="54"/>
      <c r="I93" s="29"/>
    </row>
    <row r="94" spans="2:9" ht="12.75" customHeight="1">
      <c r="B94" s="86"/>
      <c r="C94" s="80" t="s">
        <v>72</v>
      </c>
      <c r="D94" s="3"/>
      <c r="E94" s="13">
        <f>+I82+I92</f>
        <v>99.616151</v>
      </c>
      <c r="F94" s="11" t="s">
        <v>2</v>
      </c>
      <c r="G94" s="73">
        <v>0</v>
      </c>
      <c r="H94" s="50"/>
      <c r="I94" s="25">
        <f>E94*G94</f>
        <v>0</v>
      </c>
    </row>
    <row r="95" spans="2:13" ht="12.75" customHeight="1">
      <c r="B95" s="86"/>
      <c r="C95" s="4" t="s">
        <v>6</v>
      </c>
      <c r="D95" s="4"/>
      <c r="E95" s="14">
        <f>+I82+I92</f>
        <v>99.616151</v>
      </c>
      <c r="F95" s="11" t="s">
        <v>2</v>
      </c>
      <c r="G95" s="61">
        <f>VLOOKUP($B$3,'Surcharge Factors'!$A$4:$AB$9,8,0)</f>
        <v>0.018473</v>
      </c>
      <c r="H95" s="50"/>
      <c r="I95" s="25">
        <f>ROUND(+E95*G95,3)</f>
        <v>1.84</v>
      </c>
      <c r="K95" s="15"/>
      <c r="L95" s="15"/>
      <c r="M95" s="15"/>
    </row>
    <row r="96" spans="2:13" ht="12.75" customHeight="1">
      <c r="B96" s="86"/>
      <c r="C96" s="80" t="s">
        <v>61</v>
      </c>
      <c r="D96" s="4"/>
      <c r="E96" s="14">
        <f>+I82+I92</f>
        <v>99.616151</v>
      </c>
      <c r="F96" s="11" t="s">
        <v>2</v>
      </c>
      <c r="G96" s="73">
        <v>0</v>
      </c>
      <c r="H96" s="50"/>
      <c r="I96" s="33">
        <f>ROUND(+E96*G96,3)</f>
        <v>0</v>
      </c>
      <c r="K96" s="15"/>
      <c r="L96" s="15"/>
      <c r="M96" s="15"/>
    </row>
    <row r="97" spans="2:13" ht="12.75" customHeight="1" thickBot="1">
      <c r="B97" s="86"/>
      <c r="C97" s="4"/>
      <c r="D97" s="4"/>
      <c r="E97" s="4"/>
      <c r="F97" s="8"/>
      <c r="G97" s="8"/>
      <c r="H97" s="54" t="s">
        <v>59</v>
      </c>
      <c r="I97" s="34">
        <f>+I82+I92+I94+I95+I96</f>
        <v>101.456151</v>
      </c>
      <c r="K97" s="82"/>
      <c r="L97" s="15"/>
      <c r="M97" s="82"/>
    </row>
    <row r="98" spans="2:13" ht="12.75" customHeight="1" thickTop="1">
      <c r="B98" s="86"/>
      <c r="C98" s="4"/>
      <c r="D98" s="4"/>
      <c r="E98" s="4"/>
      <c r="F98" s="4"/>
      <c r="G98" s="8"/>
      <c r="H98" s="54"/>
      <c r="I98" s="6"/>
      <c r="K98" s="15"/>
      <c r="L98" s="15"/>
      <c r="M98" s="15"/>
    </row>
    <row r="99" spans="2:9" ht="12.75" customHeight="1">
      <c r="B99" s="86"/>
      <c r="C99" s="4" t="s">
        <v>58</v>
      </c>
      <c r="D99" s="4"/>
      <c r="E99" s="13">
        <f>+I97</f>
        <v>101.456151</v>
      </c>
      <c r="F99" s="7" t="s">
        <v>2</v>
      </c>
      <c r="G99" s="61">
        <v>0.03</v>
      </c>
      <c r="H99" s="50"/>
      <c r="I99" s="25">
        <f>E99*G99</f>
        <v>3.04368453</v>
      </c>
    </row>
    <row r="100" spans="2:11" ht="12.75" customHeight="1" thickBot="1">
      <c r="B100" s="86"/>
      <c r="C100" s="80" t="s">
        <v>76</v>
      </c>
      <c r="D100" s="4"/>
      <c r="E100" s="13">
        <f>+I97</f>
        <v>101.456151</v>
      </c>
      <c r="F100" s="7" t="s">
        <v>2</v>
      </c>
      <c r="G100" s="61">
        <v>0.03</v>
      </c>
      <c r="H100" s="50"/>
      <c r="I100" s="25">
        <f>E100*G100</f>
        <v>3.04368453</v>
      </c>
      <c r="K100" s="3" t="s">
        <v>57</v>
      </c>
    </row>
    <row r="101" spans="2:13" ht="12.75" customHeight="1" thickBot="1">
      <c r="B101" s="86"/>
      <c r="C101" s="4"/>
      <c r="D101" s="4"/>
      <c r="E101" s="13"/>
      <c r="F101" s="7"/>
      <c r="G101" s="7"/>
      <c r="H101" s="54" t="s">
        <v>7</v>
      </c>
      <c r="I101" s="27">
        <f>SUM(I97:I100)</f>
        <v>107.54352006000002</v>
      </c>
      <c r="K101" s="62" t="s">
        <v>8</v>
      </c>
      <c r="L101" s="63"/>
      <c r="M101" s="64">
        <f>I101-$I$25</f>
        <v>3.7278913444313275</v>
      </c>
    </row>
    <row r="102" spans="2:13" ht="12.75" customHeight="1" thickBot="1" thickTop="1">
      <c r="B102" s="87"/>
      <c r="C102" s="4"/>
      <c r="D102" s="4"/>
      <c r="E102" s="13"/>
      <c r="F102" s="7"/>
      <c r="G102" s="7"/>
      <c r="H102" s="54"/>
      <c r="I102" s="6"/>
      <c r="K102" s="65" t="s">
        <v>9</v>
      </c>
      <c r="L102" s="66"/>
      <c r="M102" s="67">
        <f>(I101-$I$25)/$I$25</f>
        <v>0.03590876817444227</v>
      </c>
    </row>
    <row r="103" spans="2:9" ht="6" customHeight="1" thickBot="1">
      <c r="B103" s="30"/>
      <c r="C103" s="31"/>
      <c r="D103" s="31"/>
      <c r="E103" s="31"/>
      <c r="F103" s="31"/>
      <c r="G103" s="31"/>
      <c r="H103" s="51"/>
      <c r="I103" s="32"/>
    </row>
    <row r="104" spans="2:9" ht="12.75" customHeight="1">
      <c r="B104" s="85" t="s">
        <v>65</v>
      </c>
      <c r="C104" s="19"/>
      <c r="D104" s="19"/>
      <c r="E104" s="19"/>
      <c r="F104" s="19"/>
      <c r="G104" s="19"/>
      <c r="H104" s="52"/>
      <c r="I104" s="21"/>
    </row>
    <row r="105" spans="2:9" ht="12.75" customHeight="1">
      <c r="B105" s="86"/>
      <c r="C105" s="20" t="s">
        <v>52</v>
      </c>
      <c r="D105" s="4"/>
      <c r="E105" s="4">
        <v>1</v>
      </c>
      <c r="F105" s="7" t="s">
        <v>2</v>
      </c>
      <c r="G105" s="69">
        <v>20</v>
      </c>
      <c r="H105" s="53"/>
      <c r="I105" s="23">
        <f>G105</f>
        <v>20</v>
      </c>
    </row>
    <row r="106" spans="2:9" ht="12.75" customHeight="1">
      <c r="B106" s="86"/>
      <c r="C106" s="4" t="s">
        <v>14</v>
      </c>
      <c r="D106" s="4"/>
      <c r="E106" s="9">
        <f>$D$4</f>
        <v>613</v>
      </c>
      <c r="F106" s="7" t="s">
        <v>2</v>
      </c>
      <c r="G106" s="70">
        <v>0.12036</v>
      </c>
      <c r="H106" s="50"/>
      <c r="I106" s="36">
        <f>E106*G106</f>
        <v>73.78068</v>
      </c>
    </row>
    <row r="107" spans="2:9" ht="12.75" customHeight="1">
      <c r="B107" s="86"/>
      <c r="C107" s="4"/>
      <c r="D107" s="5"/>
      <c r="E107" s="10"/>
      <c r="F107" s="11"/>
      <c r="G107" s="10"/>
      <c r="H107" s="54" t="s">
        <v>3</v>
      </c>
      <c r="I107" s="35">
        <f>SUM(I105:I106)</f>
        <v>93.78068</v>
      </c>
    </row>
    <row r="108" spans="2:9" ht="12.75" customHeight="1">
      <c r="B108" s="86"/>
      <c r="C108" s="4"/>
      <c r="D108" s="5"/>
      <c r="E108" s="10"/>
      <c r="F108" s="11"/>
      <c r="G108" s="10"/>
      <c r="H108" s="54"/>
      <c r="I108" s="22"/>
    </row>
    <row r="109" spans="2:9" ht="12.75" customHeight="1">
      <c r="B109" s="86"/>
      <c r="C109" s="4" t="s">
        <v>4</v>
      </c>
      <c r="D109" s="4"/>
      <c r="E109" s="9">
        <f>$D$4</f>
        <v>613</v>
      </c>
      <c r="F109" s="11" t="s">
        <v>2</v>
      </c>
      <c r="G109" s="57">
        <f>VLOOKUP($B$3,'Surcharge Factors'!$A$4:$AB$9,3,0)</f>
        <v>0.00745</v>
      </c>
      <c r="H109" s="50"/>
      <c r="I109" s="23">
        <f>E109*G109</f>
        <v>4.56685</v>
      </c>
    </row>
    <row r="110" spans="2:9" ht="12.75" customHeight="1">
      <c r="B110" s="86"/>
      <c r="C110" s="4" t="s">
        <v>5</v>
      </c>
      <c r="D110" s="4"/>
      <c r="E110" s="9">
        <f>$D$4</f>
        <v>613</v>
      </c>
      <c r="F110" s="11" t="s">
        <v>2</v>
      </c>
      <c r="G110" s="57">
        <f>VLOOKUP($B$3,'Surcharge Factors'!$A$4:$AB$9,4,0)</f>
        <v>0.00016</v>
      </c>
      <c r="H110" s="50" t="s">
        <v>0</v>
      </c>
      <c r="I110" s="24">
        <f>E110*G110</f>
        <v>0.09808000000000001</v>
      </c>
    </row>
    <row r="111" spans="2:9" ht="12.75" customHeight="1">
      <c r="B111" s="86"/>
      <c r="C111" s="80" t="s">
        <v>66</v>
      </c>
      <c r="D111" s="4"/>
      <c r="E111" s="9">
        <v>1</v>
      </c>
      <c r="F111" s="11" t="s">
        <v>2</v>
      </c>
      <c r="G111" s="71">
        <v>0.4</v>
      </c>
      <c r="H111" s="50"/>
      <c r="I111" s="25">
        <f>G111*E111</f>
        <v>0.4</v>
      </c>
    </row>
    <row r="112" spans="2:9" ht="12.75" customHeight="1">
      <c r="B112" s="86"/>
      <c r="C112" s="4" t="s">
        <v>13</v>
      </c>
      <c r="D112" s="4"/>
      <c r="E112" s="9">
        <f>$D$4</f>
        <v>613</v>
      </c>
      <c r="F112" s="11" t="s">
        <v>2</v>
      </c>
      <c r="G112" s="59">
        <f>VLOOKUP($B$3,'Surcharge Factors'!$A$4:$AB$9,10,0)</f>
        <v>0.000247</v>
      </c>
      <c r="H112" s="50"/>
      <c r="I112" s="25">
        <f>E112*G112</f>
        <v>0.151411</v>
      </c>
    </row>
    <row r="113" spans="2:9" ht="12.75" customHeight="1">
      <c r="B113" s="86"/>
      <c r="C113" s="80" t="s">
        <v>69</v>
      </c>
      <c r="D113" s="4"/>
      <c r="E113" s="9">
        <f>$D$4</f>
        <v>613</v>
      </c>
      <c r="F113" s="11" t="s">
        <v>2</v>
      </c>
      <c r="G113" s="72">
        <v>0.00163</v>
      </c>
      <c r="H113" s="50"/>
      <c r="I113" s="25">
        <f>E113*G113</f>
        <v>0.9991899999999999</v>
      </c>
    </row>
    <row r="114" spans="2:9" ht="12.75" customHeight="1">
      <c r="B114" s="86"/>
      <c r="C114" s="80" t="s">
        <v>70</v>
      </c>
      <c r="D114" s="4"/>
      <c r="E114" s="9">
        <f>$D$4</f>
        <v>613</v>
      </c>
      <c r="F114" s="11" t="s">
        <v>2</v>
      </c>
      <c r="G114" s="72">
        <v>-0.00062</v>
      </c>
      <c r="H114" s="50"/>
      <c r="I114" s="25">
        <f>E114*G114</f>
        <v>-0.38006</v>
      </c>
    </row>
    <row r="115" spans="2:9" ht="12.75" customHeight="1">
      <c r="B115" s="86"/>
      <c r="C115" s="80" t="s">
        <v>71</v>
      </c>
      <c r="D115" s="4"/>
      <c r="E115" s="9">
        <f>$D$4</f>
        <v>613</v>
      </c>
      <c r="F115" s="7" t="s">
        <v>2</v>
      </c>
      <c r="G115" s="72">
        <v>0</v>
      </c>
      <c r="H115" s="50"/>
      <c r="I115" s="25">
        <f>E115*G115</f>
        <v>0</v>
      </c>
    </row>
    <row r="116" spans="2:9" ht="12.75" customHeight="1">
      <c r="B116" s="86"/>
      <c r="C116" s="80" t="s">
        <v>74</v>
      </c>
      <c r="D116" s="4"/>
      <c r="E116" s="9">
        <f>$D$4</f>
        <v>613</v>
      </c>
      <c r="F116" s="7" t="s">
        <v>2</v>
      </c>
      <c r="G116" s="72">
        <v>0</v>
      </c>
      <c r="H116" s="50"/>
      <c r="I116" s="26">
        <f>E116*G116</f>
        <v>0</v>
      </c>
    </row>
    <row r="117" spans="2:9" ht="12.75" customHeight="1">
      <c r="B117" s="86"/>
      <c r="C117" s="4"/>
      <c r="D117" s="4"/>
      <c r="E117" s="9"/>
      <c r="F117" s="11"/>
      <c r="G117" s="12"/>
      <c r="H117" s="54" t="s">
        <v>63</v>
      </c>
      <c r="I117" s="28">
        <f>(SUM(I109:I116))</f>
        <v>5.835471</v>
      </c>
    </row>
    <row r="118" spans="2:9" ht="12.75" customHeight="1">
      <c r="B118" s="86"/>
      <c r="C118" s="4"/>
      <c r="D118" s="5"/>
      <c r="E118" s="4"/>
      <c r="F118" s="11"/>
      <c r="G118" s="60"/>
      <c r="H118" s="54"/>
      <c r="I118" s="29"/>
    </row>
    <row r="119" spans="2:9" ht="12.75" customHeight="1">
      <c r="B119" s="86"/>
      <c r="C119" s="80" t="s">
        <v>72</v>
      </c>
      <c r="D119" s="3"/>
      <c r="E119" s="13">
        <f>+I107+I117</f>
        <v>99.616151</v>
      </c>
      <c r="F119" s="11" t="s">
        <v>2</v>
      </c>
      <c r="G119" s="73">
        <v>0</v>
      </c>
      <c r="H119" s="50"/>
      <c r="I119" s="25">
        <f>E119*G119</f>
        <v>0</v>
      </c>
    </row>
    <row r="120" spans="2:9" ht="12.75" customHeight="1">
      <c r="B120" s="86"/>
      <c r="C120" s="4" t="s">
        <v>6</v>
      </c>
      <c r="D120" s="4"/>
      <c r="E120" s="14">
        <f>+I107+I117</f>
        <v>99.616151</v>
      </c>
      <c r="F120" s="11" t="s">
        <v>2</v>
      </c>
      <c r="G120" s="61">
        <f>VLOOKUP($B$3,'Surcharge Factors'!$A$4:$AB$9,8,0)</f>
        <v>0.018473</v>
      </c>
      <c r="H120" s="50"/>
      <c r="I120" s="25">
        <f>ROUND(+E120*G120,3)</f>
        <v>1.84</v>
      </c>
    </row>
    <row r="121" spans="2:9" ht="12.75" customHeight="1">
      <c r="B121" s="86"/>
      <c r="C121" s="80" t="s">
        <v>73</v>
      </c>
      <c r="D121" s="4"/>
      <c r="E121" s="14">
        <f>+I107+I117</f>
        <v>99.616151</v>
      </c>
      <c r="F121" s="11" t="s">
        <v>2</v>
      </c>
      <c r="G121" s="73">
        <v>0.057449</v>
      </c>
      <c r="H121" s="50"/>
      <c r="I121" s="33">
        <f>ROUND(+E121*G121,3)</f>
        <v>5.723</v>
      </c>
    </row>
    <row r="122" spans="2:9" ht="12.75" customHeight="1" thickBot="1">
      <c r="B122" s="86"/>
      <c r="C122" s="4"/>
      <c r="D122" s="4"/>
      <c r="E122" s="4"/>
      <c r="F122" s="8"/>
      <c r="G122" s="8"/>
      <c r="H122" s="54" t="s">
        <v>59</v>
      </c>
      <c r="I122" s="34">
        <f>+I107+I117+I119+I120+I121</f>
        <v>107.179151</v>
      </c>
    </row>
    <row r="123" spans="2:9" ht="12.75" customHeight="1" thickTop="1">
      <c r="B123" s="86"/>
      <c r="C123" s="4"/>
      <c r="D123" s="4"/>
      <c r="E123" s="4"/>
      <c r="F123" s="4"/>
      <c r="G123" s="8"/>
      <c r="H123" s="54"/>
      <c r="I123" s="6"/>
    </row>
    <row r="124" spans="2:9" ht="12.75" customHeight="1">
      <c r="B124" s="86"/>
      <c r="C124" s="4" t="s">
        <v>58</v>
      </c>
      <c r="D124" s="4"/>
      <c r="E124" s="13">
        <f>+I122</f>
        <v>107.179151</v>
      </c>
      <c r="F124" s="7" t="s">
        <v>2</v>
      </c>
      <c r="G124" s="61">
        <v>0.03</v>
      </c>
      <c r="H124" s="50"/>
      <c r="I124" s="25">
        <f>E124*G124</f>
        <v>3.21537453</v>
      </c>
    </row>
    <row r="125" spans="2:11" ht="12.75" customHeight="1" thickBot="1">
      <c r="B125" s="86"/>
      <c r="C125" s="80" t="s">
        <v>76</v>
      </c>
      <c r="D125" s="4"/>
      <c r="E125" s="13">
        <f>+I122</f>
        <v>107.179151</v>
      </c>
      <c r="F125" s="7" t="s">
        <v>2</v>
      </c>
      <c r="G125" s="61">
        <v>0.03</v>
      </c>
      <c r="H125" s="50"/>
      <c r="I125" s="25">
        <f>E125*G125</f>
        <v>3.21537453</v>
      </c>
      <c r="K125" s="3" t="s">
        <v>57</v>
      </c>
    </row>
    <row r="126" spans="2:13" ht="12.75" customHeight="1" thickBot="1">
      <c r="B126" s="86"/>
      <c r="C126" s="4"/>
      <c r="D126" s="4"/>
      <c r="E126" s="13"/>
      <c r="F126" s="7"/>
      <c r="G126" s="7"/>
      <c r="H126" s="54" t="s">
        <v>7</v>
      </c>
      <c r="I126" s="27">
        <f>SUM(I122:I125)</f>
        <v>113.60990006000002</v>
      </c>
      <c r="K126" s="62" t="s">
        <v>8</v>
      </c>
      <c r="L126" s="63"/>
      <c r="M126" s="64">
        <f>I126-$I$25</f>
        <v>9.794271344431323</v>
      </c>
    </row>
    <row r="127" spans="2:13" ht="12.75" customHeight="1" thickBot="1" thickTop="1">
      <c r="B127" s="87"/>
      <c r="C127" s="4"/>
      <c r="D127" s="4"/>
      <c r="E127" s="13"/>
      <c r="F127" s="7"/>
      <c r="G127" s="7"/>
      <c r="H127" s="54"/>
      <c r="I127" s="6"/>
      <c r="K127" s="65" t="s">
        <v>9</v>
      </c>
      <c r="L127" s="66"/>
      <c r="M127" s="67">
        <f>(I126-$I$25)/$I$25</f>
        <v>0.09434293723987751</v>
      </c>
    </row>
    <row r="128" spans="2:9" ht="6" customHeight="1" thickBot="1">
      <c r="B128" s="30"/>
      <c r="C128" s="31"/>
      <c r="D128" s="31"/>
      <c r="E128" s="31"/>
      <c r="F128" s="31"/>
      <c r="G128" s="31"/>
      <c r="H128" s="51"/>
      <c r="I128" s="32"/>
    </row>
    <row r="133" spans="2:9" ht="61.5" customHeight="1">
      <c r="B133" s="81">
        <v>1</v>
      </c>
      <c r="C133" s="89" t="s">
        <v>67</v>
      </c>
      <c r="D133" s="89"/>
      <c r="E133" s="89"/>
      <c r="F133" s="89"/>
      <c r="G133" s="89"/>
      <c r="H133" s="89"/>
      <c r="I133" s="89"/>
    </row>
    <row r="134" spans="2:9" ht="110.25" customHeight="1">
      <c r="B134" s="81">
        <v>2</v>
      </c>
      <c r="C134" s="89" t="s">
        <v>78</v>
      </c>
      <c r="D134" s="89"/>
      <c r="E134" s="89"/>
      <c r="F134" s="89"/>
      <c r="G134" s="89"/>
      <c r="H134" s="89"/>
      <c r="I134" s="89"/>
    </row>
    <row r="135" spans="2:9" ht="104.25" customHeight="1">
      <c r="B135" s="81">
        <v>3</v>
      </c>
      <c r="C135" s="89" t="s">
        <v>79</v>
      </c>
      <c r="D135" s="89"/>
      <c r="E135" s="89"/>
      <c r="F135" s="89"/>
      <c r="G135" s="89"/>
      <c r="H135" s="89"/>
      <c r="I135" s="89"/>
    </row>
    <row r="136" spans="2:9" ht="41.25" customHeight="1">
      <c r="B136" s="81">
        <v>4</v>
      </c>
      <c r="C136" s="89" t="s">
        <v>68</v>
      </c>
      <c r="D136" s="89"/>
      <c r="E136" s="89"/>
      <c r="F136" s="89"/>
      <c r="G136" s="89"/>
      <c r="H136" s="89"/>
      <c r="I136" s="89"/>
    </row>
    <row r="137" spans="2:9" ht="70.5" customHeight="1">
      <c r="B137" s="81">
        <v>5</v>
      </c>
      <c r="C137" s="89" t="s">
        <v>80</v>
      </c>
      <c r="D137" s="89"/>
      <c r="E137" s="89"/>
      <c r="F137" s="89"/>
      <c r="G137" s="89"/>
      <c r="H137" s="89"/>
      <c r="I137" s="89"/>
    </row>
    <row r="138" spans="2:9" ht="64.5" customHeight="1">
      <c r="B138" s="81">
        <v>6</v>
      </c>
      <c r="C138" s="89" t="s">
        <v>75</v>
      </c>
      <c r="D138" s="89"/>
      <c r="E138" s="89"/>
      <c r="F138" s="89"/>
      <c r="G138" s="89"/>
      <c r="H138" s="89"/>
      <c r="I138" s="89"/>
    </row>
    <row r="139" spans="2:9" ht="31.5" customHeight="1">
      <c r="B139" s="81">
        <v>7</v>
      </c>
      <c r="C139" s="89" t="s">
        <v>77</v>
      </c>
      <c r="D139" s="89"/>
      <c r="E139" s="89"/>
      <c r="F139" s="89"/>
      <c r="G139" s="89"/>
      <c r="H139" s="89"/>
      <c r="I139" s="89"/>
    </row>
    <row r="140" ht="12.75">
      <c r="B140" s="81"/>
    </row>
    <row r="141" ht="12.75">
      <c r="B141" s="81"/>
    </row>
    <row r="142" ht="12.75">
      <c r="B142" s="81"/>
    </row>
    <row r="143" ht="12.75">
      <c r="B143" s="81"/>
    </row>
    <row r="144" ht="12.75">
      <c r="B144" s="81"/>
    </row>
    <row r="145" ht="12.75">
      <c r="B145" s="81"/>
    </row>
    <row r="146" ht="12.75">
      <c r="B146" s="81"/>
    </row>
    <row r="147" ht="12.75">
      <c r="B147" s="81"/>
    </row>
    <row r="148" ht="12.75">
      <c r="B148" s="81"/>
    </row>
    <row r="149" ht="12.75">
      <c r="B149" s="81"/>
    </row>
    <row r="150" ht="12.75">
      <c r="B150" s="81"/>
    </row>
    <row r="151" ht="12.75">
      <c r="B151" s="81"/>
    </row>
    <row r="152" ht="12.75">
      <c r="B152" s="81"/>
    </row>
    <row r="153" ht="12.75">
      <c r="B153" s="81"/>
    </row>
    <row r="154" ht="12.75">
      <c r="B154" s="81"/>
    </row>
  </sheetData>
  <sheetProtection/>
  <mergeCells count="13">
    <mergeCell ref="C134:I134"/>
    <mergeCell ref="C135:I135"/>
    <mergeCell ref="C136:I136"/>
    <mergeCell ref="C137:I137"/>
    <mergeCell ref="C138:I138"/>
    <mergeCell ref="C139:I139"/>
    <mergeCell ref="B29:B52"/>
    <mergeCell ref="B79:B102"/>
    <mergeCell ref="B104:B127"/>
    <mergeCell ref="B2:I2"/>
    <mergeCell ref="B6:B27"/>
    <mergeCell ref="C133:I133"/>
    <mergeCell ref="B54:B77"/>
  </mergeCells>
  <printOptions/>
  <pageMargins left="0.25" right="0.25" top="0.75" bottom="0.75" header="0.3" footer="0.3"/>
  <pageSetup fitToHeight="0" fitToWidth="1" horizontalDpi="600" verticalDpi="600" orientation="portrait" scale="35" r:id="rId2"/>
  <ignoredErrors>
    <ignoredError sqref="I13 I36 I86" formula="1"/>
  </ignoredErrors>
  <drawing r:id="rId1"/>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B1:M154"/>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L4" sqref="L4"/>
    </sheetView>
  </sheetViews>
  <sheetFormatPr defaultColWidth="8.8515625" defaultRowHeight="15"/>
  <cols>
    <col min="1" max="1" width="5.57421875" style="2" customWidth="1"/>
    <col min="2" max="2" width="15.7109375" style="2" customWidth="1"/>
    <col min="3" max="3" width="24.140625" style="2" customWidth="1"/>
    <col min="4" max="4" width="5.140625" style="2" customWidth="1"/>
    <col min="5" max="5" width="11.57421875" style="2" customWidth="1"/>
    <col min="6" max="6" width="7.00390625" style="2" customWidth="1"/>
    <col min="7" max="7" width="11.57421875" style="2" customWidth="1"/>
    <col min="8" max="8" width="15.421875" style="55" customWidth="1"/>
    <col min="9" max="9" width="14.00390625" style="2" customWidth="1"/>
    <col min="10" max="10" width="4.140625" style="2" customWidth="1"/>
    <col min="11" max="16384" width="8.8515625" style="2" customWidth="1"/>
  </cols>
  <sheetData>
    <row r="1" s="15" customFormat="1" ht="12.75">
      <c r="H1" s="48"/>
    </row>
    <row r="2" spans="2:9" s="15" customFormat="1" ht="12.75" customHeight="1">
      <c r="B2" s="88" t="s">
        <v>12</v>
      </c>
      <c r="C2" s="88"/>
      <c r="D2" s="88"/>
      <c r="E2" s="88"/>
      <c r="F2" s="88"/>
      <c r="G2" s="88"/>
      <c r="H2" s="88"/>
      <c r="I2" s="88"/>
    </row>
    <row r="3" spans="2:9" ht="12.75" customHeight="1" thickBot="1">
      <c r="B3" s="68" t="s">
        <v>38</v>
      </c>
      <c r="C3" s="1"/>
      <c r="D3" s="1"/>
      <c r="E3" s="1"/>
      <c r="F3" s="1"/>
      <c r="G3" s="1"/>
      <c r="H3" s="49"/>
      <c r="I3" s="1"/>
    </row>
    <row r="4" spans="2:9" ht="12.75" customHeight="1" thickBot="1">
      <c r="B4" s="74" t="s">
        <v>62</v>
      </c>
      <c r="C4" s="78"/>
      <c r="D4" s="79">
        <v>1313</v>
      </c>
      <c r="E4" s="78" t="s">
        <v>1</v>
      </c>
      <c r="F4" s="75"/>
      <c r="G4" s="75"/>
      <c r="H4" s="76"/>
      <c r="I4" s="77"/>
    </row>
    <row r="5" spans="2:9" ht="6" customHeight="1" thickBot="1">
      <c r="B5" s="30"/>
      <c r="C5" s="31"/>
      <c r="D5" s="31"/>
      <c r="E5" s="31"/>
      <c r="F5" s="31"/>
      <c r="G5" s="31"/>
      <c r="H5" s="51"/>
      <c r="I5" s="32"/>
    </row>
    <row r="6" spans="2:9" ht="12.75" customHeight="1">
      <c r="B6" s="85" t="s">
        <v>56</v>
      </c>
      <c r="C6" s="19"/>
      <c r="D6" s="19"/>
      <c r="E6" s="19"/>
      <c r="F6" s="19"/>
      <c r="G6" s="19"/>
      <c r="H6" s="52"/>
      <c r="I6" s="21"/>
    </row>
    <row r="7" spans="2:9" ht="12.75" customHeight="1">
      <c r="B7" s="86"/>
      <c r="C7" s="20" t="s">
        <v>52</v>
      </c>
      <c r="D7" s="4"/>
      <c r="E7" s="4">
        <v>1</v>
      </c>
      <c r="F7" s="7" t="s">
        <v>2</v>
      </c>
      <c r="G7" s="56">
        <v>17.5</v>
      </c>
      <c r="H7" s="53"/>
      <c r="I7" s="23">
        <f>G7</f>
        <v>17.5</v>
      </c>
    </row>
    <row r="8" spans="2:9" ht="12.75" customHeight="1">
      <c r="B8" s="86"/>
      <c r="C8" s="4" t="s">
        <v>14</v>
      </c>
      <c r="D8" s="4"/>
      <c r="E8" s="9">
        <f>$D$4</f>
        <v>1313</v>
      </c>
      <c r="F8" s="7" t="s">
        <v>2</v>
      </c>
      <c r="G8" s="12">
        <v>0.10799</v>
      </c>
      <c r="H8" s="50"/>
      <c r="I8" s="36">
        <f>E8*G8</f>
        <v>141.79087</v>
      </c>
    </row>
    <row r="9" spans="2:9" ht="12.75" customHeight="1">
      <c r="B9" s="86"/>
      <c r="C9" s="4"/>
      <c r="D9" s="5"/>
      <c r="E9" s="10"/>
      <c r="F9" s="11"/>
      <c r="G9" s="10"/>
      <c r="H9" s="54" t="s">
        <v>3</v>
      </c>
      <c r="I9" s="35">
        <f>SUM(I7:I8)</f>
        <v>159.29087</v>
      </c>
    </row>
    <row r="10" spans="2:9" ht="12.75" customHeight="1">
      <c r="B10" s="86"/>
      <c r="C10" s="4"/>
      <c r="D10" s="5"/>
      <c r="E10" s="10"/>
      <c r="F10" s="11"/>
      <c r="G10" s="10"/>
      <c r="H10" s="54"/>
      <c r="I10" s="22"/>
    </row>
    <row r="11" spans="2:9" ht="12.75" customHeight="1">
      <c r="B11" s="86"/>
      <c r="C11" s="4" t="s">
        <v>4</v>
      </c>
      <c r="D11" s="4"/>
      <c r="E11" s="9">
        <f>$D$4</f>
        <v>1313</v>
      </c>
      <c r="F11" s="7" t="s">
        <v>2</v>
      </c>
      <c r="G11" s="57">
        <f>VLOOKUP($B$3,'Surcharge Factors'!$A$4:$AB$9,3,0)</f>
        <v>0.00745</v>
      </c>
      <c r="H11" s="50"/>
      <c r="I11" s="23">
        <f>E11*G11</f>
        <v>9.78185</v>
      </c>
    </row>
    <row r="12" spans="2:9" ht="12.75" customHeight="1">
      <c r="B12" s="86"/>
      <c r="C12" s="4" t="s">
        <v>5</v>
      </c>
      <c r="D12" s="4"/>
      <c r="E12" s="9">
        <f>$D$4</f>
        <v>1313</v>
      </c>
      <c r="F12" s="7" t="s">
        <v>2</v>
      </c>
      <c r="G12" s="57">
        <f>VLOOKUP($B$3,'Surcharge Factors'!$A$4:$AB$9,4,0)</f>
        <v>0.00016</v>
      </c>
      <c r="H12" s="50" t="s">
        <v>0</v>
      </c>
      <c r="I12" s="24">
        <f>E12*G12</f>
        <v>0.21008000000000002</v>
      </c>
    </row>
    <row r="13" spans="2:9" ht="12.75" customHeight="1">
      <c r="B13" s="86"/>
      <c r="C13" s="4" t="s">
        <v>53</v>
      </c>
      <c r="D13" s="4"/>
      <c r="E13" s="9">
        <v>1</v>
      </c>
      <c r="F13" s="7" t="s">
        <v>2</v>
      </c>
      <c r="G13" s="58">
        <f>VLOOKUP($B$3,'Surcharge Factors'!$A$4:$AB$9,12,0)</f>
        <v>0.3</v>
      </c>
      <c r="H13" s="50"/>
      <c r="I13" s="25">
        <f>G13*E13</f>
        <v>0.3</v>
      </c>
    </row>
    <row r="14" spans="2:9" ht="12.75" customHeight="1">
      <c r="B14" s="86"/>
      <c r="C14" s="4" t="s">
        <v>13</v>
      </c>
      <c r="D14" s="4"/>
      <c r="E14" s="9">
        <f>$D$4</f>
        <v>1313</v>
      </c>
      <c r="F14" s="7" t="s">
        <v>2</v>
      </c>
      <c r="G14" s="59">
        <f>VLOOKUP($B$3,'Surcharge Factors'!$A$4:$AB$9,10,0)</f>
        <v>0.000247</v>
      </c>
      <c r="H14" s="50"/>
      <c r="I14" s="25">
        <f>E14*G14</f>
        <v>0.32431099999999996</v>
      </c>
    </row>
    <row r="15" spans="2:9" ht="12.75" customHeight="1">
      <c r="B15" s="86"/>
      <c r="C15" s="4" t="s">
        <v>10</v>
      </c>
      <c r="D15" s="4"/>
      <c r="E15" s="9">
        <f>$D$4</f>
        <v>1313</v>
      </c>
      <c r="F15" s="7" t="s">
        <v>2</v>
      </c>
      <c r="G15" s="59">
        <f>VLOOKUP($B$3,'Surcharge Factors'!$A$4:$AB$9,18,0)</f>
        <v>0.00558</v>
      </c>
      <c r="H15" s="50"/>
      <c r="I15" s="25">
        <f>E15*G15</f>
        <v>7.32654</v>
      </c>
    </row>
    <row r="16" spans="2:9" ht="12.75" customHeight="1">
      <c r="B16" s="86"/>
      <c r="C16" s="4" t="s">
        <v>21</v>
      </c>
      <c r="D16" s="4"/>
      <c r="E16" s="9">
        <f>$D$4</f>
        <v>1313</v>
      </c>
      <c r="F16" s="7" t="s">
        <v>2</v>
      </c>
      <c r="G16" s="59">
        <f>VLOOKUP($B$3,'Surcharge Factors'!$A$4:$AB$9,16,0)</f>
        <v>-0.0001</v>
      </c>
      <c r="H16" s="50"/>
      <c r="I16" s="26">
        <f>E16*G16</f>
        <v>-0.1313</v>
      </c>
    </row>
    <row r="17" spans="2:9" ht="12.75" customHeight="1">
      <c r="B17" s="86"/>
      <c r="C17" s="4"/>
      <c r="D17" s="4"/>
      <c r="E17" s="9"/>
      <c r="F17" s="7"/>
      <c r="G17" s="12"/>
      <c r="H17" s="54" t="s">
        <v>63</v>
      </c>
      <c r="I17" s="28">
        <f>(SUM(I11:I16))</f>
        <v>17.811481</v>
      </c>
    </row>
    <row r="18" spans="2:9" ht="12.75" customHeight="1">
      <c r="B18" s="86"/>
      <c r="C18" s="4"/>
      <c r="D18" s="5"/>
      <c r="E18" s="4"/>
      <c r="F18" s="7"/>
      <c r="G18" s="60"/>
      <c r="H18" s="54"/>
      <c r="I18" s="29"/>
    </row>
    <row r="19" spans="2:9" ht="12.75" customHeight="1">
      <c r="B19" s="86"/>
      <c r="C19" s="4" t="s">
        <v>11</v>
      </c>
      <c r="D19" s="3"/>
      <c r="E19" s="13">
        <f>+I9+I17</f>
        <v>177.102351</v>
      </c>
      <c r="F19" s="7" t="s">
        <v>2</v>
      </c>
      <c r="G19" s="61">
        <f>VLOOKUP($B$3,'Surcharge Factors'!$A$4:$AB$9,14,0)</f>
        <v>0.044078</v>
      </c>
      <c r="H19" s="50"/>
      <c r="I19" s="25">
        <f>E19*G19</f>
        <v>7.806317427378</v>
      </c>
    </row>
    <row r="20" spans="2:9" ht="12.75" customHeight="1">
      <c r="B20" s="86"/>
      <c r="C20" s="4" t="s">
        <v>6</v>
      </c>
      <c r="D20" s="4"/>
      <c r="E20" s="14">
        <f>+I9+I17</f>
        <v>177.102351</v>
      </c>
      <c r="F20" s="7" t="s">
        <v>2</v>
      </c>
      <c r="G20" s="61">
        <f>VLOOKUP($B$3,'Surcharge Factors'!$A$4:$AB$9,8,0)</f>
        <v>0.018473</v>
      </c>
      <c r="H20" s="50"/>
      <c r="I20" s="33">
        <f>ROUND(+E20*G20,3)</f>
        <v>3.272</v>
      </c>
    </row>
    <row r="21" spans="2:9" ht="12.75" customHeight="1" thickBot="1">
      <c r="B21" s="86"/>
      <c r="C21" s="4"/>
      <c r="D21" s="4"/>
      <c r="E21" s="4"/>
      <c r="F21" s="4"/>
      <c r="G21" s="8"/>
      <c r="H21" s="54" t="s">
        <v>59</v>
      </c>
      <c r="I21" s="34">
        <f>+I9+I17+I19+I20</f>
        <v>188.18066842737798</v>
      </c>
    </row>
    <row r="22" spans="2:9" ht="12.75" customHeight="1" thickTop="1">
      <c r="B22" s="86"/>
      <c r="C22" s="4"/>
      <c r="D22" s="4"/>
      <c r="E22" s="4"/>
      <c r="F22" s="4"/>
      <c r="G22" s="8"/>
      <c r="H22" s="54"/>
      <c r="I22" s="6"/>
    </row>
    <row r="23" spans="2:9" ht="12.75" customHeight="1">
      <c r="B23" s="86"/>
      <c r="C23" s="4" t="s">
        <v>58</v>
      </c>
      <c r="D23" s="4"/>
      <c r="E23" s="13">
        <f>+I21</f>
        <v>188.18066842737798</v>
      </c>
      <c r="F23" s="7" t="s">
        <v>2</v>
      </c>
      <c r="G23" s="61">
        <v>0.03</v>
      </c>
      <c r="H23" s="50"/>
      <c r="I23" s="25">
        <f>E23*G23</f>
        <v>5.645420052821339</v>
      </c>
    </row>
    <row r="24" spans="2:9" ht="12.75" customHeight="1">
      <c r="B24" s="86"/>
      <c r="C24" s="4"/>
      <c r="D24" s="4"/>
      <c r="E24" s="13"/>
      <c r="F24" s="7"/>
      <c r="G24" s="61"/>
      <c r="H24" s="50"/>
      <c r="I24" s="25"/>
    </row>
    <row r="25" spans="2:9" ht="12.75" customHeight="1" thickBot="1">
      <c r="B25" s="86"/>
      <c r="C25" s="4"/>
      <c r="D25" s="4"/>
      <c r="E25" s="13"/>
      <c r="F25" s="7"/>
      <c r="G25" s="7"/>
      <c r="H25" s="54" t="s">
        <v>7</v>
      </c>
      <c r="I25" s="27">
        <f>SUM(I21:I24)</f>
        <v>193.82608848019933</v>
      </c>
    </row>
    <row r="26" spans="2:9" ht="12.75" customHeight="1" thickTop="1">
      <c r="B26" s="86"/>
      <c r="C26" s="4"/>
      <c r="D26" s="4"/>
      <c r="E26" s="13"/>
      <c r="F26" s="7"/>
      <c r="G26" s="7"/>
      <c r="H26" s="54"/>
      <c r="I26" s="6"/>
    </row>
    <row r="27" spans="2:9" ht="12.75" customHeight="1" thickBot="1">
      <c r="B27" s="87"/>
      <c r="C27" s="4"/>
      <c r="D27" s="4"/>
      <c r="E27" s="4"/>
      <c r="F27" s="4"/>
      <c r="G27" s="4"/>
      <c r="H27" s="54"/>
      <c r="I27" s="6"/>
    </row>
    <row r="28" spans="2:9" ht="6" customHeight="1" thickBot="1">
      <c r="B28" s="30"/>
      <c r="C28" s="31"/>
      <c r="D28" s="31"/>
      <c r="E28" s="31"/>
      <c r="F28" s="31"/>
      <c r="G28" s="31"/>
      <c r="H28" s="51"/>
      <c r="I28" s="32"/>
    </row>
    <row r="29" spans="2:9" ht="12.75" customHeight="1">
      <c r="B29" s="85" t="s">
        <v>81</v>
      </c>
      <c r="C29" s="19"/>
      <c r="D29" s="19"/>
      <c r="E29" s="19"/>
      <c r="F29" s="19"/>
      <c r="G29" s="19"/>
      <c r="H29" s="52"/>
      <c r="I29" s="21"/>
    </row>
    <row r="30" spans="2:9" ht="12.75" customHeight="1">
      <c r="B30" s="86"/>
      <c r="C30" s="20" t="s">
        <v>52</v>
      </c>
      <c r="D30" s="4"/>
      <c r="E30" s="4">
        <v>1</v>
      </c>
      <c r="F30" s="7" t="s">
        <v>2</v>
      </c>
      <c r="G30" s="69">
        <v>20</v>
      </c>
      <c r="H30" s="53"/>
      <c r="I30" s="23">
        <f>G30</f>
        <v>20</v>
      </c>
    </row>
    <row r="31" spans="2:9" ht="12.75" customHeight="1">
      <c r="B31" s="86"/>
      <c r="C31" s="4" t="s">
        <v>14</v>
      </c>
      <c r="D31" s="4"/>
      <c r="E31" s="9">
        <f>$D$4</f>
        <v>1313</v>
      </c>
      <c r="F31" s="7" t="s">
        <v>2</v>
      </c>
      <c r="G31" s="70">
        <v>0.12947</v>
      </c>
      <c r="H31" s="50"/>
      <c r="I31" s="36">
        <f>E31*G31</f>
        <v>169.99411</v>
      </c>
    </row>
    <row r="32" spans="2:9" ht="12.75" customHeight="1">
      <c r="B32" s="86"/>
      <c r="C32" s="4"/>
      <c r="D32" s="5"/>
      <c r="E32" s="10"/>
      <c r="F32" s="11"/>
      <c r="G32" s="10"/>
      <c r="H32" s="54" t="s">
        <v>3</v>
      </c>
      <c r="I32" s="35">
        <f>SUM(I30:I31)</f>
        <v>189.99411</v>
      </c>
    </row>
    <row r="33" spans="2:9" ht="12.75" customHeight="1">
      <c r="B33" s="86"/>
      <c r="C33" s="4"/>
      <c r="D33" s="5"/>
      <c r="E33" s="10"/>
      <c r="F33" s="11"/>
      <c r="G33" s="10"/>
      <c r="H33" s="54"/>
      <c r="I33" s="22"/>
    </row>
    <row r="34" spans="2:9" ht="12.75" customHeight="1">
      <c r="B34" s="86"/>
      <c r="C34" s="4" t="s">
        <v>4</v>
      </c>
      <c r="D34" s="4"/>
      <c r="E34" s="9">
        <f>$D$4</f>
        <v>1313</v>
      </c>
      <c r="F34" s="7" t="s">
        <v>2</v>
      </c>
      <c r="G34" s="57">
        <f>VLOOKUP($B$3,'Surcharge Factors'!$A$4:$AB$9,3,0)</f>
        <v>0.00745</v>
      </c>
      <c r="H34" s="50"/>
      <c r="I34" s="23">
        <f>E34*G34</f>
        <v>9.78185</v>
      </c>
    </row>
    <row r="35" spans="2:9" ht="12.75" customHeight="1">
      <c r="B35" s="86"/>
      <c r="C35" s="4" t="s">
        <v>5</v>
      </c>
      <c r="D35" s="4"/>
      <c r="E35" s="9">
        <f>$D$4</f>
        <v>1313</v>
      </c>
      <c r="F35" s="7" t="s">
        <v>2</v>
      </c>
      <c r="G35" s="57">
        <f>VLOOKUP($B$3,'Surcharge Factors'!$A$4:$AB$9,4,0)</f>
        <v>0.00016</v>
      </c>
      <c r="H35" s="50" t="s">
        <v>0</v>
      </c>
      <c r="I35" s="24">
        <f>E35*G35</f>
        <v>0.21008000000000002</v>
      </c>
    </row>
    <row r="36" spans="2:9" ht="12.75" customHeight="1">
      <c r="B36" s="86"/>
      <c r="C36" s="80" t="s">
        <v>66</v>
      </c>
      <c r="D36" s="4"/>
      <c r="E36" s="9">
        <v>1</v>
      </c>
      <c r="F36" s="7" t="s">
        <v>2</v>
      </c>
      <c r="G36" s="71">
        <v>0.4</v>
      </c>
      <c r="H36" s="50"/>
      <c r="I36" s="25">
        <f>G36*E36</f>
        <v>0.4</v>
      </c>
    </row>
    <row r="37" spans="2:9" ht="12.75" customHeight="1">
      <c r="B37" s="86"/>
      <c r="C37" s="4" t="s">
        <v>13</v>
      </c>
      <c r="D37" s="4"/>
      <c r="E37" s="9">
        <f>$D$4</f>
        <v>1313</v>
      </c>
      <c r="F37" s="7" t="s">
        <v>2</v>
      </c>
      <c r="G37" s="59">
        <f>VLOOKUP($B$3,'Surcharge Factors'!$A$4:$AB$9,10,0)</f>
        <v>0.000247</v>
      </c>
      <c r="H37" s="50"/>
      <c r="I37" s="25">
        <f>E37*G37</f>
        <v>0.32431099999999996</v>
      </c>
    </row>
    <row r="38" spans="2:9" ht="12.75" customHeight="1">
      <c r="B38" s="86"/>
      <c r="C38" s="80" t="s">
        <v>69</v>
      </c>
      <c r="D38" s="4"/>
      <c r="E38" s="9">
        <f>$D$4</f>
        <v>1313</v>
      </c>
      <c r="F38" s="7" t="s">
        <v>2</v>
      </c>
      <c r="G38" s="72">
        <v>0.00163</v>
      </c>
      <c r="H38" s="50"/>
      <c r="I38" s="25">
        <f>E38*G38</f>
        <v>2.14019</v>
      </c>
    </row>
    <row r="39" spans="2:9" ht="12.75" customHeight="1">
      <c r="B39" s="86"/>
      <c r="C39" s="80" t="s">
        <v>70</v>
      </c>
      <c r="D39" s="4"/>
      <c r="E39" s="9">
        <f>$D$4</f>
        <v>1313</v>
      </c>
      <c r="F39" s="7" t="s">
        <v>2</v>
      </c>
      <c r="G39" s="72">
        <v>-0.00053</v>
      </c>
      <c r="H39" s="50"/>
      <c r="I39" s="25">
        <f>E39*G39</f>
        <v>-0.69589</v>
      </c>
    </row>
    <row r="40" spans="2:9" ht="12.75" customHeight="1">
      <c r="B40" s="86"/>
      <c r="C40" s="80" t="s">
        <v>71</v>
      </c>
      <c r="D40" s="4"/>
      <c r="E40" s="9">
        <f>$D$4</f>
        <v>1313</v>
      </c>
      <c r="F40" s="7" t="s">
        <v>2</v>
      </c>
      <c r="G40" s="72">
        <v>0</v>
      </c>
      <c r="H40" s="50"/>
      <c r="I40" s="25">
        <f>E40*G40</f>
        <v>0</v>
      </c>
    </row>
    <row r="41" spans="2:9" ht="12.75" customHeight="1">
      <c r="B41" s="86"/>
      <c r="C41" s="80" t="s">
        <v>74</v>
      </c>
      <c r="D41" s="4"/>
      <c r="E41" s="9">
        <f>$D$4</f>
        <v>1313</v>
      </c>
      <c r="F41" s="7" t="s">
        <v>2</v>
      </c>
      <c r="G41" s="72">
        <v>0</v>
      </c>
      <c r="H41" s="50"/>
      <c r="I41" s="26">
        <f>E41*G41</f>
        <v>0</v>
      </c>
    </row>
    <row r="42" spans="2:9" ht="12.75" customHeight="1">
      <c r="B42" s="86"/>
      <c r="C42" s="4"/>
      <c r="D42" s="4"/>
      <c r="E42" s="9"/>
      <c r="F42" s="7"/>
      <c r="G42" s="12"/>
      <c r="H42" s="54" t="s">
        <v>63</v>
      </c>
      <c r="I42" s="28">
        <f>(SUM(I34:I41))</f>
        <v>12.160541</v>
      </c>
    </row>
    <row r="43" spans="2:9" ht="12.75" customHeight="1">
      <c r="B43" s="86"/>
      <c r="C43" s="4"/>
      <c r="D43" s="5"/>
      <c r="E43" s="4"/>
      <c r="F43" s="7"/>
      <c r="G43" s="60"/>
      <c r="H43" s="54"/>
      <c r="I43" s="29"/>
    </row>
    <row r="44" spans="2:9" ht="12.75" customHeight="1">
      <c r="B44" s="86"/>
      <c r="C44" s="80" t="s">
        <v>72</v>
      </c>
      <c r="D44" s="3"/>
      <c r="E44" s="13">
        <f>+I32+I42</f>
        <v>202.154651</v>
      </c>
      <c r="F44" s="7" t="s">
        <v>2</v>
      </c>
      <c r="G44" s="73">
        <v>0</v>
      </c>
      <c r="H44" s="50"/>
      <c r="I44" s="25">
        <f>E44*G44</f>
        <v>0</v>
      </c>
    </row>
    <row r="45" spans="2:9" ht="12.75" customHeight="1">
      <c r="B45" s="86"/>
      <c r="C45" s="4" t="s">
        <v>6</v>
      </c>
      <c r="D45" s="4"/>
      <c r="E45" s="14">
        <f>+I32+I42</f>
        <v>202.154651</v>
      </c>
      <c r="F45" s="7" t="s">
        <v>2</v>
      </c>
      <c r="G45" s="61">
        <f>VLOOKUP($B$3,'Surcharge Factors'!$A$4:$AB$9,8,0)</f>
        <v>0.018473</v>
      </c>
      <c r="H45" s="50"/>
      <c r="I45" s="25">
        <f>ROUND(+E45*G45,3)</f>
        <v>3.734</v>
      </c>
    </row>
    <row r="46" spans="2:9" ht="12.75" customHeight="1">
      <c r="B46" s="86"/>
      <c r="C46" s="80" t="s">
        <v>61</v>
      </c>
      <c r="D46" s="4"/>
      <c r="E46" s="14">
        <f>+I32+I42</f>
        <v>202.154651</v>
      </c>
      <c r="F46" s="7" t="s">
        <v>2</v>
      </c>
      <c r="G46" s="73">
        <v>0</v>
      </c>
      <c r="H46" s="50"/>
      <c r="I46" s="33">
        <f>ROUND(+E46*G46,3)</f>
        <v>0</v>
      </c>
    </row>
    <row r="47" spans="2:9" ht="12.75" customHeight="1" thickBot="1">
      <c r="B47" s="86"/>
      <c r="C47" s="4"/>
      <c r="D47" s="4"/>
      <c r="E47" s="4"/>
      <c r="F47" s="4"/>
      <c r="G47" s="8"/>
      <c r="H47" s="54" t="s">
        <v>59</v>
      </c>
      <c r="I47" s="34">
        <f>+I32+I42+I44+I45+I46</f>
        <v>205.888651</v>
      </c>
    </row>
    <row r="48" spans="2:9" ht="12.75" customHeight="1" thickTop="1">
      <c r="B48" s="86"/>
      <c r="C48" s="4"/>
      <c r="D48" s="4"/>
      <c r="E48" s="4"/>
      <c r="F48" s="4"/>
      <c r="G48" s="8"/>
      <c r="H48" s="54"/>
      <c r="I48" s="6"/>
    </row>
    <row r="49" spans="2:9" ht="12.75" customHeight="1">
      <c r="B49" s="86"/>
      <c r="C49" s="4" t="s">
        <v>58</v>
      </c>
      <c r="D49" s="4"/>
      <c r="E49" s="13">
        <f>+I47</f>
        <v>205.888651</v>
      </c>
      <c r="F49" s="7" t="s">
        <v>2</v>
      </c>
      <c r="G49" s="61">
        <v>0.03</v>
      </c>
      <c r="H49" s="50"/>
      <c r="I49" s="25">
        <f>E49*G49</f>
        <v>6.17665953</v>
      </c>
    </row>
    <row r="50" spans="2:11" ht="12.75" customHeight="1" thickBot="1">
      <c r="B50" s="86"/>
      <c r="C50" s="4"/>
      <c r="D50" s="4"/>
      <c r="E50" s="13"/>
      <c r="F50" s="7"/>
      <c r="G50" s="61"/>
      <c r="H50" s="50"/>
      <c r="I50" s="25"/>
      <c r="K50" s="3" t="s">
        <v>57</v>
      </c>
    </row>
    <row r="51" spans="2:13" ht="12.75" customHeight="1" thickBot="1">
      <c r="B51" s="86"/>
      <c r="C51" s="4"/>
      <c r="D51" s="4"/>
      <c r="E51" s="13"/>
      <c r="F51" s="7"/>
      <c r="G51" s="7"/>
      <c r="H51" s="54" t="s">
        <v>7</v>
      </c>
      <c r="I51" s="27">
        <f>SUM(I47:I50)</f>
        <v>212.06531053</v>
      </c>
      <c r="K51" s="62" t="s">
        <v>8</v>
      </c>
      <c r="L51" s="63"/>
      <c r="M51" s="64">
        <f>I51-$I$25</f>
        <v>18.239222049800674</v>
      </c>
    </row>
    <row r="52" spans="2:13" ht="12.75" customHeight="1" thickBot="1" thickTop="1">
      <c r="B52" s="87"/>
      <c r="C52" s="4"/>
      <c r="D52" s="4"/>
      <c r="E52" s="13"/>
      <c r="F52" s="7"/>
      <c r="G52" s="7"/>
      <c r="H52" s="54"/>
      <c r="I52" s="6"/>
      <c r="K52" s="65" t="s">
        <v>9</v>
      </c>
      <c r="L52" s="66"/>
      <c r="M52" s="67">
        <f>(I51-$I$25)/$I$25</f>
        <v>0.09410096542119477</v>
      </c>
    </row>
    <row r="53" spans="2:9" ht="6" customHeight="1" thickBot="1">
      <c r="B53" s="30"/>
      <c r="C53" s="31"/>
      <c r="D53" s="31"/>
      <c r="E53" s="31"/>
      <c r="F53" s="31"/>
      <c r="G53" s="31"/>
      <c r="H53" s="51"/>
      <c r="I53" s="32"/>
    </row>
    <row r="54" spans="2:9" ht="12.75" customHeight="1">
      <c r="B54" s="85" t="s">
        <v>82</v>
      </c>
      <c r="C54" s="19"/>
      <c r="D54" s="19"/>
      <c r="E54" s="19"/>
      <c r="F54" s="19"/>
      <c r="G54" s="19"/>
      <c r="H54" s="52"/>
      <c r="I54" s="21"/>
    </row>
    <row r="55" spans="2:9" ht="12.75" customHeight="1">
      <c r="B55" s="86"/>
      <c r="C55" s="20" t="s">
        <v>52</v>
      </c>
      <c r="D55" s="4"/>
      <c r="E55" s="4">
        <v>1</v>
      </c>
      <c r="F55" s="7" t="s">
        <v>2</v>
      </c>
      <c r="G55" s="69">
        <v>20</v>
      </c>
      <c r="H55" s="53"/>
      <c r="I55" s="23">
        <f>G55</f>
        <v>20</v>
      </c>
    </row>
    <row r="56" spans="2:9" ht="12.75" customHeight="1">
      <c r="B56" s="86"/>
      <c r="C56" s="4" t="s">
        <v>14</v>
      </c>
      <c r="D56" s="4"/>
      <c r="E56" s="9">
        <f>$D$4</f>
        <v>1313</v>
      </c>
      <c r="F56" s="7" t="s">
        <v>2</v>
      </c>
      <c r="G56" s="70">
        <v>0.12947</v>
      </c>
      <c r="H56" s="50"/>
      <c r="I56" s="36">
        <f>E56*G56</f>
        <v>169.99411</v>
      </c>
    </row>
    <row r="57" spans="2:9" ht="12.75" customHeight="1">
      <c r="B57" s="86"/>
      <c r="C57" s="4"/>
      <c r="D57" s="5"/>
      <c r="E57" s="10"/>
      <c r="F57" s="11"/>
      <c r="G57" s="10"/>
      <c r="H57" s="54" t="s">
        <v>3</v>
      </c>
      <c r="I57" s="35">
        <f>SUM(I55:I56)</f>
        <v>189.99411</v>
      </c>
    </row>
    <row r="58" spans="2:9" ht="12.75" customHeight="1">
      <c r="B58" s="86"/>
      <c r="C58" s="4"/>
      <c r="D58" s="5"/>
      <c r="E58" s="10"/>
      <c r="F58" s="11"/>
      <c r="G58" s="10"/>
      <c r="H58" s="54"/>
      <c r="I58" s="22"/>
    </row>
    <row r="59" spans="2:9" ht="12.75" customHeight="1">
      <c r="B59" s="86"/>
      <c r="C59" s="4" t="s">
        <v>4</v>
      </c>
      <c r="D59" s="4"/>
      <c r="E59" s="9">
        <f>$D$4</f>
        <v>1313</v>
      </c>
      <c r="F59" s="7" t="s">
        <v>2</v>
      </c>
      <c r="G59" s="57">
        <f>VLOOKUP($B$3,'Surcharge Factors'!$A$4:$AB$9,3,0)</f>
        <v>0.00745</v>
      </c>
      <c r="H59" s="50"/>
      <c r="I59" s="23">
        <f>E59*G59</f>
        <v>9.78185</v>
      </c>
    </row>
    <row r="60" spans="2:9" ht="12.75" customHeight="1">
      <c r="B60" s="86"/>
      <c r="C60" s="4" t="s">
        <v>5</v>
      </c>
      <c r="D60" s="4"/>
      <c r="E60" s="9">
        <f>$D$4</f>
        <v>1313</v>
      </c>
      <c r="F60" s="7" t="s">
        <v>2</v>
      </c>
      <c r="G60" s="57">
        <f>VLOOKUP($B$3,'Surcharge Factors'!$A$4:$AB$9,4,0)</f>
        <v>0.00016</v>
      </c>
      <c r="H60" s="50" t="s">
        <v>0</v>
      </c>
      <c r="I60" s="24">
        <f>E60*G60</f>
        <v>0.21008000000000002</v>
      </c>
    </row>
    <row r="61" spans="2:9" ht="12.75" customHeight="1">
      <c r="B61" s="86"/>
      <c r="C61" s="80" t="s">
        <v>66</v>
      </c>
      <c r="D61" s="4"/>
      <c r="E61" s="9">
        <v>1</v>
      </c>
      <c r="F61" s="7" t="s">
        <v>2</v>
      </c>
      <c r="G61" s="71">
        <v>0.4</v>
      </c>
      <c r="H61" s="50"/>
      <c r="I61" s="25">
        <f>G61*E61</f>
        <v>0.4</v>
      </c>
    </row>
    <row r="62" spans="2:9" ht="12.75" customHeight="1">
      <c r="B62" s="86"/>
      <c r="C62" s="4" t="s">
        <v>13</v>
      </c>
      <c r="D62" s="4"/>
      <c r="E62" s="9">
        <f>$D$4</f>
        <v>1313</v>
      </c>
      <c r="F62" s="7" t="s">
        <v>2</v>
      </c>
      <c r="G62" s="59">
        <f>VLOOKUP($B$3,'Surcharge Factors'!$A$4:$AB$9,10,0)</f>
        <v>0.000247</v>
      </c>
      <c r="H62" s="50"/>
      <c r="I62" s="25">
        <f>E62*G62</f>
        <v>0.32431099999999996</v>
      </c>
    </row>
    <row r="63" spans="2:9" ht="12.75" customHeight="1">
      <c r="B63" s="86"/>
      <c r="C63" s="80" t="s">
        <v>69</v>
      </c>
      <c r="D63" s="4"/>
      <c r="E63" s="9">
        <f>$D$4</f>
        <v>1313</v>
      </c>
      <c r="F63" s="7" t="s">
        <v>2</v>
      </c>
      <c r="G63" s="72">
        <v>0.00163</v>
      </c>
      <c r="H63" s="50"/>
      <c r="I63" s="25">
        <f>E63*G63</f>
        <v>2.14019</v>
      </c>
    </row>
    <row r="64" spans="2:9" ht="12.75" customHeight="1">
      <c r="B64" s="86"/>
      <c r="C64" s="80" t="s">
        <v>70</v>
      </c>
      <c r="D64" s="4"/>
      <c r="E64" s="9">
        <f>$D$4</f>
        <v>1313</v>
      </c>
      <c r="F64" s="7" t="s">
        <v>2</v>
      </c>
      <c r="G64" s="72">
        <v>-0.00053</v>
      </c>
      <c r="H64" s="50"/>
      <c r="I64" s="25">
        <f>E64*G64</f>
        <v>-0.69589</v>
      </c>
    </row>
    <row r="65" spans="2:9" ht="12.75" customHeight="1">
      <c r="B65" s="86"/>
      <c r="C65" s="80" t="s">
        <v>71</v>
      </c>
      <c r="D65" s="4"/>
      <c r="E65" s="9">
        <f>$D$4</f>
        <v>1313</v>
      </c>
      <c r="F65" s="7" t="s">
        <v>2</v>
      </c>
      <c r="G65" s="72">
        <v>0</v>
      </c>
      <c r="H65" s="50"/>
      <c r="I65" s="25">
        <f>E65*G65</f>
        <v>0</v>
      </c>
    </row>
    <row r="66" spans="2:9" ht="12.75" customHeight="1">
      <c r="B66" s="86"/>
      <c r="C66" s="80" t="s">
        <v>74</v>
      </c>
      <c r="D66" s="4"/>
      <c r="E66" s="9">
        <f>$D$4</f>
        <v>1313</v>
      </c>
      <c r="F66" s="7" t="s">
        <v>2</v>
      </c>
      <c r="G66" s="72">
        <v>0</v>
      </c>
      <c r="H66" s="50"/>
      <c r="I66" s="26">
        <f>E66*G66</f>
        <v>0</v>
      </c>
    </row>
    <row r="67" spans="2:9" ht="12.75" customHeight="1">
      <c r="B67" s="86"/>
      <c r="C67" s="4"/>
      <c r="D67" s="4"/>
      <c r="E67" s="9"/>
      <c r="F67" s="7"/>
      <c r="G67" s="12"/>
      <c r="H67" s="54" t="s">
        <v>63</v>
      </c>
      <c r="I67" s="28">
        <f>(SUM(I59:I66))</f>
        <v>12.160541</v>
      </c>
    </row>
    <row r="68" spans="2:9" ht="12.75" customHeight="1">
      <c r="B68" s="86"/>
      <c r="C68" s="4"/>
      <c r="D68" s="5"/>
      <c r="E68" s="4"/>
      <c r="F68" s="7"/>
      <c r="G68" s="60"/>
      <c r="H68" s="54"/>
      <c r="I68" s="29"/>
    </row>
    <row r="69" spans="2:9" ht="12.75" customHeight="1">
      <c r="B69" s="86"/>
      <c r="C69" s="80" t="s">
        <v>72</v>
      </c>
      <c r="D69" s="3"/>
      <c r="E69" s="13">
        <f>+I57+I67</f>
        <v>202.154651</v>
      </c>
      <c r="F69" s="7" t="s">
        <v>2</v>
      </c>
      <c r="G69" s="73">
        <v>0</v>
      </c>
      <c r="H69" s="50"/>
      <c r="I69" s="25">
        <f>E69*G69</f>
        <v>0</v>
      </c>
    </row>
    <row r="70" spans="2:9" ht="12.75" customHeight="1">
      <c r="B70" s="86"/>
      <c r="C70" s="4" t="s">
        <v>6</v>
      </c>
      <c r="D70" s="4"/>
      <c r="E70" s="14">
        <f>+I57+I67</f>
        <v>202.154651</v>
      </c>
      <c r="F70" s="7" t="s">
        <v>2</v>
      </c>
      <c r="G70" s="61">
        <f>VLOOKUP($B$3,'Surcharge Factors'!$A$4:$AB$9,8,0)</f>
        <v>0.018473</v>
      </c>
      <c r="H70" s="50"/>
      <c r="I70" s="25">
        <f>ROUND(+E70*G70,3)</f>
        <v>3.734</v>
      </c>
    </row>
    <row r="71" spans="2:9" ht="12.75" customHeight="1">
      <c r="B71" s="86"/>
      <c r="C71" s="80" t="s">
        <v>73</v>
      </c>
      <c r="D71" s="4"/>
      <c r="E71" s="14">
        <f>+I57+I67</f>
        <v>202.154651</v>
      </c>
      <c r="F71" s="7" t="s">
        <v>2</v>
      </c>
      <c r="G71" s="73">
        <v>0.057449</v>
      </c>
      <c r="H71" s="50"/>
      <c r="I71" s="33">
        <f>ROUND(+E71*G71,3)</f>
        <v>11.614</v>
      </c>
    </row>
    <row r="72" spans="2:9" ht="12.75" customHeight="1" thickBot="1">
      <c r="B72" s="86"/>
      <c r="C72" s="4"/>
      <c r="D72" s="4"/>
      <c r="E72" s="4"/>
      <c r="F72" s="4"/>
      <c r="G72" s="8"/>
      <c r="H72" s="54" t="s">
        <v>59</v>
      </c>
      <c r="I72" s="34">
        <f>+I57+I67+I69+I70+I71</f>
        <v>217.50265100000001</v>
      </c>
    </row>
    <row r="73" spans="2:9" ht="12.75" customHeight="1" thickTop="1">
      <c r="B73" s="86"/>
      <c r="C73" s="4"/>
      <c r="D73" s="4"/>
      <c r="E73" s="4"/>
      <c r="F73" s="4"/>
      <c r="G73" s="8"/>
      <c r="H73" s="54"/>
      <c r="I73" s="6"/>
    </row>
    <row r="74" spans="2:9" ht="12.75" customHeight="1">
      <c r="B74" s="86"/>
      <c r="C74" s="4" t="s">
        <v>58</v>
      </c>
      <c r="D74" s="4"/>
      <c r="E74" s="13">
        <f>+I72</f>
        <v>217.50265100000001</v>
      </c>
      <c r="F74" s="7" t="s">
        <v>2</v>
      </c>
      <c r="G74" s="61">
        <v>0.03</v>
      </c>
      <c r="H74" s="50"/>
      <c r="I74" s="25">
        <f>E74*G74</f>
        <v>6.52507953</v>
      </c>
    </row>
    <row r="75" spans="2:11" ht="12.75" customHeight="1" thickBot="1">
      <c r="B75" s="86"/>
      <c r="C75" s="8"/>
      <c r="D75" s="8"/>
      <c r="E75" s="83"/>
      <c r="F75" s="11"/>
      <c r="G75" s="61"/>
      <c r="H75" s="84"/>
      <c r="I75" s="25"/>
      <c r="K75" s="3" t="s">
        <v>57</v>
      </c>
    </row>
    <row r="76" spans="2:13" ht="12.75" customHeight="1" thickBot="1">
      <c r="B76" s="86"/>
      <c r="C76" s="4"/>
      <c r="D76" s="4"/>
      <c r="E76" s="13"/>
      <c r="F76" s="7"/>
      <c r="G76" s="7"/>
      <c r="H76" s="54" t="s">
        <v>7</v>
      </c>
      <c r="I76" s="27">
        <f>SUM(I72:I75)</f>
        <v>224.02773053</v>
      </c>
      <c r="K76" s="62" t="s">
        <v>8</v>
      </c>
      <c r="L76" s="63"/>
      <c r="M76" s="64">
        <f>I76-$I$25</f>
        <v>30.201642049800682</v>
      </c>
    </row>
    <row r="77" spans="2:13" ht="12.75" customHeight="1" thickBot="1" thickTop="1">
      <c r="B77" s="87"/>
      <c r="C77" s="4"/>
      <c r="D77" s="4"/>
      <c r="E77" s="13"/>
      <c r="F77" s="7"/>
      <c r="G77" s="7"/>
      <c r="H77" s="54"/>
      <c r="I77" s="6"/>
      <c r="K77" s="65" t="s">
        <v>9</v>
      </c>
      <c r="L77" s="66"/>
      <c r="M77" s="67">
        <f>(I76-$I$25)/$I$25</f>
        <v>0.15581825071440777</v>
      </c>
    </row>
    <row r="78" spans="2:9" ht="6" customHeight="1" thickBot="1">
      <c r="B78" s="30"/>
      <c r="C78" s="31"/>
      <c r="D78" s="31"/>
      <c r="E78" s="31"/>
      <c r="F78" s="31"/>
      <c r="G78" s="31"/>
      <c r="H78" s="51"/>
      <c r="I78" s="32"/>
    </row>
    <row r="79" spans="2:9" ht="12.75" customHeight="1">
      <c r="B79" s="85" t="s">
        <v>64</v>
      </c>
      <c r="C79" s="19"/>
      <c r="D79" s="19"/>
      <c r="E79" s="19"/>
      <c r="F79" s="19"/>
      <c r="G79" s="19"/>
      <c r="H79" s="52"/>
      <c r="I79" s="21"/>
    </row>
    <row r="80" spans="2:9" ht="12.75" customHeight="1">
      <c r="B80" s="86"/>
      <c r="C80" s="20" t="s">
        <v>52</v>
      </c>
      <c r="D80" s="4"/>
      <c r="E80" s="4">
        <v>1</v>
      </c>
      <c r="F80" s="7" t="s">
        <v>2</v>
      </c>
      <c r="G80" s="69">
        <v>20</v>
      </c>
      <c r="H80" s="53"/>
      <c r="I80" s="23">
        <f>G80</f>
        <v>20</v>
      </c>
    </row>
    <row r="81" spans="2:9" ht="12.75" customHeight="1">
      <c r="B81" s="86"/>
      <c r="C81" s="4" t="s">
        <v>14</v>
      </c>
      <c r="D81" s="4"/>
      <c r="E81" s="9">
        <f>$D$4</f>
        <v>1313</v>
      </c>
      <c r="F81" s="7" t="s">
        <v>2</v>
      </c>
      <c r="G81" s="70">
        <v>0.12036</v>
      </c>
      <c r="H81" s="50"/>
      <c r="I81" s="36">
        <f>E81*G81</f>
        <v>158.03268</v>
      </c>
    </row>
    <row r="82" spans="2:9" ht="12.75" customHeight="1">
      <c r="B82" s="86"/>
      <c r="C82" s="4"/>
      <c r="D82" s="5"/>
      <c r="E82" s="10"/>
      <c r="F82" s="11"/>
      <c r="G82" s="10"/>
      <c r="H82" s="54" t="s">
        <v>3</v>
      </c>
      <c r="I82" s="35">
        <f>SUM(I80:I81)</f>
        <v>178.03268</v>
      </c>
    </row>
    <row r="83" spans="2:9" ht="12.75" customHeight="1">
      <c r="B83" s="86"/>
      <c r="C83" s="4"/>
      <c r="D83" s="5"/>
      <c r="E83" s="10"/>
      <c r="F83" s="11"/>
      <c r="G83" s="10"/>
      <c r="H83" s="54"/>
      <c r="I83" s="22"/>
    </row>
    <row r="84" spans="2:9" ht="12.75" customHeight="1">
      <c r="B84" s="86"/>
      <c r="C84" s="4" t="s">
        <v>4</v>
      </c>
      <c r="D84" s="4"/>
      <c r="E84" s="9">
        <f>$D$4</f>
        <v>1313</v>
      </c>
      <c r="F84" s="11" t="s">
        <v>2</v>
      </c>
      <c r="G84" s="57">
        <f>VLOOKUP($B$3,'Surcharge Factors'!$A$4:$AB$9,3,0)</f>
        <v>0.00745</v>
      </c>
      <c r="H84" s="50"/>
      <c r="I84" s="23">
        <f>E84*G84</f>
        <v>9.78185</v>
      </c>
    </row>
    <row r="85" spans="2:9" ht="12.75" customHeight="1">
      <c r="B85" s="86"/>
      <c r="C85" s="4" t="s">
        <v>5</v>
      </c>
      <c r="D85" s="4"/>
      <c r="E85" s="9">
        <f>$D$4</f>
        <v>1313</v>
      </c>
      <c r="F85" s="11" t="s">
        <v>2</v>
      </c>
      <c r="G85" s="57">
        <f>VLOOKUP($B$3,'Surcharge Factors'!$A$4:$AB$9,4,0)</f>
        <v>0.00016</v>
      </c>
      <c r="H85" s="50" t="s">
        <v>0</v>
      </c>
      <c r="I85" s="24">
        <f>E85*G85</f>
        <v>0.21008000000000002</v>
      </c>
    </row>
    <row r="86" spans="2:9" ht="12.75" customHeight="1">
      <c r="B86" s="86"/>
      <c r="C86" s="80" t="s">
        <v>66</v>
      </c>
      <c r="D86" s="4"/>
      <c r="E86" s="9">
        <v>1</v>
      </c>
      <c r="F86" s="11" t="s">
        <v>2</v>
      </c>
      <c r="G86" s="71">
        <v>0.4</v>
      </c>
      <c r="H86" s="50"/>
      <c r="I86" s="25">
        <f>G86*E86</f>
        <v>0.4</v>
      </c>
    </row>
    <row r="87" spans="2:9" ht="12.75" customHeight="1">
      <c r="B87" s="86"/>
      <c r="C87" s="4" t="s">
        <v>13</v>
      </c>
      <c r="D87" s="4"/>
      <c r="E87" s="9">
        <f>$D$4</f>
        <v>1313</v>
      </c>
      <c r="F87" s="11" t="s">
        <v>2</v>
      </c>
      <c r="G87" s="59">
        <f>VLOOKUP($B$3,'Surcharge Factors'!$A$4:$AB$9,10,0)</f>
        <v>0.000247</v>
      </c>
      <c r="H87" s="50"/>
      <c r="I87" s="25">
        <f>E87*G87</f>
        <v>0.32431099999999996</v>
      </c>
    </row>
    <row r="88" spans="2:9" ht="12.75" customHeight="1">
      <c r="B88" s="86"/>
      <c r="C88" s="80" t="s">
        <v>69</v>
      </c>
      <c r="D88" s="4"/>
      <c r="E88" s="9">
        <f>$D$4</f>
        <v>1313</v>
      </c>
      <c r="F88" s="11" t="s">
        <v>2</v>
      </c>
      <c r="G88" s="72">
        <v>0.00163</v>
      </c>
      <c r="H88" s="50"/>
      <c r="I88" s="25">
        <f>E88*G88</f>
        <v>2.14019</v>
      </c>
    </row>
    <row r="89" spans="2:9" ht="12.75" customHeight="1">
      <c r="B89" s="86"/>
      <c r="C89" s="80" t="s">
        <v>70</v>
      </c>
      <c r="D89" s="4"/>
      <c r="E89" s="9">
        <f>$D$4</f>
        <v>1313</v>
      </c>
      <c r="F89" s="11" t="s">
        <v>2</v>
      </c>
      <c r="G89" s="72">
        <v>-0.00062</v>
      </c>
      <c r="H89" s="50"/>
      <c r="I89" s="25">
        <f>E89*G89</f>
        <v>-0.81406</v>
      </c>
    </row>
    <row r="90" spans="2:9" ht="12.75" customHeight="1">
      <c r="B90" s="86"/>
      <c r="C90" s="80" t="s">
        <v>71</v>
      </c>
      <c r="D90" s="4"/>
      <c r="E90" s="9">
        <f>$D$4</f>
        <v>1313</v>
      </c>
      <c r="F90" s="7" t="s">
        <v>2</v>
      </c>
      <c r="G90" s="72">
        <v>0</v>
      </c>
      <c r="H90" s="50"/>
      <c r="I90" s="25">
        <f>E90*G90</f>
        <v>0</v>
      </c>
    </row>
    <row r="91" spans="2:9" ht="12.75" customHeight="1">
      <c r="B91" s="86"/>
      <c r="C91" s="80" t="s">
        <v>74</v>
      </c>
      <c r="D91" s="4"/>
      <c r="E91" s="9">
        <f>$D$4</f>
        <v>1313</v>
      </c>
      <c r="F91" s="7" t="s">
        <v>2</v>
      </c>
      <c r="G91" s="72">
        <v>0</v>
      </c>
      <c r="H91" s="50"/>
      <c r="I91" s="26">
        <f>E91*G91</f>
        <v>0</v>
      </c>
    </row>
    <row r="92" spans="2:9" ht="12.75" customHeight="1">
      <c r="B92" s="86"/>
      <c r="C92" s="4"/>
      <c r="D92" s="4"/>
      <c r="E92" s="9"/>
      <c r="F92" s="11"/>
      <c r="G92" s="12"/>
      <c r="H92" s="54" t="s">
        <v>63</v>
      </c>
      <c r="I92" s="28">
        <f>(SUM(I84:I91))</f>
        <v>12.042371000000001</v>
      </c>
    </row>
    <row r="93" spans="2:9" ht="12.75" customHeight="1">
      <c r="B93" s="86"/>
      <c r="C93" s="4"/>
      <c r="D93" s="5"/>
      <c r="E93" s="4"/>
      <c r="F93" s="11"/>
      <c r="G93" s="60"/>
      <c r="H93" s="54"/>
      <c r="I93" s="29"/>
    </row>
    <row r="94" spans="2:9" ht="12.75" customHeight="1">
      <c r="B94" s="86"/>
      <c r="C94" s="80" t="s">
        <v>72</v>
      </c>
      <c r="D94" s="3"/>
      <c r="E94" s="13">
        <f>+I82+I92</f>
        <v>190.075051</v>
      </c>
      <c r="F94" s="11" t="s">
        <v>2</v>
      </c>
      <c r="G94" s="73">
        <v>0</v>
      </c>
      <c r="H94" s="50"/>
      <c r="I94" s="25">
        <f>E94*G94</f>
        <v>0</v>
      </c>
    </row>
    <row r="95" spans="2:13" ht="12.75" customHeight="1">
      <c r="B95" s="86"/>
      <c r="C95" s="4" t="s">
        <v>6</v>
      </c>
      <c r="D95" s="4"/>
      <c r="E95" s="14">
        <f>+I82+I92</f>
        <v>190.075051</v>
      </c>
      <c r="F95" s="11" t="s">
        <v>2</v>
      </c>
      <c r="G95" s="61">
        <f>VLOOKUP($B$3,'Surcharge Factors'!$A$4:$AB$9,8,0)</f>
        <v>0.018473</v>
      </c>
      <c r="H95" s="50"/>
      <c r="I95" s="25">
        <f>ROUND(+E95*G95,3)</f>
        <v>3.511</v>
      </c>
      <c r="K95" s="15"/>
      <c r="L95" s="15"/>
      <c r="M95" s="15"/>
    </row>
    <row r="96" spans="2:13" ht="12.75" customHeight="1">
      <c r="B96" s="86"/>
      <c r="C96" s="80" t="s">
        <v>61</v>
      </c>
      <c r="D96" s="4"/>
      <c r="E96" s="14">
        <f>+I82+I92</f>
        <v>190.075051</v>
      </c>
      <c r="F96" s="11" t="s">
        <v>2</v>
      </c>
      <c r="G96" s="73">
        <v>0</v>
      </c>
      <c r="H96" s="50"/>
      <c r="I96" s="33">
        <f>ROUND(+E96*G96,3)</f>
        <v>0</v>
      </c>
      <c r="K96" s="15"/>
      <c r="L96" s="15"/>
      <c r="M96" s="15"/>
    </row>
    <row r="97" spans="2:13" ht="12.75" customHeight="1" thickBot="1">
      <c r="B97" s="86"/>
      <c r="C97" s="4"/>
      <c r="D97" s="4"/>
      <c r="E97" s="4"/>
      <c r="F97" s="8"/>
      <c r="G97" s="8"/>
      <c r="H97" s="54" t="s">
        <v>59</v>
      </c>
      <c r="I97" s="34">
        <f>+I82+I92+I94+I95+I96</f>
        <v>193.586051</v>
      </c>
      <c r="K97" s="82"/>
      <c r="L97" s="15"/>
      <c r="M97" s="82"/>
    </row>
    <row r="98" spans="2:13" ht="12.75" customHeight="1" thickTop="1">
      <c r="B98" s="86"/>
      <c r="C98" s="4"/>
      <c r="D98" s="4"/>
      <c r="E98" s="4"/>
      <c r="F98" s="4"/>
      <c r="G98" s="8"/>
      <c r="H98" s="54"/>
      <c r="I98" s="6"/>
      <c r="K98" s="15"/>
      <c r="L98" s="15"/>
      <c r="M98" s="15"/>
    </row>
    <row r="99" spans="2:9" ht="12.75" customHeight="1">
      <c r="B99" s="86"/>
      <c r="C99" s="4" t="s">
        <v>58</v>
      </c>
      <c r="D99" s="4"/>
      <c r="E99" s="13">
        <f>+I97</f>
        <v>193.586051</v>
      </c>
      <c r="F99" s="7" t="s">
        <v>2</v>
      </c>
      <c r="G99" s="61">
        <v>0.03</v>
      </c>
      <c r="H99" s="50"/>
      <c r="I99" s="25">
        <f>E99*G99</f>
        <v>5.807581529999999</v>
      </c>
    </row>
    <row r="100" spans="2:11" ht="12.75" customHeight="1" thickBot="1">
      <c r="B100" s="86"/>
      <c r="C100" s="8"/>
      <c r="D100" s="8"/>
      <c r="E100" s="83"/>
      <c r="F100" s="11"/>
      <c r="G100" s="61"/>
      <c r="H100" s="84"/>
      <c r="I100" s="25"/>
      <c r="K100" s="3" t="s">
        <v>57</v>
      </c>
    </row>
    <row r="101" spans="2:13" ht="12.75" customHeight="1" thickBot="1">
      <c r="B101" s="86"/>
      <c r="C101" s="4"/>
      <c r="D101" s="4"/>
      <c r="E101" s="13"/>
      <c r="F101" s="7"/>
      <c r="G101" s="7"/>
      <c r="H101" s="54" t="s">
        <v>7</v>
      </c>
      <c r="I101" s="27">
        <f>SUM(I97:I100)</f>
        <v>199.39363253</v>
      </c>
      <c r="K101" s="62" t="s">
        <v>8</v>
      </c>
      <c r="L101" s="63"/>
      <c r="M101" s="64">
        <f>I101-$I$25</f>
        <v>5.567544049800659</v>
      </c>
    </row>
    <row r="102" spans="2:13" ht="12.75" customHeight="1" thickBot="1" thickTop="1">
      <c r="B102" s="87"/>
      <c r="C102" s="4"/>
      <c r="D102" s="4"/>
      <c r="E102" s="13"/>
      <c r="F102" s="7"/>
      <c r="G102" s="7"/>
      <c r="H102" s="54"/>
      <c r="I102" s="6"/>
      <c r="K102" s="65" t="s">
        <v>9</v>
      </c>
      <c r="L102" s="66"/>
      <c r="M102" s="67">
        <f>(I101-$I$25)/$I$25</f>
        <v>0.028724430717536883</v>
      </c>
    </row>
    <row r="103" spans="2:9" ht="6" customHeight="1" thickBot="1">
      <c r="B103" s="30"/>
      <c r="C103" s="31"/>
      <c r="D103" s="31"/>
      <c r="E103" s="31"/>
      <c r="F103" s="31"/>
      <c r="G103" s="31"/>
      <c r="H103" s="51"/>
      <c r="I103" s="32"/>
    </row>
    <row r="104" spans="2:9" ht="12.75" customHeight="1">
      <c r="B104" s="85" t="s">
        <v>65</v>
      </c>
      <c r="C104" s="19"/>
      <c r="D104" s="19"/>
      <c r="E104" s="19"/>
      <c r="F104" s="19"/>
      <c r="G104" s="19"/>
      <c r="H104" s="52"/>
      <c r="I104" s="21"/>
    </row>
    <row r="105" spans="2:9" ht="12.75" customHeight="1">
      <c r="B105" s="86"/>
      <c r="C105" s="20" t="s">
        <v>52</v>
      </c>
      <c r="D105" s="4"/>
      <c r="E105" s="4">
        <v>1</v>
      </c>
      <c r="F105" s="7" t="s">
        <v>2</v>
      </c>
      <c r="G105" s="69">
        <v>20</v>
      </c>
      <c r="H105" s="53"/>
      <c r="I105" s="23">
        <f>G105</f>
        <v>20</v>
      </c>
    </row>
    <row r="106" spans="2:9" ht="12.75" customHeight="1">
      <c r="B106" s="86"/>
      <c r="C106" s="4" t="s">
        <v>14</v>
      </c>
      <c r="D106" s="4"/>
      <c r="E106" s="9">
        <f>$D$4</f>
        <v>1313</v>
      </c>
      <c r="F106" s="7" t="s">
        <v>2</v>
      </c>
      <c r="G106" s="70">
        <v>0.12036</v>
      </c>
      <c r="H106" s="50"/>
      <c r="I106" s="36">
        <f>E106*G106</f>
        <v>158.03268</v>
      </c>
    </row>
    <row r="107" spans="2:9" ht="12.75" customHeight="1">
      <c r="B107" s="86"/>
      <c r="C107" s="4"/>
      <c r="D107" s="5"/>
      <c r="E107" s="10"/>
      <c r="F107" s="11"/>
      <c r="G107" s="10"/>
      <c r="H107" s="54" t="s">
        <v>3</v>
      </c>
      <c r="I107" s="35">
        <f>SUM(I105:I106)</f>
        <v>178.03268</v>
      </c>
    </row>
    <row r="108" spans="2:9" ht="12.75" customHeight="1">
      <c r="B108" s="86"/>
      <c r="C108" s="4"/>
      <c r="D108" s="5"/>
      <c r="E108" s="10"/>
      <c r="F108" s="11"/>
      <c r="G108" s="10"/>
      <c r="H108" s="54"/>
      <c r="I108" s="22"/>
    </row>
    <row r="109" spans="2:9" ht="12.75" customHeight="1">
      <c r="B109" s="86"/>
      <c r="C109" s="4" t="s">
        <v>4</v>
      </c>
      <c r="D109" s="4"/>
      <c r="E109" s="9">
        <f>$D$4</f>
        <v>1313</v>
      </c>
      <c r="F109" s="11" t="s">
        <v>2</v>
      </c>
      <c r="G109" s="57">
        <f>VLOOKUP($B$3,'Surcharge Factors'!$A$4:$AB$9,3,0)</f>
        <v>0.00745</v>
      </c>
      <c r="H109" s="50"/>
      <c r="I109" s="23">
        <f>E109*G109</f>
        <v>9.78185</v>
      </c>
    </row>
    <row r="110" spans="2:9" ht="12.75" customHeight="1">
      <c r="B110" s="86"/>
      <c r="C110" s="4" t="s">
        <v>5</v>
      </c>
      <c r="D110" s="4"/>
      <c r="E110" s="9">
        <f>$D$4</f>
        <v>1313</v>
      </c>
      <c r="F110" s="11" t="s">
        <v>2</v>
      </c>
      <c r="G110" s="57">
        <f>VLOOKUP($B$3,'Surcharge Factors'!$A$4:$AB$9,4,0)</f>
        <v>0.00016</v>
      </c>
      <c r="H110" s="50" t="s">
        <v>0</v>
      </c>
      <c r="I110" s="24">
        <f>E110*G110</f>
        <v>0.21008000000000002</v>
      </c>
    </row>
    <row r="111" spans="2:9" ht="12.75" customHeight="1">
      <c r="B111" s="86"/>
      <c r="C111" s="80" t="s">
        <v>66</v>
      </c>
      <c r="D111" s="4"/>
      <c r="E111" s="9">
        <v>1</v>
      </c>
      <c r="F111" s="11" t="s">
        <v>2</v>
      </c>
      <c r="G111" s="71">
        <v>0.4</v>
      </c>
      <c r="H111" s="50"/>
      <c r="I111" s="25">
        <f>G111*E111</f>
        <v>0.4</v>
      </c>
    </row>
    <row r="112" spans="2:9" ht="12.75" customHeight="1">
      <c r="B112" s="86"/>
      <c r="C112" s="4" t="s">
        <v>13</v>
      </c>
      <c r="D112" s="4"/>
      <c r="E112" s="9">
        <f>$D$4</f>
        <v>1313</v>
      </c>
      <c r="F112" s="11" t="s">
        <v>2</v>
      </c>
      <c r="G112" s="59">
        <f>VLOOKUP($B$3,'Surcharge Factors'!$A$4:$AB$9,10,0)</f>
        <v>0.000247</v>
      </c>
      <c r="H112" s="50"/>
      <c r="I112" s="25">
        <f>E112*G112</f>
        <v>0.32431099999999996</v>
      </c>
    </row>
    <row r="113" spans="2:9" ht="12.75" customHeight="1">
      <c r="B113" s="86"/>
      <c r="C113" s="80" t="s">
        <v>69</v>
      </c>
      <c r="D113" s="4"/>
      <c r="E113" s="9">
        <f>$D$4</f>
        <v>1313</v>
      </c>
      <c r="F113" s="11" t="s">
        <v>2</v>
      </c>
      <c r="G113" s="72">
        <v>0.00163</v>
      </c>
      <c r="H113" s="50"/>
      <c r="I113" s="25">
        <f>E113*G113</f>
        <v>2.14019</v>
      </c>
    </row>
    <row r="114" spans="2:9" ht="12.75" customHeight="1">
      <c r="B114" s="86"/>
      <c r="C114" s="80" t="s">
        <v>70</v>
      </c>
      <c r="D114" s="4"/>
      <c r="E114" s="9">
        <f>$D$4</f>
        <v>1313</v>
      </c>
      <c r="F114" s="11" t="s">
        <v>2</v>
      </c>
      <c r="G114" s="72">
        <v>-0.00062</v>
      </c>
      <c r="H114" s="50"/>
      <c r="I114" s="25">
        <f>E114*G114</f>
        <v>-0.81406</v>
      </c>
    </row>
    <row r="115" spans="2:9" ht="12.75" customHeight="1">
      <c r="B115" s="86"/>
      <c r="C115" s="80" t="s">
        <v>71</v>
      </c>
      <c r="D115" s="4"/>
      <c r="E115" s="9">
        <f>$D$4</f>
        <v>1313</v>
      </c>
      <c r="F115" s="7" t="s">
        <v>2</v>
      </c>
      <c r="G115" s="72">
        <v>0</v>
      </c>
      <c r="H115" s="50"/>
      <c r="I115" s="25">
        <f>E115*G115</f>
        <v>0</v>
      </c>
    </row>
    <row r="116" spans="2:9" ht="12.75" customHeight="1">
      <c r="B116" s="86"/>
      <c r="C116" s="80" t="s">
        <v>74</v>
      </c>
      <c r="D116" s="4"/>
      <c r="E116" s="9">
        <f>$D$4</f>
        <v>1313</v>
      </c>
      <c r="F116" s="7" t="s">
        <v>2</v>
      </c>
      <c r="G116" s="72">
        <v>0</v>
      </c>
      <c r="H116" s="50"/>
      <c r="I116" s="26">
        <f>E116*G116</f>
        <v>0</v>
      </c>
    </row>
    <row r="117" spans="2:9" ht="12.75" customHeight="1">
      <c r="B117" s="86"/>
      <c r="C117" s="4"/>
      <c r="D117" s="4"/>
      <c r="E117" s="9"/>
      <c r="F117" s="11"/>
      <c r="G117" s="12"/>
      <c r="H117" s="54" t="s">
        <v>63</v>
      </c>
      <c r="I117" s="28">
        <f>(SUM(I109:I116))</f>
        <v>12.042371000000001</v>
      </c>
    </row>
    <row r="118" spans="2:9" ht="12.75" customHeight="1">
      <c r="B118" s="86"/>
      <c r="C118" s="4"/>
      <c r="D118" s="5"/>
      <c r="E118" s="4"/>
      <c r="F118" s="11"/>
      <c r="G118" s="60"/>
      <c r="H118" s="54"/>
      <c r="I118" s="29"/>
    </row>
    <row r="119" spans="2:9" ht="12.75" customHeight="1">
      <c r="B119" s="86"/>
      <c r="C119" s="80" t="s">
        <v>72</v>
      </c>
      <c r="D119" s="3"/>
      <c r="E119" s="13">
        <f>+I107+I117</f>
        <v>190.075051</v>
      </c>
      <c r="F119" s="11" t="s">
        <v>2</v>
      </c>
      <c r="G119" s="73">
        <v>0</v>
      </c>
      <c r="H119" s="50"/>
      <c r="I119" s="25">
        <f>E119*G119</f>
        <v>0</v>
      </c>
    </row>
    <row r="120" spans="2:9" ht="12.75" customHeight="1">
      <c r="B120" s="86"/>
      <c r="C120" s="4" t="s">
        <v>6</v>
      </c>
      <c r="D120" s="4"/>
      <c r="E120" s="14">
        <f>+I107+I117</f>
        <v>190.075051</v>
      </c>
      <c r="F120" s="11" t="s">
        <v>2</v>
      </c>
      <c r="G120" s="61">
        <f>VLOOKUP($B$3,'Surcharge Factors'!$A$4:$AB$9,8,0)</f>
        <v>0.018473</v>
      </c>
      <c r="H120" s="50"/>
      <c r="I120" s="25">
        <f>ROUND(+E120*G120,3)</f>
        <v>3.511</v>
      </c>
    </row>
    <row r="121" spans="2:9" ht="12.75" customHeight="1">
      <c r="B121" s="86"/>
      <c r="C121" s="80" t="s">
        <v>73</v>
      </c>
      <c r="D121" s="4"/>
      <c r="E121" s="14">
        <f>+I107+I117</f>
        <v>190.075051</v>
      </c>
      <c r="F121" s="11" t="s">
        <v>2</v>
      </c>
      <c r="G121" s="73">
        <v>0.057449</v>
      </c>
      <c r="H121" s="50"/>
      <c r="I121" s="33">
        <f>ROUND(+E121*G121,3)</f>
        <v>10.92</v>
      </c>
    </row>
    <row r="122" spans="2:9" ht="12.75" customHeight="1" thickBot="1">
      <c r="B122" s="86"/>
      <c r="C122" s="4"/>
      <c r="D122" s="4"/>
      <c r="E122" s="4"/>
      <c r="F122" s="8"/>
      <c r="G122" s="8"/>
      <c r="H122" s="54" t="s">
        <v>59</v>
      </c>
      <c r="I122" s="34">
        <f>+I107+I117+I119+I120+I121</f>
        <v>204.50605099999999</v>
      </c>
    </row>
    <row r="123" spans="2:9" ht="12.75" customHeight="1" thickTop="1">
      <c r="B123" s="86"/>
      <c r="C123" s="4"/>
      <c r="D123" s="4"/>
      <c r="E123" s="4"/>
      <c r="F123" s="4"/>
      <c r="G123" s="8"/>
      <c r="H123" s="54"/>
      <c r="I123" s="6"/>
    </row>
    <row r="124" spans="2:9" ht="12.75" customHeight="1">
      <c r="B124" s="86"/>
      <c r="C124" s="4" t="s">
        <v>58</v>
      </c>
      <c r="D124" s="4"/>
      <c r="E124" s="13">
        <f>+I122</f>
        <v>204.50605099999999</v>
      </c>
      <c r="F124" s="7" t="s">
        <v>2</v>
      </c>
      <c r="G124" s="61">
        <v>0.03</v>
      </c>
      <c r="H124" s="50"/>
      <c r="I124" s="25">
        <f>E124*G124</f>
        <v>6.13518153</v>
      </c>
    </row>
    <row r="125" spans="2:11" ht="12.75" customHeight="1" thickBot="1">
      <c r="B125" s="86"/>
      <c r="C125" s="8"/>
      <c r="D125" s="8"/>
      <c r="E125" s="83"/>
      <c r="F125" s="11"/>
      <c r="G125" s="61"/>
      <c r="H125" s="84"/>
      <c r="I125" s="25"/>
      <c r="K125" s="3" t="s">
        <v>57</v>
      </c>
    </row>
    <row r="126" spans="2:13" ht="12.75" customHeight="1" thickBot="1">
      <c r="B126" s="86"/>
      <c r="C126" s="4"/>
      <c r="D126" s="4"/>
      <c r="E126" s="13"/>
      <c r="F126" s="7"/>
      <c r="G126" s="7"/>
      <c r="H126" s="54" t="s">
        <v>7</v>
      </c>
      <c r="I126" s="27">
        <f>SUM(I122:I125)</f>
        <v>210.64123253</v>
      </c>
      <c r="K126" s="62" t="s">
        <v>8</v>
      </c>
      <c r="L126" s="63"/>
      <c r="M126" s="64">
        <f>I126-$I$25</f>
        <v>16.815144049800665</v>
      </c>
    </row>
    <row r="127" spans="2:13" ht="12.75" customHeight="1" thickBot="1" thickTop="1">
      <c r="B127" s="87"/>
      <c r="C127" s="4"/>
      <c r="D127" s="4"/>
      <c r="E127" s="13"/>
      <c r="F127" s="7"/>
      <c r="G127" s="7"/>
      <c r="H127" s="54"/>
      <c r="I127" s="6"/>
      <c r="K127" s="65" t="s">
        <v>9</v>
      </c>
      <c r="L127" s="66"/>
      <c r="M127" s="67">
        <f>(I126-$I$25)/$I$25</f>
        <v>0.08675377077280516</v>
      </c>
    </row>
    <row r="128" spans="2:9" ht="6" customHeight="1" thickBot="1">
      <c r="B128" s="30"/>
      <c r="C128" s="31"/>
      <c r="D128" s="31"/>
      <c r="E128" s="31"/>
      <c r="F128" s="31"/>
      <c r="G128" s="31"/>
      <c r="H128" s="51"/>
      <c r="I128" s="32"/>
    </row>
    <row r="133" spans="2:9" ht="61.5" customHeight="1">
      <c r="B133" s="81">
        <v>1</v>
      </c>
      <c r="C133" s="89" t="s">
        <v>67</v>
      </c>
      <c r="D133" s="89"/>
      <c r="E133" s="89"/>
      <c r="F133" s="89"/>
      <c r="G133" s="89"/>
      <c r="H133" s="89"/>
      <c r="I133" s="89"/>
    </row>
    <row r="134" spans="2:9" ht="110.25" customHeight="1">
      <c r="B134" s="81">
        <v>2</v>
      </c>
      <c r="C134" s="89" t="s">
        <v>78</v>
      </c>
      <c r="D134" s="89"/>
      <c r="E134" s="89"/>
      <c r="F134" s="89"/>
      <c r="G134" s="89"/>
      <c r="H134" s="89"/>
      <c r="I134" s="89"/>
    </row>
    <row r="135" spans="2:9" ht="104.25" customHeight="1">
      <c r="B135" s="81">
        <v>3</v>
      </c>
      <c r="C135" s="89" t="s">
        <v>79</v>
      </c>
      <c r="D135" s="89"/>
      <c r="E135" s="89"/>
      <c r="F135" s="89"/>
      <c r="G135" s="89"/>
      <c r="H135" s="89"/>
      <c r="I135" s="89"/>
    </row>
    <row r="136" spans="2:9" ht="41.25" customHeight="1">
      <c r="B136" s="81">
        <v>4</v>
      </c>
      <c r="C136" s="89" t="s">
        <v>68</v>
      </c>
      <c r="D136" s="89"/>
      <c r="E136" s="89"/>
      <c r="F136" s="89"/>
      <c r="G136" s="89"/>
      <c r="H136" s="89"/>
      <c r="I136" s="89"/>
    </row>
    <row r="137" spans="2:9" ht="70.5" customHeight="1">
      <c r="B137" s="81">
        <v>5</v>
      </c>
      <c r="C137" s="89" t="s">
        <v>80</v>
      </c>
      <c r="D137" s="89"/>
      <c r="E137" s="89"/>
      <c r="F137" s="89"/>
      <c r="G137" s="89"/>
      <c r="H137" s="89"/>
      <c r="I137" s="89"/>
    </row>
    <row r="138" spans="2:9" ht="64.5" customHeight="1">
      <c r="B138" s="81">
        <v>6</v>
      </c>
      <c r="C138" s="89" t="s">
        <v>75</v>
      </c>
      <c r="D138" s="89"/>
      <c r="E138" s="89"/>
      <c r="F138" s="89"/>
      <c r="G138" s="89"/>
      <c r="H138" s="89"/>
      <c r="I138" s="89"/>
    </row>
    <row r="139" spans="2:9" ht="31.5" customHeight="1">
      <c r="B139" s="81">
        <v>7</v>
      </c>
      <c r="C139" s="89" t="s">
        <v>83</v>
      </c>
      <c r="D139" s="89"/>
      <c r="E139" s="89"/>
      <c r="F139" s="89"/>
      <c r="G139" s="89"/>
      <c r="H139" s="89"/>
      <c r="I139" s="89"/>
    </row>
    <row r="140" ht="12.75">
      <c r="B140" s="81"/>
    </row>
    <row r="141" ht="12.75">
      <c r="B141" s="81"/>
    </row>
    <row r="142" ht="12.75">
      <c r="B142" s="81"/>
    </row>
    <row r="143" ht="12.75">
      <c r="B143" s="81"/>
    </row>
    <row r="144" ht="12.75">
      <c r="B144" s="81"/>
    </row>
    <row r="145" ht="12.75">
      <c r="B145" s="81"/>
    </row>
    <row r="146" ht="12.75">
      <c r="B146" s="81"/>
    </row>
    <row r="147" ht="12.75">
      <c r="B147" s="81"/>
    </row>
    <row r="148" ht="12.75">
      <c r="B148" s="81"/>
    </row>
    <row r="149" ht="12.75">
      <c r="B149" s="81"/>
    </row>
    <row r="150" ht="12.75">
      <c r="B150" s="81"/>
    </row>
    <row r="151" ht="12.75">
      <c r="B151" s="81"/>
    </row>
    <row r="152" ht="12.75">
      <c r="B152" s="81"/>
    </row>
    <row r="153" ht="12.75">
      <c r="B153" s="81"/>
    </row>
    <row r="154" ht="12.75">
      <c r="B154" s="81"/>
    </row>
  </sheetData>
  <sheetProtection/>
  <mergeCells count="13">
    <mergeCell ref="C139:I139"/>
    <mergeCell ref="C133:I133"/>
    <mergeCell ref="C134:I134"/>
    <mergeCell ref="C135:I135"/>
    <mergeCell ref="C136:I136"/>
    <mergeCell ref="C137:I137"/>
    <mergeCell ref="C138:I138"/>
    <mergeCell ref="B2:I2"/>
    <mergeCell ref="B6:B27"/>
    <mergeCell ref="B29:B52"/>
    <mergeCell ref="B54:B77"/>
    <mergeCell ref="B79:B102"/>
    <mergeCell ref="B104:B127"/>
  </mergeCells>
  <printOptions/>
  <pageMargins left="0.25" right="0.25" top="0.75" bottom="0.75" header="0.3" footer="0.3"/>
  <pageSetup fitToHeight="0" fitToWidth="1" horizontalDpi="600" verticalDpi="600" orientation="portrait" scale="35" r:id="rId2"/>
  <drawing r:id="rId1"/>
</worksheet>
</file>

<file path=xl/worksheets/sheet3.xml><?xml version="1.0" encoding="utf-8"?>
<worksheet xmlns="http://schemas.openxmlformats.org/spreadsheetml/2006/main" xmlns:r="http://schemas.openxmlformats.org/officeDocument/2006/relationships">
  <sheetPr>
    <tabColor rgb="FFCCFFFF"/>
    <pageSetUpPr fitToPage="1"/>
  </sheetPr>
  <dimension ref="B1:M154"/>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M4" sqref="M4"/>
    </sheetView>
  </sheetViews>
  <sheetFormatPr defaultColWidth="8.8515625" defaultRowHeight="15"/>
  <cols>
    <col min="1" max="1" width="5.57421875" style="2" customWidth="1"/>
    <col min="2" max="2" width="15.7109375" style="2" customWidth="1"/>
    <col min="3" max="3" width="24.140625" style="2" customWidth="1"/>
    <col min="4" max="4" width="5.140625" style="2" customWidth="1"/>
    <col min="5" max="5" width="11.57421875" style="2" customWidth="1"/>
    <col min="6" max="6" width="7.00390625" style="2" customWidth="1"/>
    <col min="7" max="7" width="11.57421875" style="2" customWidth="1"/>
    <col min="8" max="8" width="15.421875" style="55" customWidth="1"/>
    <col min="9" max="9" width="14.00390625" style="2" customWidth="1"/>
    <col min="10" max="10" width="4.140625" style="2" customWidth="1"/>
    <col min="11" max="16384" width="8.8515625" style="2" customWidth="1"/>
  </cols>
  <sheetData>
    <row r="1" s="15" customFormat="1" ht="12.75">
      <c r="H1" s="48"/>
    </row>
    <row r="2" spans="2:9" s="15" customFormat="1" ht="12.75" customHeight="1">
      <c r="B2" s="88" t="s">
        <v>12</v>
      </c>
      <c r="C2" s="88"/>
      <c r="D2" s="88"/>
      <c r="E2" s="88"/>
      <c r="F2" s="88"/>
      <c r="G2" s="88"/>
      <c r="H2" s="88"/>
      <c r="I2" s="88"/>
    </row>
    <row r="3" spans="2:9" ht="12.75" customHeight="1" thickBot="1">
      <c r="B3" s="68" t="s">
        <v>38</v>
      </c>
      <c r="C3" s="1"/>
      <c r="D3" s="1"/>
      <c r="E3" s="1"/>
      <c r="F3" s="1"/>
      <c r="G3" s="1"/>
      <c r="H3" s="49"/>
      <c r="I3" s="1"/>
    </row>
    <row r="4" spans="2:9" ht="12.75" customHeight="1" thickBot="1">
      <c r="B4" s="74" t="s">
        <v>62</v>
      </c>
      <c r="C4" s="78"/>
      <c r="D4" s="79">
        <v>2259</v>
      </c>
      <c r="E4" s="78" t="s">
        <v>1</v>
      </c>
      <c r="F4" s="75"/>
      <c r="G4" s="75"/>
      <c r="H4" s="76"/>
      <c r="I4" s="77"/>
    </row>
    <row r="5" spans="2:9" ht="6" customHeight="1" thickBot="1">
      <c r="B5" s="30"/>
      <c r="C5" s="31"/>
      <c r="D5" s="31"/>
      <c r="E5" s="31"/>
      <c r="F5" s="31"/>
      <c r="G5" s="31"/>
      <c r="H5" s="51"/>
      <c r="I5" s="32"/>
    </row>
    <row r="6" spans="2:9" ht="12.75" customHeight="1">
      <c r="B6" s="85" t="s">
        <v>56</v>
      </c>
      <c r="C6" s="19"/>
      <c r="D6" s="19"/>
      <c r="E6" s="19"/>
      <c r="F6" s="19"/>
      <c r="G6" s="19"/>
      <c r="H6" s="52"/>
      <c r="I6" s="21"/>
    </row>
    <row r="7" spans="2:9" ht="12.75" customHeight="1">
      <c r="B7" s="86"/>
      <c r="C7" s="20" t="s">
        <v>52</v>
      </c>
      <c r="D7" s="4"/>
      <c r="E7" s="4">
        <v>1</v>
      </c>
      <c r="F7" s="7" t="s">
        <v>2</v>
      </c>
      <c r="G7" s="56">
        <v>17.5</v>
      </c>
      <c r="H7" s="53"/>
      <c r="I7" s="23">
        <f>G7</f>
        <v>17.5</v>
      </c>
    </row>
    <row r="8" spans="2:9" ht="12.75" customHeight="1">
      <c r="B8" s="86"/>
      <c r="C8" s="4" t="s">
        <v>14</v>
      </c>
      <c r="D8" s="4"/>
      <c r="E8" s="9">
        <f>$D$4</f>
        <v>2259</v>
      </c>
      <c r="F8" s="7" t="s">
        <v>2</v>
      </c>
      <c r="G8" s="12">
        <v>0.10799</v>
      </c>
      <c r="H8" s="50"/>
      <c r="I8" s="36">
        <f>E8*G8</f>
        <v>243.94941</v>
      </c>
    </row>
    <row r="9" spans="2:9" ht="12.75" customHeight="1">
      <c r="B9" s="86"/>
      <c r="C9" s="4"/>
      <c r="D9" s="5"/>
      <c r="E9" s="10"/>
      <c r="F9" s="11"/>
      <c r="G9" s="10"/>
      <c r="H9" s="54" t="s">
        <v>3</v>
      </c>
      <c r="I9" s="35">
        <f>SUM(I7:I8)</f>
        <v>261.44941</v>
      </c>
    </row>
    <row r="10" spans="2:9" ht="12.75" customHeight="1">
      <c r="B10" s="86"/>
      <c r="C10" s="4"/>
      <c r="D10" s="5"/>
      <c r="E10" s="10"/>
      <c r="F10" s="11"/>
      <c r="G10" s="10"/>
      <c r="H10" s="54"/>
      <c r="I10" s="22"/>
    </row>
    <row r="11" spans="2:9" ht="12.75" customHeight="1">
      <c r="B11" s="86"/>
      <c r="C11" s="4" t="s">
        <v>4</v>
      </c>
      <c r="D11" s="4"/>
      <c r="E11" s="9">
        <f>$D$4</f>
        <v>2259</v>
      </c>
      <c r="F11" s="7" t="s">
        <v>2</v>
      </c>
      <c r="G11" s="57">
        <f>VLOOKUP($B$3,'Surcharge Factors'!$A$4:$AB$9,3,0)</f>
        <v>0.00745</v>
      </c>
      <c r="H11" s="50"/>
      <c r="I11" s="23">
        <f>E11*G11</f>
        <v>16.82955</v>
      </c>
    </row>
    <row r="12" spans="2:9" ht="12.75" customHeight="1">
      <c r="B12" s="86"/>
      <c r="C12" s="4" t="s">
        <v>5</v>
      </c>
      <c r="D12" s="4"/>
      <c r="E12" s="9">
        <f>$D$4</f>
        <v>2259</v>
      </c>
      <c r="F12" s="7" t="s">
        <v>2</v>
      </c>
      <c r="G12" s="57">
        <f>VLOOKUP($B$3,'Surcharge Factors'!$A$4:$AB$9,4,0)</f>
        <v>0.00016</v>
      </c>
      <c r="H12" s="50" t="s">
        <v>0</v>
      </c>
      <c r="I12" s="24">
        <f>E12*G12</f>
        <v>0.36144000000000004</v>
      </c>
    </row>
    <row r="13" spans="2:9" ht="12.75" customHeight="1">
      <c r="B13" s="86"/>
      <c r="C13" s="4" t="s">
        <v>53</v>
      </c>
      <c r="D13" s="4"/>
      <c r="E13" s="9">
        <v>1</v>
      </c>
      <c r="F13" s="7" t="s">
        <v>2</v>
      </c>
      <c r="G13" s="58">
        <f>VLOOKUP($B$3,'Surcharge Factors'!$A$4:$AB$9,12,0)</f>
        <v>0.3</v>
      </c>
      <c r="H13" s="50"/>
      <c r="I13" s="25">
        <f>G13*E13</f>
        <v>0.3</v>
      </c>
    </row>
    <row r="14" spans="2:9" ht="12.75" customHeight="1">
      <c r="B14" s="86"/>
      <c r="C14" s="4" t="s">
        <v>13</v>
      </c>
      <c r="D14" s="4"/>
      <c r="E14" s="9">
        <f>$D$4</f>
        <v>2259</v>
      </c>
      <c r="F14" s="7" t="s">
        <v>2</v>
      </c>
      <c r="G14" s="59">
        <f>VLOOKUP($B$3,'Surcharge Factors'!$A$4:$AB$9,10,0)</f>
        <v>0.000247</v>
      </c>
      <c r="H14" s="50"/>
      <c r="I14" s="25">
        <f>E14*G14</f>
        <v>0.5579729999999999</v>
      </c>
    </row>
    <row r="15" spans="2:9" ht="12.75" customHeight="1">
      <c r="B15" s="86"/>
      <c r="C15" s="4" t="s">
        <v>10</v>
      </c>
      <c r="D15" s="4"/>
      <c r="E15" s="9">
        <f>$D$4</f>
        <v>2259</v>
      </c>
      <c r="F15" s="7" t="s">
        <v>2</v>
      </c>
      <c r="G15" s="59">
        <f>VLOOKUP($B$3,'Surcharge Factors'!$A$4:$AB$9,18,0)</f>
        <v>0.00558</v>
      </c>
      <c r="H15" s="50"/>
      <c r="I15" s="25">
        <f>E15*G15</f>
        <v>12.60522</v>
      </c>
    </row>
    <row r="16" spans="2:9" ht="12.75" customHeight="1">
      <c r="B16" s="86"/>
      <c r="C16" s="4" t="s">
        <v>21</v>
      </c>
      <c r="D16" s="4"/>
      <c r="E16" s="9">
        <f>$D$4</f>
        <v>2259</v>
      </c>
      <c r="F16" s="7" t="s">
        <v>2</v>
      </c>
      <c r="G16" s="59">
        <f>VLOOKUP($B$3,'Surcharge Factors'!$A$4:$AB$9,16,0)</f>
        <v>-0.0001</v>
      </c>
      <c r="H16" s="50"/>
      <c r="I16" s="26">
        <f>E16*G16</f>
        <v>-0.22590000000000002</v>
      </c>
    </row>
    <row r="17" spans="2:9" ht="12.75" customHeight="1">
      <c r="B17" s="86"/>
      <c r="C17" s="4"/>
      <c r="D17" s="4"/>
      <c r="E17" s="9"/>
      <c r="F17" s="7"/>
      <c r="G17" s="12"/>
      <c r="H17" s="54" t="s">
        <v>63</v>
      </c>
      <c r="I17" s="28">
        <f>(SUM(I11:I16))</f>
        <v>30.428283000000004</v>
      </c>
    </row>
    <row r="18" spans="2:9" ht="12.75" customHeight="1">
      <c r="B18" s="86"/>
      <c r="C18" s="4"/>
      <c r="D18" s="5"/>
      <c r="E18" s="4"/>
      <c r="F18" s="7"/>
      <c r="G18" s="60"/>
      <c r="H18" s="54"/>
      <c r="I18" s="29"/>
    </row>
    <row r="19" spans="2:9" ht="12.75" customHeight="1">
      <c r="B19" s="86"/>
      <c r="C19" s="4" t="s">
        <v>11</v>
      </c>
      <c r="D19" s="3"/>
      <c r="E19" s="13">
        <f>+I9+I17</f>
        <v>291.877693</v>
      </c>
      <c r="F19" s="7" t="s">
        <v>2</v>
      </c>
      <c r="G19" s="61">
        <f>VLOOKUP($B$3,'Surcharge Factors'!$A$4:$AB$9,14,0)</f>
        <v>0.044078</v>
      </c>
      <c r="H19" s="50"/>
      <c r="I19" s="25">
        <f>E19*G19</f>
        <v>12.865384952054</v>
      </c>
    </row>
    <row r="20" spans="2:9" ht="12.75" customHeight="1">
      <c r="B20" s="86"/>
      <c r="C20" s="4" t="s">
        <v>6</v>
      </c>
      <c r="D20" s="4"/>
      <c r="E20" s="14">
        <f>+I9+I17</f>
        <v>291.877693</v>
      </c>
      <c r="F20" s="7" t="s">
        <v>2</v>
      </c>
      <c r="G20" s="61">
        <f>VLOOKUP($B$3,'Surcharge Factors'!$A$4:$AB$9,8,0)</f>
        <v>0.018473</v>
      </c>
      <c r="H20" s="50"/>
      <c r="I20" s="33">
        <f>ROUND(+E20*G20,3)</f>
        <v>5.392</v>
      </c>
    </row>
    <row r="21" spans="2:9" ht="12.75" customHeight="1" thickBot="1">
      <c r="B21" s="86"/>
      <c r="C21" s="4"/>
      <c r="D21" s="4"/>
      <c r="E21" s="4"/>
      <c r="F21" s="4"/>
      <c r="G21" s="8"/>
      <c r="H21" s="54" t="s">
        <v>59</v>
      </c>
      <c r="I21" s="34">
        <f>+I9+I17+I19+I20</f>
        <v>310.135077952054</v>
      </c>
    </row>
    <row r="22" spans="2:9" ht="12.75" customHeight="1" thickTop="1">
      <c r="B22" s="86"/>
      <c r="C22" s="4"/>
      <c r="D22" s="4"/>
      <c r="E22" s="4"/>
      <c r="F22" s="4"/>
      <c r="G22" s="8"/>
      <c r="H22" s="54"/>
      <c r="I22" s="6"/>
    </row>
    <row r="23" spans="2:9" ht="12.75" customHeight="1">
      <c r="B23" s="86"/>
      <c r="C23" s="4" t="s">
        <v>58</v>
      </c>
      <c r="D23" s="4"/>
      <c r="E23" s="13">
        <f>+I21</f>
        <v>310.135077952054</v>
      </c>
      <c r="F23" s="7" t="s">
        <v>2</v>
      </c>
      <c r="G23" s="61">
        <v>0.03</v>
      </c>
      <c r="H23" s="50"/>
      <c r="I23" s="25">
        <f>E23*G23</f>
        <v>9.30405233856162</v>
      </c>
    </row>
    <row r="24" spans="2:9" ht="12.75" customHeight="1">
      <c r="B24" s="86"/>
      <c r="C24" s="4"/>
      <c r="D24" s="4"/>
      <c r="E24" s="13"/>
      <c r="F24" s="7"/>
      <c r="G24" s="61"/>
      <c r="H24" s="50"/>
      <c r="I24" s="25"/>
    </row>
    <row r="25" spans="2:9" ht="12.75" customHeight="1" thickBot="1">
      <c r="B25" s="86"/>
      <c r="C25" s="4"/>
      <c r="D25" s="4"/>
      <c r="E25" s="13"/>
      <c r="F25" s="7"/>
      <c r="G25" s="7"/>
      <c r="H25" s="54" t="s">
        <v>7</v>
      </c>
      <c r="I25" s="27">
        <f>SUM(I21:I24)</f>
        <v>319.43913029061565</v>
      </c>
    </row>
    <row r="26" spans="2:9" ht="12.75" customHeight="1" thickTop="1">
      <c r="B26" s="86"/>
      <c r="C26" s="4"/>
      <c r="D26" s="4"/>
      <c r="E26" s="13"/>
      <c r="F26" s="7"/>
      <c r="G26" s="7"/>
      <c r="H26" s="54"/>
      <c r="I26" s="6"/>
    </row>
    <row r="27" spans="2:9" ht="12.75" customHeight="1" thickBot="1">
      <c r="B27" s="87"/>
      <c r="C27" s="4"/>
      <c r="D27" s="4"/>
      <c r="E27" s="4"/>
      <c r="F27" s="4"/>
      <c r="G27" s="4"/>
      <c r="H27" s="54"/>
      <c r="I27" s="6"/>
    </row>
    <row r="28" spans="2:9" ht="6" customHeight="1" thickBot="1">
      <c r="B28" s="30"/>
      <c r="C28" s="31"/>
      <c r="D28" s="31"/>
      <c r="E28" s="31"/>
      <c r="F28" s="31"/>
      <c r="G28" s="31"/>
      <c r="H28" s="51"/>
      <c r="I28" s="32"/>
    </row>
    <row r="29" spans="2:9" ht="12.75" customHeight="1">
      <c r="B29" s="85" t="s">
        <v>81</v>
      </c>
      <c r="C29" s="19"/>
      <c r="D29" s="19"/>
      <c r="E29" s="19"/>
      <c r="F29" s="19"/>
      <c r="G29" s="19"/>
      <c r="H29" s="52"/>
      <c r="I29" s="21"/>
    </row>
    <row r="30" spans="2:9" ht="12.75" customHeight="1">
      <c r="B30" s="86"/>
      <c r="C30" s="20" t="s">
        <v>52</v>
      </c>
      <c r="D30" s="4"/>
      <c r="E30" s="4">
        <v>1</v>
      </c>
      <c r="F30" s="7" t="s">
        <v>2</v>
      </c>
      <c r="G30" s="69">
        <v>20</v>
      </c>
      <c r="H30" s="53"/>
      <c r="I30" s="23">
        <f>G30</f>
        <v>20</v>
      </c>
    </row>
    <row r="31" spans="2:9" ht="12.75" customHeight="1">
      <c r="B31" s="86"/>
      <c r="C31" s="4" t="s">
        <v>14</v>
      </c>
      <c r="D31" s="4"/>
      <c r="E31" s="9">
        <f>$D$4</f>
        <v>2259</v>
      </c>
      <c r="F31" s="7" t="s">
        <v>2</v>
      </c>
      <c r="G31" s="70">
        <v>0.12947</v>
      </c>
      <c r="H31" s="50"/>
      <c r="I31" s="36">
        <f>E31*G31</f>
        <v>292.47273</v>
      </c>
    </row>
    <row r="32" spans="2:9" ht="12.75" customHeight="1">
      <c r="B32" s="86"/>
      <c r="C32" s="4"/>
      <c r="D32" s="5"/>
      <c r="E32" s="10"/>
      <c r="F32" s="11"/>
      <c r="G32" s="10"/>
      <c r="H32" s="54" t="s">
        <v>3</v>
      </c>
      <c r="I32" s="35">
        <f>SUM(I30:I31)</f>
        <v>312.47273</v>
      </c>
    </row>
    <row r="33" spans="2:9" ht="12.75" customHeight="1">
      <c r="B33" s="86"/>
      <c r="C33" s="4"/>
      <c r="D33" s="5"/>
      <c r="E33" s="10"/>
      <c r="F33" s="11"/>
      <c r="G33" s="10"/>
      <c r="H33" s="54"/>
      <c r="I33" s="22"/>
    </row>
    <row r="34" spans="2:9" ht="12.75" customHeight="1">
      <c r="B34" s="86"/>
      <c r="C34" s="4" t="s">
        <v>4</v>
      </c>
      <c r="D34" s="4"/>
      <c r="E34" s="9">
        <f>$D$4</f>
        <v>2259</v>
      </c>
      <c r="F34" s="7" t="s">
        <v>2</v>
      </c>
      <c r="G34" s="57">
        <f>VLOOKUP($B$3,'Surcharge Factors'!$A$4:$AB$9,3,0)</f>
        <v>0.00745</v>
      </c>
      <c r="H34" s="50"/>
      <c r="I34" s="23">
        <f>E34*G34</f>
        <v>16.82955</v>
      </c>
    </row>
    <row r="35" spans="2:9" ht="12.75" customHeight="1">
      <c r="B35" s="86"/>
      <c r="C35" s="4" t="s">
        <v>5</v>
      </c>
      <c r="D35" s="4"/>
      <c r="E35" s="9">
        <f>$D$4</f>
        <v>2259</v>
      </c>
      <c r="F35" s="7" t="s">
        <v>2</v>
      </c>
      <c r="G35" s="57">
        <f>VLOOKUP($B$3,'Surcharge Factors'!$A$4:$AB$9,4,0)</f>
        <v>0.00016</v>
      </c>
      <c r="H35" s="50" t="s">
        <v>0</v>
      </c>
      <c r="I35" s="24">
        <f>E35*G35</f>
        <v>0.36144000000000004</v>
      </c>
    </row>
    <row r="36" spans="2:9" ht="12.75" customHeight="1">
      <c r="B36" s="86"/>
      <c r="C36" s="80" t="s">
        <v>66</v>
      </c>
      <c r="D36" s="4"/>
      <c r="E36" s="9">
        <v>1</v>
      </c>
      <c r="F36" s="7" t="s">
        <v>2</v>
      </c>
      <c r="G36" s="71">
        <v>0.4</v>
      </c>
      <c r="H36" s="50"/>
      <c r="I36" s="25">
        <f>G36*E36</f>
        <v>0.4</v>
      </c>
    </row>
    <row r="37" spans="2:9" ht="12.75" customHeight="1">
      <c r="B37" s="86"/>
      <c r="C37" s="4" t="s">
        <v>13</v>
      </c>
      <c r="D37" s="4"/>
      <c r="E37" s="9">
        <f>$D$4</f>
        <v>2259</v>
      </c>
      <c r="F37" s="7" t="s">
        <v>2</v>
      </c>
      <c r="G37" s="59">
        <f>VLOOKUP($B$3,'Surcharge Factors'!$A$4:$AB$9,10,0)</f>
        <v>0.000247</v>
      </c>
      <c r="H37" s="50"/>
      <c r="I37" s="25">
        <f>E37*G37</f>
        <v>0.5579729999999999</v>
      </c>
    </row>
    <row r="38" spans="2:9" ht="12.75" customHeight="1">
      <c r="B38" s="86"/>
      <c r="C38" s="80" t="s">
        <v>69</v>
      </c>
      <c r="D38" s="4"/>
      <c r="E38" s="9">
        <f>$D$4</f>
        <v>2259</v>
      </c>
      <c r="F38" s="7" t="s">
        <v>2</v>
      </c>
      <c r="G38" s="72">
        <v>0.00163</v>
      </c>
      <c r="H38" s="50"/>
      <c r="I38" s="25">
        <f>E38*G38</f>
        <v>3.6821699999999997</v>
      </c>
    </row>
    <row r="39" spans="2:9" ht="12.75" customHeight="1">
      <c r="B39" s="86"/>
      <c r="C39" s="80" t="s">
        <v>70</v>
      </c>
      <c r="D39" s="4"/>
      <c r="E39" s="9">
        <f>$D$4</f>
        <v>2259</v>
      </c>
      <c r="F39" s="7" t="s">
        <v>2</v>
      </c>
      <c r="G39" s="72">
        <v>-0.00053</v>
      </c>
      <c r="H39" s="50"/>
      <c r="I39" s="25">
        <f>E39*G39</f>
        <v>-1.19727</v>
      </c>
    </row>
    <row r="40" spans="2:9" ht="12.75" customHeight="1">
      <c r="B40" s="86"/>
      <c r="C40" s="80" t="s">
        <v>71</v>
      </c>
      <c r="D40" s="4"/>
      <c r="E40" s="9">
        <f>$D$4</f>
        <v>2259</v>
      </c>
      <c r="F40" s="7" t="s">
        <v>2</v>
      </c>
      <c r="G40" s="72">
        <v>0</v>
      </c>
      <c r="H40" s="50"/>
      <c r="I40" s="25">
        <f>E40*G40</f>
        <v>0</v>
      </c>
    </row>
    <row r="41" spans="2:9" ht="12.75" customHeight="1">
      <c r="B41" s="86"/>
      <c r="C41" s="80" t="s">
        <v>74</v>
      </c>
      <c r="D41" s="4"/>
      <c r="E41" s="9">
        <f>$D$4</f>
        <v>2259</v>
      </c>
      <c r="F41" s="7" t="s">
        <v>2</v>
      </c>
      <c r="G41" s="72">
        <v>0</v>
      </c>
      <c r="H41" s="50"/>
      <c r="I41" s="26">
        <f>E41*G41</f>
        <v>0</v>
      </c>
    </row>
    <row r="42" spans="2:9" ht="12.75" customHeight="1">
      <c r="B42" s="86"/>
      <c r="C42" s="4"/>
      <c r="D42" s="4"/>
      <c r="E42" s="9"/>
      <c r="F42" s="7"/>
      <c r="G42" s="12"/>
      <c r="H42" s="54" t="s">
        <v>63</v>
      </c>
      <c r="I42" s="28">
        <f>(SUM(I34:I41))</f>
        <v>20.633863</v>
      </c>
    </row>
    <row r="43" spans="2:9" ht="12.75" customHeight="1">
      <c r="B43" s="86"/>
      <c r="C43" s="4"/>
      <c r="D43" s="5"/>
      <c r="E43" s="4"/>
      <c r="F43" s="7"/>
      <c r="G43" s="60"/>
      <c r="H43" s="54"/>
      <c r="I43" s="29"/>
    </row>
    <row r="44" spans="2:9" ht="12.75" customHeight="1">
      <c r="B44" s="86"/>
      <c r="C44" s="80" t="s">
        <v>72</v>
      </c>
      <c r="D44" s="3"/>
      <c r="E44" s="13">
        <f>+I32+I42</f>
        <v>333.10659300000003</v>
      </c>
      <c r="F44" s="7" t="s">
        <v>2</v>
      </c>
      <c r="G44" s="73">
        <v>0</v>
      </c>
      <c r="H44" s="50"/>
      <c r="I44" s="25">
        <f>E44*G44</f>
        <v>0</v>
      </c>
    </row>
    <row r="45" spans="2:9" ht="12.75" customHeight="1">
      <c r="B45" s="86"/>
      <c r="C45" s="4" t="s">
        <v>6</v>
      </c>
      <c r="D45" s="4"/>
      <c r="E45" s="14">
        <f>+I32+I42</f>
        <v>333.10659300000003</v>
      </c>
      <c r="F45" s="7" t="s">
        <v>2</v>
      </c>
      <c r="G45" s="61">
        <f>VLOOKUP($B$3,'Surcharge Factors'!$A$4:$AB$9,8,0)</f>
        <v>0.018473</v>
      </c>
      <c r="H45" s="50"/>
      <c r="I45" s="25">
        <f>ROUND(+E45*G45,3)</f>
        <v>6.153</v>
      </c>
    </row>
    <row r="46" spans="2:9" ht="12.75" customHeight="1">
      <c r="B46" s="86"/>
      <c r="C46" s="80" t="s">
        <v>61</v>
      </c>
      <c r="D46" s="4"/>
      <c r="E46" s="14">
        <f>+I32+I42</f>
        <v>333.10659300000003</v>
      </c>
      <c r="F46" s="7" t="s">
        <v>2</v>
      </c>
      <c r="G46" s="73">
        <v>0</v>
      </c>
      <c r="H46" s="50"/>
      <c r="I46" s="33">
        <f>ROUND(+E46*G46,3)</f>
        <v>0</v>
      </c>
    </row>
    <row r="47" spans="2:9" ht="12.75" customHeight="1" thickBot="1">
      <c r="B47" s="86"/>
      <c r="C47" s="4"/>
      <c r="D47" s="4"/>
      <c r="E47" s="4"/>
      <c r="F47" s="4"/>
      <c r="G47" s="8"/>
      <c r="H47" s="54" t="s">
        <v>59</v>
      </c>
      <c r="I47" s="34">
        <f>+I32+I42+I44+I45+I46</f>
        <v>339.25959300000005</v>
      </c>
    </row>
    <row r="48" spans="2:9" ht="12.75" customHeight="1" thickTop="1">
      <c r="B48" s="86"/>
      <c r="C48" s="4"/>
      <c r="D48" s="4"/>
      <c r="E48" s="4"/>
      <c r="F48" s="4"/>
      <c r="G48" s="8"/>
      <c r="H48" s="54"/>
      <c r="I48" s="6"/>
    </row>
    <row r="49" spans="2:9" ht="12.75" customHeight="1">
      <c r="B49" s="86"/>
      <c r="C49" s="4" t="s">
        <v>58</v>
      </c>
      <c r="D49" s="4"/>
      <c r="E49" s="13">
        <f>+I47</f>
        <v>339.25959300000005</v>
      </c>
      <c r="F49" s="7" t="s">
        <v>2</v>
      </c>
      <c r="G49" s="61">
        <v>0.03</v>
      </c>
      <c r="H49" s="50"/>
      <c r="I49" s="25">
        <f>E49*G49</f>
        <v>10.177787790000002</v>
      </c>
    </row>
    <row r="50" spans="2:11" ht="12.75" customHeight="1" thickBot="1">
      <c r="B50" s="86"/>
      <c r="C50" s="4"/>
      <c r="D50" s="4"/>
      <c r="E50" s="13"/>
      <c r="F50" s="7"/>
      <c r="G50" s="61"/>
      <c r="H50" s="50"/>
      <c r="I50" s="25"/>
      <c r="K50" s="3" t="s">
        <v>57</v>
      </c>
    </row>
    <row r="51" spans="2:13" ht="12.75" customHeight="1" thickBot="1">
      <c r="B51" s="86"/>
      <c r="C51" s="4"/>
      <c r="D51" s="4"/>
      <c r="E51" s="13"/>
      <c r="F51" s="7"/>
      <c r="G51" s="7"/>
      <c r="H51" s="54" t="s">
        <v>7</v>
      </c>
      <c r="I51" s="27">
        <f>SUM(I47:I50)</f>
        <v>349.4373807900001</v>
      </c>
      <c r="K51" s="62" t="s">
        <v>8</v>
      </c>
      <c r="L51" s="63"/>
      <c r="M51" s="64">
        <f>I51-$I$25</f>
        <v>29.998250499384426</v>
      </c>
    </row>
    <row r="52" spans="2:13" ht="12.75" customHeight="1" thickBot="1" thickTop="1">
      <c r="B52" s="87"/>
      <c r="C52" s="4"/>
      <c r="D52" s="4"/>
      <c r="E52" s="13"/>
      <c r="F52" s="7"/>
      <c r="G52" s="7"/>
      <c r="H52" s="54"/>
      <c r="I52" s="6"/>
      <c r="K52" s="65" t="s">
        <v>9</v>
      </c>
      <c r="L52" s="66"/>
      <c r="M52" s="67">
        <f>(I51-$I$25)/$I$25</f>
        <v>0.09390912901651392</v>
      </c>
    </row>
    <row r="53" spans="2:9" ht="6" customHeight="1" thickBot="1">
      <c r="B53" s="30"/>
      <c r="C53" s="31"/>
      <c r="D53" s="31"/>
      <c r="E53" s="31"/>
      <c r="F53" s="31"/>
      <c r="G53" s="31"/>
      <c r="H53" s="51"/>
      <c r="I53" s="32"/>
    </row>
    <row r="54" spans="2:9" ht="12.75" customHeight="1">
      <c r="B54" s="85" t="s">
        <v>82</v>
      </c>
      <c r="C54" s="19"/>
      <c r="D54" s="19"/>
      <c r="E54" s="19"/>
      <c r="F54" s="19"/>
      <c r="G54" s="19"/>
      <c r="H54" s="52"/>
      <c r="I54" s="21"/>
    </row>
    <row r="55" spans="2:9" ht="12.75" customHeight="1">
      <c r="B55" s="86"/>
      <c r="C55" s="20" t="s">
        <v>52</v>
      </c>
      <c r="D55" s="4"/>
      <c r="E55" s="4">
        <v>1</v>
      </c>
      <c r="F55" s="7" t="s">
        <v>2</v>
      </c>
      <c r="G55" s="69">
        <v>20</v>
      </c>
      <c r="H55" s="53"/>
      <c r="I55" s="23">
        <f>G55</f>
        <v>20</v>
      </c>
    </row>
    <row r="56" spans="2:9" ht="12.75" customHeight="1">
      <c r="B56" s="86"/>
      <c r="C56" s="4" t="s">
        <v>14</v>
      </c>
      <c r="D56" s="4"/>
      <c r="E56" s="9">
        <f>$D$4</f>
        <v>2259</v>
      </c>
      <c r="F56" s="7" t="s">
        <v>2</v>
      </c>
      <c r="G56" s="70">
        <v>0.12947</v>
      </c>
      <c r="H56" s="50"/>
      <c r="I56" s="36">
        <f>E56*G56</f>
        <v>292.47273</v>
      </c>
    </row>
    <row r="57" spans="2:9" ht="12.75" customHeight="1">
      <c r="B57" s="86"/>
      <c r="C57" s="4"/>
      <c r="D57" s="5"/>
      <c r="E57" s="10"/>
      <c r="F57" s="11"/>
      <c r="G57" s="10"/>
      <c r="H57" s="54" t="s">
        <v>3</v>
      </c>
      <c r="I57" s="35">
        <f>SUM(I55:I56)</f>
        <v>312.47273</v>
      </c>
    </row>
    <row r="58" spans="2:9" ht="12.75" customHeight="1">
      <c r="B58" s="86"/>
      <c r="C58" s="4"/>
      <c r="D58" s="5"/>
      <c r="E58" s="10"/>
      <c r="F58" s="11"/>
      <c r="G58" s="10"/>
      <c r="H58" s="54"/>
      <c r="I58" s="22"/>
    </row>
    <row r="59" spans="2:9" ht="12.75" customHeight="1">
      <c r="B59" s="86"/>
      <c r="C59" s="4" t="s">
        <v>4</v>
      </c>
      <c r="D59" s="4"/>
      <c r="E59" s="9">
        <f>$D$4</f>
        <v>2259</v>
      </c>
      <c r="F59" s="7" t="s">
        <v>2</v>
      </c>
      <c r="G59" s="57">
        <f>VLOOKUP($B$3,'Surcharge Factors'!$A$4:$AB$9,3,0)</f>
        <v>0.00745</v>
      </c>
      <c r="H59" s="50"/>
      <c r="I59" s="23">
        <f>E59*G59</f>
        <v>16.82955</v>
      </c>
    </row>
    <row r="60" spans="2:9" ht="12.75" customHeight="1">
      <c r="B60" s="86"/>
      <c r="C60" s="4" t="s">
        <v>5</v>
      </c>
      <c r="D60" s="4"/>
      <c r="E60" s="9">
        <f>$D$4</f>
        <v>2259</v>
      </c>
      <c r="F60" s="7" t="s">
        <v>2</v>
      </c>
      <c r="G60" s="57">
        <f>VLOOKUP($B$3,'Surcharge Factors'!$A$4:$AB$9,4,0)</f>
        <v>0.00016</v>
      </c>
      <c r="H60" s="50" t="s">
        <v>0</v>
      </c>
      <c r="I60" s="24">
        <f>E60*G60</f>
        <v>0.36144000000000004</v>
      </c>
    </row>
    <row r="61" spans="2:9" ht="12.75" customHeight="1">
      <c r="B61" s="86"/>
      <c r="C61" s="80" t="s">
        <v>66</v>
      </c>
      <c r="D61" s="4"/>
      <c r="E61" s="9">
        <v>1</v>
      </c>
      <c r="F61" s="7" t="s">
        <v>2</v>
      </c>
      <c r="G61" s="71">
        <v>0.4</v>
      </c>
      <c r="H61" s="50"/>
      <c r="I61" s="25">
        <f>G61*E61</f>
        <v>0.4</v>
      </c>
    </row>
    <row r="62" spans="2:9" ht="12.75" customHeight="1">
      <c r="B62" s="86"/>
      <c r="C62" s="4" t="s">
        <v>13</v>
      </c>
      <c r="D62" s="4"/>
      <c r="E62" s="9">
        <f>$D$4</f>
        <v>2259</v>
      </c>
      <c r="F62" s="7" t="s">
        <v>2</v>
      </c>
      <c r="G62" s="59">
        <f>VLOOKUP($B$3,'Surcharge Factors'!$A$4:$AB$9,10,0)</f>
        <v>0.000247</v>
      </c>
      <c r="H62" s="50"/>
      <c r="I62" s="25">
        <f>E62*G62</f>
        <v>0.5579729999999999</v>
      </c>
    </row>
    <row r="63" spans="2:9" ht="12.75" customHeight="1">
      <c r="B63" s="86"/>
      <c r="C63" s="80" t="s">
        <v>69</v>
      </c>
      <c r="D63" s="4"/>
      <c r="E63" s="9">
        <f>$D$4</f>
        <v>2259</v>
      </c>
      <c r="F63" s="7" t="s">
        <v>2</v>
      </c>
      <c r="G63" s="72">
        <v>0.00163</v>
      </c>
      <c r="H63" s="50"/>
      <c r="I63" s="25">
        <f>E63*G63</f>
        <v>3.6821699999999997</v>
      </c>
    </row>
    <row r="64" spans="2:9" ht="12.75" customHeight="1">
      <c r="B64" s="86"/>
      <c r="C64" s="80" t="s">
        <v>70</v>
      </c>
      <c r="D64" s="4"/>
      <c r="E64" s="9">
        <f>$D$4</f>
        <v>2259</v>
      </c>
      <c r="F64" s="7" t="s">
        <v>2</v>
      </c>
      <c r="G64" s="72">
        <v>-0.00053</v>
      </c>
      <c r="H64" s="50"/>
      <c r="I64" s="25">
        <f>E64*G64</f>
        <v>-1.19727</v>
      </c>
    </row>
    <row r="65" spans="2:9" ht="12.75" customHeight="1">
      <c r="B65" s="86"/>
      <c r="C65" s="80" t="s">
        <v>71</v>
      </c>
      <c r="D65" s="4"/>
      <c r="E65" s="9">
        <f>$D$4</f>
        <v>2259</v>
      </c>
      <c r="F65" s="7" t="s">
        <v>2</v>
      </c>
      <c r="G65" s="72">
        <v>0</v>
      </c>
      <c r="H65" s="50"/>
      <c r="I65" s="25">
        <f>E65*G65</f>
        <v>0</v>
      </c>
    </row>
    <row r="66" spans="2:9" ht="12.75" customHeight="1">
      <c r="B66" s="86"/>
      <c r="C66" s="80" t="s">
        <v>74</v>
      </c>
      <c r="D66" s="4"/>
      <c r="E66" s="9">
        <f>$D$4</f>
        <v>2259</v>
      </c>
      <c r="F66" s="7" t="s">
        <v>2</v>
      </c>
      <c r="G66" s="72">
        <v>0</v>
      </c>
      <c r="H66" s="50"/>
      <c r="I66" s="26">
        <f>E66*G66</f>
        <v>0</v>
      </c>
    </row>
    <row r="67" spans="2:9" ht="12.75" customHeight="1">
      <c r="B67" s="86"/>
      <c r="C67" s="4"/>
      <c r="D67" s="4"/>
      <c r="E67" s="9"/>
      <c r="F67" s="7"/>
      <c r="G67" s="12"/>
      <c r="H67" s="54" t="s">
        <v>63</v>
      </c>
      <c r="I67" s="28">
        <f>(SUM(I59:I66))</f>
        <v>20.633863</v>
      </c>
    </row>
    <row r="68" spans="2:9" ht="12.75" customHeight="1">
      <c r="B68" s="86"/>
      <c r="C68" s="4"/>
      <c r="D68" s="5"/>
      <c r="E68" s="4"/>
      <c r="F68" s="7"/>
      <c r="G68" s="60"/>
      <c r="H68" s="54"/>
      <c r="I68" s="29"/>
    </row>
    <row r="69" spans="2:9" ht="12.75" customHeight="1">
      <c r="B69" s="86"/>
      <c r="C69" s="80" t="s">
        <v>72</v>
      </c>
      <c r="D69" s="3"/>
      <c r="E69" s="13">
        <f>+I57+I67</f>
        <v>333.10659300000003</v>
      </c>
      <c r="F69" s="7" t="s">
        <v>2</v>
      </c>
      <c r="G69" s="73">
        <v>0</v>
      </c>
      <c r="H69" s="50"/>
      <c r="I69" s="25">
        <f>E69*G69</f>
        <v>0</v>
      </c>
    </row>
    <row r="70" spans="2:9" ht="12.75" customHeight="1">
      <c r="B70" s="86"/>
      <c r="C70" s="4" t="s">
        <v>6</v>
      </c>
      <c r="D70" s="4"/>
      <c r="E70" s="14">
        <f>+I57+I67</f>
        <v>333.10659300000003</v>
      </c>
      <c r="F70" s="7" t="s">
        <v>2</v>
      </c>
      <c r="G70" s="61">
        <f>VLOOKUP($B$3,'Surcharge Factors'!$A$4:$AB$9,8,0)</f>
        <v>0.018473</v>
      </c>
      <c r="H70" s="50"/>
      <c r="I70" s="25">
        <f>ROUND(+E70*G70,3)</f>
        <v>6.153</v>
      </c>
    </row>
    <row r="71" spans="2:9" ht="12.75" customHeight="1">
      <c r="B71" s="86"/>
      <c r="C71" s="80" t="s">
        <v>73</v>
      </c>
      <c r="D71" s="4"/>
      <c r="E71" s="14">
        <f>+I57+I67</f>
        <v>333.10659300000003</v>
      </c>
      <c r="F71" s="7" t="s">
        <v>2</v>
      </c>
      <c r="G71" s="73">
        <v>0.057449</v>
      </c>
      <c r="H71" s="50"/>
      <c r="I71" s="33">
        <f>ROUND(+E71*G71,3)</f>
        <v>19.137</v>
      </c>
    </row>
    <row r="72" spans="2:9" ht="12.75" customHeight="1" thickBot="1">
      <c r="B72" s="86"/>
      <c r="C72" s="4"/>
      <c r="D72" s="4"/>
      <c r="E72" s="4"/>
      <c r="F72" s="4"/>
      <c r="G72" s="8"/>
      <c r="H72" s="54" t="s">
        <v>59</v>
      </c>
      <c r="I72" s="34">
        <f>+I57+I67+I69+I70+I71</f>
        <v>358.39659300000005</v>
      </c>
    </row>
    <row r="73" spans="2:9" ht="12.75" customHeight="1" thickTop="1">
      <c r="B73" s="86"/>
      <c r="C73" s="4"/>
      <c r="D73" s="4"/>
      <c r="E73" s="4"/>
      <c r="F73" s="4"/>
      <c r="G73" s="8"/>
      <c r="H73" s="54"/>
      <c r="I73" s="6"/>
    </row>
    <row r="74" spans="2:9" ht="12.75" customHeight="1">
      <c r="B74" s="86"/>
      <c r="C74" s="4" t="s">
        <v>58</v>
      </c>
      <c r="D74" s="4"/>
      <c r="E74" s="13">
        <f>+I72</f>
        <v>358.39659300000005</v>
      </c>
      <c r="F74" s="7" t="s">
        <v>2</v>
      </c>
      <c r="G74" s="61">
        <v>0.03</v>
      </c>
      <c r="H74" s="50"/>
      <c r="I74" s="25">
        <f>E74*G74</f>
        <v>10.751897790000001</v>
      </c>
    </row>
    <row r="75" spans="2:11" ht="12.75" customHeight="1" thickBot="1">
      <c r="B75" s="86"/>
      <c r="C75" s="8"/>
      <c r="D75" s="8"/>
      <c r="E75" s="83"/>
      <c r="F75" s="11"/>
      <c r="G75" s="61"/>
      <c r="H75" s="84"/>
      <c r="I75" s="25"/>
      <c r="K75" s="3" t="s">
        <v>57</v>
      </c>
    </row>
    <row r="76" spans="2:13" ht="12.75" customHeight="1" thickBot="1">
      <c r="B76" s="86"/>
      <c r="C76" s="4"/>
      <c r="D76" s="4"/>
      <c r="E76" s="13"/>
      <c r="F76" s="7"/>
      <c r="G76" s="7"/>
      <c r="H76" s="54" t="s">
        <v>7</v>
      </c>
      <c r="I76" s="27">
        <f>SUM(I72:I75)</f>
        <v>369.14849079000004</v>
      </c>
      <c r="K76" s="62" t="s">
        <v>8</v>
      </c>
      <c r="L76" s="63"/>
      <c r="M76" s="64">
        <f>I76-$I$25</f>
        <v>49.70936049938439</v>
      </c>
    </row>
    <row r="77" spans="2:13" ht="12.75" customHeight="1" thickBot="1" thickTop="1">
      <c r="B77" s="87"/>
      <c r="C77" s="4"/>
      <c r="D77" s="4"/>
      <c r="E77" s="13"/>
      <c r="F77" s="7"/>
      <c r="G77" s="7"/>
      <c r="H77" s="54"/>
      <c r="I77" s="6"/>
      <c r="K77" s="65" t="s">
        <v>9</v>
      </c>
      <c r="L77" s="66"/>
      <c r="M77" s="67">
        <f>(I76-$I$25)/$I$25</f>
        <v>0.15561449987094686</v>
      </c>
    </row>
    <row r="78" spans="2:9" ht="6" customHeight="1" thickBot="1">
      <c r="B78" s="30"/>
      <c r="C78" s="31"/>
      <c r="D78" s="31"/>
      <c r="E78" s="31"/>
      <c r="F78" s="31"/>
      <c r="G78" s="31"/>
      <c r="H78" s="51"/>
      <c r="I78" s="32"/>
    </row>
    <row r="79" spans="2:9" ht="12.75" customHeight="1">
      <c r="B79" s="85" t="s">
        <v>64</v>
      </c>
      <c r="C79" s="19"/>
      <c r="D79" s="19"/>
      <c r="E79" s="19"/>
      <c r="F79" s="19"/>
      <c r="G79" s="19"/>
      <c r="H79" s="52"/>
      <c r="I79" s="21"/>
    </row>
    <row r="80" spans="2:9" ht="12.75" customHeight="1">
      <c r="B80" s="86"/>
      <c r="C80" s="20" t="s">
        <v>52</v>
      </c>
      <c r="D80" s="4"/>
      <c r="E80" s="4">
        <v>1</v>
      </c>
      <c r="F80" s="7" t="s">
        <v>2</v>
      </c>
      <c r="G80" s="69">
        <v>20</v>
      </c>
      <c r="H80" s="53"/>
      <c r="I80" s="23">
        <f>G80</f>
        <v>20</v>
      </c>
    </row>
    <row r="81" spans="2:9" ht="12.75" customHeight="1">
      <c r="B81" s="86"/>
      <c r="C81" s="4" t="s">
        <v>14</v>
      </c>
      <c r="D81" s="4"/>
      <c r="E81" s="9">
        <f>$D$4</f>
        <v>2259</v>
      </c>
      <c r="F81" s="7" t="s">
        <v>2</v>
      </c>
      <c r="G81" s="70">
        <v>0.12036</v>
      </c>
      <c r="H81" s="50"/>
      <c r="I81" s="36">
        <f>E81*G81</f>
        <v>271.89324</v>
      </c>
    </row>
    <row r="82" spans="2:9" ht="12.75" customHeight="1">
      <c r="B82" s="86"/>
      <c r="C82" s="4"/>
      <c r="D82" s="5"/>
      <c r="E82" s="10"/>
      <c r="F82" s="11"/>
      <c r="G82" s="10"/>
      <c r="H82" s="54" t="s">
        <v>3</v>
      </c>
      <c r="I82" s="35">
        <f>SUM(I80:I81)</f>
        <v>291.89324</v>
      </c>
    </row>
    <row r="83" spans="2:9" ht="12.75" customHeight="1">
      <c r="B83" s="86"/>
      <c r="C83" s="4"/>
      <c r="D83" s="5"/>
      <c r="E83" s="10"/>
      <c r="F83" s="11"/>
      <c r="G83" s="10"/>
      <c r="H83" s="54"/>
      <c r="I83" s="22"/>
    </row>
    <row r="84" spans="2:9" ht="12.75" customHeight="1">
      <c r="B84" s="86"/>
      <c r="C84" s="4" t="s">
        <v>4</v>
      </c>
      <c r="D84" s="4"/>
      <c r="E84" s="9">
        <f>$D$4</f>
        <v>2259</v>
      </c>
      <c r="F84" s="11" t="s">
        <v>2</v>
      </c>
      <c r="G84" s="57">
        <f>VLOOKUP($B$3,'Surcharge Factors'!$A$4:$AB$9,3,0)</f>
        <v>0.00745</v>
      </c>
      <c r="H84" s="50"/>
      <c r="I84" s="23">
        <f>E84*G84</f>
        <v>16.82955</v>
      </c>
    </row>
    <row r="85" spans="2:9" ht="12.75" customHeight="1">
      <c r="B85" s="86"/>
      <c r="C85" s="4" t="s">
        <v>5</v>
      </c>
      <c r="D85" s="4"/>
      <c r="E85" s="9">
        <f>$D$4</f>
        <v>2259</v>
      </c>
      <c r="F85" s="11" t="s">
        <v>2</v>
      </c>
      <c r="G85" s="57">
        <f>VLOOKUP($B$3,'Surcharge Factors'!$A$4:$AB$9,4,0)</f>
        <v>0.00016</v>
      </c>
      <c r="H85" s="50" t="s">
        <v>0</v>
      </c>
      <c r="I85" s="24">
        <f>E85*G85</f>
        <v>0.36144000000000004</v>
      </c>
    </row>
    <row r="86" spans="2:9" ht="12.75" customHeight="1">
      <c r="B86" s="86"/>
      <c r="C86" s="80" t="s">
        <v>66</v>
      </c>
      <c r="D86" s="4"/>
      <c r="E86" s="9">
        <v>1</v>
      </c>
      <c r="F86" s="11" t="s">
        <v>2</v>
      </c>
      <c r="G86" s="71">
        <v>0.4</v>
      </c>
      <c r="H86" s="50"/>
      <c r="I86" s="25">
        <f>G86*E86</f>
        <v>0.4</v>
      </c>
    </row>
    <row r="87" spans="2:9" ht="12.75" customHeight="1">
      <c r="B87" s="86"/>
      <c r="C87" s="4" t="s">
        <v>13</v>
      </c>
      <c r="D87" s="4"/>
      <c r="E87" s="9">
        <f>$D$4</f>
        <v>2259</v>
      </c>
      <c r="F87" s="11" t="s">
        <v>2</v>
      </c>
      <c r="G87" s="59">
        <f>VLOOKUP($B$3,'Surcharge Factors'!$A$4:$AB$9,10,0)</f>
        <v>0.000247</v>
      </c>
      <c r="H87" s="50"/>
      <c r="I87" s="25">
        <f>E87*G87</f>
        <v>0.5579729999999999</v>
      </c>
    </row>
    <row r="88" spans="2:9" ht="12.75" customHeight="1">
      <c r="B88" s="86"/>
      <c r="C88" s="80" t="s">
        <v>69</v>
      </c>
      <c r="D88" s="4"/>
      <c r="E88" s="9">
        <f>$D$4</f>
        <v>2259</v>
      </c>
      <c r="F88" s="11" t="s">
        <v>2</v>
      </c>
      <c r="G88" s="72">
        <v>0.00163</v>
      </c>
      <c r="H88" s="50"/>
      <c r="I88" s="25">
        <f>E88*G88</f>
        <v>3.6821699999999997</v>
      </c>
    </row>
    <row r="89" spans="2:9" ht="12.75" customHeight="1">
      <c r="B89" s="86"/>
      <c r="C89" s="80" t="s">
        <v>70</v>
      </c>
      <c r="D89" s="4"/>
      <c r="E89" s="9">
        <f>$D$4</f>
        <v>2259</v>
      </c>
      <c r="F89" s="11" t="s">
        <v>2</v>
      </c>
      <c r="G89" s="72">
        <v>-0.00062</v>
      </c>
      <c r="H89" s="50"/>
      <c r="I89" s="25">
        <f>E89*G89</f>
        <v>-1.40058</v>
      </c>
    </row>
    <row r="90" spans="2:9" ht="12.75" customHeight="1">
      <c r="B90" s="86"/>
      <c r="C90" s="80" t="s">
        <v>71</v>
      </c>
      <c r="D90" s="4"/>
      <c r="E90" s="9">
        <f>$D$4</f>
        <v>2259</v>
      </c>
      <c r="F90" s="7" t="s">
        <v>2</v>
      </c>
      <c r="G90" s="72">
        <v>0</v>
      </c>
      <c r="H90" s="50"/>
      <c r="I90" s="25">
        <f>E90*G90</f>
        <v>0</v>
      </c>
    </row>
    <row r="91" spans="2:9" ht="12.75" customHeight="1">
      <c r="B91" s="86"/>
      <c r="C91" s="80" t="s">
        <v>74</v>
      </c>
      <c r="D91" s="4"/>
      <c r="E91" s="9">
        <f>$D$4</f>
        <v>2259</v>
      </c>
      <c r="F91" s="7" t="s">
        <v>2</v>
      </c>
      <c r="G91" s="72">
        <v>0</v>
      </c>
      <c r="H91" s="50"/>
      <c r="I91" s="26">
        <f>E91*G91</f>
        <v>0</v>
      </c>
    </row>
    <row r="92" spans="2:9" ht="12.75" customHeight="1">
      <c r="B92" s="86"/>
      <c r="C92" s="4"/>
      <c r="D92" s="4"/>
      <c r="E92" s="9"/>
      <c r="F92" s="11"/>
      <c r="G92" s="12"/>
      <c r="H92" s="54" t="s">
        <v>63</v>
      </c>
      <c r="I92" s="28">
        <f>(SUM(I84:I91))</f>
        <v>20.430553</v>
      </c>
    </row>
    <row r="93" spans="2:9" ht="12.75" customHeight="1">
      <c r="B93" s="86"/>
      <c r="C93" s="4"/>
      <c r="D93" s="5"/>
      <c r="E93" s="4"/>
      <c r="F93" s="11"/>
      <c r="G93" s="60"/>
      <c r="H93" s="54"/>
      <c r="I93" s="29"/>
    </row>
    <row r="94" spans="2:9" ht="12.75" customHeight="1">
      <c r="B94" s="86"/>
      <c r="C94" s="80" t="s">
        <v>72</v>
      </c>
      <c r="D94" s="3"/>
      <c r="E94" s="13">
        <f>+I82+I92</f>
        <v>312.32379299999997</v>
      </c>
      <c r="F94" s="11" t="s">
        <v>2</v>
      </c>
      <c r="G94" s="73">
        <v>0</v>
      </c>
      <c r="H94" s="50"/>
      <c r="I94" s="25">
        <f>E94*G94</f>
        <v>0</v>
      </c>
    </row>
    <row r="95" spans="2:13" ht="12.75" customHeight="1">
      <c r="B95" s="86"/>
      <c r="C95" s="4" t="s">
        <v>6</v>
      </c>
      <c r="D95" s="4"/>
      <c r="E95" s="14">
        <f>+I82+I92</f>
        <v>312.32379299999997</v>
      </c>
      <c r="F95" s="11" t="s">
        <v>2</v>
      </c>
      <c r="G95" s="61">
        <f>VLOOKUP($B$3,'Surcharge Factors'!$A$4:$AB$9,8,0)</f>
        <v>0.018473</v>
      </c>
      <c r="H95" s="50"/>
      <c r="I95" s="25">
        <f>ROUND(+E95*G95,3)</f>
        <v>5.77</v>
      </c>
      <c r="K95" s="15"/>
      <c r="L95" s="15"/>
      <c r="M95" s="15"/>
    </row>
    <row r="96" spans="2:13" ht="12.75" customHeight="1">
      <c r="B96" s="86"/>
      <c r="C96" s="80" t="s">
        <v>61</v>
      </c>
      <c r="D96" s="4"/>
      <c r="E96" s="14">
        <f>+I82+I92</f>
        <v>312.32379299999997</v>
      </c>
      <c r="F96" s="11" t="s">
        <v>2</v>
      </c>
      <c r="G96" s="73">
        <v>0</v>
      </c>
      <c r="H96" s="50"/>
      <c r="I96" s="33">
        <f>ROUND(+E96*G96,3)</f>
        <v>0</v>
      </c>
      <c r="K96" s="15"/>
      <c r="L96" s="15"/>
      <c r="M96" s="15"/>
    </row>
    <row r="97" spans="2:13" ht="12.75" customHeight="1" thickBot="1">
      <c r="B97" s="86"/>
      <c r="C97" s="4"/>
      <c r="D97" s="4"/>
      <c r="E97" s="4"/>
      <c r="F97" s="8"/>
      <c r="G97" s="8"/>
      <c r="H97" s="54" t="s">
        <v>59</v>
      </c>
      <c r="I97" s="34">
        <f>+I82+I92+I94+I95+I96</f>
        <v>318.09379299999995</v>
      </c>
      <c r="K97" s="82"/>
      <c r="L97" s="15"/>
      <c r="M97" s="82"/>
    </row>
    <row r="98" spans="2:13" ht="12.75" customHeight="1" thickTop="1">
      <c r="B98" s="86"/>
      <c r="C98" s="4"/>
      <c r="D98" s="4"/>
      <c r="E98" s="4"/>
      <c r="F98" s="4"/>
      <c r="G98" s="8"/>
      <c r="H98" s="54"/>
      <c r="I98" s="6"/>
      <c r="K98" s="15"/>
      <c r="L98" s="15"/>
      <c r="M98" s="15"/>
    </row>
    <row r="99" spans="2:9" ht="12.75" customHeight="1">
      <c r="B99" s="86"/>
      <c r="C99" s="4" t="s">
        <v>58</v>
      </c>
      <c r="D99" s="4"/>
      <c r="E99" s="13">
        <f>+I97</f>
        <v>318.09379299999995</v>
      </c>
      <c r="F99" s="7" t="s">
        <v>2</v>
      </c>
      <c r="G99" s="61">
        <v>0.03</v>
      </c>
      <c r="H99" s="50"/>
      <c r="I99" s="25">
        <f>E99*G99</f>
        <v>9.542813789999999</v>
      </c>
    </row>
    <row r="100" spans="2:11" ht="12.75" customHeight="1" thickBot="1">
      <c r="B100" s="86"/>
      <c r="C100" s="8"/>
      <c r="D100" s="8"/>
      <c r="E100" s="83"/>
      <c r="F100" s="11"/>
      <c r="G100" s="61"/>
      <c r="H100" s="84"/>
      <c r="I100" s="25"/>
      <c r="K100" s="3" t="s">
        <v>57</v>
      </c>
    </row>
    <row r="101" spans="2:13" ht="12.75" customHeight="1" thickBot="1">
      <c r="B101" s="86"/>
      <c r="C101" s="4"/>
      <c r="D101" s="4"/>
      <c r="E101" s="13"/>
      <c r="F101" s="7"/>
      <c r="G101" s="7"/>
      <c r="H101" s="54" t="s">
        <v>7</v>
      </c>
      <c r="I101" s="27">
        <f>SUM(I97:I100)</f>
        <v>327.63660679</v>
      </c>
      <c r="K101" s="62" t="s">
        <v>8</v>
      </c>
      <c r="L101" s="63"/>
      <c r="M101" s="64">
        <f>I101-$I$25</f>
        <v>8.197476499384322</v>
      </c>
    </row>
    <row r="102" spans="2:13" ht="12.75" customHeight="1" thickBot="1" thickTop="1">
      <c r="B102" s="87"/>
      <c r="C102" s="4"/>
      <c r="D102" s="4"/>
      <c r="E102" s="13"/>
      <c r="F102" s="7"/>
      <c r="G102" s="7"/>
      <c r="H102" s="54"/>
      <c r="I102" s="6"/>
      <c r="K102" s="65" t="s">
        <v>9</v>
      </c>
      <c r="L102" s="66"/>
      <c r="M102" s="67">
        <f>(I101-$I$25)/$I$25</f>
        <v>0.025662092467903092</v>
      </c>
    </row>
    <row r="103" spans="2:9" ht="6" customHeight="1" thickBot="1">
      <c r="B103" s="30"/>
      <c r="C103" s="31"/>
      <c r="D103" s="31"/>
      <c r="E103" s="31"/>
      <c r="F103" s="31"/>
      <c r="G103" s="31"/>
      <c r="H103" s="51"/>
      <c r="I103" s="32"/>
    </row>
    <row r="104" spans="2:9" ht="12.75" customHeight="1">
      <c r="B104" s="85" t="s">
        <v>65</v>
      </c>
      <c r="C104" s="19"/>
      <c r="D104" s="19"/>
      <c r="E104" s="19"/>
      <c r="F104" s="19"/>
      <c r="G104" s="19"/>
      <c r="H104" s="52"/>
      <c r="I104" s="21"/>
    </row>
    <row r="105" spans="2:9" ht="12.75" customHeight="1">
      <c r="B105" s="86"/>
      <c r="C105" s="20" t="s">
        <v>52</v>
      </c>
      <c r="D105" s="4"/>
      <c r="E105" s="4">
        <v>1</v>
      </c>
      <c r="F105" s="7" t="s">
        <v>2</v>
      </c>
      <c r="G105" s="69">
        <v>20</v>
      </c>
      <c r="H105" s="53"/>
      <c r="I105" s="23">
        <f>G105</f>
        <v>20</v>
      </c>
    </row>
    <row r="106" spans="2:9" ht="12.75" customHeight="1">
      <c r="B106" s="86"/>
      <c r="C106" s="4" t="s">
        <v>14</v>
      </c>
      <c r="D106" s="4"/>
      <c r="E106" s="9">
        <f>$D$4</f>
        <v>2259</v>
      </c>
      <c r="F106" s="7" t="s">
        <v>2</v>
      </c>
      <c r="G106" s="70">
        <v>0.12036</v>
      </c>
      <c r="H106" s="50"/>
      <c r="I106" s="36">
        <f>E106*G106</f>
        <v>271.89324</v>
      </c>
    </row>
    <row r="107" spans="2:9" ht="12.75" customHeight="1">
      <c r="B107" s="86"/>
      <c r="C107" s="4"/>
      <c r="D107" s="5"/>
      <c r="E107" s="10"/>
      <c r="F107" s="11"/>
      <c r="G107" s="10"/>
      <c r="H107" s="54" t="s">
        <v>3</v>
      </c>
      <c r="I107" s="35">
        <f>SUM(I105:I106)</f>
        <v>291.89324</v>
      </c>
    </row>
    <row r="108" spans="2:9" ht="12.75" customHeight="1">
      <c r="B108" s="86"/>
      <c r="C108" s="4"/>
      <c r="D108" s="5"/>
      <c r="E108" s="10"/>
      <c r="F108" s="11"/>
      <c r="G108" s="10"/>
      <c r="H108" s="54"/>
      <c r="I108" s="22"/>
    </row>
    <row r="109" spans="2:9" ht="12.75" customHeight="1">
      <c r="B109" s="86"/>
      <c r="C109" s="4" t="s">
        <v>4</v>
      </c>
      <c r="D109" s="4"/>
      <c r="E109" s="9">
        <f>$D$4</f>
        <v>2259</v>
      </c>
      <c r="F109" s="11" t="s">
        <v>2</v>
      </c>
      <c r="G109" s="57">
        <f>VLOOKUP($B$3,'Surcharge Factors'!$A$4:$AB$9,3,0)</f>
        <v>0.00745</v>
      </c>
      <c r="H109" s="50"/>
      <c r="I109" s="23">
        <f>E109*G109</f>
        <v>16.82955</v>
      </c>
    </row>
    <row r="110" spans="2:9" ht="12.75" customHeight="1">
      <c r="B110" s="86"/>
      <c r="C110" s="4" t="s">
        <v>5</v>
      </c>
      <c r="D110" s="4"/>
      <c r="E110" s="9">
        <f>$D$4</f>
        <v>2259</v>
      </c>
      <c r="F110" s="11" t="s">
        <v>2</v>
      </c>
      <c r="G110" s="57">
        <f>VLOOKUP($B$3,'Surcharge Factors'!$A$4:$AB$9,4,0)</f>
        <v>0.00016</v>
      </c>
      <c r="H110" s="50" t="s">
        <v>0</v>
      </c>
      <c r="I110" s="24">
        <f>E110*G110</f>
        <v>0.36144000000000004</v>
      </c>
    </row>
    <row r="111" spans="2:9" ht="12.75" customHeight="1">
      <c r="B111" s="86"/>
      <c r="C111" s="80" t="s">
        <v>66</v>
      </c>
      <c r="D111" s="4"/>
      <c r="E111" s="9">
        <v>1</v>
      </c>
      <c r="F111" s="11" t="s">
        <v>2</v>
      </c>
      <c r="G111" s="71">
        <v>0.4</v>
      </c>
      <c r="H111" s="50"/>
      <c r="I111" s="25">
        <f>G111*E111</f>
        <v>0.4</v>
      </c>
    </row>
    <row r="112" spans="2:9" ht="12.75" customHeight="1">
      <c r="B112" s="86"/>
      <c r="C112" s="4" t="s">
        <v>13</v>
      </c>
      <c r="D112" s="4"/>
      <c r="E112" s="9">
        <f>$D$4</f>
        <v>2259</v>
      </c>
      <c r="F112" s="11" t="s">
        <v>2</v>
      </c>
      <c r="G112" s="59">
        <f>VLOOKUP($B$3,'Surcharge Factors'!$A$4:$AB$9,10,0)</f>
        <v>0.000247</v>
      </c>
      <c r="H112" s="50"/>
      <c r="I112" s="25">
        <f>E112*G112</f>
        <v>0.5579729999999999</v>
      </c>
    </row>
    <row r="113" spans="2:9" ht="12.75" customHeight="1">
      <c r="B113" s="86"/>
      <c r="C113" s="80" t="s">
        <v>69</v>
      </c>
      <c r="D113" s="4"/>
      <c r="E113" s="9">
        <f>$D$4</f>
        <v>2259</v>
      </c>
      <c r="F113" s="11" t="s">
        <v>2</v>
      </c>
      <c r="G113" s="72">
        <v>0.00163</v>
      </c>
      <c r="H113" s="50"/>
      <c r="I113" s="25">
        <f>E113*G113</f>
        <v>3.6821699999999997</v>
      </c>
    </row>
    <row r="114" spans="2:9" ht="12.75" customHeight="1">
      <c r="B114" s="86"/>
      <c r="C114" s="80" t="s">
        <v>70</v>
      </c>
      <c r="D114" s="4"/>
      <c r="E114" s="9">
        <f>$D$4</f>
        <v>2259</v>
      </c>
      <c r="F114" s="11" t="s">
        <v>2</v>
      </c>
      <c r="G114" s="72">
        <v>-0.00062</v>
      </c>
      <c r="H114" s="50"/>
      <c r="I114" s="25">
        <f>E114*G114</f>
        <v>-1.40058</v>
      </c>
    </row>
    <row r="115" spans="2:9" ht="12.75" customHeight="1">
      <c r="B115" s="86"/>
      <c r="C115" s="80" t="s">
        <v>71</v>
      </c>
      <c r="D115" s="4"/>
      <c r="E115" s="9">
        <f>$D$4</f>
        <v>2259</v>
      </c>
      <c r="F115" s="7" t="s">
        <v>2</v>
      </c>
      <c r="G115" s="72">
        <v>0</v>
      </c>
      <c r="H115" s="50"/>
      <c r="I115" s="25">
        <f>E115*G115</f>
        <v>0</v>
      </c>
    </row>
    <row r="116" spans="2:9" ht="12.75" customHeight="1">
      <c r="B116" s="86"/>
      <c r="C116" s="80" t="s">
        <v>74</v>
      </c>
      <c r="D116" s="4"/>
      <c r="E116" s="9">
        <f>$D$4</f>
        <v>2259</v>
      </c>
      <c r="F116" s="7" t="s">
        <v>2</v>
      </c>
      <c r="G116" s="72">
        <v>0</v>
      </c>
      <c r="H116" s="50"/>
      <c r="I116" s="26">
        <f>E116*G116</f>
        <v>0</v>
      </c>
    </row>
    <row r="117" spans="2:9" ht="12.75" customHeight="1">
      <c r="B117" s="86"/>
      <c r="C117" s="4"/>
      <c r="D117" s="4"/>
      <c r="E117" s="9"/>
      <c r="F117" s="11"/>
      <c r="G117" s="12"/>
      <c r="H117" s="54" t="s">
        <v>63</v>
      </c>
      <c r="I117" s="28">
        <f>(SUM(I109:I116))</f>
        <v>20.430553</v>
      </c>
    </row>
    <row r="118" spans="2:9" ht="12.75" customHeight="1">
      <c r="B118" s="86"/>
      <c r="C118" s="4"/>
      <c r="D118" s="5"/>
      <c r="E118" s="4"/>
      <c r="F118" s="11"/>
      <c r="G118" s="60"/>
      <c r="H118" s="54"/>
      <c r="I118" s="29"/>
    </row>
    <row r="119" spans="2:9" ht="12.75" customHeight="1">
      <c r="B119" s="86"/>
      <c r="C119" s="80" t="s">
        <v>72</v>
      </c>
      <c r="D119" s="3"/>
      <c r="E119" s="13">
        <f>+I107+I117</f>
        <v>312.32379299999997</v>
      </c>
      <c r="F119" s="11" t="s">
        <v>2</v>
      </c>
      <c r="G119" s="73">
        <v>0</v>
      </c>
      <c r="H119" s="50"/>
      <c r="I119" s="25">
        <f>E119*G119</f>
        <v>0</v>
      </c>
    </row>
    <row r="120" spans="2:9" ht="12.75" customHeight="1">
      <c r="B120" s="86"/>
      <c r="C120" s="4" t="s">
        <v>6</v>
      </c>
      <c r="D120" s="4"/>
      <c r="E120" s="14">
        <f>+I107+I117</f>
        <v>312.32379299999997</v>
      </c>
      <c r="F120" s="11" t="s">
        <v>2</v>
      </c>
      <c r="G120" s="61">
        <f>VLOOKUP($B$3,'Surcharge Factors'!$A$4:$AB$9,8,0)</f>
        <v>0.018473</v>
      </c>
      <c r="H120" s="50"/>
      <c r="I120" s="25">
        <f>ROUND(+E120*G120,3)</f>
        <v>5.77</v>
      </c>
    </row>
    <row r="121" spans="2:9" ht="12.75" customHeight="1">
      <c r="B121" s="86"/>
      <c r="C121" s="80" t="s">
        <v>73</v>
      </c>
      <c r="D121" s="4"/>
      <c r="E121" s="14">
        <f>+I107+I117</f>
        <v>312.32379299999997</v>
      </c>
      <c r="F121" s="11" t="s">
        <v>2</v>
      </c>
      <c r="G121" s="73">
        <v>0.057449</v>
      </c>
      <c r="H121" s="50"/>
      <c r="I121" s="33">
        <f>ROUND(+E121*G121,3)</f>
        <v>17.943</v>
      </c>
    </row>
    <row r="122" spans="2:9" ht="12.75" customHeight="1" thickBot="1">
      <c r="B122" s="86"/>
      <c r="C122" s="4"/>
      <c r="D122" s="4"/>
      <c r="E122" s="4"/>
      <c r="F122" s="8"/>
      <c r="G122" s="8"/>
      <c r="H122" s="54" t="s">
        <v>59</v>
      </c>
      <c r="I122" s="34">
        <f>+I107+I117+I119+I120+I121</f>
        <v>336.03679299999993</v>
      </c>
    </row>
    <row r="123" spans="2:9" ht="12.75" customHeight="1" thickTop="1">
      <c r="B123" s="86"/>
      <c r="C123" s="4"/>
      <c r="D123" s="4"/>
      <c r="E123" s="4"/>
      <c r="F123" s="4"/>
      <c r="G123" s="8"/>
      <c r="H123" s="54"/>
      <c r="I123" s="6"/>
    </row>
    <row r="124" spans="2:9" ht="12.75" customHeight="1">
      <c r="B124" s="86"/>
      <c r="C124" s="4" t="s">
        <v>58</v>
      </c>
      <c r="D124" s="4"/>
      <c r="E124" s="13">
        <f>+I122</f>
        <v>336.03679299999993</v>
      </c>
      <c r="F124" s="7" t="s">
        <v>2</v>
      </c>
      <c r="G124" s="61">
        <v>0.03</v>
      </c>
      <c r="H124" s="50"/>
      <c r="I124" s="25">
        <f>E124*G124</f>
        <v>10.081103789999998</v>
      </c>
    </row>
    <row r="125" spans="2:11" ht="12.75" customHeight="1" thickBot="1">
      <c r="B125" s="86"/>
      <c r="C125" s="8"/>
      <c r="D125" s="8"/>
      <c r="E125" s="83"/>
      <c r="F125" s="11"/>
      <c r="G125" s="61"/>
      <c r="H125" s="84"/>
      <c r="I125" s="25"/>
      <c r="K125" s="3" t="s">
        <v>57</v>
      </c>
    </row>
    <row r="126" spans="2:13" ht="12.75" customHeight="1" thickBot="1">
      <c r="B126" s="86"/>
      <c r="C126" s="4"/>
      <c r="D126" s="4"/>
      <c r="E126" s="13"/>
      <c r="F126" s="7"/>
      <c r="G126" s="7"/>
      <c r="H126" s="54" t="s">
        <v>7</v>
      </c>
      <c r="I126" s="27">
        <f>SUM(I122:I125)</f>
        <v>346.1178967899999</v>
      </c>
      <c r="K126" s="62" t="s">
        <v>8</v>
      </c>
      <c r="L126" s="63"/>
      <c r="M126" s="64">
        <f>I126-$I$25</f>
        <v>26.678766499384267</v>
      </c>
    </row>
    <row r="127" spans="2:13" ht="12.75" customHeight="1" thickBot="1" thickTop="1">
      <c r="B127" s="87"/>
      <c r="C127" s="4"/>
      <c r="D127" s="4"/>
      <c r="E127" s="13"/>
      <c r="F127" s="7"/>
      <c r="G127" s="7"/>
      <c r="H127" s="54"/>
      <c r="I127" s="6"/>
      <c r="K127" s="65" t="s">
        <v>9</v>
      </c>
      <c r="L127" s="66"/>
      <c r="M127" s="67">
        <f>(I126-$I$25)/$I$25</f>
        <v>0.0835175279719575</v>
      </c>
    </row>
    <row r="128" spans="2:9" ht="6" customHeight="1" thickBot="1">
      <c r="B128" s="30"/>
      <c r="C128" s="31"/>
      <c r="D128" s="31"/>
      <c r="E128" s="31"/>
      <c r="F128" s="31"/>
      <c r="G128" s="31"/>
      <c r="H128" s="51"/>
      <c r="I128" s="32"/>
    </row>
    <row r="133" spans="2:9" ht="61.5" customHeight="1">
      <c r="B133" s="81">
        <v>1</v>
      </c>
      <c r="C133" s="89" t="s">
        <v>67</v>
      </c>
      <c r="D133" s="89"/>
      <c r="E133" s="89"/>
      <c r="F133" s="89"/>
      <c r="G133" s="89"/>
      <c r="H133" s="89"/>
      <c r="I133" s="89"/>
    </row>
    <row r="134" spans="2:9" ht="110.25" customHeight="1">
      <c r="B134" s="81">
        <v>2</v>
      </c>
      <c r="C134" s="89" t="s">
        <v>78</v>
      </c>
      <c r="D134" s="89"/>
      <c r="E134" s="89"/>
      <c r="F134" s="89"/>
      <c r="G134" s="89"/>
      <c r="H134" s="89"/>
      <c r="I134" s="89"/>
    </row>
    <row r="135" spans="2:9" ht="104.25" customHeight="1">
      <c r="B135" s="81">
        <v>3</v>
      </c>
      <c r="C135" s="89" t="s">
        <v>79</v>
      </c>
      <c r="D135" s="89"/>
      <c r="E135" s="89"/>
      <c r="F135" s="89"/>
      <c r="G135" s="89"/>
      <c r="H135" s="89"/>
      <c r="I135" s="89"/>
    </row>
    <row r="136" spans="2:9" ht="41.25" customHeight="1">
      <c r="B136" s="81">
        <v>4</v>
      </c>
      <c r="C136" s="89" t="s">
        <v>68</v>
      </c>
      <c r="D136" s="89"/>
      <c r="E136" s="89"/>
      <c r="F136" s="89"/>
      <c r="G136" s="89"/>
      <c r="H136" s="89"/>
      <c r="I136" s="89"/>
    </row>
    <row r="137" spans="2:9" ht="70.5" customHeight="1">
      <c r="B137" s="81">
        <v>5</v>
      </c>
      <c r="C137" s="89" t="s">
        <v>80</v>
      </c>
      <c r="D137" s="89"/>
      <c r="E137" s="89"/>
      <c r="F137" s="89"/>
      <c r="G137" s="89"/>
      <c r="H137" s="89"/>
      <c r="I137" s="89"/>
    </row>
    <row r="138" spans="2:9" ht="64.5" customHeight="1">
      <c r="B138" s="81">
        <v>6</v>
      </c>
      <c r="C138" s="89" t="s">
        <v>75</v>
      </c>
      <c r="D138" s="89"/>
      <c r="E138" s="89"/>
      <c r="F138" s="89"/>
      <c r="G138" s="89"/>
      <c r="H138" s="89"/>
      <c r="I138" s="89"/>
    </row>
    <row r="139" spans="2:9" ht="31.5" customHeight="1">
      <c r="B139" s="81">
        <v>7</v>
      </c>
      <c r="C139" s="89" t="s">
        <v>83</v>
      </c>
      <c r="D139" s="89"/>
      <c r="E139" s="89"/>
      <c r="F139" s="89"/>
      <c r="G139" s="89"/>
      <c r="H139" s="89"/>
      <c r="I139" s="89"/>
    </row>
    <row r="140" ht="12.75">
      <c r="B140" s="81"/>
    </row>
    <row r="141" ht="12.75">
      <c r="B141" s="81"/>
    </row>
    <row r="142" ht="12.75">
      <c r="B142" s="81"/>
    </row>
    <row r="143" ht="12.75">
      <c r="B143" s="81"/>
    </row>
    <row r="144" ht="12.75">
      <c r="B144" s="81"/>
    </row>
    <row r="145" ht="12.75">
      <c r="B145" s="81"/>
    </row>
    <row r="146" ht="12.75">
      <c r="B146" s="81"/>
    </row>
    <row r="147" ht="12.75">
      <c r="B147" s="81"/>
    </row>
    <row r="148" ht="12.75">
      <c r="B148" s="81"/>
    </row>
    <row r="149" ht="12.75">
      <c r="B149" s="81"/>
    </row>
    <row r="150" ht="12.75">
      <c r="B150" s="81"/>
    </row>
    <row r="151" ht="12.75">
      <c r="B151" s="81"/>
    </row>
    <row r="152" ht="12.75">
      <c r="B152" s="81"/>
    </row>
    <row r="153" ht="12.75">
      <c r="B153" s="81"/>
    </row>
    <row r="154" ht="12.75">
      <c r="B154" s="81"/>
    </row>
  </sheetData>
  <sheetProtection/>
  <mergeCells count="13">
    <mergeCell ref="C139:I139"/>
    <mergeCell ref="C133:I133"/>
    <mergeCell ref="C134:I134"/>
    <mergeCell ref="C135:I135"/>
    <mergeCell ref="C136:I136"/>
    <mergeCell ref="C137:I137"/>
    <mergeCell ref="C138:I138"/>
    <mergeCell ref="B2:I2"/>
    <mergeCell ref="B6:B27"/>
    <mergeCell ref="B29:B52"/>
    <mergeCell ref="B54:B77"/>
    <mergeCell ref="B79:B102"/>
    <mergeCell ref="B104:B127"/>
  </mergeCells>
  <printOptions/>
  <pageMargins left="0.25" right="0.25" top="0.75" bottom="0.75" header="0.3" footer="0.3"/>
  <pageSetup fitToHeight="0" fitToWidth="1" horizontalDpi="600" verticalDpi="600" orientation="portrait" scale="35" r:id="rId2"/>
  <drawing r:id="rId1"/>
</worksheet>
</file>

<file path=xl/worksheets/sheet4.xml><?xml version="1.0" encoding="utf-8"?>
<worksheet xmlns="http://schemas.openxmlformats.org/spreadsheetml/2006/main" xmlns:r="http://schemas.openxmlformats.org/officeDocument/2006/relationships">
  <dimension ref="A3:AB9"/>
  <sheetViews>
    <sheetView showGridLines="0" zoomScalePageLayoutView="0" workbookViewId="0" topLeftCell="A1">
      <selection activeCell="F20" sqref="F20"/>
    </sheetView>
  </sheetViews>
  <sheetFormatPr defaultColWidth="9.140625" defaultRowHeight="15"/>
  <cols>
    <col min="1" max="1" width="13.28125" style="45" customWidth="1"/>
    <col min="2" max="2" width="18.00390625" style="45" hidden="1" customWidth="1"/>
    <col min="3" max="17" width="14.7109375" style="45" customWidth="1"/>
    <col min="18" max="16384" width="9.140625" style="45" customWidth="1"/>
  </cols>
  <sheetData>
    <row r="1" ht="11.25"/>
    <row r="2" ht="11.25"/>
    <row r="3" spans="18:28" ht="12" thickBot="1">
      <c r="R3" s="92" t="s">
        <v>51</v>
      </c>
      <c r="S3" s="92"/>
      <c r="T3" s="92"/>
      <c r="U3" s="92"/>
      <c r="V3" s="92"/>
      <c r="W3" s="92"/>
      <c r="X3" s="92"/>
      <c r="Y3" s="92"/>
      <c r="Z3" s="92"/>
      <c r="AA3" s="92"/>
      <c r="AB3" s="92"/>
    </row>
    <row r="4" spans="1:28" ht="15" customHeight="1">
      <c r="A4" s="46"/>
      <c r="B4" s="46"/>
      <c r="C4" s="90" t="s">
        <v>15</v>
      </c>
      <c r="D4" s="90" t="s">
        <v>16</v>
      </c>
      <c r="E4" s="98" t="s">
        <v>17</v>
      </c>
      <c r="F4" s="101" t="s">
        <v>18</v>
      </c>
      <c r="G4" s="102"/>
      <c r="H4" s="101" t="s">
        <v>6</v>
      </c>
      <c r="I4" s="102"/>
      <c r="J4" s="90" t="s">
        <v>19</v>
      </c>
      <c r="K4" s="90" t="s">
        <v>20</v>
      </c>
      <c r="L4" s="90" t="s">
        <v>54</v>
      </c>
      <c r="M4" s="90" t="s">
        <v>55</v>
      </c>
      <c r="N4" s="93" t="s">
        <v>11</v>
      </c>
      <c r="O4" s="95"/>
      <c r="P4" s="93" t="s">
        <v>21</v>
      </c>
      <c r="Q4" s="95"/>
      <c r="R4" s="93" t="s">
        <v>39</v>
      </c>
      <c r="S4" s="93" t="s">
        <v>40</v>
      </c>
      <c r="T4" s="93" t="s">
        <v>41</v>
      </c>
      <c r="U4" s="95"/>
      <c r="V4" s="93" t="s">
        <v>42</v>
      </c>
      <c r="W4" s="95"/>
      <c r="X4" s="93" t="s">
        <v>43</v>
      </c>
      <c r="Y4" s="95"/>
      <c r="Z4" s="93" t="s">
        <v>44</v>
      </c>
      <c r="AA4" s="93" t="s">
        <v>45</v>
      </c>
      <c r="AB4" s="90" t="s">
        <v>46</v>
      </c>
    </row>
    <row r="5" spans="1:28" ht="16.5" customHeight="1" thickBot="1">
      <c r="A5" s="47"/>
      <c r="B5" s="47"/>
      <c r="C5" s="97"/>
      <c r="D5" s="97"/>
      <c r="E5" s="99"/>
      <c r="F5" s="103"/>
      <c r="G5" s="104"/>
      <c r="H5" s="103"/>
      <c r="I5" s="104"/>
      <c r="J5" s="97"/>
      <c r="K5" s="97"/>
      <c r="L5" s="97"/>
      <c r="M5" s="97"/>
      <c r="N5" s="94"/>
      <c r="O5" s="96"/>
      <c r="P5" s="94"/>
      <c r="Q5" s="96"/>
      <c r="R5" s="94"/>
      <c r="S5" s="94"/>
      <c r="T5" s="94"/>
      <c r="U5" s="96"/>
      <c r="V5" s="94"/>
      <c r="W5" s="96"/>
      <c r="X5" s="94"/>
      <c r="Y5" s="96"/>
      <c r="Z5" s="94"/>
      <c r="AA5" s="94"/>
      <c r="AB5" s="91"/>
    </row>
    <row r="6" spans="1:28" ht="45.75" thickBot="1">
      <c r="A6" s="37">
        <v>2023</v>
      </c>
      <c r="B6" s="37" t="s">
        <v>22</v>
      </c>
      <c r="C6" s="91"/>
      <c r="D6" s="91"/>
      <c r="E6" s="100"/>
      <c r="F6" s="38" t="s">
        <v>23</v>
      </c>
      <c r="G6" s="38" t="s">
        <v>24</v>
      </c>
      <c r="H6" s="38" t="s">
        <v>25</v>
      </c>
      <c r="I6" s="38" t="s">
        <v>26</v>
      </c>
      <c r="J6" s="91"/>
      <c r="K6" s="91"/>
      <c r="L6" s="91"/>
      <c r="M6" s="91"/>
      <c r="N6" s="38" t="s">
        <v>27</v>
      </c>
      <c r="O6" s="38" t="s">
        <v>26</v>
      </c>
      <c r="P6" s="38" t="s">
        <v>28</v>
      </c>
      <c r="Q6" s="38" t="s">
        <v>29</v>
      </c>
      <c r="R6" s="39" t="s">
        <v>47</v>
      </c>
      <c r="S6" s="39" t="s">
        <v>47</v>
      </c>
      <c r="T6" s="39" t="s">
        <v>47</v>
      </c>
      <c r="U6" s="39" t="s">
        <v>48</v>
      </c>
      <c r="V6" s="39" t="s">
        <v>47</v>
      </c>
      <c r="W6" s="39" t="s">
        <v>48</v>
      </c>
      <c r="X6" s="39" t="s">
        <v>47</v>
      </c>
      <c r="Y6" s="39" t="s">
        <v>48</v>
      </c>
      <c r="Z6" s="39" t="s">
        <v>47</v>
      </c>
      <c r="AA6" s="39" t="s">
        <v>47</v>
      </c>
      <c r="AB6" s="39" t="s">
        <v>47</v>
      </c>
    </row>
    <row r="7" spans="1:28" ht="45">
      <c r="A7" s="16" t="s">
        <v>30</v>
      </c>
      <c r="B7" s="17" t="s">
        <v>31</v>
      </c>
      <c r="C7" s="17" t="s">
        <v>32</v>
      </c>
      <c r="D7" s="17" t="s">
        <v>33</v>
      </c>
      <c r="E7" s="17" t="s">
        <v>34</v>
      </c>
      <c r="F7" s="16" t="s">
        <v>35</v>
      </c>
      <c r="G7" s="17" t="s">
        <v>36</v>
      </c>
      <c r="H7" s="18">
        <v>-8</v>
      </c>
      <c r="I7" s="18">
        <v>-9</v>
      </c>
      <c r="J7" s="18">
        <v>-13</v>
      </c>
      <c r="K7" s="18">
        <v>-14</v>
      </c>
      <c r="L7" s="18">
        <v>-15</v>
      </c>
      <c r="M7" s="18">
        <f>L7-1</f>
        <v>-16</v>
      </c>
      <c r="N7" s="18">
        <f>M7-1</f>
        <v>-17</v>
      </c>
      <c r="O7" s="18">
        <f>N7-1</f>
        <v>-18</v>
      </c>
      <c r="P7" s="40"/>
      <c r="Q7" s="18">
        <f>P7-1</f>
        <v>-1</v>
      </c>
      <c r="R7" s="17" t="s">
        <v>32</v>
      </c>
      <c r="S7" s="17" t="s">
        <v>49</v>
      </c>
      <c r="T7" s="17" t="s">
        <v>50</v>
      </c>
      <c r="U7" s="18">
        <v>-6</v>
      </c>
      <c r="V7" s="18">
        <v>-7</v>
      </c>
      <c r="W7" s="18">
        <v>-8</v>
      </c>
      <c r="X7" s="18">
        <v>-9</v>
      </c>
      <c r="Y7" s="18">
        <v>-10</v>
      </c>
      <c r="Z7" s="18">
        <v>-11</v>
      </c>
      <c r="AA7" s="18">
        <v>-12</v>
      </c>
      <c r="AB7" s="18">
        <v>-13</v>
      </c>
    </row>
    <row r="8" spans="1:28" ht="14.25" customHeight="1">
      <c r="A8" s="44" t="s">
        <v>37</v>
      </c>
      <c r="B8" s="41">
        <v>43735</v>
      </c>
      <c r="C8" s="42">
        <v>0.00974</v>
      </c>
      <c r="D8" s="42">
        <v>0.00016</v>
      </c>
      <c r="E8" s="42">
        <v>0.0099</v>
      </c>
      <c r="F8" s="42">
        <v>0</v>
      </c>
      <c r="G8" s="43">
        <v>0</v>
      </c>
      <c r="H8" s="42">
        <v>0.014825</v>
      </c>
      <c r="I8" s="43">
        <v>0.026242</v>
      </c>
      <c r="J8" s="42">
        <v>0.000247</v>
      </c>
      <c r="K8" s="42">
        <v>0.000126</v>
      </c>
      <c r="L8" s="42">
        <v>0.3</v>
      </c>
      <c r="M8" s="42">
        <v>1</v>
      </c>
      <c r="N8" s="42">
        <v>0.044078</v>
      </c>
      <c r="O8" s="42">
        <v>0.087695</v>
      </c>
      <c r="P8" s="42">
        <v>-0.0001</v>
      </c>
      <c r="Q8" s="42">
        <v>-0.00672</v>
      </c>
      <c r="R8" s="42">
        <v>0.00558</v>
      </c>
      <c r="S8" s="42">
        <v>0.00454</v>
      </c>
      <c r="T8" s="42">
        <v>0.00016</v>
      </c>
      <c r="U8" s="42">
        <v>1.24</v>
      </c>
      <c r="V8" s="42">
        <v>0.00417</v>
      </c>
      <c r="W8" s="42">
        <v>0</v>
      </c>
      <c r="X8" s="42">
        <v>0.00016</v>
      </c>
      <c r="Y8" s="42">
        <v>1.63</v>
      </c>
      <c r="Z8" s="42">
        <v>0.00312</v>
      </c>
      <c r="AA8" s="42">
        <v>0.00074</v>
      </c>
      <c r="AB8" s="42">
        <v>0.00074</v>
      </c>
    </row>
    <row r="9" spans="1:28" ht="14.25" customHeight="1">
      <c r="A9" s="44" t="s">
        <v>38</v>
      </c>
      <c r="B9" s="41">
        <v>43766</v>
      </c>
      <c r="C9" s="42">
        <v>0.00745</v>
      </c>
      <c r="D9" s="42">
        <v>0.00016</v>
      </c>
      <c r="E9" s="42">
        <v>0.0076100000000000004</v>
      </c>
      <c r="F9" s="42">
        <v>0</v>
      </c>
      <c r="G9" s="43">
        <v>0</v>
      </c>
      <c r="H9" s="42">
        <v>0.018473</v>
      </c>
      <c r="I9" s="42">
        <v>0.032979</v>
      </c>
      <c r="J9" s="42">
        <v>0.000247</v>
      </c>
      <c r="K9" s="42">
        <v>0.000126</v>
      </c>
      <c r="L9" s="42">
        <v>0.3</v>
      </c>
      <c r="M9" s="42">
        <v>1</v>
      </c>
      <c r="N9" s="43">
        <v>0.044078</v>
      </c>
      <c r="O9" s="43">
        <v>0.087695</v>
      </c>
      <c r="P9" s="42">
        <v>-0.0001</v>
      </c>
      <c r="Q9" s="42">
        <v>-0.00672</v>
      </c>
      <c r="R9" s="42">
        <v>0.00558</v>
      </c>
      <c r="S9" s="42">
        <v>0.00454</v>
      </c>
      <c r="T9" s="42">
        <v>0.00016</v>
      </c>
      <c r="U9" s="42">
        <v>1.24</v>
      </c>
      <c r="V9" s="42">
        <v>0.00417</v>
      </c>
      <c r="W9" s="42">
        <v>0</v>
      </c>
      <c r="X9" s="42">
        <v>0.00016</v>
      </c>
      <c r="Y9" s="42">
        <v>1.63</v>
      </c>
      <c r="Z9" s="42">
        <v>0.00312</v>
      </c>
      <c r="AA9" s="42">
        <v>0.00074</v>
      </c>
      <c r="AB9" s="42">
        <v>0.00074</v>
      </c>
    </row>
  </sheetData>
  <sheetProtection/>
  <mergeCells count="20">
    <mergeCell ref="C4:C6"/>
    <mergeCell ref="D4:D6"/>
    <mergeCell ref="E4:E6"/>
    <mergeCell ref="F4:G5"/>
    <mergeCell ref="H4:I5"/>
    <mergeCell ref="J4:J6"/>
    <mergeCell ref="K4:K6"/>
    <mergeCell ref="L4:L6"/>
    <mergeCell ref="M4:M6"/>
    <mergeCell ref="N4:O5"/>
    <mergeCell ref="P4:Q5"/>
    <mergeCell ref="AA4:AA5"/>
    <mergeCell ref="AB4:AB5"/>
    <mergeCell ref="R3:AB3"/>
    <mergeCell ref="R4:R5"/>
    <mergeCell ref="S4:S5"/>
    <mergeCell ref="T4:U5"/>
    <mergeCell ref="V4:W5"/>
    <mergeCell ref="X4:Y5"/>
    <mergeCell ref="Z4:Z5"/>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Electric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Lerah M Kahn</cp:lastModifiedBy>
  <cp:lastPrinted>2023-12-08T19:24:43Z</cp:lastPrinted>
  <dcterms:created xsi:type="dcterms:W3CDTF">2015-03-12T20:54:45Z</dcterms:created>
  <dcterms:modified xsi:type="dcterms:W3CDTF">2023-12-15T16:19:12Z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facdc7c2-8fb6-482d-8f16-7348cce6f7c7</vt:lpwstr>
  </property>
  <property fmtid="{D5CDD505-2E9C-101B-9397-08002B2CF9AE}" pid="3" name="bjDocumentSecurityLabel">
    <vt:lpwstr>Uncategorized</vt:lpwstr>
  </property>
  <property fmtid="{D5CDD505-2E9C-101B-9397-08002B2CF9AE}" pid="4" name="bjSaver">
    <vt:lpwstr>Yzo6iu4RCOp5VcJWjy40zzIEO7NbA0wx</vt:lpwstr>
  </property>
  <property fmtid="{D5CDD505-2E9C-101B-9397-08002B2CF9AE}" pid="5" name="Visual Markings Removed">
    <vt:lpwstr>No</vt:lpwstr>
  </property>
  <property fmtid="{D5CDD505-2E9C-101B-9397-08002B2CF9AE}" pid="6" name="MSIP_Label_574d496c-7ac4-4b13-81fd-698eca66b217_SiteId">
    <vt:lpwstr>15f3c881-6b03-4ff6-8559-77bf5177818f</vt:lpwstr>
  </property>
  <property fmtid="{D5CDD505-2E9C-101B-9397-08002B2CF9AE}" pid="7" name="MSIP_Label_574d496c-7ac4-4b13-81fd-698eca66b217_Name">
    <vt:lpwstr>Uncategorized</vt:lpwstr>
  </property>
  <property fmtid="{D5CDD505-2E9C-101B-9397-08002B2CF9AE}" pid="8" name="MSIP_Label_574d496c-7ac4-4b13-81fd-698eca66b217_Enabled">
    <vt:lpwstr>true</vt:lpwstr>
  </property>
  <property fmtid="{D5CDD505-2E9C-101B-9397-08002B2CF9AE}" pid="9" name="bjClsUserRVM">
    <vt:lpwstr>[]</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uid="936e22d5-45a7-4cb7-95ab-1aa8c7c88789" value="" /&gt;&lt;/sisl&gt;</vt:lpwstr>
  </property>
  <property fmtid="{D5CDD505-2E9C-101B-9397-08002B2CF9AE}" pid="12" name="bjLabelHistoryID">
    <vt:lpwstr>{B35DA7C0-2B78-4216-BA71-EA6253209709}</vt:lpwstr>
  </property>
</Properties>
</file>