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pricing\Rate Cases\KPCo\2023 Base Case\Discovery\AG-KIUC\Set 1\1-20\"/>
    </mc:Choice>
  </mc:AlternateContent>
  <xr:revisionPtr revIDLastSave="0" documentId="13_ncr:1_{D8E718C4-2D8A-4258-BE6B-565BD6CF47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RR-Page 1" sheetId="26" r:id="rId1"/>
    <sheet name="DRR-Page 2" sheetId="27" r:id="rId2"/>
    <sheet name="Rev Req" sheetId="21" r:id="rId3"/>
    <sheet name="DRR Projects" sheetId="24" r:id="rId4"/>
    <sheet name="Cost of Capital" sheetId="23" r:id="rId5"/>
    <sheet name="Customer Count" sheetId="22" r:id="rId6"/>
    <sheet name="Revenue" sheetId="25" r:id="rId7"/>
    <sheet name="12 Mos BA" sheetId="28" r:id="rId8"/>
    <sheet name="Depreciation" sheetId="29" r:id="rId9"/>
  </sheets>
  <externalReferences>
    <externalReference r:id="rId10"/>
    <externalReference r:id="rId11"/>
    <externalReference r:id="rId12"/>
  </externalReferences>
  <definedNames>
    <definedName name="_xlnm._FilterDatabase" localSheetId="3" hidden="1">'DRR Projects'!$B$99:$J$101</definedName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45097.7714814815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'DRR-Page 1'!$A$1:$I$43</definedName>
    <definedName name="_xlnm.Print_Area" localSheetId="1">'DRR-Page 2'!$A$2:$K$51</definedName>
    <definedName name="_xlnm.Print_Area" localSheetId="6">Revenue!$A$1:$E$9</definedName>
    <definedName name="search_directory_name">"R:\fcm90prd\nvision\rpts\Fin_Reports\"</definedName>
    <definedName name="tim">#REF!</definedName>
    <definedName name="TOC_1">'12 Mos BA'!$E$1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1" l="1"/>
  <c r="G9" i="21" l="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B23" i="21"/>
  <c r="B22" i="21"/>
  <c r="E15" i="23"/>
  <c r="I13" i="23"/>
  <c r="E13" i="23"/>
  <c r="I11" i="23"/>
  <c r="E11" i="23"/>
  <c r="E17" i="23" s="1"/>
  <c r="AG25" i="21" l="1"/>
  <c r="AE25" i="21"/>
  <c r="AF25" i="21"/>
  <c r="G13" i="23"/>
  <c r="K13" i="23" s="1"/>
  <c r="G15" i="23"/>
  <c r="K15" i="23" s="1"/>
  <c r="G11" i="23"/>
  <c r="K11" i="23" l="1"/>
  <c r="G17" i="23"/>
  <c r="K17" i="23" l="1"/>
  <c r="O11" i="23"/>
  <c r="AD44" i="21"/>
  <c r="AE44" i="21"/>
  <c r="AF44" i="21"/>
  <c r="AG44" i="21"/>
  <c r="M28" i="29"/>
  <c r="H23" i="27"/>
  <c r="E28" i="24"/>
  <c r="U44" i="21" l="1"/>
  <c r="V44" i="21"/>
  <c r="W44" i="21"/>
  <c r="X44" i="21"/>
  <c r="Y44" i="21"/>
  <c r="Z44" i="21"/>
  <c r="AA44" i="21"/>
  <c r="AB44" i="21"/>
  <c r="AC44" i="21"/>
  <c r="AH11" i="21"/>
  <c r="AI11" i="21" s="1"/>
  <c r="F4" i="24"/>
  <c r="M48" i="29"/>
  <c r="G48" i="29"/>
  <c r="M47" i="29"/>
  <c r="G47" i="29"/>
  <c r="M46" i="29"/>
  <c r="G46" i="29"/>
  <c r="M45" i="29"/>
  <c r="G45" i="29"/>
  <c r="M44" i="29"/>
  <c r="G44" i="29"/>
  <c r="M43" i="29"/>
  <c r="G43" i="29"/>
  <c r="M42" i="29"/>
  <c r="G42" i="29"/>
  <c r="M41" i="29"/>
  <c r="G41" i="29"/>
  <c r="M40" i="29"/>
  <c r="G40" i="29"/>
  <c r="M39" i="29"/>
  <c r="G39" i="29"/>
  <c r="M35" i="29"/>
  <c r="M34" i="29"/>
  <c r="M33" i="29"/>
  <c r="M32" i="29"/>
  <c r="M31" i="29"/>
  <c r="M30" i="29"/>
  <c r="M29" i="29"/>
  <c r="M27" i="29"/>
  <c r="M26" i="29"/>
  <c r="M25" i="29"/>
  <c r="M24" i="29"/>
  <c r="M21" i="29"/>
  <c r="G21" i="29"/>
  <c r="M20" i="29"/>
  <c r="G20" i="29"/>
  <c r="M19" i="29"/>
  <c r="G19" i="29"/>
  <c r="M18" i="29"/>
  <c r="G18" i="29"/>
  <c r="M17" i="29"/>
  <c r="G17" i="29"/>
  <c r="M16" i="29"/>
  <c r="G16" i="29"/>
  <c r="M15" i="29"/>
  <c r="G15" i="29"/>
  <c r="M14" i="29"/>
  <c r="G14" i="29"/>
  <c r="D29" i="22" l="1"/>
  <c r="H44" i="27" s="1"/>
  <c r="F3" i="21" l="1"/>
  <c r="F4" i="21"/>
  <c r="F8" i="21"/>
  <c r="C3" i="21"/>
  <c r="D3" i="21"/>
  <c r="E3" i="21"/>
  <c r="B5" i="21"/>
  <c r="B8" i="21"/>
  <c r="B3" i="21"/>
  <c r="AH3" i="21" l="1"/>
  <c r="D7" i="25"/>
  <c r="D6" i="25"/>
  <c r="C6" i="25"/>
  <c r="H17" i="27" s="1"/>
  <c r="D56" i="28" l="1"/>
  <c r="E56" i="28"/>
  <c r="F56" i="28"/>
  <c r="G56" i="28"/>
  <c r="H56" i="28"/>
  <c r="I56" i="28"/>
  <c r="J56" i="28"/>
  <c r="K56" i="28"/>
  <c r="L56" i="28"/>
  <c r="M56" i="28"/>
  <c r="N56" i="28"/>
  <c r="C56" i="28"/>
  <c r="E6" i="25" s="1"/>
  <c r="D28" i="22"/>
  <c r="E27" i="22"/>
  <c r="D27" i="22"/>
  <c r="C27" i="22"/>
  <c r="D25" i="22"/>
  <c r="E25" i="22"/>
  <c r="C25" i="22"/>
  <c r="H39" i="27" l="1"/>
  <c r="H38" i="27" s="1"/>
  <c r="H18" i="27"/>
  <c r="F16" i="26" l="1"/>
  <c r="F20" i="26"/>
  <c r="O15" i="23" l="1"/>
  <c r="O17" i="23" l="1"/>
  <c r="B19" i="21" s="1"/>
  <c r="C2" i="21" l="1"/>
  <c r="D2" i="21" s="1"/>
  <c r="E2" i="21" s="1"/>
  <c r="F2" i="21" s="1"/>
  <c r="G2" i="21" s="1"/>
  <c r="H2" i="21" s="1"/>
  <c r="I2" i="21" s="1"/>
  <c r="J2" i="21" s="1"/>
  <c r="K2" i="21" s="1"/>
  <c r="L2" i="21" s="1"/>
  <c r="M2" i="21" s="1"/>
  <c r="N2" i="21" s="1"/>
  <c r="O2" i="21" s="1"/>
  <c r="P2" i="21" s="1"/>
  <c r="Q2" i="21" s="1"/>
  <c r="R2" i="21" s="1"/>
  <c r="S2" i="21" s="1"/>
  <c r="T2" i="21" s="1"/>
  <c r="U2" i="21" s="1"/>
  <c r="V2" i="21" s="1"/>
  <c r="W2" i="21" s="1"/>
  <c r="X2" i="21" s="1"/>
  <c r="Y2" i="21" s="1"/>
  <c r="Z2" i="21" s="1"/>
  <c r="AA2" i="21" s="1"/>
  <c r="AB2" i="21" s="1"/>
  <c r="AC2" i="21" s="1"/>
  <c r="AD2" i="21" s="1"/>
  <c r="AE2" i="21" s="1"/>
  <c r="AF2" i="21" s="1"/>
  <c r="AG2" i="21" s="1"/>
  <c r="Q6" i="24"/>
  <c r="N7" i="24"/>
  <c r="N4" i="24"/>
  <c r="N3" i="24"/>
  <c r="S6" i="24"/>
  <c r="S2" i="24" s="1"/>
  <c r="F30" i="21" s="1"/>
  <c r="R6" i="24"/>
  <c r="P6" i="24"/>
  <c r="P2" i="24" s="1"/>
  <c r="C30" i="21" s="1"/>
  <c r="O6" i="24"/>
  <c r="O2" i="24" s="1"/>
  <c r="B30" i="21" s="1"/>
  <c r="R5" i="24"/>
  <c r="N5" i="24" s="1"/>
  <c r="J117" i="24"/>
  <c r="I117" i="24"/>
  <c r="H117" i="24"/>
  <c r="G117" i="24"/>
  <c r="E115" i="24"/>
  <c r="E114" i="24"/>
  <c r="E113" i="24"/>
  <c r="E112" i="24"/>
  <c r="J110" i="24"/>
  <c r="I110" i="24"/>
  <c r="H110" i="24"/>
  <c r="G110" i="24"/>
  <c r="F110" i="24"/>
  <c r="E107" i="24"/>
  <c r="E106" i="24"/>
  <c r="E104" i="24" s="1"/>
  <c r="J104" i="24"/>
  <c r="I104" i="24"/>
  <c r="I6" i="24" s="1"/>
  <c r="E7" i="21" s="1"/>
  <c r="H104" i="24"/>
  <c r="G104" i="24"/>
  <c r="F104" i="24"/>
  <c r="E101" i="24"/>
  <c r="E100" i="24"/>
  <c r="E99" i="24"/>
  <c r="E98" i="24"/>
  <c r="J96" i="24"/>
  <c r="I96" i="24"/>
  <c r="H96" i="24"/>
  <c r="G96" i="24"/>
  <c r="F96" i="24"/>
  <c r="I95" i="24"/>
  <c r="H95" i="24"/>
  <c r="G95" i="24"/>
  <c r="F95" i="24"/>
  <c r="E93" i="24"/>
  <c r="J91" i="24"/>
  <c r="I91" i="24"/>
  <c r="H91" i="24" s="1"/>
  <c r="G91" i="24" s="1"/>
  <c r="F91" i="24" s="1"/>
  <c r="E91" i="24" s="1"/>
  <c r="J90" i="24"/>
  <c r="I90" i="24" s="1"/>
  <c r="H90" i="24" s="1"/>
  <c r="G90" i="24" s="1"/>
  <c r="F90" i="24" s="1"/>
  <c r="E90" i="24" s="1"/>
  <c r="J89" i="24"/>
  <c r="I89" i="24" s="1"/>
  <c r="H89" i="24" s="1"/>
  <c r="G89" i="24" s="1"/>
  <c r="F89" i="24" s="1"/>
  <c r="E89" i="24" s="1"/>
  <c r="J88" i="24"/>
  <c r="I88" i="24" s="1"/>
  <c r="H88" i="24" s="1"/>
  <c r="G88" i="24" s="1"/>
  <c r="F88" i="24" s="1"/>
  <c r="E88" i="24" s="1"/>
  <c r="J87" i="24"/>
  <c r="I87" i="24" s="1"/>
  <c r="H87" i="24" s="1"/>
  <c r="G87" i="24" s="1"/>
  <c r="F87" i="24" s="1"/>
  <c r="E87" i="24" s="1"/>
  <c r="J86" i="24"/>
  <c r="I86" i="24" s="1"/>
  <c r="H86" i="24" s="1"/>
  <c r="G86" i="24" s="1"/>
  <c r="F86" i="24" s="1"/>
  <c r="E86" i="24" s="1"/>
  <c r="J85" i="24"/>
  <c r="I85" i="24" s="1"/>
  <c r="H85" i="24" s="1"/>
  <c r="G85" i="24" s="1"/>
  <c r="F85" i="24" s="1"/>
  <c r="E85" i="24" s="1"/>
  <c r="J84" i="24"/>
  <c r="I84" i="24" s="1"/>
  <c r="H84" i="24" s="1"/>
  <c r="G84" i="24" s="1"/>
  <c r="F84" i="24" s="1"/>
  <c r="E84" i="24" s="1"/>
  <c r="J83" i="24"/>
  <c r="I83" i="24"/>
  <c r="H83" i="24" s="1"/>
  <c r="G83" i="24" s="1"/>
  <c r="F83" i="24" s="1"/>
  <c r="E83" i="24" s="1"/>
  <c r="J82" i="24"/>
  <c r="I82" i="24" s="1"/>
  <c r="H82" i="24" s="1"/>
  <c r="G82" i="24" s="1"/>
  <c r="F82" i="24" s="1"/>
  <c r="E82" i="24" s="1"/>
  <c r="J81" i="24"/>
  <c r="I81" i="24" s="1"/>
  <c r="H81" i="24" s="1"/>
  <c r="G81" i="24" s="1"/>
  <c r="F81" i="24" s="1"/>
  <c r="E81" i="24" s="1"/>
  <c r="J80" i="24"/>
  <c r="I80" i="24" s="1"/>
  <c r="H80" i="24" s="1"/>
  <c r="G80" i="24" s="1"/>
  <c r="F80" i="24" s="1"/>
  <c r="E80" i="24" s="1"/>
  <c r="J79" i="24"/>
  <c r="I79" i="24"/>
  <c r="H79" i="24" s="1"/>
  <c r="G79" i="24" s="1"/>
  <c r="F79" i="24" s="1"/>
  <c r="E79" i="24" s="1"/>
  <c r="J78" i="24"/>
  <c r="I78" i="24" s="1"/>
  <c r="H78" i="24" s="1"/>
  <c r="G78" i="24" s="1"/>
  <c r="F78" i="24" s="1"/>
  <c r="E78" i="24" s="1"/>
  <c r="J77" i="24"/>
  <c r="I77" i="24" s="1"/>
  <c r="H77" i="24" s="1"/>
  <c r="G77" i="24" s="1"/>
  <c r="F77" i="24" s="1"/>
  <c r="E77" i="24" s="1"/>
  <c r="J76" i="24"/>
  <c r="I76" i="24" s="1"/>
  <c r="H76" i="24" s="1"/>
  <c r="G76" i="24" s="1"/>
  <c r="F76" i="24" s="1"/>
  <c r="E76" i="24" s="1"/>
  <c r="J75" i="24"/>
  <c r="I75" i="24"/>
  <c r="H75" i="24" s="1"/>
  <c r="G75" i="24" s="1"/>
  <c r="F75" i="24" s="1"/>
  <c r="E75" i="24" s="1"/>
  <c r="J74" i="24"/>
  <c r="I74" i="24" s="1"/>
  <c r="H74" i="24" s="1"/>
  <c r="G74" i="24" s="1"/>
  <c r="F74" i="24" s="1"/>
  <c r="E74" i="24" s="1"/>
  <c r="J73" i="24"/>
  <c r="I73" i="24" s="1"/>
  <c r="H73" i="24" s="1"/>
  <c r="G73" i="24" s="1"/>
  <c r="F73" i="24" s="1"/>
  <c r="E73" i="24" s="1"/>
  <c r="J72" i="24"/>
  <c r="I72" i="24" s="1"/>
  <c r="H72" i="24" s="1"/>
  <c r="G72" i="24" s="1"/>
  <c r="F72" i="24" s="1"/>
  <c r="E72" i="24" s="1"/>
  <c r="J71" i="24"/>
  <c r="I71" i="24" s="1"/>
  <c r="H71" i="24" s="1"/>
  <c r="G71" i="24" s="1"/>
  <c r="F71" i="24" s="1"/>
  <c r="E71" i="24" s="1"/>
  <c r="J70" i="24"/>
  <c r="I70" i="24" s="1"/>
  <c r="H70" i="24" s="1"/>
  <c r="G70" i="24" s="1"/>
  <c r="F70" i="24" s="1"/>
  <c r="E70" i="24" s="1"/>
  <c r="J69" i="24"/>
  <c r="I69" i="24" s="1"/>
  <c r="H69" i="24" s="1"/>
  <c r="G69" i="24" s="1"/>
  <c r="F69" i="24" s="1"/>
  <c r="E69" i="24" s="1"/>
  <c r="J68" i="24"/>
  <c r="I68" i="24" s="1"/>
  <c r="H68" i="24" s="1"/>
  <c r="G68" i="24" s="1"/>
  <c r="F68" i="24" s="1"/>
  <c r="E68" i="24" s="1"/>
  <c r="J67" i="24"/>
  <c r="I67" i="24"/>
  <c r="H67" i="24" s="1"/>
  <c r="G67" i="24" s="1"/>
  <c r="F67" i="24" s="1"/>
  <c r="E67" i="24" s="1"/>
  <c r="J66" i="24"/>
  <c r="I66" i="24" s="1"/>
  <c r="H66" i="24" s="1"/>
  <c r="G66" i="24" s="1"/>
  <c r="F66" i="24" s="1"/>
  <c r="E66" i="24" s="1"/>
  <c r="J65" i="24"/>
  <c r="I65" i="24" s="1"/>
  <c r="H65" i="24" s="1"/>
  <c r="G65" i="24" s="1"/>
  <c r="F65" i="24" s="1"/>
  <c r="E65" i="24" s="1"/>
  <c r="J64" i="24"/>
  <c r="I64" i="24" s="1"/>
  <c r="E63" i="24"/>
  <c r="E62" i="24"/>
  <c r="E61" i="24"/>
  <c r="E60" i="24"/>
  <c r="E59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J37" i="24"/>
  <c r="I37" i="24"/>
  <c r="H37" i="24"/>
  <c r="G37" i="24"/>
  <c r="F37" i="24"/>
  <c r="E34" i="24"/>
  <c r="E33" i="24"/>
  <c r="E32" i="24"/>
  <c r="E31" i="24"/>
  <c r="E30" i="24"/>
  <c r="E29" i="24"/>
  <c r="E27" i="24"/>
  <c r="J26" i="24"/>
  <c r="I26" i="24"/>
  <c r="H26" i="24"/>
  <c r="G26" i="24"/>
  <c r="F26" i="24"/>
  <c r="E20" i="24"/>
  <c r="E19" i="24"/>
  <c r="E18" i="24" s="1"/>
  <c r="J18" i="24"/>
  <c r="I18" i="24"/>
  <c r="H18" i="24"/>
  <c r="G18" i="24"/>
  <c r="F18" i="24"/>
  <c r="E16" i="24"/>
  <c r="E15" i="24"/>
  <c r="E14" i="24" s="1"/>
  <c r="E9" i="24" s="1"/>
  <c r="J14" i="24"/>
  <c r="I14" i="24"/>
  <c r="H14" i="24"/>
  <c r="G14" i="24"/>
  <c r="F14" i="24"/>
  <c r="E11" i="24"/>
  <c r="E10" i="24" s="1"/>
  <c r="J10" i="24"/>
  <c r="J9" i="24" s="1"/>
  <c r="I10" i="24"/>
  <c r="I9" i="24" s="1"/>
  <c r="H10" i="24"/>
  <c r="H9" i="24" s="1"/>
  <c r="G10" i="24"/>
  <c r="F10" i="24"/>
  <c r="F9" i="24" s="1"/>
  <c r="I7" i="24"/>
  <c r="E8" i="21" s="1"/>
  <c r="H7" i="24"/>
  <c r="D8" i="21" s="1"/>
  <c r="G7" i="24"/>
  <c r="H6" i="24"/>
  <c r="D7" i="21" s="1"/>
  <c r="G6" i="24"/>
  <c r="C7" i="21" s="1"/>
  <c r="F6" i="24"/>
  <c r="H4" i="24"/>
  <c r="D4" i="21" s="1"/>
  <c r="E3" i="24"/>
  <c r="E9" i="21" l="1"/>
  <c r="D9" i="21"/>
  <c r="E7" i="24"/>
  <c r="C8" i="21"/>
  <c r="AH8" i="21" s="1"/>
  <c r="E26" i="24"/>
  <c r="E96" i="24"/>
  <c r="R2" i="24"/>
  <c r="E30" i="21" s="1"/>
  <c r="E110" i="24"/>
  <c r="E37" i="24"/>
  <c r="E117" i="24"/>
  <c r="I4" i="24"/>
  <c r="E4" i="21" s="1"/>
  <c r="E6" i="24"/>
  <c r="B7" i="21"/>
  <c r="B9" i="21" s="1"/>
  <c r="G4" i="24"/>
  <c r="C4" i="21" s="1"/>
  <c r="N6" i="24"/>
  <c r="J6" i="24"/>
  <c r="F7" i="21" s="1"/>
  <c r="Q2" i="24"/>
  <c r="D30" i="21" s="1"/>
  <c r="N2" i="24"/>
  <c r="H64" i="24"/>
  <c r="I58" i="24"/>
  <c r="I25" i="24" s="1"/>
  <c r="E95" i="24"/>
  <c r="G9" i="24"/>
  <c r="I5" i="24"/>
  <c r="J58" i="24"/>
  <c r="J5" i="24" s="1"/>
  <c r="J95" i="24"/>
  <c r="G41" i="21" l="1"/>
  <c r="O41" i="21"/>
  <c r="J41" i="21"/>
  <c r="B25" i="21"/>
  <c r="F9" i="21"/>
  <c r="C9" i="21"/>
  <c r="AH7" i="21"/>
  <c r="AH9" i="21" s="1"/>
  <c r="J2" i="24"/>
  <c r="F5" i="21"/>
  <c r="I2" i="24"/>
  <c r="E5" i="21"/>
  <c r="E6" i="21" s="1"/>
  <c r="E34" i="21" s="1"/>
  <c r="F2" i="24"/>
  <c r="N9" i="24" s="1"/>
  <c r="B4" i="21"/>
  <c r="E4" i="24"/>
  <c r="J25" i="24"/>
  <c r="G64" i="24"/>
  <c r="H58" i="24"/>
  <c r="AC25" i="21" l="1"/>
  <c r="G42" i="21"/>
  <c r="J42" i="21"/>
  <c r="K42" i="21"/>
  <c r="O42" i="21"/>
  <c r="E41" i="21"/>
  <c r="N41" i="21"/>
  <c r="F41" i="21"/>
  <c r="L41" i="21"/>
  <c r="K41" i="21"/>
  <c r="T25" i="21"/>
  <c r="I41" i="21"/>
  <c r="H41" i="21"/>
  <c r="M41" i="21"/>
  <c r="AB25" i="21"/>
  <c r="H25" i="21"/>
  <c r="Q25" i="21"/>
  <c r="X25" i="21"/>
  <c r="L25" i="21"/>
  <c r="M25" i="21"/>
  <c r="P25" i="21"/>
  <c r="W25" i="21"/>
  <c r="S25" i="21"/>
  <c r="D25" i="21"/>
  <c r="N25" i="21"/>
  <c r="K25" i="21"/>
  <c r="U25" i="21"/>
  <c r="C25" i="21"/>
  <c r="AA25" i="21"/>
  <c r="I25" i="21"/>
  <c r="AD25" i="21"/>
  <c r="F25" i="21"/>
  <c r="O25" i="21"/>
  <c r="V25" i="21"/>
  <c r="G25" i="21"/>
  <c r="R25" i="21"/>
  <c r="E25" i="21"/>
  <c r="Z25" i="21"/>
  <c r="Y25" i="21"/>
  <c r="J25" i="21"/>
  <c r="F6" i="21"/>
  <c r="AF24" i="21" s="1"/>
  <c r="AF26" i="21" s="1"/>
  <c r="B6" i="21"/>
  <c r="AH4" i="21"/>
  <c r="G58" i="24"/>
  <c r="F64" i="24"/>
  <c r="H25" i="24"/>
  <c r="H5" i="24"/>
  <c r="I42" i="21" l="1"/>
  <c r="B34" i="21"/>
  <c r="H38" i="21"/>
  <c r="L38" i="21"/>
  <c r="F38" i="21"/>
  <c r="J38" i="21"/>
  <c r="C38" i="21"/>
  <c r="D38" i="21"/>
  <c r="G38" i="21"/>
  <c r="B38" i="21"/>
  <c r="I38" i="21"/>
  <c r="E38" i="21"/>
  <c r="K38" i="21"/>
  <c r="N42" i="21"/>
  <c r="L42" i="21"/>
  <c r="M42" i="21"/>
  <c r="H42" i="21"/>
  <c r="P42" i="21"/>
  <c r="F42" i="21"/>
  <c r="AH25" i="21"/>
  <c r="B24" i="21"/>
  <c r="B10" i="21"/>
  <c r="AG24" i="21"/>
  <c r="AG26" i="21" s="1"/>
  <c r="AG45" i="21" s="1"/>
  <c r="H2" i="24"/>
  <c r="D5" i="21"/>
  <c r="G25" i="24"/>
  <c r="G5" i="24"/>
  <c r="C5" i="21" s="1"/>
  <c r="E64" i="24"/>
  <c r="E58" i="24" s="1"/>
  <c r="E25" i="24" s="1"/>
  <c r="F58" i="24"/>
  <c r="F25" i="24" s="1"/>
  <c r="B12" i="21" l="1"/>
  <c r="B29" i="21" s="1"/>
  <c r="B44" i="21"/>
  <c r="B26" i="21"/>
  <c r="C6" i="21"/>
  <c r="D6" i="21"/>
  <c r="AH5" i="21"/>
  <c r="AH6" i="21" s="1"/>
  <c r="E5" i="24"/>
  <c r="E2" i="24" s="1"/>
  <c r="G2" i="24"/>
  <c r="D34" i="21" l="1"/>
  <c r="D24" i="21"/>
  <c r="I40" i="21"/>
  <c r="F40" i="21"/>
  <c r="M40" i="21"/>
  <c r="L40" i="21"/>
  <c r="G40" i="21"/>
  <c r="E40" i="21"/>
  <c r="J40" i="21"/>
  <c r="K40" i="21"/>
  <c r="N40" i="21"/>
  <c r="H40" i="21"/>
  <c r="D10" i="21"/>
  <c r="E10" i="21" s="1"/>
  <c r="F10" i="21" s="1"/>
  <c r="D40" i="21"/>
  <c r="D39" i="21"/>
  <c r="L39" i="21"/>
  <c r="E39" i="21"/>
  <c r="M39" i="21"/>
  <c r="I39" i="21"/>
  <c r="J39" i="21"/>
  <c r="K39" i="21"/>
  <c r="C34" i="21"/>
  <c r="F39" i="21"/>
  <c r="C39" i="21"/>
  <c r="G39" i="21"/>
  <c r="H39" i="21"/>
  <c r="C24" i="21"/>
  <c r="C10" i="21"/>
  <c r="B45" i="21"/>
  <c r="B16" i="21"/>
  <c r="AD24" i="21"/>
  <c r="AD26" i="21" s="1"/>
  <c r="G24" i="21"/>
  <c r="G26" i="21" s="1"/>
  <c r="H24" i="21"/>
  <c r="H26" i="21" s="1"/>
  <c r="D26" i="21"/>
  <c r="AE24" i="21"/>
  <c r="AE26" i="21" s="1"/>
  <c r="C26" i="21"/>
  <c r="AC24" i="21"/>
  <c r="AC26" i="21" s="1"/>
  <c r="AA24" i="21"/>
  <c r="AA26" i="21" s="1"/>
  <c r="U24" i="21"/>
  <c r="U26" i="21" s="1"/>
  <c r="O24" i="21"/>
  <c r="O26" i="21" s="1"/>
  <c r="M24" i="21"/>
  <c r="M26" i="21" s="1"/>
  <c r="K24" i="21"/>
  <c r="K26" i="21" s="1"/>
  <c r="E24" i="21"/>
  <c r="E26" i="21" s="1"/>
  <c r="N24" i="21"/>
  <c r="N26" i="21" s="1"/>
  <c r="X24" i="21"/>
  <c r="X26" i="21" s="1"/>
  <c r="R24" i="21"/>
  <c r="R26" i="21" s="1"/>
  <c r="Y24" i="21"/>
  <c r="Y26" i="21" s="1"/>
  <c r="AB24" i="21"/>
  <c r="AB26" i="21" s="1"/>
  <c r="S24" i="21"/>
  <c r="S26" i="21" s="1"/>
  <c r="Q24" i="21"/>
  <c r="Q26" i="21" s="1"/>
  <c r="Z24" i="21"/>
  <c r="Z26" i="21" s="1"/>
  <c r="T24" i="21"/>
  <c r="T26" i="21" s="1"/>
  <c r="V24" i="21"/>
  <c r="V26" i="21" s="1"/>
  <c r="W24" i="21"/>
  <c r="W26" i="21" s="1"/>
  <c r="I24" i="21"/>
  <c r="I26" i="21" s="1"/>
  <c r="F24" i="21"/>
  <c r="F26" i="21" s="1"/>
  <c r="P24" i="21"/>
  <c r="P26" i="21" s="1"/>
  <c r="J24" i="21"/>
  <c r="J26" i="21" s="1"/>
  <c r="L24" i="21"/>
  <c r="L26" i="21" s="1"/>
  <c r="AH10" i="21"/>
  <c r="AI10" i="21" s="1"/>
  <c r="T57" i="21"/>
  <c r="T58" i="21" s="1"/>
  <c r="S57" i="21"/>
  <c r="S58" i="21" s="1"/>
  <c r="R57" i="21"/>
  <c r="R58" i="21" s="1"/>
  <c r="Q57" i="21"/>
  <c r="Q58" i="21" s="1"/>
  <c r="P57" i="21"/>
  <c r="P58" i="21" s="1"/>
  <c r="O57" i="21"/>
  <c r="O58" i="21" s="1"/>
  <c r="N57" i="21"/>
  <c r="N58" i="21" s="1"/>
  <c r="M57" i="21"/>
  <c r="M58" i="21" s="1"/>
  <c r="L57" i="21"/>
  <c r="L58" i="21" s="1"/>
  <c r="K57" i="21"/>
  <c r="K58" i="21" s="1"/>
  <c r="J57" i="21"/>
  <c r="J58" i="21" s="1"/>
  <c r="I57" i="21"/>
  <c r="I58" i="21" s="1"/>
  <c r="H57" i="21"/>
  <c r="H58" i="21" s="1"/>
  <c r="T44" i="21"/>
  <c r="S44" i="21"/>
  <c r="R44" i="21"/>
  <c r="G10" i="21" l="1"/>
  <c r="H10" i="21" s="1"/>
  <c r="F29" i="21"/>
  <c r="C16" i="21"/>
  <c r="AH24" i="21"/>
  <c r="AH26" i="21" s="1"/>
  <c r="AH12" i="21"/>
  <c r="AI26" i="21" s="1"/>
  <c r="D50" i="21"/>
  <c r="C50" i="21"/>
  <c r="B50" i="21"/>
  <c r="I10" i="21" l="1"/>
  <c r="H12" i="21"/>
  <c r="H29" i="21" s="1"/>
  <c r="D16" i="21"/>
  <c r="D53" i="21"/>
  <c r="F55" i="21"/>
  <c r="B51" i="21"/>
  <c r="B57" i="21" s="1"/>
  <c r="B58" i="21" s="1"/>
  <c r="E54" i="21"/>
  <c r="E53" i="21"/>
  <c r="G55" i="21"/>
  <c r="D52" i="21"/>
  <c r="E52" i="21"/>
  <c r="F54" i="21"/>
  <c r="C52" i="21"/>
  <c r="C51" i="21"/>
  <c r="H55" i="21"/>
  <c r="G54" i="21"/>
  <c r="D51" i="21"/>
  <c r="F53" i="21"/>
  <c r="G30" i="21"/>
  <c r="H30" i="21" s="1"/>
  <c r="I30" i="21" s="1"/>
  <c r="J30" i="21" s="1"/>
  <c r="K30" i="21" s="1"/>
  <c r="L30" i="21" s="1"/>
  <c r="M30" i="21" s="1"/>
  <c r="N30" i="21" s="1"/>
  <c r="O30" i="21" s="1"/>
  <c r="P30" i="21" s="1"/>
  <c r="Q30" i="21" s="1"/>
  <c r="R30" i="21" s="1"/>
  <c r="S30" i="21" s="1"/>
  <c r="T30" i="21" s="1"/>
  <c r="U30" i="21" s="1"/>
  <c r="V30" i="21" s="1"/>
  <c r="W30" i="21" s="1"/>
  <c r="X30" i="21" s="1"/>
  <c r="Y30" i="21" s="1"/>
  <c r="Z30" i="21" s="1"/>
  <c r="AA30" i="21" s="1"/>
  <c r="AB30" i="21" s="1"/>
  <c r="AC30" i="21" s="1"/>
  <c r="AD30" i="21" s="1"/>
  <c r="Q44" i="21"/>
  <c r="P44" i="21"/>
  <c r="J10" i="21" l="1"/>
  <c r="I12" i="21"/>
  <c r="I29" i="21" s="1"/>
  <c r="E16" i="21"/>
  <c r="AE30" i="21"/>
  <c r="F57" i="21"/>
  <c r="F58" i="21" s="1"/>
  <c r="G57" i="21"/>
  <c r="G58" i="21" s="1"/>
  <c r="E57" i="21"/>
  <c r="E58" i="21" s="1"/>
  <c r="D57" i="21"/>
  <c r="D58" i="21" s="1"/>
  <c r="C57" i="21"/>
  <c r="C58" i="21" s="1"/>
  <c r="K10" i="21" l="1"/>
  <c r="J12" i="21"/>
  <c r="J29" i="21" s="1"/>
  <c r="F16" i="21"/>
  <c r="AF30" i="21"/>
  <c r="O44" i="21"/>
  <c r="B15" i="21"/>
  <c r="C12" i="21"/>
  <c r="N44" i="21"/>
  <c r="AH57" i="21"/>
  <c r="AI57" i="21" s="1"/>
  <c r="B59" i="21"/>
  <c r="C59" i="21" s="1"/>
  <c r="D59" i="21" s="1"/>
  <c r="L10" i="21" l="1"/>
  <c r="K12" i="21"/>
  <c r="K29" i="21" s="1"/>
  <c r="C15" i="21"/>
  <c r="C29" i="21"/>
  <c r="G16" i="21"/>
  <c r="F15" i="21"/>
  <c r="AG30" i="21"/>
  <c r="B46" i="21"/>
  <c r="E59" i="21"/>
  <c r="F59" i="21" s="1"/>
  <c r="G59" i="21" s="1"/>
  <c r="H59" i="21" s="1"/>
  <c r="I59" i="21" s="1"/>
  <c r="J59" i="21" s="1"/>
  <c r="K59" i="21" s="1"/>
  <c r="L59" i="21" s="1"/>
  <c r="M59" i="21" s="1"/>
  <c r="N59" i="21" s="1"/>
  <c r="O59" i="21" s="1"/>
  <c r="P59" i="21" s="1"/>
  <c r="Q59" i="21" s="1"/>
  <c r="R59" i="21" s="1"/>
  <c r="S59" i="21" s="1"/>
  <c r="T59" i="21" s="1"/>
  <c r="D12" i="21"/>
  <c r="AH58" i="21"/>
  <c r="M44" i="21"/>
  <c r="M10" i="21" l="1"/>
  <c r="L12" i="21"/>
  <c r="L29" i="21" s="1"/>
  <c r="D15" i="21"/>
  <c r="D29" i="21"/>
  <c r="H16" i="21"/>
  <c r="E12" i="21"/>
  <c r="N10" i="21" l="1"/>
  <c r="M12" i="21"/>
  <c r="M29" i="21" s="1"/>
  <c r="E15" i="21"/>
  <c r="E29" i="21"/>
  <c r="I16" i="21"/>
  <c r="H15" i="21"/>
  <c r="G12" i="21"/>
  <c r="D44" i="21"/>
  <c r="D45" i="21" s="1"/>
  <c r="K44" i="21"/>
  <c r="J44" i="21"/>
  <c r="F44" i="21"/>
  <c r="F45" i="21" s="1"/>
  <c r="E44" i="21"/>
  <c r="E45" i="21" s="1"/>
  <c r="C44" i="21"/>
  <c r="C45" i="21" s="1"/>
  <c r="G44" i="21"/>
  <c r="G45" i="21" s="1"/>
  <c r="I44" i="21"/>
  <c r="H44" i="21"/>
  <c r="H45" i="21" s="1"/>
  <c r="O10" i="21" l="1"/>
  <c r="N12" i="21"/>
  <c r="N29" i="21" s="1"/>
  <c r="G15" i="21"/>
  <c r="G29" i="21"/>
  <c r="J16" i="21"/>
  <c r="I15" i="21"/>
  <c r="L44" i="21"/>
  <c r="B17" i="21"/>
  <c r="P10" i="21" l="1"/>
  <c r="O12" i="21"/>
  <c r="O29" i="21" s="1"/>
  <c r="K16" i="21"/>
  <c r="J15" i="21"/>
  <c r="I45" i="21"/>
  <c r="AH44" i="21"/>
  <c r="B18" i="21"/>
  <c r="C46" i="21"/>
  <c r="Q10" i="21" l="1"/>
  <c r="P12" i="21"/>
  <c r="P29" i="21" s="1"/>
  <c r="L16" i="21"/>
  <c r="K15" i="21"/>
  <c r="J45" i="21"/>
  <c r="B20" i="21"/>
  <c r="C17" i="21"/>
  <c r="C18" i="21" s="1"/>
  <c r="D46" i="21"/>
  <c r="R10" i="21" l="1"/>
  <c r="Q12" i="21"/>
  <c r="Q29" i="21" s="1"/>
  <c r="E46" i="21"/>
  <c r="F46" i="21" s="1"/>
  <c r="G46" i="21" s="1"/>
  <c r="G17" i="21" s="1"/>
  <c r="G18" i="21" s="1"/>
  <c r="D17" i="21"/>
  <c r="D18" i="21" s="1"/>
  <c r="M16" i="21"/>
  <c r="L15" i="21"/>
  <c r="K45" i="21"/>
  <c r="C20" i="21"/>
  <c r="S10" i="21" l="1"/>
  <c r="R12" i="21"/>
  <c r="R29" i="21" s="1"/>
  <c r="E17" i="21"/>
  <c r="E18" i="21" s="1"/>
  <c r="E20" i="21" s="1"/>
  <c r="H46" i="21"/>
  <c r="I46" i="21" s="1"/>
  <c r="J46" i="21" s="1"/>
  <c r="K46" i="21" s="1"/>
  <c r="N16" i="21"/>
  <c r="M15" i="21"/>
  <c r="L45" i="21"/>
  <c r="D20" i="21"/>
  <c r="F17" i="21"/>
  <c r="F18" i="21" s="1"/>
  <c r="G20" i="21" s="1"/>
  <c r="T10" i="21" l="1"/>
  <c r="S12" i="21"/>
  <c r="S29" i="21" s="1"/>
  <c r="O16" i="21"/>
  <c r="N15" i="21"/>
  <c r="M45" i="21"/>
  <c r="L46" i="21"/>
  <c r="F20" i="21"/>
  <c r="U10" i="21" l="1"/>
  <c r="T12" i="21"/>
  <c r="T29" i="21" s="1"/>
  <c r="P16" i="21"/>
  <c r="O15" i="21"/>
  <c r="M46" i="21"/>
  <c r="N45" i="21"/>
  <c r="H17" i="21"/>
  <c r="H18" i="21" s="1"/>
  <c r="V10" i="21" l="1"/>
  <c r="U12" i="21"/>
  <c r="U29" i="21" s="1"/>
  <c r="Q16" i="21"/>
  <c r="P15" i="21"/>
  <c r="N46" i="21"/>
  <c r="O45" i="21"/>
  <c r="H20" i="21"/>
  <c r="I17" i="21"/>
  <c r="I18" i="21" s="1"/>
  <c r="I20" i="21" s="1"/>
  <c r="W10" i="21" l="1"/>
  <c r="V12" i="21"/>
  <c r="V29" i="21" s="1"/>
  <c r="R16" i="21"/>
  <c r="Q15" i="21"/>
  <c r="O46" i="21"/>
  <c r="P45" i="21"/>
  <c r="J17" i="21"/>
  <c r="J18" i="21" s="1"/>
  <c r="X10" i="21" l="1"/>
  <c r="W12" i="21"/>
  <c r="W29" i="21" s="1"/>
  <c r="S16" i="21"/>
  <c r="R15" i="21"/>
  <c r="P46" i="21"/>
  <c r="Q45" i="21"/>
  <c r="J20" i="21"/>
  <c r="K17" i="21"/>
  <c r="K18" i="21" s="1"/>
  <c r="Y10" i="21" l="1"/>
  <c r="X12" i="21"/>
  <c r="X29" i="21" s="1"/>
  <c r="T16" i="21"/>
  <c r="S15" i="21"/>
  <c r="Q46" i="21"/>
  <c r="R45" i="21"/>
  <c r="K20" i="21"/>
  <c r="L17" i="21"/>
  <c r="L18" i="21" s="1"/>
  <c r="Z10" i="21" l="1"/>
  <c r="Y12" i="21"/>
  <c r="Y29" i="21" s="1"/>
  <c r="T15" i="21"/>
  <c r="U16" i="21"/>
  <c r="R46" i="21"/>
  <c r="S45" i="21"/>
  <c r="L20" i="21"/>
  <c r="M17" i="21"/>
  <c r="M18" i="21" s="1"/>
  <c r="M20" i="21" s="1"/>
  <c r="AA10" i="21" l="1"/>
  <c r="Z12" i="21"/>
  <c r="Z29" i="21" s="1"/>
  <c r="V16" i="21"/>
  <c r="U15" i="21"/>
  <c r="S46" i="21"/>
  <c r="S17" i="21" s="1"/>
  <c r="T45" i="21"/>
  <c r="N17" i="21"/>
  <c r="N18" i="21" s="1"/>
  <c r="N20" i="21" s="1"/>
  <c r="AB10" i="21" l="1"/>
  <c r="AA12" i="21"/>
  <c r="AA29" i="21" s="1"/>
  <c r="V15" i="21"/>
  <c r="W16" i="21"/>
  <c r="T46" i="21"/>
  <c r="T17" i="21" s="1"/>
  <c r="U45" i="21"/>
  <c r="O17" i="21"/>
  <c r="O18" i="21" s="1"/>
  <c r="O20" i="21" s="1"/>
  <c r="AC10" i="21" l="1"/>
  <c r="AB12" i="21"/>
  <c r="AB29" i="21" s="1"/>
  <c r="X16" i="21"/>
  <c r="W15" i="21"/>
  <c r="U46" i="21"/>
  <c r="U17" i="21" s="1"/>
  <c r="V45" i="21"/>
  <c r="AI44" i="21"/>
  <c r="P17" i="21"/>
  <c r="P18" i="21" s="1"/>
  <c r="P20" i="21" s="1"/>
  <c r="AD10" i="21" l="1"/>
  <c r="AC12" i="21"/>
  <c r="AC29" i="21" s="1"/>
  <c r="Y16" i="21"/>
  <c r="X15" i="21"/>
  <c r="V46" i="21"/>
  <c r="V17" i="21" s="1"/>
  <c r="W45" i="21"/>
  <c r="T18" i="21"/>
  <c r="S18" i="21"/>
  <c r="Q17" i="21"/>
  <c r="Q18" i="21" s="1"/>
  <c r="AE10" i="21" l="1"/>
  <c r="AD12" i="21"/>
  <c r="AD29" i="21" s="1"/>
  <c r="Z16" i="21"/>
  <c r="Y15" i="21"/>
  <c r="W46" i="21"/>
  <c r="W17" i="21" s="1"/>
  <c r="X45" i="21"/>
  <c r="T20" i="21"/>
  <c r="Q20" i="21"/>
  <c r="U18" i="21"/>
  <c r="R17" i="21"/>
  <c r="R18" i="21" s="1"/>
  <c r="S20" i="21" s="1"/>
  <c r="B32" i="21"/>
  <c r="F17" i="27" s="1"/>
  <c r="AF10" i="21" l="1"/>
  <c r="AE12" i="21"/>
  <c r="AE29" i="21" s="1"/>
  <c r="AA16" i="21"/>
  <c r="Z15" i="21"/>
  <c r="X46" i="21"/>
  <c r="X17" i="21" s="1"/>
  <c r="Y45" i="21"/>
  <c r="U20" i="21"/>
  <c r="U32" i="21" s="1"/>
  <c r="R20" i="21"/>
  <c r="R32" i="21" s="1"/>
  <c r="V18" i="21"/>
  <c r="K17" i="27"/>
  <c r="H22" i="27" s="1"/>
  <c r="F38" i="27"/>
  <c r="K38" i="27" s="1"/>
  <c r="H43" i="27" s="1"/>
  <c r="I32" i="21"/>
  <c r="P32" i="21"/>
  <c r="H32" i="21"/>
  <c r="Q32" i="21"/>
  <c r="N32" i="21"/>
  <c r="F32" i="21"/>
  <c r="M32" i="21"/>
  <c r="E32" i="21"/>
  <c r="O32" i="21"/>
  <c r="T32" i="21"/>
  <c r="D32" i="21"/>
  <c r="C32" i="21"/>
  <c r="G32" i="21"/>
  <c r="L32" i="21"/>
  <c r="S32" i="21"/>
  <c r="K32" i="21"/>
  <c r="J32" i="21"/>
  <c r="AG10" i="21" l="1"/>
  <c r="AG12" i="21" s="1"/>
  <c r="AG29" i="21" s="1"/>
  <c r="AF12" i="21"/>
  <c r="AF29" i="21" s="1"/>
  <c r="AA15" i="21"/>
  <c r="AB16" i="21"/>
  <c r="Y46" i="21"/>
  <c r="Y17" i="21" s="1"/>
  <c r="Z45" i="21"/>
  <c r="V20" i="21"/>
  <c r="V32" i="21" s="1"/>
  <c r="W18" i="21"/>
  <c r="F19" i="26"/>
  <c r="H19" i="26" s="1"/>
  <c r="K43" i="27"/>
  <c r="K22" i="27"/>
  <c r="F15" i="26"/>
  <c r="H16" i="26" s="1"/>
  <c r="AC16" i="21" l="1"/>
  <c r="AB15" i="21"/>
  <c r="Z46" i="21"/>
  <c r="Z17" i="21" s="1"/>
  <c r="AA45" i="21"/>
  <c r="W20" i="21"/>
  <c r="W32" i="21" s="1"/>
  <c r="X18" i="21"/>
  <c r="AD16" i="21" l="1"/>
  <c r="AC15" i="21"/>
  <c r="AA46" i="21"/>
  <c r="AA17" i="21" s="1"/>
  <c r="AB45" i="21"/>
  <c r="X20" i="21"/>
  <c r="X32" i="21" s="1"/>
  <c r="Y18" i="21"/>
  <c r="AB46" i="21" l="1"/>
  <c r="AB17" i="21" s="1"/>
  <c r="AE16" i="21"/>
  <c r="AD15" i="21"/>
  <c r="AC45" i="21"/>
  <c r="Y20" i="21"/>
  <c r="Y32" i="21" s="1"/>
  <c r="Z18" i="21"/>
  <c r="AC46" i="21" l="1"/>
  <c r="AC17" i="21" s="1"/>
  <c r="AF16" i="21"/>
  <c r="AE15" i="21"/>
  <c r="AD45" i="21"/>
  <c r="Z20" i="21"/>
  <c r="Z32" i="21" s="1"/>
  <c r="AA18" i="21"/>
  <c r="AD46" i="21" l="1"/>
  <c r="AD17" i="21" s="1"/>
  <c r="AF15" i="21"/>
  <c r="AG16" i="21"/>
  <c r="AE45" i="21"/>
  <c r="AE46" i="21" s="1"/>
  <c r="AE17" i="21" s="1"/>
  <c r="AA20" i="21"/>
  <c r="AA32" i="21" s="1"/>
  <c r="AB18" i="21"/>
  <c r="AG15" i="21" l="1"/>
  <c r="AH15" i="21" s="1"/>
  <c r="AH16" i="21"/>
  <c r="AF45" i="21"/>
  <c r="AF46" i="21" s="1"/>
  <c r="AF17" i="21" s="1"/>
  <c r="AB20" i="21"/>
  <c r="AB32" i="21" s="1"/>
  <c r="AC18" i="21"/>
  <c r="AC20" i="21" l="1"/>
  <c r="AC32" i="21" s="1"/>
  <c r="AD18" i="21"/>
  <c r="AH45" i="21" l="1"/>
  <c r="AG46" i="21"/>
  <c r="AD20" i="21"/>
  <c r="AD32" i="21" s="1"/>
  <c r="AE18" i="21"/>
  <c r="AG17" i="21" l="1"/>
  <c r="AH17" i="21" s="1"/>
  <c r="AE20" i="21"/>
  <c r="AE32" i="21" s="1"/>
  <c r="AF18" i="21"/>
  <c r="AF20" i="21" l="1"/>
  <c r="AF32" i="21" s="1"/>
  <c r="AG18" i="21"/>
  <c r="AG20" i="21" l="1"/>
  <c r="AG32" i="21" s="1"/>
  <c r="AH18" i="21"/>
</calcChain>
</file>

<file path=xl/sharedStrings.xml><?xml version="1.0" encoding="utf-8"?>
<sst xmlns="http://schemas.openxmlformats.org/spreadsheetml/2006/main" count="728" uniqueCount="429">
  <si>
    <t>Capital</t>
  </si>
  <si>
    <t>Cost</t>
  </si>
  <si>
    <t>O&amp;M</t>
  </si>
  <si>
    <t>Total</t>
  </si>
  <si>
    <t>Accumulated Depreciation</t>
  </si>
  <si>
    <t>ADFIT</t>
  </si>
  <si>
    <t>Rate Base</t>
  </si>
  <si>
    <t>Return on Rate Base</t>
  </si>
  <si>
    <t>Other O&amp;M</t>
  </si>
  <si>
    <t>Tax Depreciation Year</t>
  </si>
  <si>
    <t>Tax Depreciation Rates =</t>
  </si>
  <si>
    <t>Capital Year = 2024</t>
  </si>
  <si>
    <t>Capital Year = 2025</t>
  </si>
  <si>
    <t>Annual Tax Depreciation Expense</t>
  </si>
  <si>
    <t>Annual Deferred Tax Expense</t>
  </si>
  <si>
    <t>Accumulated DIT</t>
  </si>
  <si>
    <t>Gross Intangible Plant In Service</t>
  </si>
  <si>
    <t>Total Gross Plant</t>
  </si>
  <si>
    <t>Total Depreciation Expense</t>
  </si>
  <si>
    <t>Intangible Plant - 3 Yr SL</t>
  </si>
  <si>
    <t>Check</t>
  </si>
  <si>
    <t>RS</t>
  </si>
  <si>
    <t>MW</t>
  </si>
  <si>
    <t>OL</t>
  </si>
  <si>
    <t>SL</t>
  </si>
  <si>
    <t>Rate</t>
  </si>
  <si>
    <t>KENTUCKY POWER COMPANY</t>
  </si>
  <si>
    <t>SECTION V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</si>
  <si>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</si>
  <si>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</si>
  <si>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</si>
  <si>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</si>
  <si>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</si>
  <si>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</si>
  <si>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</si>
  <si>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</si>
  <si>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Average</t>
  </si>
  <si>
    <t>Line</t>
  </si>
  <si>
    <t>Jurisdictional</t>
  </si>
  <si>
    <t>of</t>
  </si>
  <si>
    <t xml:space="preserve">Pre -Tax </t>
  </si>
  <si>
    <t>No.</t>
  </si>
  <si>
    <t>Description</t>
  </si>
  <si>
    <t>Capital   1/</t>
  </si>
  <si>
    <t>Percent</t>
  </si>
  <si>
    <t>WACC</t>
  </si>
  <si>
    <t>(6) = (4) X (5)</t>
  </si>
  <si>
    <t xml:space="preserve">GRCF </t>
  </si>
  <si>
    <t>Long Term Debt</t>
  </si>
  <si>
    <t>2/</t>
  </si>
  <si>
    <t>Short Term Debt</t>
  </si>
  <si>
    <t>3/</t>
  </si>
  <si>
    <t>Common Equity</t>
  </si>
  <si>
    <t>-------------------</t>
  </si>
  <si>
    <t>==========</t>
  </si>
  <si>
    <t>1/</t>
  </si>
  <si>
    <t>4/</t>
  </si>
  <si>
    <t>Full GRCF</t>
  </si>
  <si>
    <t>Maint Fee &amp; Uncollectible</t>
  </si>
  <si>
    <t>Property Tax Expense</t>
  </si>
  <si>
    <t>District</t>
  </si>
  <si>
    <t>5 yr Estimate</t>
  </si>
  <si>
    <t>2024</t>
  </si>
  <si>
    <t>2025</t>
  </si>
  <si>
    <t>2026</t>
  </si>
  <si>
    <t>2027</t>
  </si>
  <si>
    <t>2028</t>
  </si>
  <si>
    <t>Total DRR Projects</t>
  </si>
  <si>
    <t>TOR Enhanced ROW Widening</t>
  </si>
  <si>
    <t>Additional Tie Lines</t>
  </si>
  <si>
    <t>DACR Projects and Recloser Modernization</t>
  </si>
  <si>
    <t>Additional New Distribution Substation Sources</t>
  </si>
  <si>
    <t>Asset Renewal/Storm Hardening or Resiliency</t>
  </si>
  <si>
    <t xml:space="preserve">Additional Tie Lines (List of Larger Projects)  </t>
  </si>
  <si>
    <t>Additional Tie Lines - Ashland</t>
  </si>
  <si>
    <t>Sub-total</t>
  </si>
  <si>
    <t>Hayward Haldeman to Olive Hill Globe along Trumbo Rd and Hwy60</t>
  </si>
  <si>
    <t>Ashland</t>
  </si>
  <si>
    <t>Additional Tie Lines- Hazard</t>
  </si>
  <si>
    <t>Talcum - Dline 12m 34.5kV Conversion for ties to Beckham Hindman and Haddix Troublesome Cr.</t>
  </si>
  <si>
    <t>Hazard</t>
  </si>
  <si>
    <t>Various Smaller Rural Ties</t>
  </si>
  <si>
    <t>Additional Tie Lines - Pikeville</t>
  </si>
  <si>
    <t>Johns Creek - Coleman Calloway Tie</t>
  </si>
  <si>
    <t>Pikeville</t>
  </si>
  <si>
    <t>DACR/Recloser Moderization - Total</t>
  </si>
  <si>
    <t>DACR - Ashland</t>
  </si>
  <si>
    <t>Hayward - Lawton</t>
  </si>
  <si>
    <t>OliveHill - Globe</t>
  </si>
  <si>
    <t>Princess - US Cannonsburg</t>
  </si>
  <si>
    <t>Hitchins - Denton</t>
  </si>
  <si>
    <t>Hitchins - Grayson</t>
  </si>
  <si>
    <t>Hitchins - EK Road</t>
  </si>
  <si>
    <t>Grayson - Landsdown</t>
  </si>
  <si>
    <t>Grayson - Dixie Park</t>
  </si>
  <si>
    <t>DACR - Hazard</t>
  </si>
  <si>
    <t>Subtotal</t>
  </si>
  <si>
    <t>BECKHAM - CARR CREEK</t>
  </si>
  <si>
    <t>VICCO - REDFOX</t>
  </si>
  <si>
    <t>SOFT SHELL - VEST</t>
  </si>
  <si>
    <t>SOFT SHELL - LEBURN</t>
  </si>
  <si>
    <t>COLLIER - UPPER ROCKHOUSE</t>
  </si>
  <si>
    <t>COLLIER - LOWER ROCKHOUSE</t>
  </si>
  <si>
    <t>REEDY - DEANE</t>
  </si>
  <si>
    <t>BECKHAM - HINDMAN</t>
  </si>
  <si>
    <t>TALCUM - CIRCUIT 1</t>
  </si>
  <si>
    <t>BLUEGRASS - WALKERTOWN</t>
  </si>
  <si>
    <t>BLUEGRASS - HAZARD</t>
  </si>
  <si>
    <t>COMBS - AIRPORT GARDENS</t>
  </si>
  <si>
    <t>HAZARD - HAZARD</t>
  </si>
  <si>
    <t>BULAN - ARY-HEINER</t>
  </si>
  <si>
    <t>BULAN - AJAX-DWARF</t>
  </si>
  <si>
    <t>BULAN - LOTTS CR.</t>
  </si>
  <si>
    <t>JACKSON - S.JACKSON</t>
  </si>
  <si>
    <t>JACKSON - PANBOWL</t>
  </si>
  <si>
    <t>DACR - Pikeville</t>
  </si>
  <si>
    <t>ELWOOD -DORTON</t>
  </si>
  <si>
    <t>ELWOOD - VIRGIE - IN</t>
  </si>
  <si>
    <t>FORDSBRANCH - ROBINSON CR.</t>
  </si>
  <si>
    <t>TOMWATKIN - DISTRIBUTION</t>
  </si>
  <si>
    <t>SIDNEY - COBURN MTN.</t>
  </si>
  <si>
    <t>FALCON - FALCO OIL SPRINGS</t>
  </si>
  <si>
    <t>FALCON - BURNING FK.</t>
  </si>
  <si>
    <t>INDEX - WEST LIBERTY</t>
  </si>
  <si>
    <t>INDEX - HOSPITAL</t>
  </si>
  <si>
    <t>W.PAINTSVILLE - PAINTSVILLE</t>
  </si>
  <si>
    <t>W.PAINTSVILLE - STAFFORDSVILLE</t>
  </si>
  <si>
    <t>W.PAINTSVILLE - PLAZA</t>
  </si>
  <si>
    <t>KENWOOD</t>
  </si>
  <si>
    <t>KENWOOD - AUXIER</t>
  </si>
  <si>
    <t>KENWOOD - HAGERHILL</t>
  </si>
  <si>
    <t>MAYO TRAIL - NIPPA</t>
  </si>
  <si>
    <t>MAYO TRAIL - EUCLID</t>
  </si>
  <si>
    <t>KIMPER - GRAPEVINE</t>
  </si>
  <si>
    <t>FISHTRAP - DISTRIBUTION</t>
  </si>
  <si>
    <t>KEYSER - STONECOAL</t>
  </si>
  <si>
    <t>PIKEVILLE - CITY</t>
  </si>
  <si>
    <t>PIKEVILLE - MAIN ST.</t>
  </si>
  <si>
    <t>PIKEVILLE - CEDAR CR.</t>
  </si>
  <si>
    <t>S.PIKEVILL - PIKEVILLE</t>
  </si>
  <si>
    <t>S.PIKEVILLE - ISLAND CR.</t>
  </si>
  <si>
    <t>S.PIKEVILLE - HOSPITAL</t>
  </si>
  <si>
    <t>BELFRY - BELFRY</t>
  </si>
  <si>
    <t>BELFRY - TOLER</t>
  </si>
  <si>
    <t>NEW CAMP - SOUTH SIDE</t>
  </si>
  <si>
    <t>MCKINNEY - GIBSON</t>
  </si>
  <si>
    <t>SALISBURY - PRINTER</t>
  </si>
  <si>
    <t>ALLEN - DISTRIBUTION</t>
  </si>
  <si>
    <t>BETSYLAYNE _ TRAM</t>
  </si>
  <si>
    <t>Recloser Modernization</t>
  </si>
  <si>
    <t xml:space="preserve"> Subtotal</t>
  </si>
  <si>
    <t>Additional New Substation Projects - Total</t>
  </si>
  <si>
    <t>Substation Projects - Ashland</t>
  </si>
  <si>
    <t>Grays Br.-Increase Bank Size to 20MVA (2) Breakers</t>
  </si>
  <si>
    <t xml:space="preserve">Ramey Sta. - Relieve loading Howard Collins\ Mobile Issue </t>
  </si>
  <si>
    <t>Ramey Sta. - D line Exits</t>
  </si>
  <si>
    <t>RT. 645 Station Near Lawrence Co. Martin Co. Line (2030 -2031)</t>
  </si>
  <si>
    <t>Substation Projects - Hazard</t>
  </si>
  <si>
    <t>Talcum - Land</t>
  </si>
  <si>
    <t>Talcum - New Station</t>
  </si>
  <si>
    <t>Substation Projects - Pikeville</t>
  </si>
  <si>
    <t>Dorton 34kV Distribution Bank</t>
  </si>
  <si>
    <t>Dorton 34kV to Elwood (Future Myra) 18kFT Rebuild</t>
  </si>
  <si>
    <t>Stone 12kV Distribution Bank with 3-12kV CBs and Circuit Ties</t>
  </si>
  <si>
    <t>Tom Watkins - purchase addl property</t>
  </si>
  <si>
    <t>Asset Renewal/Storm Hardening/Resiliency-Total</t>
  </si>
  <si>
    <t xml:space="preserve"> </t>
  </si>
  <si>
    <t>TEST YEAR ENDED MARCH 31, 2023</t>
  </si>
  <si>
    <t>Distribution Plant - 10 Yr MACRS half yr conv</t>
  </si>
  <si>
    <t>Kentucky Power Revenue Detail</t>
  </si>
  <si>
    <t>Residential</t>
  </si>
  <si>
    <t>All Other (C&amp;I)</t>
  </si>
  <si>
    <t>Page 1 of 2</t>
  </si>
  <si>
    <t>Summary</t>
  </si>
  <si>
    <t>Year Ended:</t>
  </si>
  <si>
    <t>Month, Day, Year</t>
  </si>
  <si>
    <t>=</t>
  </si>
  <si>
    <t>Effective Date for Billing</t>
  </si>
  <si>
    <t>Submitted by:</t>
  </si>
  <si>
    <t>/s/ Brian K. West</t>
  </si>
  <si>
    <t>(Signature)</t>
  </si>
  <si>
    <t>Title:</t>
  </si>
  <si>
    <t>Vice President Regulatory &amp; Finance</t>
  </si>
  <si>
    <t>Date Submitted:</t>
  </si>
  <si>
    <t>Page 2 of 2</t>
  </si>
  <si>
    <t>Residential Adjustment Factor</t>
  </si>
  <si>
    <t>A.</t>
  </si>
  <si>
    <t>Base Residential Allocation</t>
  </si>
  <si>
    <t>x</t>
  </si>
  <si>
    <t>*</t>
  </si>
  <si>
    <t>B.</t>
  </si>
  <si>
    <t xml:space="preserve">Adjustment Factor </t>
  </si>
  <si>
    <t>NRA (from A above)</t>
  </si>
  <si>
    <t>All Other Adjustment Factor</t>
  </si>
  <si>
    <t>C.</t>
  </si>
  <si>
    <t>Base All Other Allocation</t>
  </si>
  <si>
    <t>D.</t>
  </si>
  <si>
    <t>NOA (from A above)</t>
  </si>
  <si>
    <t>Distribution Reliability Rider</t>
  </si>
  <si>
    <t>Residential D.R.R. Adjustment Factor</t>
  </si>
  <si>
    <t>All Other Classes D.R.R. Adjustment Factor</t>
  </si>
  <si>
    <t>Kentucky Power Company</t>
  </si>
  <si>
    <t>Calculation of Customer Allocators</t>
  </si>
  <si>
    <t>For the Twelve Months Ended March 31, 2023</t>
  </si>
  <si>
    <t>Primary Voltage</t>
  </si>
  <si>
    <t>Secondary Voltage</t>
  </si>
  <si>
    <t>Total Customers</t>
  </si>
  <si>
    <t>Customers</t>
  </si>
  <si>
    <t>TOTCUST</t>
  </si>
  <si>
    <t>PRICUST</t>
  </si>
  <si>
    <t>SECCUST</t>
  </si>
  <si>
    <t>GS SEC</t>
  </si>
  <si>
    <t>GS PRI</t>
  </si>
  <si>
    <t>GS SUB</t>
  </si>
  <si>
    <t>LGS SEC</t>
  </si>
  <si>
    <t>LGS PRI</t>
  </si>
  <si>
    <t>LGS SUB</t>
  </si>
  <si>
    <t>LGS TRAN</t>
  </si>
  <si>
    <t>IGS SEC</t>
  </si>
  <si>
    <t>IGS PRI</t>
  </si>
  <si>
    <t>IGS SUB</t>
  </si>
  <si>
    <t>IGS TRAN</t>
  </si>
  <si>
    <t>PS SEC</t>
  </si>
  <si>
    <t>PS PRI</t>
  </si>
  <si>
    <t>Total excl. Lighting</t>
  </si>
  <si>
    <t>Residential Bills</t>
  </si>
  <si>
    <t>All Other Bills</t>
  </si>
  <si>
    <t>TARIFF SUMMARY REVENUE - ALL REVENUE CLASSES</t>
  </si>
  <si>
    <t xml:space="preserve">
															</t>
  </si>
  <si>
    <t>American Electric Power</t>
  </si>
  <si>
    <t>12 MONTHS BILLED AND ACCRUED - MCSR0162 - FINAL</t>
  </si>
  <si>
    <t>Prepared:</t>
  </si>
  <si>
    <r>
      <rPr>
        <b/>
        <sz val="8"/>
        <color rgb="FF222222"/>
        <rFont val="Andale WT"/>
        <family val="2"/>
      </rPr>
      <t>01/08/2023</t>
    </r>
    <r>
      <rPr>
        <sz val="10"/>
        <color rgb="FF222222"/>
        <rFont val="Andale WT"/>
        <family val="2"/>
      </rPr>
      <t xml:space="preserve"> </t>
    </r>
    <r>
      <rPr>
        <b/>
        <sz val="8"/>
        <color rgb="FF222222"/>
        <rFont val="Andale WT"/>
        <family val="2"/>
      </rPr>
      <t>01:02:18 AM</t>
    </r>
  </si>
  <si>
    <t>Go To TOC</t>
  </si>
  <si>
    <t>December 2022</t>
  </si>
  <si>
    <t>Realization</t>
  </si>
  <si>
    <t>Tariff</t>
  </si>
  <si>
    <t>Revenue</t>
  </si>
  <si>
    <t>Fuel Clause</t>
  </si>
  <si>
    <t>Revenue Excl Fuel Clause</t>
  </si>
  <si>
    <t>Metered KWH</t>
  </si>
  <si>
    <t>Off Pk KWH</t>
  </si>
  <si>
    <t>Billing Demand</t>
  </si>
  <si>
    <t># Of Cust Incl</t>
  </si>
  <si>
    <t># Of Cust Excl</t>
  </si>
  <si>
    <t># Of Lamps</t>
  </si>
  <si>
    <t>Incl Fuel</t>
  </si>
  <si>
    <t>Excl Fuel</t>
  </si>
  <si>
    <t>Facility Charge</t>
  </si>
  <si>
    <t xml:space="preserve">RSW-LMWH </t>
  </si>
  <si>
    <t xml:space="preserve">RSW-A    </t>
  </si>
  <si>
    <t xml:space="preserve">RSW-B    </t>
  </si>
  <si>
    <t xml:space="preserve">RSW-C    </t>
  </si>
  <si>
    <t xml:space="preserve">RS       </t>
  </si>
  <si>
    <t xml:space="preserve">RS EMP   </t>
  </si>
  <si>
    <t xml:space="preserve">RSW-RS   </t>
  </si>
  <si>
    <t>AORH-W ON</t>
  </si>
  <si>
    <t xml:space="preserve">RSW-ONPK </t>
  </si>
  <si>
    <t xml:space="preserve">RS LM-ON </t>
  </si>
  <si>
    <t xml:space="preserve">AORH-ON  </t>
  </si>
  <si>
    <t>RS-TOD-ON</t>
  </si>
  <si>
    <t xml:space="preserve">GS-MTRD  </t>
  </si>
  <si>
    <t xml:space="preserve">GS SEC   </t>
  </si>
  <si>
    <t xml:space="preserve">GS-SEC M </t>
  </si>
  <si>
    <t xml:space="preserve">GS-UMR   </t>
  </si>
  <si>
    <t xml:space="preserve">GS - AF  </t>
  </si>
  <si>
    <t xml:space="preserve">GS PRI   </t>
  </si>
  <si>
    <t xml:space="preserve">GS M SEC </t>
  </si>
  <si>
    <t xml:space="preserve">GSCC PRI </t>
  </si>
  <si>
    <t xml:space="preserve">GS LM ON </t>
  </si>
  <si>
    <t>GS LM TOD</t>
  </si>
  <si>
    <t>EXP GSTOD</t>
  </si>
  <si>
    <t xml:space="preserve">GS-TOD   </t>
  </si>
  <si>
    <t xml:space="preserve">GSCC SUB </t>
  </si>
  <si>
    <t xml:space="preserve">LGS SEC  </t>
  </si>
  <si>
    <t>LGS M SEC</t>
  </si>
  <si>
    <t xml:space="preserve">LGS PRI  </t>
  </si>
  <si>
    <t>LGS M PRI</t>
  </si>
  <si>
    <t xml:space="preserve">LGS SUB  </t>
  </si>
  <si>
    <t>LGS-LM-TD</t>
  </si>
  <si>
    <t>LGSSECTOD</t>
  </si>
  <si>
    <t>LGSPRITOD</t>
  </si>
  <si>
    <t xml:space="preserve">PS SEC   </t>
  </si>
  <si>
    <t xml:space="preserve">PS PRI   </t>
  </si>
  <si>
    <t>CS-IRP PR</t>
  </si>
  <si>
    <t>CS-IRP ST</t>
  </si>
  <si>
    <t>CS-IRP TR</t>
  </si>
  <si>
    <t xml:space="preserve">CS-IRP   </t>
  </si>
  <si>
    <t xml:space="preserve">IGS SEC  </t>
  </si>
  <si>
    <t xml:space="preserve">IGS PRI  </t>
  </si>
  <si>
    <t xml:space="preserve">IGS SUB  </t>
  </si>
  <si>
    <t xml:space="preserve">IGS      </t>
  </si>
  <si>
    <t xml:space="preserve">MW       </t>
  </si>
  <si>
    <r>
      <rPr>
        <b/>
        <sz val="9"/>
        <color theme="1"/>
        <rFont val="Andale WT"/>
        <family val="2"/>
      </rPr>
      <t>Grand Total</t>
    </r>
    <r>
      <rPr>
        <b/>
        <sz val="9"/>
        <color theme="1"/>
        <rFont val="Andale WT"/>
        <family val="2"/>
      </rPr>
      <t xml:space="preserve"> - </t>
    </r>
    <r>
      <rPr>
        <b/>
        <sz val="9"/>
        <color theme="1"/>
        <rFont val="Andale WT"/>
        <family val="2"/>
      </rPr>
      <t>Summary</t>
    </r>
  </si>
  <si>
    <t>AEP Internal</t>
  </si>
  <si>
    <r>
      <rPr>
        <sz val="8"/>
        <color rgb="FF222222"/>
        <rFont val="Andale WT"/>
        <family val="2"/>
      </rPr>
      <t xml:space="preserve">Page </t>
    </r>
    <r>
      <rPr>
        <sz val="8"/>
        <color rgb="FF222222"/>
        <rFont val="Andale WT"/>
        <family val="2"/>
      </rPr>
      <t>2</t>
    </r>
    <r>
      <rPr>
        <sz val="8"/>
        <color rgb="FF222222"/>
        <rFont val="Andale WT"/>
        <family val="2"/>
      </rPr>
      <t xml:space="preserve"> of </t>
    </r>
    <r>
      <rPr>
        <sz val="8"/>
        <color rgb="FF222222"/>
        <rFont val="Andale WT"/>
        <family val="2"/>
      </rPr>
      <t>19</t>
    </r>
  </si>
  <si>
    <r>
      <rPr>
        <b/>
        <sz val="10"/>
        <rFont val="Arial"/>
        <family val="2"/>
      </rPr>
      <t>Billed &amp; Accrued Revenue 12 Mos. Ended December 2022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</si>
  <si>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Billed &amp; Accrued Revenue 12 Mos. Ended December 2022</t>
    </r>
    <r>
      <rPr>
        <sz val="10"/>
        <rFont val="Arial"/>
        <family val="2"/>
      </rPr>
      <t xml:space="preserve">
Excludes Fuel</t>
    </r>
  </si>
  <si>
    <t>Annual Distribution Reliability Net Costs (ADRNC)</t>
  </si>
  <si>
    <t>Number of Residential Bills</t>
  </si>
  <si>
    <t>Revenue Requirement (ADRNC)</t>
  </si>
  <si>
    <t>Number of All Other Classes Bills</t>
  </si>
  <si>
    <t>ADRNC</t>
  </si>
  <si>
    <t>Residential Allocation (y)</t>
  </si>
  <si>
    <t>NRA</t>
  </si>
  <si>
    <t>Residential Factor</t>
  </si>
  <si>
    <t>NOA</t>
  </si>
  <si>
    <t>All Other Classes Factor</t>
  </si>
  <si>
    <t>(1st Billing Cycle of April)</t>
  </si>
  <si>
    <t>Billed &amp; Accrued Revenue 12 Months Ended December 31, 2022</t>
  </si>
  <si>
    <t>All Other Classes Allocation (y)</t>
  </si>
  <si>
    <t>Capital Year = 2026</t>
  </si>
  <si>
    <t>Capital Year = 2027</t>
  </si>
  <si>
    <t>Capital Year = 2028</t>
  </si>
  <si>
    <t>SCHEDULE III - COMPARISON OF MORTALITY CHARACTERISTICS</t>
  </si>
  <si>
    <t>DEPRECIATION STUDY AS OF DECEMBER 31, 2019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</si>
  <si>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</si>
  <si>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</si>
  <si>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</si>
  <si>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</si>
  <si>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</si>
  <si>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</si>
  <si>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</si>
  <si>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</si>
  <si>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</si>
  <si>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</si>
  <si>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</si>
  <si>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Existing Rates (See note, below)</t>
  </si>
  <si>
    <t>Current Study Rates</t>
  </si>
  <si>
    <t>Cost of</t>
  </si>
  <si>
    <t>Net</t>
  </si>
  <si>
    <t>Service</t>
  </si>
  <si>
    <t>Iowa</t>
  </si>
  <si>
    <t>Salvage</t>
  </si>
  <si>
    <t>Removal</t>
  </si>
  <si>
    <t>Life</t>
  </si>
  <si>
    <t>Curve</t>
  </si>
  <si>
    <t>Factor</t>
  </si>
  <si>
    <t>(Years)</t>
  </si>
  <si>
    <t>TRANSMISSION PLANT</t>
  </si>
  <si>
    <t>Rights of Way</t>
  </si>
  <si>
    <t>R4.0</t>
  </si>
  <si>
    <t>N/A</t>
  </si>
  <si>
    <t>352.0</t>
  </si>
  <si>
    <t>Structures &amp; Improvements</t>
  </si>
  <si>
    <t>S3.0</t>
  </si>
  <si>
    <t>L2.0</t>
  </si>
  <si>
    <t>Act</t>
  </si>
  <si>
    <t>353.0</t>
  </si>
  <si>
    <t>Station Equipment</t>
  </si>
  <si>
    <t>L0.5</t>
  </si>
  <si>
    <t>354.0</t>
  </si>
  <si>
    <t xml:space="preserve">Towers &amp; Fixtures  </t>
  </si>
  <si>
    <t>S6.0</t>
  </si>
  <si>
    <t>SPR</t>
  </si>
  <si>
    <t>355.0</t>
  </si>
  <si>
    <t>Poles &amp; Fixtures</t>
  </si>
  <si>
    <t>L3.0</t>
  </si>
  <si>
    <t>356.0</t>
  </si>
  <si>
    <t>Overhead Conductor &amp; Devices</t>
  </si>
  <si>
    <t>Underground Conduit</t>
  </si>
  <si>
    <t>R2.0</t>
  </si>
  <si>
    <t>Underground Conductor and Devices</t>
  </si>
  <si>
    <t>R1.0</t>
  </si>
  <si>
    <t xml:space="preserve">DISTRIBUTION PLANT </t>
  </si>
  <si>
    <t>361.0</t>
  </si>
  <si>
    <t>R2.5</t>
  </si>
  <si>
    <t>362.0</t>
  </si>
  <si>
    <t>L0.0</t>
  </si>
  <si>
    <t>R0.5</t>
  </si>
  <si>
    <t>364.0</t>
  </si>
  <si>
    <t>Poles, Towers, &amp; Fixtures</t>
  </si>
  <si>
    <t>365.0</t>
  </si>
  <si>
    <t>R1.5</t>
  </si>
  <si>
    <t>366.0</t>
  </si>
  <si>
    <t>367.0</t>
  </si>
  <si>
    <t>Underground Conductor</t>
  </si>
  <si>
    <t>368.0</t>
  </si>
  <si>
    <t>Line Transformers</t>
  </si>
  <si>
    <t>369.0</t>
  </si>
  <si>
    <t>Services</t>
  </si>
  <si>
    <t>370.0</t>
  </si>
  <si>
    <t>Meters</t>
  </si>
  <si>
    <t>SPR - results were 8 years.  Actuarial agreed to 15 year</t>
  </si>
  <si>
    <t>371.0</t>
  </si>
  <si>
    <t>Installations on Custs. Prem.</t>
  </si>
  <si>
    <t>373.0</t>
  </si>
  <si>
    <t>Street Lighting &amp; Signal Sys.</t>
  </si>
  <si>
    <t xml:space="preserve">GENERAL PLANT      </t>
  </si>
  <si>
    <t>390.0</t>
  </si>
  <si>
    <t>391.0</t>
  </si>
  <si>
    <t>Office Furniture &amp; Equipment</t>
  </si>
  <si>
    <t>SQ</t>
  </si>
  <si>
    <t>392.0</t>
  </si>
  <si>
    <t>Transportation Equipment</t>
  </si>
  <si>
    <t>393.0</t>
  </si>
  <si>
    <t>Stores Equipment</t>
  </si>
  <si>
    <t>394.0</t>
  </si>
  <si>
    <t>Tools Shop &amp; Garage Equipment</t>
  </si>
  <si>
    <t>395.0</t>
  </si>
  <si>
    <t>Laboratory Equipment</t>
  </si>
  <si>
    <t>396.0</t>
  </si>
  <si>
    <t>Power Operated Equipment</t>
  </si>
  <si>
    <t>397.0</t>
  </si>
  <si>
    <t>Communication Equipment</t>
  </si>
  <si>
    <t>398.0</t>
  </si>
  <si>
    <t>Miscellaneous Equipment</t>
  </si>
  <si>
    <t>Note:  Kentucky Power Company's existing depreciation rates are from Case No. 91-066.  No detail of Cost of Removal % and Salvage Factor % is available from the order from that Case.</t>
  </si>
  <si>
    <t>FER Account</t>
  </si>
  <si>
    <t>364/365</t>
  </si>
  <si>
    <t>365 Depreciation Exp @ 28 Years</t>
  </si>
  <si>
    <t>362 Depreciation Exp @ 25 Years</t>
  </si>
  <si>
    <t>28 Year Depreciation Rate</t>
  </si>
  <si>
    <t>25 Year Depreciation Rate</t>
  </si>
  <si>
    <t>Schedule 3, Column 15, Lines 1, 2, 3 &amp; 4</t>
  </si>
  <si>
    <t>Per workpaper S-3, Pg 1, Ln 15, Col 14</t>
  </si>
  <si>
    <t>Per workpaper S-3, Pg 2, Ln 16</t>
  </si>
  <si>
    <t>Per Recommendation of Company Witnesses McKenzie</t>
  </si>
  <si>
    <t xml:space="preserve">Property Tax Rate </t>
  </si>
  <si>
    <t>Accounts 364/365 Total</t>
  </si>
  <si>
    <t>Account 362 Total</t>
  </si>
  <si>
    <t>Cumulative Gross Plant In Service</t>
  </si>
  <si>
    <t>Cumulative Net Plant In Service</t>
  </si>
  <si>
    <t>*Projects associated with accounts 362,364,365 are capital additions to plant in service</t>
  </si>
  <si>
    <t>TOR Enhanced ROW Widening 365*</t>
  </si>
  <si>
    <t>Additional Tie Lines 365*</t>
  </si>
  <si>
    <t>DACR Projects and Recloser Modernization 364/365*</t>
  </si>
  <si>
    <t>Additional New Distribution Substation Sources 362*</t>
  </si>
  <si>
    <t>Asset Renewal/Storm Hardening or Resiliency 362*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</si>
</sst>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_(* #,##0.0000_);_(* \(#,##0.0000\);_(* &quot;-&quot;??_);_(@_)"/>
    <numFmt numFmtId="168" formatCode="0_);\(0\)"/>
    <numFmt numFmtId="169" formatCode="#,##0.00000_);\(#,##0.00000\)"/>
    <numFmt numFmtId="170" formatCode="#,##0.000_);\(#,##0.000\)"/>
    <numFmt numFmtId="171" formatCode="&quot;$&quot;#,##0"/>
    <numFmt numFmtId="172" formatCode="0.0"/>
    <numFmt numFmtId="173" formatCode="[$-409]mmmm\ d\,\ yyyy;@"/>
    <numFmt numFmtId="174" formatCode="0.0000%"/>
    <numFmt numFmtId="175" formatCode="mm/dd/yyyy"/>
    <numFmt numFmtId="176" formatCode="#0;\-#0;\0\0\0"/>
    <numFmt numFmtId="177" formatCode="#,##0.00;&quot;-&quot;#,##0.00;\0\.\0\0"/>
    <numFmt numFmtId="178" formatCode="#,##0;&quot;-&quot;#,##0;\0"/>
    <numFmt numFmtId="179" formatCode="#,##0.0;&quot;-&quot;#,##0.0;\0\.\0"/>
    <numFmt numFmtId="180" formatCode="0.0000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theme="1"/>
      <name val="Tahoma"/>
      <family val="2"/>
    </font>
    <font>
      <b/>
      <sz val="10"/>
      <color rgb="FF222222"/>
      <name val="Andale WT"/>
      <family val="2"/>
    </font>
    <font>
      <sz val="10"/>
      <color rgb="FF222222"/>
      <name val="Andale WT"/>
      <family val="2"/>
    </font>
    <font>
      <b/>
      <sz val="8"/>
      <color rgb="FF222222"/>
      <name val="Andale WT"/>
      <family val="2"/>
    </font>
    <font>
      <b/>
      <u/>
      <sz val="10"/>
      <color rgb="FF0000FF"/>
      <name val="Andale WT"/>
      <family val="2"/>
    </font>
    <font>
      <b/>
      <sz val="10"/>
      <color theme="1"/>
      <name val="Andale WT"/>
      <family val="2"/>
    </font>
    <font>
      <sz val="9"/>
      <color theme="1"/>
      <name val="Andale WT"/>
      <family val="2"/>
    </font>
    <font>
      <b/>
      <sz val="9"/>
      <color theme="1"/>
      <name val="Andale WT"/>
      <family val="2"/>
    </font>
    <font>
      <sz val="8"/>
      <color rgb="FFC23A3A"/>
      <name val="Andale WT"/>
      <family val="2"/>
    </font>
    <font>
      <sz val="8"/>
      <color rgb="FF222222"/>
      <name val="Andale WT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/>
      <sz val="14"/>
      <name val="Times New Roman"/>
      <family val="1"/>
    </font>
    <font>
      <b/>
      <u/>
      <sz val="14"/>
      <name val="Times New Roman"/>
      <family val="1"/>
    </font>
    <font>
      <u/>
      <sz val="12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CFFFF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C0C0C0"/>
      </left>
      <right style="medium">
        <color rgb="FFE2E2E2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C0C0C0"/>
      </top>
      <bottom style="medium">
        <color rgb="FFC0C0C0"/>
      </bottom>
      <diagonal/>
    </border>
    <border>
      <left/>
      <right style="medium">
        <color rgb="FFE2E2E2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/>
      <top style="medium">
        <color auto="1"/>
      </top>
      <bottom style="medium">
        <color rgb="FFC0C0C0"/>
      </bottom>
      <diagonal/>
    </border>
    <border>
      <left/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8" fillId="0" borderId="0"/>
    <xf numFmtId="0" fontId="28" fillId="0" borderId="0"/>
  </cellStyleXfs>
  <cellXfs count="324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4" xfId="0" applyFill="1" applyBorder="1"/>
    <xf numFmtId="164" fontId="0" fillId="0" borderId="4" xfId="1" applyNumberFormat="1" applyFont="1" applyFill="1" applyBorder="1"/>
    <xf numFmtId="164" fontId="0" fillId="0" borderId="0" xfId="0" applyNumberFormat="1" applyFill="1"/>
    <xf numFmtId="0" fontId="4" fillId="0" borderId="0" xfId="0" applyFont="1" applyFill="1" applyBorder="1" applyAlignment="1">
      <alignment horizontal="right" vertical="center"/>
    </xf>
    <xf numFmtId="165" fontId="4" fillId="0" borderId="4" xfId="2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left" vertical="center"/>
    </xf>
    <xf numFmtId="2" fontId="4" fillId="0" borderId="0" xfId="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0" fontId="0" fillId="0" borderId="0" xfId="2" applyNumberFormat="1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44" fontId="2" fillId="0" borderId="0" xfId="0" applyNumberFormat="1" applyFont="1" applyFill="1"/>
    <xf numFmtId="166" fontId="5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/>
    <xf numFmtId="5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5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/>
    <xf numFmtId="167" fontId="4" fillId="0" borderId="0" xfId="3" applyNumberFormat="1" applyFont="1" applyFill="1"/>
    <xf numFmtId="49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/>
    <xf numFmtId="0" fontId="7" fillId="0" borderId="0" xfId="0" applyFont="1" applyFill="1" applyAlignment="1">
      <alignment horizontal="center"/>
    </xf>
    <xf numFmtId="166" fontId="0" fillId="2" borderId="0" xfId="3" applyNumberFormat="1" applyFont="1" applyFill="1"/>
    <xf numFmtId="0" fontId="0" fillId="2" borderId="0" xfId="0" applyFill="1"/>
    <xf numFmtId="166" fontId="0" fillId="2" borderId="0" xfId="0" applyNumberFormat="1" applyFill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68" fontId="4" fillId="0" borderId="0" xfId="0" applyNumberFormat="1" applyFont="1"/>
    <xf numFmtId="5" fontId="4" fillId="0" borderId="0" xfId="0" applyNumberFormat="1" applyFont="1"/>
    <xf numFmtId="10" fontId="4" fillId="0" borderId="0" xfId="0" applyNumberFormat="1" applyFont="1"/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37" fontId="4" fillId="0" borderId="0" xfId="0" applyNumberFormat="1" applyFont="1"/>
    <xf numFmtId="37" fontId="4" fillId="0" borderId="0" xfId="0" applyNumberFormat="1" applyFont="1" applyAlignment="1">
      <alignment horizontal="center"/>
    </xf>
    <xf numFmtId="10" fontId="5" fillId="0" borderId="0" xfId="0" applyNumberFormat="1" applyFont="1"/>
    <xf numFmtId="7" fontId="4" fillId="0" borderId="0" xfId="0" applyNumberFormat="1" applyFont="1"/>
    <xf numFmtId="0" fontId="5" fillId="0" borderId="0" xfId="4" applyFont="1"/>
    <xf numFmtId="0" fontId="4" fillId="0" borderId="0" xfId="4"/>
    <xf numFmtId="0" fontId="5" fillId="0" borderId="1" xfId="4" applyFont="1" applyBorder="1"/>
    <xf numFmtId="164" fontId="0" fillId="0" borderId="23" xfId="5" applyNumberFormat="1" applyFont="1" applyFill="1" applyBorder="1"/>
    <xf numFmtId="166" fontId="0" fillId="0" borderId="0" xfId="6" applyNumberFormat="1" applyFont="1" applyFill="1"/>
    <xf numFmtId="164" fontId="0" fillId="0" borderId="1" xfId="5" applyNumberFormat="1" applyFont="1" applyFill="1" applyBorder="1"/>
    <xf numFmtId="43" fontId="0" fillId="0" borderId="0" xfId="6" applyFont="1" applyFill="1"/>
    <xf numFmtId="49" fontId="15" fillId="0" borderId="0" xfId="4" applyNumberFormat="1" applyFont="1" applyAlignment="1">
      <alignment horizontal="center"/>
    </xf>
    <xf numFmtId="173" fontId="14" fillId="0" borderId="0" xfId="7" applyNumberFormat="1" applyFont="1" applyAlignment="1">
      <alignment horizontal="center" wrapText="1"/>
    </xf>
    <xf numFmtId="0" fontId="15" fillId="0" borderId="0" xfId="4" applyFont="1"/>
    <xf numFmtId="49" fontId="14" fillId="0" borderId="0" xfId="4" applyNumberFormat="1" applyFont="1" applyAlignment="1">
      <alignment horizontal="center"/>
    </xf>
    <xf numFmtId="0" fontId="14" fillId="0" borderId="0" xfId="4" applyFont="1"/>
    <xf numFmtId="0" fontId="14" fillId="0" borderId="0" xfId="4" applyFont="1" applyAlignment="1">
      <alignment horizontal="right"/>
    </xf>
    <xf numFmtId="5" fontId="15" fillId="0" borderId="0" xfId="4" applyNumberFormat="1" applyFont="1" applyAlignment="1">
      <alignment horizontal="center"/>
    </xf>
    <xf numFmtId="164" fontId="4" fillId="0" borderId="0" xfId="5" applyNumberFormat="1" applyFont="1" applyFill="1"/>
    <xf numFmtId="171" fontId="15" fillId="0" borderId="4" xfId="4" applyNumberFormat="1" applyFont="1" applyBorder="1" applyAlignment="1">
      <alignment vertical="center"/>
    </xf>
    <xf numFmtId="171" fontId="15" fillId="0" borderId="0" xfId="4" applyNumberFormat="1" applyFont="1" applyAlignment="1">
      <alignment vertical="center"/>
    </xf>
    <xf numFmtId="174" fontId="0" fillId="0" borderId="0" xfId="8" applyNumberFormat="1" applyFont="1" applyFill="1"/>
    <xf numFmtId="174" fontId="15" fillId="0" borderId="0" xfId="8" applyNumberFormat="1" applyFont="1" applyFill="1" applyBorder="1" applyAlignment="1">
      <alignment vertical="center"/>
    </xf>
    <xf numFmtId="174" fontId="15" fillId="0" borderId="0" xfId="8" applyNumberFormat="1" applyFont="1" applyFill="1" applyBorder="1"/>
    <xf numFmtId="171" fontId="15" fillId="0" borderId="0" xfId="4" applyNumberFormat="1" applyFont="1"/>
    <xf numFmtId="171" fontId="15" fillId="0" borderId="4" xfId="4" applyNumberFormat="1" applyFont="1" applyBorder="1"/>
    <xf numFmtId="169" fontId="15" fillId="0" borderId="0" xfId="4" applyNumberFormat="1" applyFont="1"/>
    <xf numFmtId="0" fontId="15" fillId="0" borderId="0" xfId="4" applyFont="1" applyAlignment="1">
      <alignment horizontal="center"/>
    </xf>
    <xf numFmtId="0" fontId="15" fillId="0" borderId="4" xfId="4" applyFont="1" applyBorder="1"/>
    <xf numFmtId="3" fontId="4" fillId="0" borderId="0" xfId="4" applyNumberFormat="1"/>
    <xf numFmtId="9" fontId="15" fillId="0" borderId="0" xfId="8" applyFont="1" applyFill="1" applyAlignment="1">
      <alignment horizontal="center"/>
    </xf>
    <xf numFmtId="0" fontId="15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0" fontId="14" fillId="0" borderId="0" xfId="4" applyFont="1" applyAlignment="1">
      <alignment horizontal="left"/>
    </xf>
    <xf numFmtId="0" fontId="14" fillId="0" borderId="0" xfId="4" quotePrefix="1" applyFont="1" applyAlignment="1">
      <alignment horizontal="right"/>
    </xf>
    <xf numFmtId="0" fontId="4" fillId="0" borderId="0" xfId="4" applyAlignment="1">
      <alignment horizontal="center"/>
    </xf>
    <xf numFmtId="164" fontId="15" fillId="0" borderId="0" xfId="5" applyNumberFormat="1" applyFont="1" applyFill="1" applyAlignment="1">
      <alignment horizontal="center" vertical="center"/>
    </xf>
    <xf numFmtId="164" fontId="15" fillId="0" borderId="0" xfId="5" applyNumberFormat="1" applyFont="1" applyFill="1" applyBorder="1" applyAlignment="1">
      <alignment horizontal="center" vertical="center"/>
    </xf>
    <xf numFmtId="9" fontId="15" fillId="0" borderId="0" xfId="8" applyFont="1" applyFill="1" applyBorder="1" applyAlignment="1">
      <alignment horizontal="center"/>
    </xf>
    <xf numFmtId="171" fontId="15" fillId="0" borderId="4" xfId="5" applyNumberFormat="1" applyFont="1" applyFill="1" applyBorder="1" applyAlignment="1">
      <alignment horizontal="center"/>
    </xf>
    <xf numFmtId="174" fontId="15" fillId="0" borderId="0" xfId="8" applyNumberFormat="1" applyFont="1" applyFill="1" applyBorder="1" applyAlignment="1">
      <alignment horizontal="right"/>
    </xf>
    <xf numFmtId="171" fontId="15" fillId="0" borderId="0" xfId="5" applyNumberFormat="1" applyFont="1" applyFill="1" applyAlignment="1">
      <alignment horizontal="center"/>
    </xf>
    <xf numFmtId="0" fontId="2" fillId="2" borderId="0" xfId="0" applyFont="1" applyFill="1"/>
    <xf numFmtId="166" fontId="2" fillId="2" borderId="0" xfId="0" applyNumberFormat="1" applyFont="1" applyFill="1"/>
    <xf numFmtId="0" fontId="18" fillId="0" borderId="0" xfId="9"/>
    <xf numFmtId="0" fontId="20" fillId="0" borderId="0" xfId="9" applyFont="1" applyAlignment="1">
      <alignment horizontal="right" vertical="top"/>
    </xf>
    <xf numFmtId="0" fontId="19" fillId="0" borderId="0" xfId="9" applyFont="1" applyAlignment="1">
      <alignment horizontal="left" vertical="top"/>
    </xf>
    <xf numFmtId="175" fontId="21" fillId="0" borderId="0" xfId="9" applyNumberFormat="1" applyFont="1" applyAlignment="1">
      <alignment horizontal="left" vertical="top"/>
    </xf>
    <xf numFmtId="0" fontId="18" fillId="3" borderId="0" xfId="9" applyFill="1"/>
    <xf numFmtId="0" fontId="18" fillId="4" borderId="39" xfId="9" applyFill="1" applyBorder="1"/>
    <xf numFmtId="0" fontId="18" fillId="4" borderId="40" xfId="9" applyFill="1" applyBorder="1"/>
    <xf numFmtId="0" fontId="18" fillId="4" borderId="42" xfId="9" applyFill="1" applyBorder="1"/>
    <xf numFmtId="0" fontId="23" fillId="4" borderId="43" xfId="9" applyFont="1" applyFill="1" applyBorder="1" applyAlignment="1">
      <alignment horizontal="center" vertical="top"/>
    </xf>
    <xf numFmtId="0" fontId="18" fillId="4" borderId="43" xfId="9" applyFill="1" applyBorder="1"/>
    <xf numFmtId="176" fontId="24" fillId="3" borderId="44" xfId="9" applyNumberFormat="1" applyFont="1" applyFill="1" applyBorder="1" applyAlignment="1">
      <alignment horizontal="left" vertical="top"/>
    </xf>
    <xf numFmtId="0" fontId="24" fillId="3" borderId="44" xfId="9" applyFont="1" applyFill="1" applyBorder="1" applyAlignment="1">
      <alignment horizontal="left" vertical="top"/>
    </xf>
    <xf numFmtId="177" fontId="24" fillId="3" borderId="44" xfId="9" applyNumberFormat="1" applyFont="1" applyFill="1" applyBorder="1" applyAlignment="1">
      <alignment horizontal="right" vertical="top"/>
    </xf>
    <xf numFmtId="178" fontId="24" fillId="3" borderId="44" xfId="9" applyNumberFormat="1" applyFont="1" applyFill="1" applyBorder="1" applyAlignment="1">
      <alignment horizontal="right" vertical="top"/>
    </xf>
    <xf numFmtId="179" fontId="24" fillId="3" borderId="44" xfId="9" applyNumberFormat="1" applyFont="1" applyFill="1" applyBorder="1" applyAlignment="1">
      <alignment horizontal="right" vertical="top"/>
    </xf>
    <xf numFmtId="177" fontId="25" fillId="3" borderId="47" xfId="9" applyNumberFormat="1" applyFont="1" applyFill="1" applyBorder="1" applyAlignment="1">
      <alignment horizontal="right" vertical="top"/>
    </xf>
    <xf numFmtId="176" fontId="24" fillId="0" borderId="44" xfId="9" applyNumberFormat="1" applyFont="1" applyFill="1" applyBorder="1" applyAlignment="1">
      <alignment horizontal="left" vertical="top"/>
    </xf>
    <xf numFmtId="0" fontId="4" fillId="0" borderId="1" xfId="4" applyBorder="1" applyAlignment="1">
      <alignment horizontal="left" vertical="center" wrapText="1"/>
    </xf>
    <xf numFmtId="166" fontId="15" fillId="0" borderId="0" xfId="3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37" fontId="15" fillId="0" borderId="0" xfId="0" applyNumberFormat="1" applyFont="1"/>
    <xf numFmtId="49" fontId="14" fillId="0" borderId="0" xfId="0" applyNumberFormat="1" applyFont="1" applyAlignment="1">
      <alignment horizontal="center"/>
    </xf>
    <xf numFmtId="49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5" fontId="15" fillId="0" borderId="4" xfId="0" applyNumberFormat="1" applyFont="1" applyBorder="1" applyAlignment="1">
      <alignment horizontal="center"/>
    </xf>
    <xf numFmtId="5" fontId="15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7" fontId="0" fillId="0" borderId="0" xfId="0" applyNumberFormat="1"/>
    <xf numFmtId="37" fontId="15" fillId="0" borderId="0" xfId="0" applyNumberFormat="1" applyFont="1" applyAlignment="1">
      <alignment horizontal="center"/>
    </xf>
    <xf numFmtId="5" fontId="1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quotePrefix="1" applyFont="1"/>
    <xf numFmtId="0" fontId="0" fillId="0" borderId="38" xfId="0" applyBorder="1"/>
    <xf numFmtId="2" fontId="15" fillId="0" borderId="0" xfId="0" applyNumberFormat="1" applyFont="1"/>
    <xf numFmtId="0" fontId="15" fillId="0" borderId="0" xfId="0" applyFont="1" applyAlignment="1">
      <alignment horizontal="center" wrapText="1"/>
    </xf>
    <xf numFmtId="44" fontId="15" fillId="0" borderId="37" xfId="1" applyFont="1" applyFill="1" applyBorder="1" applyAlignment="1">
      <alignment horizontal="right"/>
    </xf>
    <xf numFmtId="44" fontId="15" fillId="0" borderId="37" xfId="1" applyNumberFormat="1" applyFont="1" applyFill="1" applyBorder="1" applyAlignment="1">
      <alignment horizontal="right"/>
    </xf>
    <xf numFmtId="164" fontId="15" fillId="0" borderId="4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4" fillId="0" borderId="0" xfId="4" applyBorder="1"/>
    <xf numFmtId="0" fontId="0" fillId="0" borderId="0" xfId="0" applyBorder="1"/>
    <xf numFmtId="164" fontId="15" fillId="0" borderId="0" xfId="0" applyNumberFormat="1" applyFont="1" applyBorder="1" applyAlignment="1">
      <alignment horizontal="center"/>
    </xf>
    <xf numFmtId="7" fontId="0" fillId="0" borderId="0" xfId="0" applyNumberFormat="1" applyBorder="1"/>
    <xf numFmtId="0" fontId="4" fillId="0" borderId="0" xfId="0" applyFont="1" applyBorder="1"/>
    <xf numFmtId="37" fontId="15" fillId="0" borderId="0" xfId="0" applyNumberFormat="1" applyFont="1" applyBorder="1"/>
    <xf numFmtId="0" fontId="15" fillId="0" borderId="0" xfId="0" applyFont="1" applyAlignment="1">
      <alignment wrapText="1"/>
    </xf>
    <xf numFmtId="166" fontId="15" fillId="0" borderId="0" xfId="3" applyNumberFormat="1" applyFont="1" applyAlignment="1">
      <alignment vertical="center"/>
    </xf>
    <xf numFmtId="166" fontId="15" fillId="0" borderId="0" xfId="3" applyNumberFormat="1" applyFont="1"/>
    <xf numFmtId="44" fontId="15" fillId="0" borderId="0" xfId="8" applyNumberFormat="1" applyFont="1" applyFill="1"/>
    <xf numFmtId="44" fontId="15" fillId="0" borderId="0" xfId="3" applyNumberFormat="1" applyFont="1" applyFill="1"/>
    <xf numFmtId="0" fontId="28" fillId="0" borderId="0" xfId="10"/>
    <xf numFmtId="0" fontId="30" fillId="0" borderId="0" xfId="10" applyFont="1"/>
    <xf numFmtId="49" fontId="28" fillId="0" borderId="0" xfId="10" applyNumberFormat="1" applyAlignment="1">
      <alignment horizontal="center"/>
    </xf>
    <xf numFmtId="0" fontId="30" fillId="0" borderId="0" xfId="10" applyFont="1" applyAlignment="1">
      <alignment horizontal="center"/>
    </xf>
    <xf numFmtId="0" fontId="32" fillId="0" borderId="0" xfId="10" applyFont="1" applyAlignment="1">
      <alignment horizontal="center"/>
    </xf>
    <xf numFmtId="0" fontId="33" fillId="0" borderId="0" xfId="10" applyFont="1" applyAlignment="1">
      <alignment horizontal="center"/>
    </xf>
    <xf numFmtId="0" fontId="33" fillId="0" borderId="0" xfId="10" applyFont="1"/>
    <xf numFmtId="1" fontId="30" fillId="0" borderId="0" xfId="10" applyNumberFormat="1" applyFont="1" applyAlignment="1">
      <alignment horizontal="center"/>
    </xf>
    <xf numFmtId="9" fontId="30" fillId="0" borderId="0" xfId="10" applyNumberFormat="1" applyFont="1" applyAlignment="1">
      <alignment horizontal="center"/>
    </xf>
    <xf numFmtId="10" fontId="30" fillId="0" borderId="0" xfId="10" applyNumberFormat="1" applyFont="1" applyAlignment="1">
      <alignment horizontal="center"/>
    </xf>
    <xf numFmtId="3" fontId="30" fillId="0" borderId="0" xfId="10" applyNumberFormat="1" applyFont="1" applyAlignment="1">
      <alignment horizontal="center"/>
    </xf>
    <xf numFmtId="3" fontId="28" fillId="0" borderId="0" xfId="10" applyNumberFormat="1"/>
    <xf numFmtId="10" fontId="28" fillId="0" borderId="0" xfId="10" applyNumberFormat="1"/>
    <xf numFmtId="172" fontId="30" fillId="0" borderId="0" xfId="10" applyNumberFormat="1" applyFont="1" applyAlignment="1">
      <alignment horizontal="center"/>
    </xf>
    <xf numFmtId="1" fontId="28" fillId="0" borderId="0" xfId="10" applyNumberFormat="1" applyAlignment="1">
      <alignment horizontal="center"/>
    </xf>
    <xf numFmtId="0" fontId="28" fillId="0" borderId="0" xfId="10" applyAlignment="1">
      <alignment horizontal="center"/>
    </xf>
    <xf numFmtId="9" fontId="28" fillId="0" borderId="0" xfId="10" applyNumberFormat="1" applyAlignment="1">
      <alignment horizontal="center"/>
    </xf>
    <xf numFmtId="0" fontId="32" fillId="0" borderId="0" xfId="10" applyFont="1"/>
    <xf numFmtId="1" fontId="32" fillId="0" borderId="0" xfId="10" applyNumberFormat="1" applyFont="1" applyAlignment="1">
      <alignment horizontal="center"/>
    </xf>
    <xf numFmtId="10" fontId="32" fillId="0" borderId="0" xfId="10" applyNumberFormat="1" applyFont="1" applyAlignment="1">
      <alignment horizontal="center"/>
    </xf>
    <xf numFmtId="9" fontId="32" fillId="0" borderId="0" xfId="10" applyNumberFormat="1" applyFont="1" applyAlignment="1">
      <alignment horizontal="center"/>
    </xf>
    <xf numFmtId="0" fontId="34" fillId="0" borderId="0" xfId="10" applyFont="1"/>
    <xf numFmtId="2" fontId="28" fillId="0" borderId="0" xfId="10" applyNumberFormat="1"/>
    <xf numFmtId="10" fontId="28" fillId="0" borderId="0" xfId="10" applyNumberFormat="1" applyAlignment="1">
      <alignment horizontal="right"/>
    </xf>
    <xf numFmtId="0" fontId="28" fillId="0" borderId="0" xfId="10" applyAlignment="1">
      <alignment horizontal="right"/>
    </xf>
    <xf numFmtId="10" fontId="32" fillId="0" borderId="0" xfId="10" applyNumberFormat="1" applyFont="1"/>
    <xf numFmtId="49" fontId="30" fillId="0" borderId="0" xfId="10" applyNumberFormat="1" applyFont="1" applyAlignment="1">
      <alignment horizontal="center"/>
    </xf>
    <xf numFmtId="10" fontId="30" fillId="0" borderId="0" xfId="10" applyNumberFormat="1" applyFont="1"/>
    <xf numFmtId="1" fontId="30" fillId="0" borderId="0" xfId="10" applyNumberFormat="1" applyFont="1"/>
    <xf numFmtId="9" fontId="30" fillId="0" borderId="0" xfId="10" applyNumberFormat="1" applyFont="1"/>
    <xf numFmtId="9" fontId="28" fillId="0" borderId="0" xfId="10" applyNumberFormat="1"/>
    <xf numFmtId="1" fontId="28" fillId="0" borderId="0" xfId="10" applyNumberFormat="1"/>
    <xf numFmtId="164" fontId="0" fillId="0" borderId="0" xfId="0" applyNumberFormat="1" applyFont="1" applyFill="1"/>
    <xf numFmtId="164" fontId="1" fillId="0" borderId="0" xfId="1" applyNumberFormat="1" applyFont="1" applyFill="1"/>
    <xf numFmtId="164" fontId="1" fillId="0" borderId="4" xfId="1" applyNumberFormat="1" applyFont="1" applyFill="1" applyBorder="1"/>
    <xf numFmtId="43" fontId="4" fillId="0" borderId="0" xfId="6" applyFont="1" applyFill="1" applyAlignment="1">
      <alignment horizontal="center"/>
    </xf>
    <xf numFmtId="170" fontId="4" fillId="0" borderId="0" xfId="0" applyNumberFormat="1" applyFont="1"/>
    <xf numFmtId="165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37" fontId="4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10" fontId="5" fillId="0" borderId="0" xfId="0" applyNumberFormat="1" applyFont="1" applyFill="1"/>
    <xf numFmtId="10" fontId="10" fillId="0" borderId="0" xfId="2" applyNumberFormat="1" applyFont="1" applyFill="1"/>
    <xf numFmtId="10" fontId="0" fillId="0" borderId="0" xfId="2" applyNumberFormat="1" applyFont="1" applyFill="1"/>
    <xf numFmtId="0" fontId="2" fillId="0" borderId="0" xfId="0" applyFont="1" applyFill="1" applyAlignment="1">
      <alignment horizontal="right"/>
    </xf>
    <xf numFmtId="43" fontId="0" fillId="0" borderId="0" xfId="0" applyNumberFormat="1" applyFill="1"/>
    <xf numFmtId="0" fontId="35" fillId="0" borderId="0" xfId="0" applyFont="1" applyFill="1"/>
    <xf numFmtId="0" fontId="8" fillId="0" borderId="5" xfId="0" applyFont="1" applyFill="1" applyBorder="1"/>
    <xf numFmtId="0" fontId="2" fillId="0" borderId="6" xfId="0" applyFont="1" applyFill="1" applyBorder="1" applyAlignment="1">
      <alignment horizontal="center"/>
    </xf>
    <xf numFmtId="171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8" fillId="0" borderId="9" xfId="0" applyFont="1" applyFill="1" applyBorder="1"/>
    <xf numFmtId="0" fontId="2" fillId="0" borderId="10" xfId="0" applyFont="1" applyFill="1" applyBorder="1" applyAlignment="1">
      <alignment horizontal="center"/>
    </xf>
    <xf numFmtId="171" fontId="9" fillId="0" borderId="1" xfId="0" applyNumberFormat="1" applyFont="1" applyFill="1" applyBorder="1" applyAlignment="1">
      <alignment horizontal="center"/>
    </xf>
    <xf numFmtId="171" fontId="9" fillId="0" borderId="11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2" xfId="0" applyFont="1" applyFill="1" applyBorder="1"/>
    <xf numFmtId="0" fontId="10" fillId="0" borderId="13" xfId="0" applyFont="1" applyFill="1" applyBorder="1" applyAlignment="1">
      <alignment horizontal="center"/>
    </xf>
    <xf numFmtId="171" fontId="2" fillId="0" borderId="1" xfId="0" applyNumberFormat="1" applyFont="1" applyFill="1" applyBorder="1" applyAlignment="1">
      <alignment horizontal="center"/>
    </xf>
    <xf numFmtId="171" fontId="11" fillId="0" borderId="1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9" fillId="0" borderId="15" xfId="0" applyFont="1" applyFill="1" applyBorder="1" applyAlignment="1">
      <alignment horizontal="center"/>
    </xf>
    <xf numFmtId="171" fontId="0" fillId="0" borderId="16" xfId="0" applyNumberFormat="1" applyFill="1" applyBorder="1" applyAlignment="1">
      <alignment horizontal="center"/>
    </xf>
    <xf numFmtId="171" fontId="0" fillId="0" borderId="17" xfId="0" applyNumberFormat="1" applyFill="1" applyBorder="1" applyAlignment="1">
      <alignment horizontal="center"/>
    </xf>
    <xf numFmtId="171" fontId="2" fillId="0" borderId="0" xfId="0" applyNumberFormat="1" applyFont="1" applyFill="1"/>
    <xf numFmtId="0" fontId="12" fillId="0" borderId="18" xfId="0" applyFont="1" applyFill="1" applyBorder="1"/>
    <xf numFmtId="0" fontId="10" fillId="0" borderId="19" xfId="0" applyFont="1" applyFill="1" applyBorder="1" applyAlignment="1">
      <alignment horizontal="center"/>
    </xf>
    <xf numFmtId="171" fontId="0" fillId="0" borderId="20" xfId="0" applyNumberFormat="1" applyFill="1" applyBorder="1" applyAlignment="1">
      <alignment horizontal="center"/>
    </xf>
    <xf numFmtId="171" fontId="0" fillId="0" borderId="21" xfId="0" applyNumberFormat="1" applyFill="1" applyBorder="1" applyAlignment="1">
      <alignment horizontal="center"/>
    </xf>
    <xf numFmtId="0" fontId="10" fillId="0" borderId="12" xfId="0" applyFont="1" applyFill="1" applyBorder="1"/>
    <xf numFmtId="0" fontId="10" fillId="0" borderId="22" xfId="0" applyFont="1" applyFill="1" applyBorder="1" applyAlignment="1">
      <alignment horizontal="center"/>
    </xf>
    <xf numFmtId="171" fontId="0" fillId="0" borderId="23" xfId="0" applyNumberFormat="1" applyFill="1" applyBorder="1" applyAlignment="1">
      <alignment horizontal="center"/>
    </xf>
    <xf numFmtId="171" fontId="0" fillId="0" borderId="2" xfId="0" applyNumberFormat="1" applyFill="1" applyBorder="1" applyAlignment="1">
      <alignment horizontal="center"/>
    </xf>
    <xf numFmtId="171" fontId="0" fillId="0" borderId="24" xfId="0" applyNumberFormat="1" applyFill="1" applyBorder="1" applyAlignment="1">
      <alignment horizontal="center"/>
    </xf>
    <xf numFmtId="0" fontId="10" fillId="0" borderId="25" xfId="0" applyFont="1" applyFill="1" applyBorder="1"/>
    <xf numFmtId="171" fontId="0" fillId="0" borderId="26" xfId="0" applyNumberFormat="1" applyFill="1" applyBorder="1" applyAlignment="1">
      <alignment horizontal="center"/>
    </xf>
    <xf numFmtId="0" fontId="10" fillId="0" borderId="27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171" fontId="0" fillId="0" borderId="28" xfId="0" applyNumberFormat="1" applyFill="1" applyBorder="1" applyAlignment="1">
      <alignment horizontal="center"/>
    </xf>
    <xf numFmtId="171" fontId="0" fillId="0" borderId="1" xfId="0" applyNumberFormat="1" applyFill="1" applyBorder="1" applyAlignment="1">
      <alignment horizontal="center"/>
    </xf>
    <xf numFmtId="0" fontId="0" fillId="0" borderId="27" xfId="0" applyFill="1" applyBorder="1"/>
    <xf numFmtId="0" fontId="0" fillId="0" borderId="29" xfId="0" applyFill="1" applyBorder="1"/>
    <xf numFmtId="171" fontId="0" fillId="0" borderId="30" xfId="0" applyNumberForma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15" xfId="0" applyFont="1" applyFill="1" applyBorder="1" applyAlignment="1">
      <alignment horizontal="center"/>
    </xf>
    <xf numFmtId="171" fontId="0" fillId="0" borderId="31" xfId="0" applyNumberFormat="1" applyFill="1" applyBorder="1" applyAlignment="1">
      <alignment horizontal="center"/>
    </xf>
    <xf numFmtId="171" fontId="0" fillId="0" borderId="32" xfId="0" applyNumberFormat="1" applyFill="1" applyBorder="1" applyAlignment="1">
      <alignment horizontal="center"/>
    </xf>
    <xf numFmtId="0" fontId="3" fillId="0" borderId="0" xfId="0" applyFont="1" applyFill="1"/>
    <xf numFmtId="0" fontId="10" fillId="0" borderId="0" xfId="0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0" fontId="3" fillId="0" borderId="18" xfId="0" applyFont="1" applyFill="1" applyBorder="1"/>
    <xf numFmtId="0" fontId="2" fillId="0" borderId="19" xfId="0" applyFont="1" applyFill="1" applyBorder="1" applyAlignment="1">
      <alignment horizontal="center"/>
    </xf>
    <xf numFmtId="0" fontId="3" fillId="0" borderId="33" xfId="0" applyFont="1" applyFill="1" applyBorder="1"/>
    <xf numFmtId="0" fontId="10" fillId="0" borderId="34" xfId="0" applyFont="1" applyFill="1" applyBorder="1"/>
    <xf numFmtId="171" fontId="2" fillId="0" borderId="16" xfId="0" applyNumberFormat="1" applyFont="1" applyFill="1" applyBorder="1" applyAlignment="1">
      <alignment horizontal="center"/>
    </xf>
    <xf numFmtId="171" fontId="2" fillId="0" borderId="1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171" fontId="0" fillId="0" borderId="11" xfId="0" applyNumberFormat="1" applyFill="1" applyBorder="1" applyAlignment="1">
      <alignment horizontal="center"/>
    </xf>
    <xf numFmtId="0" fontId="0" fillId="0" borderId="25" xfId="0" applyFill="1" applyBorder="1"/>
    <xf numFmtId="0" fontId="0" fillId="0" borderId="13" xfId="0" applyFill="1" applyBorder="1"/>
    <xf numFmtId="0" fontId="10" fillId="0" borderId="19" xfId="0" applyFont="1" applyFill="1" applyBorder="1"/>
    <xf numFmtId="171" fontId="2" fillId="0" borderId="20" xfId="0" applyNumberFormat="1" applyFont="1" applyFill="1" applyBorder="1" applyAlignment="1">
      <alignment horizontal="center"/>
    </xf>
    <xf numFmtId="171" fontId="2" fillId="0" borderId="2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10" fillId="0" borderId="29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171" fontId="2" fillId="0" borderId="31" xfId="0" applyNumberFormat="1" applyFont="1" applyFill="1" applyBorder="1" applyAlignment="1">
      <alignment horizontal="center"/>
    </xf>
    <xf numFmtId="171" fontId="2" fillId="0" borderId="32" xfId="0" applyNumberFormat="1" applyFont="1" applyFill="1" applyBorder="1" applyAlignment="1">
      <alignment horizontal="center"/>
    </xf>
    <xf numFmtId="0" fontId="3" fillId="0" borderId="27" xfId="0" applyFont="1" applyFill="1" applyBorder="1"/>
    <xf numFmtId="42" fontId="0" fillId="0" borderId="34" xfId="0" applyNumberFormat="1" applyFill="1" applyBorder="1" applyAlignment="1">
      <alignment horizontal="center"/>
    </xf>
    <xf numFmtId="0" fontId="10" fillId="0" borderId="27" xfId="0" applyFont="1" applyFill="1" applyBorder="1"/>
    <xf numFmtId="0" fontId="0" fillId="0" borderId="29" xfId="0" applyFill="1" applyBorder="1" applyAlignment="1">
      <alignment horizontal="center"/>
    </xf>
    <xf numFmtId="171" fontId="2" fillId="0" borderId="23" xfId="0" applyNumberFormat="1" applyFont="1" applyFill="1" applyBorder="1" applyAlignment="1">
      <alignment horizontal="center"/>
    </xf>
    <xf numFmtId="171" fontId="13" fillId="0" borderId="1" xfId="4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/>
    <xf numFmtId="171" fontId="0" fillId="0" borderId="35" xfId="0" applyNumberFormat="1" applyFill="1" applyBorder="1" applyAlignment="1">
      <alignment horizontal="center"/>
    </xf>
    <xf numFmtId="0" fontId="3" fillId="0" borderId="3" xfId="0" applyFont="1" applyFill="1" applyBorder="1"/>
    <xf numFmtId="0" fontId="9" fillId="0" borderId="19" xfId="0" applyFont="1" applyFill="1" applyBorder="1" applyAlignment="1">
      <alignment horizontal="center"/>
    </xf>
    <xf numFmtId="0" fontId="0" fillId="0" borderId="33" xfId="0" applyFill="1" applyBorder="1"/>
    <xf numFmtId="0" fontId="10" fillId="0" borderId="0" xfId="0" applyFont="1" applyFill="1"/>
    <xf numFmtId="0" fontId="3" fillId="0" borderId="0" xfId="0" applyFont="1" applyFill="1" applyBorder="1"/>
    <xf numFmtId="0" fontId="2" fillId="0" borderId="0" xfId="0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11" fillId="0" borderId="0" xfId="0" applyNumberFormat="1" applyFont="1" applyFill="1" applyAlignment="1">
      <alignment horizont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horizontal="center" wrapText="1"/>
    </xf>
    <xf numFmtId="37" fontId="15" fillId="0" borderId="0" xfId="4" applyNumberFormat="1" applyFont="1" applyAlignment="1">
      <alignment horizontal="center" wrapText="1"/>
    </xf>
    <xf numFmtId="5" fontId="15" fillId="0" borderId="0" xfId="4" applyNumberFormat="1" applyFont="1" applyAlignment="1">
      <alignment horizontal="center"/>
    </xf>
    <xf numFmtId="0" fontId="15" fillId="0" borderId="0" xfId="4" applyFont="1" applyAlignment="1">
      <alignment horizontal="center"/>
    </xf>
    <xf numFmtId="173" fontId="15" fillId="0" borderId="4" xfId="4" quotePrefix="1" applyNumberFormat="1" applyFont="1" applyBorder="1" applyAlignment="1">
      <alignment horizontal="center"/>
    </xf>
    <xf numFmtId="173" fontId="4" fillId="0" borderId="4" xfId="4" applyNumberFormat="1" applyBorder="1"/>
    <xf numFmtId="0" fontId="15" fillId="0" borderId="36" xfId="4" applyFont="1" applyBorder="1" applyAlignment="1">
      <alignment horizontal="center"/>
    </xf>
    <xf numFmtId="173" fontId="14" fillId="0" borderId="0" xfId="7" applyNumberFormat="1" applyFont="1" applyAlignment="1">
      <alignment horizontal="center" wrapText="1"/>
    </xf>
    <xf numFmtId="0" fontId="14" fillId="0" borderId="0" xfId="4" quotePrefix="1" applyFont="1"/>
    <xf numFmtId="0" fontId="14" fillId="0" borderId="0" xfId="4" applyFont="1"/>
    <xf numFmtId="0" fontId="15" fillId="0" borderId="4" xfId="4" applyFont="1" applyBorder="1" applyAlignment="1">
      <alignment horizontal="center"/>
    </xf>
    <xf numFmtId="0" fontId="4" fillId="0" borderId="4" xfId="4" applyBorder="1" applyAlignment="1">
      <alignment horizontal="center"/>
    </xf>
    <xf numFmtId="173" fontId="15" fillId="0" borderId="4" xfId="4" applyNumberFormat="1" applyFont="1" applyBorder="1" applyAlignment="1">
      <alignment horizontal="center"/>
    </xf>
    <xf numFmtId="0" fontId="16" fillId="0" borderId="0" xfId="4" applyFont="1"/>
    <xf numFmtId="0" fontId="4" fillId="0" borderId="0" xfId="4" applyAlignment="1">
      <alignment horizontal="center" wrapText="1"/>
    </xf>
    <xf numFmtId="164" fontId="15" fillId="0" borderId="0" xfId="5" applyNumberFormat="1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5" fillId="0" borderId="0" xfId="5" applyNumberFormat="1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2" fillId="0" borderId="0" xfId="9" applyFont="1" applyAlignment="1">
      <alignment horizontal="left" vertical="center"/>
    </xf>
    <xf numFmtId="0" fontId="18" fillId="0" borderId="0" xfId="9"/>
    <xf numFmtId="0" fontId="23" fillId="3" borderId="0" xfId="9" applyFont="1" applyFill="1" applyAlignment="1">
      <alignment horizontal="left" vertical="top"/>
    </xf>
    <xf numFmtId="0" fontId="18" fillId="3" borderId="0" xfId="9" applyFill="1"/>
    <xf numFmtId="0" fontId="23" fillId="4" borderId="40" xfId="9" applyFont="1" applyFill="1" applyBorder="1" applyAlignment="1">
      <alignment horizontal="center" vertical="top"/>
    </xf>
    <xf numFmtId="0" fontId="18" fillId="4" borderId="41" xfId="9" applyFill="1" applyBorder="1"/>
    <xf numFmtId="0" fontId="25" fillId="3" borderId="45" xfId="9" applyFont="1" applyFill="1" applyBorder="1" applyAlignment="1">
      <alignment horizontal="left" vertical="top"/>
    </xf>
    <xf numFmtId="0" fontId="18" fillId="3" borderId="46" xfId="9" applyFill="1" applyBorder="1"/>
    <xf numFmtId="0" fontId="26" fillId="0" borderId="0" xfId="9" applyFont="1" applyAlignment="1">
      <alignment horizontal="left" vertical="top"/>
    </xf>
    <xf numFmtId="0" fontId="27" fillId="0" borderId="0" xfId="9" applyFont="1" applyAlignment="1">
      <alignment horizontal="right" vertical="top"/>
    </xf>
    <xf numFmtId="0" fontId="19" fillId="0" borderId="0" xfId="9" applyFont="1" applyAlignment="1">
      <alignment horizontal="center" vertical="top"/>
    </xf>
    <xf numFmtId="0" fontId="19" fillId="0" borderId="0" xfId="9" applyFont="1" applyAlignment="1">
      <alignment horizontal="left" vertical="top"/>
    </xf>
    <xf numFmtId="0" fontId="30" fillId="0" borderId="0" xfId="10" applyFont="1" applyAlignment="1">
      <alignment horizontal="left" vertical="center" wrapText="1"/>
    </xf>
    <xf numFmtId="0" fontId="29" fillId="0" borderId="0" xfId="10" applyFont="1" applyAlignment="1">
      <alignment horizontal="center"/>
    </xf>
    <xf numFmtId="49" fontId="31" fillId="0" borderId="0" xfId="10" applyNumberFormat="1" applyFont="1" applyAlignment="1">
      <alignment horizontal="center"/>
    </xf>
    <xf numFmtId="0" fontId="32" fillId="0" borderId="0" xfId="10" applyFont="1" applyAlignment="1">
      <alignment horizontal="center"/>
    </xf>
  </cellXfs>
  <cellStyles count="11">
    <cellStyle name="Comma" xfId="3" builtinId="3"/>
    <cellStyle name="Comma 2" xfId="6" xr:uid="{4809A271-895C-4F9B-A5B6-05AD996A1EDC}"/>
    <cellStyle name="Currency" xfId="1" builtinId="4"/>
    <cellStyle name="Currency 2" xfId="5" xr:uid="{B604EAFC-9187-4229-8335-CD4543F13071}"/>
    <cellStyle name="Normal" xfId="0" builtinId="0"/>
    <cellStyle name="Normal 2" xfId="9" xr:uid="{0399721D-A6BE-44B7-AEC7-283C5EB2D436}"/>
    <cellStyle name="Normal 2 2 2" xfId="4" xr:uid="{452D64D9-8606-4139-B70A-403899FD6A45}"/>
    <cellStyle name="Normal 3" xfId="7" xr:uid="{41C91C10-E426-4CAA-809E-9C3F9102DA2F}"/>
    <cellStyle name="Normal 4" xfId="10" xr:uid="{BE8323AB-D6D8-418C-A1A8-718A5ACE059B}"/>
    <cellStyle name="Percent" xfId="2" builtinId="5"/>
    <cellStyle name="Percent 2" xfId="8" xr:uid="{EB04585B-A5D7-4358-ACBD-4DD343CC64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8175" cy="638175"/>
    <xdr:pic>
      <xdr:nvPicPr>
        <xdr:cNvPr id="2" name="AEP+Enterprise+Reporting.jpg.jpeg">
          <a:extLst>
            <a:ext uri="{FF2B5EF4-FFF2-40B4-BE49-F238E27FC236}">
              <a16:creationId xmlns:a16="http://schemas.microsoft.com/office/drawing/2014/main" id="{E54B2C67-799B-463E-8FBF-711E8681C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8175" cy="6381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Rate%20Cases/KPCo/2023%20Base%20Case/JCOS/Section%20V%20Schedules%20TYE%203-31-2023%20%20INTERNAL%20-%2005-10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h 1"/>
      <sheetName val="Sch 2"/>
      <sheetName val="2 P1"/>
      <sheetName val="2 P2"/>
      <sheetName val="2 P3"/>
      <sheetName val="Sch 3"/>
      <sheetName val="3 P1"/>
      <sheetName val="3 P2"/>
      <sheetName val="3 P3"/>
      <sheetName val="Sch 4"/>
      <sheetName val="Sch 5"/>
      <sheetName val="Sch 6"/>
      <sheetName val="Sch 7"/>
      <sheetName val="Sch 8"/>
      <sheetName val="Sch 9"/>
      <sheetName val="Sch 10"/>
      <sheetName val="Allocation Factors"/>
      <sheetName val="Olive Hill - Vanceburg"/>
      <sheetName val="CWC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D12">
            <v>962401698.74372435</v>
          </cell>
        </row>
        <row r="14">
          <cell r="AD14">
            <v>95743647.998314917</v>
          </cell>
        </row>
        <row r="16">
          <cell r="AD16">
            <v>754394228.05464816</v>
          </cell>
        </row>
      </sheetData>
      <sheetData sheetId="7">
        <row r="39">
          <cell r="S39">
            <v>4.9099999999999998E-2</v>
          </cell>
        </row>
      </sheetData>
      <sheetData sheetId="8">
        <row r="41">
          <cell r="F41">
            <v>3.73E-2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F55C-C9FB-44C4-8F8B-0D30B6DA2E3F}">
  <dimension ref="A1:L43"/>
  <sheetViews>
    <sheetView showGridLines="0" tabSelected="1" zoomScale="70" zoomScaleNormal="70" workbookViewId="0">
      <selection activeCell="L16" sqref="L16"/>
    </sheetView>
  </sheetViews>
  <sheetFormatPr defaultColWidth="8.7109375" defaultRowHeight="12.75" x14ac:dyDescent="0.2"/>
  <cols>
    <col min="1" max="2" width="8.7109375" style="58"/>
    <col min="3" max="3" width="20.140625" style="58" customWidth="1"/>
    <col min="4" max="4" width="2.28515625" style="58" customWidth="1"/>
    <col min="5" max="5" width="8.140625" style="58" customWidth="1"/>
    <col min="6" max="6" width="15.28515625" style="58" customWidth="1"/>
    <col min="7" max="7" width="9.140625" style="58" customWidth="1"/>
    <col min="8" max="8" width="13.5703125" style="58" customWidth="1"/>
    <col min="9" max="9" width="15" style="58" customWidth="1"/>
    <col min="10" max="10" width="10.85546875" style="58" bestFit="1" customWidth="1"/>
    <col min="11" max="16384" width="8.7109375" style="58"/>
  </cols>
  <sheetData>
    <row r="1" spans="1:12" x14ac:dyDescent="0.2">
      <c r="A1" s="293" t="s">
        <v>166</v>
      </c>
      <c r="B1" s="293"/>
      <c r="C1" s="293"/>
      <c r="D1" s="293"/>
      <c r="E1" s="293"/>
      <c r="F1" s="293"/>
      <c r="H1" s="64" t="s">
        <v>172</v>
      </c>
    </row>
    <row r="2" spans="1:12" x14ac:dyDescent="0.2">
      <c r="A2" s="65"/>
      <c r="B2" s="65"/>
      <c r="C2" s="65"/>
      <c r="D2" s="65"/>
      <c r="E2" s="65"/>
      <c r="F2" s="65"/>
      <c r="H2" s="64"/>
    </row>
    <row r="3" spans="1:12" x14ac:dyDescent="0.2">
      <c r="A3" s="65"/>
      <c r="B3" s="65"/>
      <c r="C3" s="65"/>
      <c r="D3" s="65"/>
      <c r="E3" s="65"/>
      <c r="F3" s="65"/>
      <c r="H3" s="64"/>
    </row>
    <row r="4" spans="1:12" x14ac:dyDescent="0.2">
      <c r="C4" s="66"/>
      <c r="D4" s="66"/>
      <c r="E4" s="66"/>
      <c r="F4" s="66"/>
      <c r="G4" s="66"/>
    </row>
    <row r="5" spans="1:12" x14ac:dyDescent="0.2">
      <c r="C5" s="66"/>
      <c r="D5" s="66"/>
      <c r="E5" s="67" t="s">
        <v>26</v>
      </c>
      <c r="F5" s="66"/>
      <c r="G5" s="66"/>
    </row>
    <row r="6" spans="1:12" x14ac:dyDescent="0.2">
      <c r="C6" s="66"/>
      <c r="D6" s="66"/>
      <c r="E6" s="67"/>
      <c r="F6" s="66"/>
      <c r="G6" s="66"/>
    </row>
    <row r="7" spans="1:12" x14ac:dyDescent="0.2">
      <c r="C7" s="66"/>
      <c r="D7" s="66"/>
      <c r="E7" s="67" t="s">
        <v>198</v>
      </c>
      <c r="F7" s="66"/>
      <c r="G7" s="66"/>
    </row>
    <row r="8" spans="1:12" x14ac:dyDescent="0.2">
      <c r="C8" s="66"/>
      <c r="D8" s="66"/>
      <c r="E8" s="67"/>
      <c r="F8" s="66"/>
      <c r="G8" s="66"/>
    </row>
    <row r="9" spans="1:12" x14ac:dyDescent="0.2">
      <c r="C9" s="66"/>
      <c r="D9" s="66"/>
      <c r="E9" s="67" t="s">
        <v>173</v>
      </c>
      <c r="F9" s="66"/>
      <c r="G9" s="66"/>
    </row>
    <row r="10" spans="1:12" x14ac:dyDescent="0.2">
      <c r="C10" s="66"/>
      <c r="D10" s="66"/>
      <c r="E10" s="68"/>
      <c r="F10" s="66"/>
      <c r="G10" s="66"/>
    </row>
    <row r="11" spans="1:12" x14ac:dyDescent="0.2">
      <c r="C11" s="69" t="s">
        <v>174</v>
      </c>
      <c r="D11" s="69"/>
      <c r="F11" s="294" t="s">
        <v>175</v>
      </c>
      <c r="G11" s="295"/>
    </row>
    <row r="12" spans="1:12" x14ac:dyDescent="0.2">
      <c r="C12" s="66"/>
      <c r="D12" s="66"/>
      <c r="E12" s="66"/>
      <c r="F12" s="66"/>
      <c r="G12" s="66"/>
    </row>
    <row r="13" spans="1:12" x14ac:dyDescent="0.2">
      <c r="C13" s="66"/>
      <c r="D13" s="66"/>
      <c r="E13" s="66"/>
      <c r="F13" s="66"/>
      <c r="G13" s="66"/>
    </row>
    <row r="14" spans="1:12" ht="12.75" customHeight="1" x14ac:dyDescent="0.2">
      <c r="C14" s="66" t="s">
        <v>166</v>
      </c>
      <c r="D14" s="66"/>
      <c r="E14" s="70" t="s">
        <v>166</v>
      </c>
      <c r="F14" s="66"/>
      <c r="G14" s="70"/>
      <c r="H14" s="285"/>
      <c r="I14" s="71"/>
      <c r="J14" s="66"/>
      <c r="K14" s="70"/>
      <c r="L14" s="285"/>
    </row>
    <row r="15" spans="1:12" ht="12.75" customHeight="1" x14ac:dyDescent="0.2">
      <c r="C15" s="286" t="s">
        <v>199</v>
      </c>
      <c r="D15" s="286"/>
      <c r="E15" s="287" t="s">
        <v>176</v>
      </c>
      <c r="F15" s="72">
        <f>'DRR-Page 2'!H22</f>
        <v>1013225</v>
      </c>
      <c r="G15" s="288" t="s">
        <v>176</v>
      </c>
      <c r="H15" s="285"/>
      <c r="J15" s="73"/>
      <c r="K15" s="288"/>
      <c r="L15" s="285"/>
    </row>
    <row r="16" spans="1:12" ht="15" customHeight="1" x14ac:dyDescent="0.25">
      <c r="C16" s="286"/>
      <c r="D16" s="286"/>
      <c r="E16" s="287"/>
      <c r="F16" s="147">
        <f>'DRR-Page 2'!H23</f>
        <v>1581120</v>
      </c>
      <c r="G16" s="288"/>
      <c r="H16" s="149">
        <f>ROUND(F15/F16,2)</f>
        <v>0.64</v>
      </c>
      <c r="I16" s="74"/>
      <c r="J16" s="75"/>
      <c r="K16" s="288"/>
      <c r="L16" s="76"/>
    </row>
    <row r="17" spans="3:12" ht="15" customHeight="1" x14ac:dyDescent="0.25">
      <c r="C17" s="66"/>
      <c r="D17" s="66"/>
      <c r="E17" s="66"/>
      <c r="F17" s="77"/>
      <c r="G17" s="66"/>
      <c r="H17" s="66"/>
      <c r="I17" s="74"/>
      <c r="J17" s="76"/>
      <c r="K17" s="66"/>
      <c r="L17" s="66"/>
    </row>
    <row r="18" spans="3:12" ht="12.75" customHeight="1" x14ac:dyDescent="0.25">
      <c r="F18" s="77"/>
      <c r="G18" s="66"/>
      <c r="H18" s="66"/>
      <c r="I18" s="74"/>
      <c r="J18" s="76"/>
      <c r="K18" s="66"/>
      <c r="L18" s="66"/>
    </row>
    <row r="19" spans="3:12" ht="12.75" customHeight="1" x14ac:dyDescent="0.25">
      <c r="C19" s="286" t="s">
        <v>200</v>
      </c>
      <c r="D19" s="286"/>
      <c r="E19" s="300" t="s">
        <v>176</v>
      </c>
      <c r="F19" s="78">
        <f>'DRR-Page 2'!H43</f>
        <v>1046478</v>
      </c>
      <c r="G19" s="289" t="s">
        <v>176</v>
      </c>
      <c r="H19" s="150">
        <f>ROUND(F19/F20,2)</f>
        <v>2.76</v>
      </c>
      <c r="I19" s="74"/>
      <c r="J19" s="76"/>
      <c r="K19" s="289"/>
      <c r="L19" s="76"/>
    </row>
    <row r="20" spans="3:12" x14ac:dyDescent="0.2">
      <c r="C20" s="286"/>
      <c r="D20" s="286"/>
      <c r="E20" s="300"/>
      <c r="F20" s="148">
        <f>'DRR-Page 2'!H44</f>
        <v>378816</v>
      </c>
      <c r="G20" s="289"/>
      <c r="H20" s="66"/>
      <c r="J20" s="77"/>
      <c r="K20" s="289"/>
      <c r="L20" s="66"/>
    </row>
    <row r="21" spans="3:12" ht="20.100000000000001" customHeight="1" x14ac:dyDescent="0.2">
      <c r="C21" s="66"/>
      <c r="D21" s="66"/>
      <c r="E21" s="66"/>
      <c r="F21" s="77"/>
      <c r="G21" s="79"/>
      <c r="H21" s="64"/>
    </row>
    <row r="22" spans="3:12" x14ac:dyDescent="0.2">
      <c r="C22" s="66"/>
      <c r="D22" s="66"/>
      <c r="E22" s="66"/>
      <c r="F22" s="66"/>
      <c r="G22" s="66"/>
    </row>
    <row r="23" spans="3:12" x14ac:dyDescent="0.2">
      <c r="C23" s="66"/>
      <c r="D23" s="66"/>
      <c r="E23" s="66"/>
      <c r="F23" s="66"/>
    </row>
    <row r="24" spans="3:12" x14ac:dyDescent="0.2">
      <c r="C24" s="66"/>
      <c r="D24" s="66"/>
      <c r="E24" s="66"/>
      <c r="F24" s="66"/>
      <c r="G24" s="66"/>
    </row>
    <row r="25" spans="3:12" x14ac:dyDescent="0.2">
      <c r="C25" s="66"/>
      <c r="D25" s="66"/>
      <c r="E25" s="66"/>
      <c r="F25" s="66"/>
      <c r="G25" s="66"/>
    </row>
    <row r="26" spans="3:12" x14ac:dyDescent="0.2">
      <c r="C26" s="66"/>
      <c r="D26" s="66"/>
      <c r="E26" s="66"/>
      <c r="F26" s="66"/>
      <c r="G26" s="66"/>
    </row>
    <row r="27" spans="3:12" ht="15" customHeight="1" x14ac:dyDescent="0.2">
      <c r="C27" s="80" t="s">
        <v>177</v>
      </c>
      <c r="D27" s="66"/>
      <c r="E27" s="290" t="s">
        <v>175</v>
      </c>
      <c r="F27" s="291"/>
      <c r="G27" s="291"/>
    </row>
    <row r="28" spans="3:12" x14ac:dyDescent="0.2">
      <c r="C28" s="66"/>
      <c r="D28" s="66"/>
      <c r="E28" s="292" t="s">
        <v>308</v>
      </c>
      <c r="F28" s="292"/>
      <c r="G28" s="292"/>
    </row>
    <row r="29" spans="3:12" x14ac:dyDescent="0.2">
      <c r="C29" s="66"/>
      <c r="D29" s="66"/>
      <c r="E29" s="66"/>
      <c r="F29" s="66"/>
      <c r="G29" s="66"/>
    </row>
    <row r="30" spans="3:12" x14ac:dyDescent="0.2">
      <c r="C30" s="66"/>
      <c r="D30" s="66"/>
      <c r="E30" s="66"/>
      <c r="F30" s="66"/>
      <c r="G30" s="66"/>
    </row>
    <row r="31" spans="3:12" x14ac:dyDescent="0.2">
      <c r="C31" s="80" t="s">
        <v>178</v>
      </c>
      <c r="D31" s="66"/>
      <c r="E31" s="81"/>
      <c r="F31" s="81" t="s">
        <v>179</v>
      </c>
      <c r="G31" s="81"/>
    </row>
    <row r="32" spans="3:12" x14ac:dyDescent="0.2">
      <c r="C32" s="66"/>
      <c r="D32" s="66"/>
      <c r="E32" s="66"/>
      <c r="F32" s="80" t="s">
        <v>180</v>
      </c>
      <c r="G32" s="66"/>
    </row>
    <row r="33" spans="3:10" x14ac:dyDescent="0.2">
      <c r="C33" s="66"/>
      <c r="D33" s="66"/>
      <c r="E33" s="66"/>
      <c r="F33" s="66"/>
      <c r="G33" s="66"/>
      <c r="J33" s="82"/>
    </row>
    <row r="34" spans="3:10" x14ac:dyDescent="0.2">
      <c r="C34" s="66"/>
      <c r="D34" s="66"/>
      <c r="E34" s="66"/>
      <c r="F34" s="66"/>
      <c r="G34" s="66"/>
    </row>
    <row r="35" spans="3:10" x14ac:dyDescent="0.2">
      <c r="C35" s="80" t="s">
        <v>181</v>
      </c>
      <c r="D35" s="66"/>
      <c r="E35" s="296" t="s">
        <v>182</v>
      </c>
      <c r="F35" s="297"/>
      <c r="G35" s="297"/>
    </row>
    <row r="36" spans="3:10" x14ac:dyDescent="0.2">
      <c r="C36" s="66"/>
      <c r="D36" s="66"/>
      <c r="E36" s="66"/>
      <c r="F36" s="66"/>
      <c r="G36" s="66"/>
    </row>
    <row r="37" spans="3:10" x14ac:dyDescent="0.2">
      <c r="C37" s="66"/>
      <c r="D37" s="66"/>
      <c r="E37" s="66"/>
      <c r="F37" s="66"/>
      <c r="G37" s="66"/>
    </row>
    <row r="38" spans="3:10" x14ac:dyDescent="0.2">
      <c r="C38" s="80" t="s">
        <v>183</v>
      </c>
      <c r="D38" s="66"/>
      <c r="E38" s="298" t="s">
        <v>175</v>
      </c>
      <c r="F38" s="291"/>
      <c r="G38" s="291"/>
    </row>
    <row r="39" spans="3:10" x14ac:dyDescent="0.2">
      <c r="C39" s="66"/>
      <c r="D39" s="66"/>
      <c r="E39" s="80"/>
      <c r="F39" s="66"/>
      <c r="G39" s="66"/>
    </row>
    <row r="43" spans="3:10" x14ac:dyDescent="0.2">
      <c r="C43" s="299"/>
      <c r="D43" s="299"/>
      <c r="E43" s="299"/>
      <c r="F43" s="299"/>
      <c r="G43" s="299"/>
      <c r="H43" s="299"/>
    </row>
  </sheetData>
  <mergeCells count="17">
    <mergeCell ref="E35:G35"/>
    <mergeCell ref="E38:G38"/>
    <mergeCell ref="C43:H43"/>
    <mergeCell ref="C19:D20"/>
    <mergeCell ref="E19:E20"/>
    <mergeCell ref="G19:G20"/>
    <mergeCell ref="K19:K20"/>
    <mergeCell ref="E27:G27"/>
    <mergeCell ref="E28:G28"/>
    <mergeCell ref="A1:F1"/>
    <mergeCell ref="F11:G11"/>
    <mergeCell ref="H14:H15"/>
    <mergeCell ref="L14:L15"/>
    <mergeCell ref="C15:D16"/>
    <mergeCell ref="E15:E16"/>
    <mergeCell ref="G15:G16"/>
    <mergeCell ref="K15:K16"/>
  </mergeCells>
  <printOptions horizontalCentered="1" verticalCentered="1"/>
  <pageMargins left="1" right="0.25" top="1" bottom="0.5" header="0.5" footer="0.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BF7B-928E-4346-B657-B1BC4E804A40}">
  <dimension ref="A2:Q63"/>
  <sheetViews>
    <sheetView showGridLines="0" zoomScale="70" zoomScaleNormal="70" workbookViewId="0">
      <selection activeCell="F54" sqref="F54"/>
    </sheetView>
  </sheetViews>
  <sheetFormatPr defaultColWidth="8.7109375" defaultRowHeight="12.75" x14ac:dyDescent="0.2"/>
  <cols>
    <col min="1" max="1" width="5.7109375" style="88" customWidth="1"/>
    <col min="2" max="2" width="4.7109375" style="58" customWidth="1"/>
    <col min="3" max="3" width="8.7109375" style="58"/>
    <col min="4" max="4" width="30.140625" style="58" bestFit="1" customWidth="1"/>
    <col min="5" max="5" width="4" style="58" customWidth="1"/>
    <col min="6" max="6" width="28.85546875" style="58" bestFit="1" customWidth="1"/>
    <col min="7" max="7" width="5.28515625" style="58" customWidth="1"/>
    <col min="8" max="8" width="15.42578125" style="58" customWidth="1"/>
    <col min="9" max="9" width="5.85546875" style="58" bestFit="1" customWidth="1"/>
    <col min="10" max="10" width="6.42578125" style="58" customWidth="1"/>
    <col min="11" max="11" width="14.42578125" style="58" customWidth="1"/>
    <col min="12" max="12" width="3.7109375" style="58" customWidth="1"/>
    <col min="13" max="13" width="15" style="58" bestFit="1" customWidth="1"/>
    <col min="14" max="14" width="13.5703125" style="58" customWidth="1"/>
    <col min="15" max="15" width="8.7109375" style="58"/>
    <col min="16" max="16" width="13.42578125" style="58" bestFit="1" customWidth="1"/>
    <col min="17" max="17" width="14.42578125" style="58" bestFit="1" customWidth="1"/>
    <col min="18" max="16384" width="8.7109375" style="58"/>
  </cols>
  <sheetData>
    <row r="2" spans="1:16" x14ac:dyDescent="0.2">
      <c r="A2" s="83"/>
      <c r="B2" s="66"/>
      <c r="C2" s="66"/>
      <c r="D2" s="66"/>
      <c r="E2" s="66"/>
      <c r="F2" s="66"/>
      <c r="G2" s="66"/>
      <c r="H2" s="66"/>
      <c r="I2" s="66"/>
      <c r="J2" s="66"/>
      <c r="K2" s="64" t="s">
        <v>184</v>
      </c>
    </row>
    <row r="3" spans="1:16" x14ac:dyDescent="0.2">
      <c r="A3" s="64"/>
      <c r="B3" s="66"/>
      <c r="C3" s="66"/>
      <c r="D3" s="66"/>
      <c r="E3" s="66"/>
      <c r="F3" s="67" t="s">
        <v>26</v>
      </c>
      <c r="G3" s="66"/>
      <c r="H3" s="66"/>
      <c r="I3" s="66"/>
      <c r="J3" s="66"/>
      <c r="K3" s="66"/>
    </row>
    <row r="4" spans="1:16" x14ac:dyDescent="0.2">
      <c r="A4" s="64"/>
      <c r="B4" s="66"/>
      <c r="C4" s="66"/>
      <c r="D4" s="66"/>
      <c r="E4" s="66"/>
      <c r="F4" s="67"/>
      <c r="G4" s="66"/>
      <c r="H4" s="66"/>
      <c r="I4" s="66"/>
      <c r="J4" s="66"/>
      <c r="K4" s="66"/>
    </row>
    <row r="5" spans="1:16" x14ac:dyDescent="0.2">
      <c r="A5" s="64"/>
      <c r="B5" s="66"/>
      <c r="C5" s="66"/>
      <c r="D5" s="66"/>
      <c r="E5" s="84"/>
      <c r="F5" s="67" t="s">
        <v>198</v>
      </c>
      <c r="G5" s="66"/>
      <c r="H5" s="66"/>
      <c r="I5" s="66"/>
      <c r="J5" s="66"/>
      <c r="K5" s="66"/>
    </row>
    <row r="6" spans="1:16" x14ac:dyDescent="0.2">
      <c r="A6" s="68"/>
      <c r="B6" s="66"/>
      <c r="C6" s="66"/>
      <c r="D6" s="85"/>
      <c r="E6" s="85"/>
      <c r="G6" s="66"/>
      <c r="H6" s="66"/>
      <c r="I6" s="66"/>
      <c r="J6" s="66"/>
      <c r="K6" s="66"/>
    </row>
    <row r="7" spans="1:16" x14ac:dyDescent="0.2">
      <c r="A7" s="64"/>
      <c r="B7" s="66"/>
      <c r="C7" s="66"/>
      <c r="D7" s="68"/>
      <c r="E7" s="86" t="s">
        <v>174</v>
      </c>
      <c r="G7" s="87" t="s">
        <v>175</v>
      </c>
      <c r="H7" s="57"/>
      <c r="I7" s="57"/>
      <c r="J7" s="66"/>
      <c r="K7" s="66"/>
    </row>
    <row r="8" spans="1:16" x14ac:dyDescent="0.2">
      <c r="A8" s="64"/>
      <c r="B8" s="66"/>
      <c r="C8" s="66"/>
      <c r="D8" s="68"/>
      <c r="E8" s="68"/>
      <c r="F8" s="86"/>
      <c r="G8" s="68"/>
      <c r="H8" s="57"/>
      <c r="I8" s="57"/>
      <c r="J8" s="66"/>
      <c r="K8" s="66"/>
      <c r="M8" s="140"/>
      <c r="N8" s="140"/>
      <c r="O8" s="140"/>
      <c r="P8" s="140"/>
    </row>
    <row r="9" spans="1:16" x14ac:dyDescent="0.2">
      <c r="A9" s="64"/>
      <c r="B9" s="66"/>
      <c r="C9" s="66"/>
      <c r="D9" s="68"/>
      <c r="E9" s="68"/>
      <c r="F9" s="86"/>
      <c r="G9" s="68"/>
      <c r="H9" s="57"/>
      <c r="I9" s="57"/>
      <c r="J9" s="66"/>
      <c r="K9" s="66"/>
      <c r="M9" s="140"/>
      <c r="N9" s="140"/>
      <c r="O9" s="140"/>
      <c r="P9" s="140"/>
    </row>
    <row r="10" spans="1:16" x14ac:dyDescent="0.2">
      <c r="A10" s="64"/>
      <c r="B10" s="66"/>
      <c r="C10" s="66"/>
      <c r="D10" s="68"/>
      <c r="E10" s="68"/>
      <c r="F10" s="86"/>
      <c r="G10" s="68"/>
      <c r="H10" s="57"/>
      <c r="I10" s="57"/>
      <c r="J10" s="66"/>
      <c r="K10" s="66"/>
      <c r="M10" s="140"/>
      <c r="N10" s="140"/>
      <c r="O10" s="140"/>
      <c r="P10" s="140"/>
    </row>
    <row r="11" spans="1:16" x14ac:dyDescent="0.2">
      <c r="A11" s="64"/>
      <c r="B11" s="66"/>
      <c r="C11" s="66"/>
      <c r="D11" s="66"/>
      <c r="E11" s="66"/>
      <c r="F11" s="66"/>
      <c r="G11" s="66"/>
      <c r="H11" s="66"/>
      <c r="I11" s="66"/>
      <c r="J11" s="66"/>
      <c r="K11" s="66"/>
      <c r="M11" s="140"/>
      <c r="N11" s="140"/>
      <c r="O11" s="140"/>
      <c r="P11" s="140"/>
    </row>
    <row r="12" spans="1:16" x14ac:dyDescent="0.2">
      <c r="A12" s="64"/>
      <c r="B12" s="66"/>
      <c r="C12" s="66"/>
      <c r="D12" s="66"/>
      <c r="E12" s="66"/>
      <c r="F12" s="66"/>
      <c r="G12" s="66"/>
      <c r="H12" s="66"/>
      <c r="I12" s="66"/>
      <c r="J12" s="66"/>
      <c r="K12" s="66"/>
      <c r="M12" s="140"/>
      <c r="N12" s="140"/>
      <c r="O12" s="140"/>
      <c r="P12" s="140"/>
    </row>
    <row r="13" spans="1:16" customFormat="1" ht="12.75" customHeight="1" x14ac:dyDescent="0.25">
      <c r="A13" s="40"/>
      <c r="E13" s="302" t="s">
        <v>185</v>
      </c>
      <c r="F13" s="302"/>
      <c r="G13" s="302"/>
      <c r="J13" s="116" t="s">
        <v>166</v>
      </c>
      <c r="K13" s="117" t="s">
        <v>166</v>
      </c>
      <c r="M13" s="141"/>
      <c r="N13" s="142"/>
      <c r="O13" s="141"/>
      <c r="P13" s="141"/>
    </row>
    <row r="14" spans="1:16" customFormat="1" ht="12.75" customHeight="1" x14ac:dyDescent="0.25">
      <c r="A14" s="40"/>
      <c r="E14" s="118"/>
      <c r="F14" s="118"/>
      <c r="G14" s="118"/>
      <c r="J14" s="116"/>
      <c r="K14" s="117"/>
      <c r="M14" s="141"/>
      <c r="N14" s="142"/>
      <c r="O14" s="141"/>
      <c r="P14" s="141"/>
    </row>
    <row r="15" spans="1:16" customFormat="1" ht="12.75" customHeight="1" x14ac:dyDescent="0.25">
      <c r="A15" s="40"/>
      <c r="F15" s="118"/>
      <c r="J15" s="116"/>
      <c r="K15" s="117"/>
      <c r="M15" s="141"/>
      <c r="N15" s="141"/>
      <c r="O15" s="141"/>
      <c r="P15" s="141"/>
    </row>
    <row r="16" spans="1:16" customFormat="1" ht="12.75" customHeight="1" x14ac:dyDescent="0.25">
      <c r="A16" s="116"/>
      <c r="B16" s="119"/>
      <c r="C16" s="119"/>
      <c r="D16" s="119"/>
      <c r="E16" s="119"/>
      <c r="F16" s="129" t="s">
        <v>302</v>
      </c>
      <c r="G16" s="120"/>
      <c r="H16" s="129" t="s">
        <v>303</v>
      </c>
      <c r="I16" s="120"/>
      <c r="J16" s="116" t="s">
        <v>166</v>
      </c>
      <c r="K16" s="126" t="s">
        <v>304</v>
      </c>
      <c r="M16" s="141"/>
      <c r="N16" s="141"/>
      <c r="O16" s="141"/>
      <c r="P16" s="141"/>
    </row>
    <row r="17" spans="1:16" customFormat="1" ht="12.75" customHeight="1" x14ac:dyDescent="0.25">
      <c r="A17" s="42" t="s">
        <v>186</v>
      </c>
      <c r="B17" s="119"/>
      <c r="C17" s="119" t="s">
        <v>187</v>
      </c>
      <c r="D17" s="120"/>
      <c r="E17" s="121" t="s">
        <v>176</v>
      </c>
      <c r="F17" s="122">
        <f>'Rev Req'!B32</f>
        <v>2059703.6</v>
      </c>
      <c r="G17" s="121" t="s">
        <v>188</v>
      </c>
      <c r="H17" s="138">
        <f>Revenue!C6</f>
        <v>311197177.22000003</v>
      </c>
      <c r="I17" s="123" t="s">
        <v>189</v>
      </c>
      <c r="J17" s="124" t="s">
        <v>176</v>
      </c>
      <c r="K17" s="89">
        <f>ROUND(F17*H17/H18,0)</f>
        <v>1013225</v>
      </c>
      <c r="M17" s="141"/>
      <c r="N17" s="90"/>
      <c r="O17" s="141"/>
      <c r="P17" s="143"/>
    </row>
    <row r="18" spans="1:16" customFormat="1" ht="12.75" customHeight="1" x14ac:dyDescent="0.25">
      <c r="A18" s="116"/>
      <c r="B18" s="119"/>
      <c r="C18" s="120" t="s">
        <v>166</v>
      </c>
      <c r="D18" s="120"/>
      <c r="E18" s="121"/>
      <c r="F18" s="126"/>
      <c r="G18" s="121"/>
      <c r="H18" s="139">
        <f>Revenue!E6</f>
        <v>632607639.74999988</v>
      </c>
      <c r="I18" s="127" t="s">
        <v>166</v>
      </c>
      <c r="J18" s="128"/>
      <c r="K18" s="89"/>
      <c r="M18" s="141"/>
      <c r="N18" s="90"/>
      <c r="O18" s="144"/>
      <c r="P18" s="141"/>
    </row>
    <row r="19" spans="1:16" customFormat="1" ht="12.75" customHeight="1" x14ac:dyDescent="0.25">
      <c r="A19" s="116"/>
      <c r="B19" s="119"/>
      <c r="C19" s="120"/>
      <c r="D19" s="120"/>
      <c r="E19" s="121"/>
      <c r="F19" s="126"/>
      <c r="G19" s="121"/>
      <c r="H19" s="127"/>
      <c r="I19" s="127"/>
      <c r="J19" s="128"/>
      <c r="K19" s="89"/>
      <c r="M19" s="141"/>
      <c r="N19" s="90"/>
      <c r="O19" s="144"/>
      <c r="P19" s="141"/>
    </row>
    <row r="20" spans="1:16" customFormat="1" ht="12.75" customHeight="1" x14ac:dyDescent="0.25">
      <c r="A20" s="116"/>
      <c r="B20" s="119"/>
      <c r="C20" s="120"/>
      <c r="D20" s="120"/>
      <c r="E20" s="121"/>
      <c r="F20" s="126"/>
      <c r="G20" s="121"/>
      <c r="H20" s="91"/>
      <c r="I20" s="127"/>
      <c r="J20" s="128"/>
      <c r="K20" s="89"/>
      <c r="M20" s="141"/>
      <c r="N20" s="90"/>
      <c r="O20" s="144"/>
      <c r="P20" s="141"/>
    </row>
    <row r="21" spans="1:16" customFormat="1" ht="15" customHeight="1" x14ac:dyDescent="0.25">
      <c r="A21" s="116"/>
      <c r="B21" s="119"/>
      <c r="C21" s="119"/>
      <c r="D21" s="129"/>
      <c r="E21" s="129"/>
      <c r="F21" s="41"/>
      <c r="G21" s="120"/>
      <c r="H21" s="120"/>
      <c r="I21" s="120"/>
      <c r="J21" s="120"/>
      <c r="K21" s="117" t="s">
        <v>305</v>
      </c>
      <c r="M21" s="141"/>
      <c r="N21" s="145"/>
      <c r="O21" s="141"/>
      <c r="P21" s="141"/>
    </row>
    <row r="22" spans="1:16" customFormat="1" ht="15.75" thickBot="1" x14ac:dyDescent="0.3">
      <c r="A22" s="116" t="s">
        <v>190</v>
      </c>
      <c r="B22" s="119"/>
      <c r="D22" s="119" t="s">
        <v>191</v>
      </c>
      <c r="E22" s="130" t="s">
        <v>176</v>
      </c>
      <c r="F22" s="131" t="s">
        <v>192</v>
      </c>
      <c r="G22" s="132" t="s">
        <v>176</v>
      </c>
      <c r="H22" s="92">
        <f>K17</f>
        <v>1013225</v>
      </c>
      <c r="I22" s="120" t="s">
        <v>166</v>
      </c>
      <c r="J22" s="120" t="s">
        <v>166</v>
      </c>
      <c r="K22" s="137">
        <f>ROUND(H22/H23, 2)</f>
        <v>0.64</v>
      </c>
      <c r="M22" s="141"/>
      <c r="N22" s="93"/>
      <c r="O22" s="141"/>
      <c r="P22" s="141"/>
    </row>
    <row r="23" spans="1:16" customFormat="1" ht="15.75" thickTop="1" x14ac:dyDescent="0.25">
      <c r="A23" s="116"/>
      <c r="B23" s="119"/>
      <c r="C23" s="119"/>
      <c r="D23" s="129"/>
      <c r="E23" s="129"/>
      <c r="F23" s="129" t="s">
        <v>299</v>
      </c>
      <c r="G23" s="120"/>
      <c r="H23" s="115">
        <f>'Customer Count'!D28</f>
        <v>1581120</v>
      </c>
      <c r="I23" s="120"/>
      <c r="J23" s="120"/>
      <c r="K23" s="120"/>
      <c r="N23" s="120"/>
    </row>
    <row r="24" spans="1:16" customFormat="1" ht="15" x14ac:dyDescent="0.25">
      <c r="A24" s="116"/>
      <c r="B24" s="119"/>
      <c r="C24" s="119"/>
      <c r="D24" s="129"/>
      <c r="E24" s="129"/>
      <c r="F24" s="129"/>
      <c r="G24" s="120"/>
      <c r="H24" s="94"/>
      <c r="I24" s="120"/>
      <c r="J24" s="120"/>
      <c r="K24" s="120"/>
      <c r="N24" s="120"/>
    </row>
    <row r="25" spans="1:16" customFormat="1" ht="15" x14ac:dyDescent="0.25">
      <c r="A25" s="116"/>
      <c r="B25" s="119"/>
      <c r="C25" s="119"/>
      <c r="D25" s="129"/>
      <c r="E25" s="129"/>
      <c r="F25" s="129"/>
      <c r="G25" s="120"/>
      <c r="H25" s="94"/>
      <c r="I25" s="120"/>
      <c r="J25" s="120"/>
      <c r="K25" s="120"/>
      <c r="N25" s="120"/>
    </row>
    <row r="26" spans="1:16" customFormat="1" ht="15" x14ac:dyDescent="0.25">
      <c r="A26" s="116"/>
      <c r="B26" s="119"/>
      <c r="C26" s="119"/>
      <c r="D26" s="129"/>
      <c r="E26" s="129"/>
      <c r="F26" s="129"/>
      <c r="G26" s="120"/>
      <c r="H26" s="94"/>
      <c r="I26" s="120"/>
      <c r="J26" s="120"/>
      <c r="K26" s="120"/>
      <c r="N26" s="120"/>
    </row>
    <row r="27" spans="1:16" customFormat="1" ht="15" x14ac:dyDescent="0.25"/>
    <row r="28" spans="1:16" customFormat="1" ht="15" x14ac:dyDescent="0.25"/>
    <row r="29" spans="1:16" customFormat="1" ht="15.75" thickBot="1" x14ac:dyDescent="0.3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spans="1:16" customFormat="1" ht="15.75" thickTop="1" x14ac:dyDescent="0.25"/>
    <row r="31" spans="1:16" customFormat="1" ht="15" x14ac:dyDescent="0.25"/>
    <row r="32" spans="1:16" customFormat="1" ht="15" x14ac:dyDescent="0.25"/>
    <row r="33" spans="1:17" customFormat="1" ht="15" x14ac:dyDescent="0.25"/>
    <row r="34" spans="1:17" customFormat="1" ht="12.75" customHeight="1" x14ac:dyDescent="0.25">
      <c r="E34" s="302" t="s">
        <v>193</v>
      </c>
      <c r="F34" s="302"/>
      <c r="G34" s="302"/>
    </row>
    <row r="35" spans="1:17" customFormat="1" ht="12.75" customHeight="1" x14ac:dyDescent="0.25">
      <c r="E35" s="118"/>
      <c r="F35" s="118"/>
      <c r="G35" s="118"/>
    </row>
    <row r="36" spans="1:17" customFormat="1" ht="12.75" customHeight="1" x14ac:dyDescent="0.25"/>
    <row r="37" spans="1:17" customFormat="1" ht="15" customHeight="1" x14ac:dyDescent="0.25">
      <c r="F37" s="129" t="s">
        <v>302</v>
      </c>
      <c r="G37" s="120"/>
      <c r="H37" s="129" t="s">
        <v>310</v>
      </c>
      <c r="I37" s="120"/>
      <c r="J37" s="116" t="s">
        <v>166</v>
      </c>
      <c r="K37" s="126" t="s">
        <v>306</v>
      </c>
    </row>
    <row r="38" spans="1:17" customFormat="1" ht="15" x14ac:dyDescent="0.25">
      <c r="A38" s="42" t="s">
        <v>194</v>
      </c>
      <c r="B38" s="119"/>
      <c r="C38" s="119" t="s">
        <v>195</v>
      </c>
      <c r="D38" s="120"/>
      <c r="E38" s="303" t="s">
        <v>176</v>
      </c>
      <c r="F38" s="122">
        <f>F17</f>
        <v>2059703.6</v>
      </c>
      <c r="G38" s="303" t="s">
        <v>188</v>
      </c>
      <c r="H38" s="122">
        <f>H39-H17</f>
        <v>321410462.52999985</v>
      </c>
      <c r="I38" s="123" t="s">
        <v>189</v>
      </c>
      <c r="J38" s="304" t="s">
        <v>176</v>
      </c>
      <c r="K38" s="306">
        <f>ROUND(F38*H38/H39,0)</f>
        <v>1046478</v>
      </c>
      <c r="N38" s="301"/>
      <c r="Q38" s="125"/>
    </row>
    <row r="39" spans="1:17" customFormat="1" ht="13.5" customHeight="1" x14ac:dyDescent="0.25">
      <c r="A39" s="116"/>
      <c r="B39" s="119"/>
      <c r="C39" s="120" t="s">
        <v>166</v>
      </c>
      <c r="D39" s="120"/>
      <c r="E39" s="303"/>
      <c r="F39" s="126"/>
      <c r="G39" s="303"/>
      <c r="H39" s="127">
        <f>Revenue!E6</f>
        <v>632607639.74999988</v>
      </c>
      <c r="I39" s="127" t="s">
        <v>166</v>
      </c>
      <c r="J39" s="305"/>
      <c r="K39" s="306"/>
      <c r="N39" s="301"/>
    </row>
    <row r="40" spans="1:17" customFormat="1" ht="15" x14ac:dyDescent="0.25">
      <c r="A40" s="116"/>
      <c r="B40" s="119"/>
      <c r="C40" s="120"/>
      <c r="D40" s="120"/>
      <c r="E40" s="121"/>
      <c r="F40" s="126"/>
      <c r="G40" s="121"/>
      <c r="H40" s="127"/>
      <c r="I40" s="127"/>
      <c r="J40" s="128"/>
      <c r="K40" s="89"/>
      <c r="N40" s="90"/>
    </row>
    <row r="41" spans="1:17" customFormat="1" ht="15" x14ac:dyDescent="0.25">
      <c r="A41" s="116"/>
      <c r="B41" s="119"/>
      <c r="C41" s="120"/>
      <c r="D41" s="120"/>
      <c r="E41" s="121"/>
      <c r="F41" s="126"/>
      <c r="G41" s="121"/>
      <c r="H41" s="91"/>
      <c r="I41" s="127"/>
      <c r="J41" s="128"/>
      <c r="K41" s="89"/>
      <c r="N41" s="90"/>
    </row>
    <row r="42" spans="1:17" customFormat="1" ht="15" x14ac:dyDescent="0.25">
      <c r="A42" s="116"/>
      <c r="B42" s="119"/>
      <c r="C42" s="119"/>
      <c r="D42" s="129"/>
      <c r="E42" s="129"/>
      <c r="F42" s="41"/>
      <c r="G42" s="129"/>
      <c r="H42" s="120"/>
      <c r="I42" s="120"/>
      <c r="J42" s="120"/>
      <c r="K42" s="117" t="s">
        <v>307</v>
      </c>
      <c r="N42" s="117"/>
    </row>
    <row r="43" spans="1:17" customFormat="1" ht="15.75" thickBot="1" x14ac:dyDescent="0.3">
      <c r="A43" s="116" t="s">
        <v>196</v>
      </c>
      <c r="B43" s="119"/>
      <c r="D43" s="119" t="s">
        <v>191</v>
      </c>
      <c r="E43" s="130" t="s">
        <v>176</v>
      </c>
      <c r="F43" s="131" t="s">
        <v>197</v>
      </c>
      <c r="G43" s="130" t="s">
        <v>176</v>
      </c>
      <c r="H43" s="92">
        <f>K38</f>
        <v>1046478</v>
      </c>
      <c r="I43" s="120" t="s">
        <v>166</v>
      </c>
      <c r="J43" s="120" t="s">
        <v>166</v>
      </c>
      <c r="K43" s="136">
        <f>ROUND(H43/H44, 6)</f>
        <v>2.7624970000000002</v>
      </c>
      <c r="N43" s="93"/>
    </row>
    <row r="44" spans="1:17" customFormat="1" ht="15.75" customHeight="1" thickTop="1" x14ac:dyDescent="0.25">
      <c r="A44" s="116"/>
      <c r="B44" s="119"/>
      <c r="C44" s="119"/>
      <c r="D44" s="129"/>
      <c r="E44" s="146"/>
      <c r="F44" s="129" t="s">
        <v>301</v>
      </c>
      <c r="G44" s="146"/>
      <c r="H44" s="115">
        <f>'Customer Count'!D29</f>
        <v>378816</v>
      </c>
      <c r="I44" s="120"/>
      <c r="J44" s="120"/>
      <c r="K44" s="134"/>
    </row>
    <row r="45" spans="1:17" customFormat="1" ht="15" x14ac:dyDescent="0.25">
      <c r="E45" s="146"/>
      <c r="F45" s="146"/>
      <c r="G45" s="146"/>
    </row>
    <row r="46" spans="1:17" customFormat="1" ht="15" x14ac:dyDescent="0.25">
      <c r="E46" s="135"/>
      <c r="F46" s="135"/>
      <c r="G46" s="135"/>
    </row>
    <row r="47" spans="1:17" customFormat="1" ht="15.75" thickBot="1" x14ac:dyDescent="0.3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spans="1:17" customFormat="1" ht="15.75" thickTop="1" x14ac:dyDescent="0.25"/>
    <row r="49" s="58" customFormat="1" x14ac:dyDescent="0.2"/>
    <row r="50" s="58" customFormat="1" x14ac:dyDescent="0.2"/>
    <row r="51" s="58" customFormat="1" x14ac:dyDescent="0.2"/>
    <row r="52" s="58" customFormat="1" x14ac:dyDescent="0.2"/>
    <row r="53" s="58" customFormat="1" x14ac:dyDescent="0.2"/>
    <row r="54" s="58" customFormat="1" x14ac:dyDescent="0.2"/>
    <row r="55" s="58" customFormat="1" x14ac:dyDescent="0.2"/>
    <row r="56" s="58" customFormat="1" x14ac:dyDescent="0.2"/>
    <row r="57" s="58" customFormat="1" x14ac:dyDescent="0.2"/>
    <row r="58" s="58" customFormat="1" x14ac:dyDescent="0.2"/>
    <row r="59" s="58" customFormat="1" x14ac:dyDescent="0.2"/>
    <row r="60" s="58" customFormat="1" x14ac:dyDescent="0.2"/>
    <row r="61" s="58" customFormat="1" x14ac:dyDescent="0.2"/>
    <row r="62" s="58" customFormat="1" x14ac:dyDescent="0.2"/>
    <row r="63" s="58" customFormat="1" x14ac:dyDescent="0.2"/>
  </sheetData>
  <mergeCells count="7">
    <mergeCell ref="N38:N39"/>
    <mergeCell ref="E13:G13"/>
    <mergeCell ref="E34:G34"/>
    <mergeCell ref="E38:E39"/>
    <mergeCell ref="G38:G39"/>
    <mergeCell ref="J38:J39"/>
    <mergeCell ref="K38:K39"/>
  </mergeCells>
  <printOptions horizontalCentered="1"/>
  <pageMargins left="1" right="0.25" top="1" bottom="0.5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9"/>
  <sheetViews>
    <sheetView zoomScaleNormal="100" workbookViewId="0">
      <selection activeCell="A9" sqref="A9"/>
    </sheetView>
  </sheetViews>
  <sheetFormatPr defaultColWidth="8.7109375" defaultRowHeight="15" x14ac:dyDescent="0.25"/>
  <cols>
    <col min="1" max="1" width="48" style="1" bestFit="1" customWidth="1"/>
    <col min="2" max="2" width="12.5703125" style="1" bestFit="1" customWidth="1"/>
    <col min="3" max="5" width="15.28515625" style="1" bestFit="1" customWidth="1"/>
    <col min="6" max="7" width="13.7109375" style="1" bestFit="1" customWidth="1"/>
    <col min="8" max="19" width="13.42578125" style="1" bestFit="1" customWidth="1"/>
    <col min="20" max="22" width="13.7109375" style="1" bestFit="1" customWidth="1"/>
    <col min="23" max="33" width="14.42578125" style="1" bestFit="1" customWidth="1"/>
    <col min="34" max="34" width="17.42578125" style="1" bestFit="1" customWidth="1"/>
    <col min="35" max="35" width="14.42578125" style="1" bestFit="1" customWidth="1"/>
    <col min="36" max="36" width="10.28515625" style="1" bestFit="1" customWidth="1"/>
    <col min="37" max="16384" width="8.7109375" style="1"/>
  </cols>
  <sheetData>
    <row r="1" spans="1:35" x14ac:dyDescent="0.25">
      <c r="B1" s="7"/>
      <c r="C1" s="7"/>
      <c r="D1" s="7"/>
      <c r="E1" s="7"/>
      <c r="F1" s="7"/>
      <c r="G1" s="7"/>
    </row>
    <row r="2" spans="1:35" x14ac:dyDescent="0.25">
      <c r="B2" s="36">
        <v>2024</v>
      </c>
      <c r="C2" s="36">
        <f>B2+1</f>
        <v>2025</v>
      </c>
      <c r="D2" s="36">
        <f t="shared" ref="D2:AG2" si="0">C2+1</f>
        <v>2026</v>
      </c>
      <c r="E2" s="36">
        <f t="shared" si="0"/>
        <v>2027</v>
      </c>
      <c r="F2" s="36">
        <f t="shared" si="0"/>
        <v>2028</v>
      </c>
      <c r="G2" s="36">
        <f t="shared" si="0"/>
        <v>2029</v>
      </c>
      <c r="H2" s="36">
        <f t="shared" si="0"/>
        <v>2030</v>
      </c>
      <c r="I2" s="36">
        <f t="shared" si="0"/>
        <v>2031</v>
      </c>
      <c r="J2" s="36">
        <f t="shared" si="0"/>
        <v>2032</v>
      </c>
      <c r="K2" s="36">
        <f t="shared" si="0"/>
        <v>2033</v>
      </c>
      <c r="L2" s="36">
        <f t="shared" si="0"/>
        <v>2034</v>
      </c>
      <c r="M2" s="36">
        <f t="shared" si="0"/>
        <v>2035</v>
      </c>
      <c r="N2" s="36">
        <f t="shared" si="0"/>
        <v>2036</v>
      </c>
      <c r="O2" s="36">
        <f t="shared" si="0"/>
        <v>2037</v>
      </c>
      <c r="P2" s="36">
        <f t="shared" si="0"/>
        <v>2038</v>
      </c>
      <c r="Q2" s="36">
        <f t="shared" si="0"/>
        <v>2039</v>
      </c>
      <c r="R2" s="36">
        <f t="shared" si="0"/>
        <v>2040</v>
      </c>
      <c r="S2" s="36">
        <f t="shared" si="0"/>
        <v>2041</v>
      </c>
      <c r="T2" s="36">
        <f t="shared" si="0"/>
        <v>2042</v>
      </c>
      <c r="U2" s="36">
        <f t="shared" si="0"/>
        <v>2043</v>
      </c>
      <c r="V2" s="36">
        <f t="shared" si="0"/>
        <v>2044</v>
      </c>
      <c r="W2" s="36">
        <f t="shared" si="0"/>
        <v>2045</v>
      </c>
      <c r="X2" s="36">
        <f t="shared" si="0"/>
        <v>2046</v>
      </c>
      <c r="Y2" s="36">
        <f t="shared" si="0"/>
        <v>2047</v>
      </c>
      <c r="Z2" s="36">
        <f t="shared" si="0"/>
        <v>2048</v>
      </c>
      <c r="AA2" s="36">
        <f t="shared" si="0"/>
        <v>2049</v>
      </c>
      <c r="AB2" s="36">
        <f t="shared" si="0"/>
        <v>2050</v>
      </c>
      <c r="AC2" s="36">
        <f t="shared" si="0"/>
        <v>2051</v>
      </c>
      <c r="AD2" s="36">
        <f t="shared" si="0"/>
        <v>2052</v>
      </c>
      <c r="AE2" s="36">
        <f t="shared" si="0"/>
        <v>2053</v>
      </c>
      <c r="AF2" s="36">
        <f t="shared" si="0"/>
        <v>2054</v>
      </c>
      <c r="AG2" s="36">
        <f t="shared" si="0"/>
        <v>2055</v>
      </c>
      <c r="AH2" s="36" t="s">
        <v>3</v>
      </c>
      <c r="AI2" s="36" t="s">
        <v>20</v>
      </c>
    </row>
    <row r="3" spans="1:35" s="19" customFormat="1" x14ac:dyDescent="0.25">
      <c r="A3" s="19" t="s">
        <v>424</v>
      </c>
      <c r="B3" s="20">
        <f>'DRR Projects'!F3</f>
        <v>12000000</v>
      </c>
      <c r="C3" s="20">
        <f>'DRR Projects'!G3</f>
        <v>12000000</v>
      </c>
      <c r="D3" s="20">
        <f>'DRR Projects'!H3</f>
        <v>12000000</v>
      </c>
      <c r="E3" s="20">
        <f>'DRR Projects'!I3</f>
        <v>12000000</v>
      </c>
      <c r="F3" s="20">
        <f>'DRR Projects'!J3</f>
        <v>12000000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183">
        <f>SUM(B3:AG3)</f>
        <v>60000000</v>
      </c>
      <c r="AI3" s="21"/>
    </row>
    <row r="4" spans="1:35" s="19" customFormat="1" x14ac:dyDescent="0.25">
      <c r="A4" s="19" t="s">
        <v>425</v>
      </c>
      <c r="B4" s="20">
        <f>'DRR Projects'!F4</f>
        <v>1000000</v>
      </c>
      <c r="C4" s="20">
        <f>'DRR Projects'!G4</f>
        <v>3325000</v>
      </c>
      <c r="D4" s="20">
        <f>'DRR Projects'!H4</f>
        <v>3192000</v>
      </c>
      <c r="E4" s="20">
        <f>'DRR Projects'!I4</f>
        <v>1463000</v>
      </c>
      <c r="F4" s="20">
        <f>'DRR Projects'!J4</f>
        <v>1600000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183">
        <f>SUM(B4:AG4)</f>
        <v>10580000</v>
      </c>
      <c r="AI4" s="21"/>
    </row>
    <row r="5" spans="1:35" s="19" customFormat="1" x14ac:dyDescent="0.25">
      <c r="A5" s="19" t="s">
        <v>426</v>
      </c>
      <c r="B5" s="20">
        <f>'DRR Projects'!F5</f>
        <v>1000000</v>
      </c>
      <c r="C5" s="20">
        <f>'DRR Projects'!G5</f>
        <v>4003300</v>
      </c>
      <c r="D5" s="20">
        <f>'DRR Projects'!H5</f>
        <v>8911000</v>
      </c>
      <c r="E5" s="20">
        <f>'DRR Projects'!I5</f>
        <v>0</v>
      </c>
      <c r="F5" s="20">
        <f>'DRR Projects'!J5</f>
        <v>13898500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183">
        <f>SUM(B5:AG5)</f>
        <v>27812800</v>
      </c>
      <c r="AI5" s="21"/>
    </row>
    <row r="6" spans="1:35" s="19" customFormat="1" x14ac:dyDescent="0.25">
      <c r="A6" s="196" t="s">
        <v>419</v>
      </c>
      <c r="B6" s="20">
        <f>SUM(B3:B5)</f>
        <v>14000000</v>
      </c>
      <c r="C6" s="20">
        <f t="shared" ref="C6:AG6" si="1">SUM(C3:C5)</f>
        <v>19328300</v>
      </c>
      <c r="D6" s="20">
        <f t="shared" si="1"/>
        <v>24103000</v>
      </c>
      <c r="E6" s="20">
        <f t="shared" si="1"/>
        <v>13463000</v>
      </c>
      <c r="F6" s="20">
        <f t="shared" si="1"/>
        <v>27498500</v>
      </c>
      <c r="G6" s="20">
        <f t="shared" si="1"/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20">
        <f t="shared" si="1"/>
        <v>0</v>
      </c>
      <c r="U6" s="20">
        <f t="shared" si="1"/>
        <v>0</v>
      </c>
      <c r="V6" s="20">
        <f t="shared" si="1"/>
        <v>0</v>
      </c>
      <c r="W6" s="20">
        <f t="shared" si="1"/>
        <v>0</v>
      </c>
      <c r="X6" s="20">
        <f t="shared" si="1"/>
        <v>0</v>
      </c>
      <c r="Y6" s="20">
        <f t="shared" si="1"/>
        <v>0</v>
      </c>
      <c r="Z6" s="20">
        <f t="shared" si="1"/>
        <v>0</v>
      </c>
      <c r="AA6" s="20">
        <f t="shared" si="1"/>
        <v>0</v>
      </c>
      <c r="AB6" s="20">
        <f t="shared" si="1"/>
        <v>0</v>
      </c>
      <c r="AC6" s="20">
        <f t="shared" si="1"/>
        <v>0</v>
      </c>
      <c r="AD6" s="20">
        <f t="shared" si="1"/>
        <v>0</v>
      </c>
      <c r="AE6" s="20">
        <f t="shared" si="1"/>
        <v>0</v>
      </c>
      <c r="AF6" s="20">
        <f t="shared" si="1"/>
        <v>0</v>
      </c>
      <c r="AG6" s="20">
        <f t="shared" si="1"/>
        <v>0</v>
      </c>
      <c r="AH6" s="20">
        <f>SUM(AH3:AH5)</f>
        <v>98392800</v>
      </c>
      <c r="AI6" s="21"/>
    </row>
    <row r="7" spans="1:35" s="19" customFormat="1" x14ac:dyDescent="0.25">
      <c r="A7" s="19" t="s">
        <v>427</v>
      </c>
      <c r="B7" s="20">
        <f>'DRR Projects'!F6</f>
        <v>3000000</v>
      </c>
      <c r="C7" s="20">
        <f>'DRR Projects'!G6</f>
        <v>11970000</v>
      </c>
      <c r="D7" s="20">
        <f>'DRR Projects'!H6</f>
        <v>4788000</v>
      </c>
      <c r="E7" s="20">
        <f>'DRR Projects'!I6</f>
        <v>22610000</v>
      </c>
      <c r="F7" s="20">
        <f>'DRR Projects'!J6</f>
        <v>10108000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183">
        <f>SUM(B7:AG7)</f>
        <v>52476000</v>
      </c>
      <c r="AI7" s="21"/>
    </row>
    <row r="8" spans="1:35" s="19" customFormat="1" x14ac:dyDescent="0.25">
      <c r="A8" s="19" t="s">
        <v>428</v>
      </c>
      <c r="B8" s="20">
        <f>'DRR Projects'!F7</f>
        <v>2000000</v>
      </c>
      <c r="C8" s="20">
        <f>'DRR Projects'!G7</f>
        <v>3990000</v>
      </c>
      <c r="D8" s="20">
        <f>'DRR Projects'!H7</f>
        <v>3990000</v>
      </c>
      <c r="E8" s="20">
        <f>'DRR Projects'!I7</f>
        <v>2660000</v>
      </c>
      <c r="F8" s="20">
        <f>'DRR Projects'!J7</f>
        <v>2400000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183">
        <f>SUM(B8:AG8)</f>
        <v>15040000</v>
      </c>
      <c r="AI8" s="21"/>
    </row>
    <row r="9" spans="1:35" s="19" customFormat="1" x14ac:dyDescent="0.25">
      <c r="A9" s="196" t="s">
        <v>420</v>
      </c>
      <c r="B9" s="20">
        <f>SUM(B7:B8)</f>
        <v>5000000</v>
      </c>
      <c r="C9" s="20">
        <f t="shared" ref="C9:AH9" si="2">SUM(C7:C8)</f>
        <v>15960000</v>
      </c>
      <c r="D9" s="20">
        <f t="shared" si="2"/>
        <v>8778000</v>
      </c>
      <c r="E9" s="20">
        <f t="shared" si="2"/>
        <v>25270000</v>
      </c>
      <c r="F9" s="20">
        <f t="shared" si="2"/>
        <v>12508000</v>
      </c>
      <c r="G9" s="20">
        <f t="shared" si="2"/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0</v>
      </c>
      <c r="U9" s="20">
        <f t="shared" si="2"/>
        <v>0</v>
      </c>
      <c r="V9" s="20">
        <f t="shared" si="2"/>
        <v>0</v>
      </c>
      <c r="W9" s="20">
        <f t="shared" si="2"/>
        <v>0</v>
      </c>
      <c r="X9" s="20">
        <f t="shared" si="2"/>
        <v>0</v>
      </c>
      <c r="Y9" s="20">
        <f t="shared" si="2"/>
        <v>0</v>
      </c>
      <c r="Z9" s="20">
        <f t="shared" si="2"/>
        <v>0</v>
      </c>
      <c r="AA9" s="20">
        <f t="shared" si="2"/>
        <v>0</v>
      </c>
      <c r="AB9" s="20">
        <f t="shared" si="2"/>
        <v>0</v>
      </c>
      <c r="AC9" s="20">
        <f t="shared" si="2"/>
        <v>0</v>
      </c>
      <c r="AD9" s="20">
        <f t="shared" si="2"/>
        <v>0</v>
      </c>
      <c r="AE9" s="20">
        <f t="shared" si="2"/>
        <v>0</v>
      </c>
      <c r="AF9" s="20">
        <f t="shared" si="2"/>
        <v>0</v>
      </c>
      <c r="AG9" s="20">
        <f t="shared" si="2"/>
        <v>0</v>
      </c>
      <c r="AH9" s="20">
        <f t="shared" si="2"/>
        <v>67516000</v>
      </c>
      <c r="AI9" s="21"/>
    </row>
    <row r="10" spans="1:35" x14ac:dyDescent="0.25">
      <c r="A10" s="1" t="s">
        <v>421</v>
      </c>
      <c r="B10" s="2">
        <f>B9+B6</f>
        <v>19000000</v>
      </c>
      <c r="C10" s="2">
        <f>C9+C6+B10</f>
        <v>54288300</v>
      </c>
      <c r="D10" s="2">
        <f t="shared" ref="D10:F10" si="3">D9+D6+C10</f>
        <v>87169300</v>
      </c>
      <c r="E10" s="2">
        <f t="shared" si="3"/>
        <v>125902300</v>
      </c>
      <c r="F10" s="2">
        <f t="shared" si="3"/>
        <v>165908800</v>
      </c>
      <c r="G10" s="2">
        <f>F10</f>
        <v>165908800</v>
      </c>
      <c r="H10" s="2">
        <f t="shared" ref="H10:AG10" si="4">G10</f>
        <v>165908800</v>
      </c>
      <c r="I10" s="2">
        <f t="shared" si="4"/>
        <v>165908800</v>
      </c>
      <c r="J10" s="2">
        <f t="shared" si="4"/>
        <v>165908800</v>
      </c>
      <c r="K10" s="2">
        <f t="shared" si="4"/>
        <v>165908800</v>
      </c>
      <c r="L10" s="2">
        <f t="shared" si="4"/>
        <v>165908800</v>
      </c>
      <c r="M10" s="2">
        <f t="shared" si="4"/>
        <v>165908800</v>
      </c>
      <c r="N10" s="2">
        <f t="shared" si="4"/>
        <v>165908800</v>
      </c>
      <c r="O10" s="2">
        <f t="shared" si="4"/>
        <v>165908800</v>
      </c>
      <c r="P10" s="2">
        <f t="shared" si="4"/>
        <v>165908800</v>
      </c>
      <c r="Q10" s="2">
        <f t="shared" si="4"/>
        <v>165908800</v>
      </c>
      <c r="R10" s="2">
        <f t="shared" si="4"/>
        <v>165908800</v>
      </c>
      <c r="S10" s="2">
        <f t="shared" si="4"/>
        <v>165908800</v>
      </c>
      <c r="T10" s="2">
        <f t="shared" si="4"/>
        <v>165908800</v>
      </c>
      <c r="U10" s="2">
        <f t="shared" si="4"/>
        <v>165908800</v>
      </c>
      <c r="V10" s="2">
        <f t="shared" si="4"/>
        <v>165908800</v>
      </c>
      <c r="W10" s="2">
        <f t="shared" si="4"/>
        <v>165908800</v>
      </c>
      <c r="X10" s="2">
        <f t="shared" si="4"/>
        <v>165908800</v>
      </c>
      <c r="Y10" s="2">
        <f t="shared" si="4"/>
        <v>165908800</v>
      </c>
      <c r="Z10" s="2">
        <f t="shared" si="4"/>
        <v>165908800</v>
      </c>
      <c r="AA10" s="2">
        <f t="shared" si="4"/>
        <v>165908800</v>
      </c>
      <c r="AB10" s="2">
        <f t="shared" si="4"/>
        <v>165908800</v>
      </c>
      <c r="AC10" s="2">
        <f t="shared" si="4"/>
        <v>165908800</v>
      </c>
      <c r="AD10" s="2">
        <f t="shared" si="4"/>
        <v>165908800</v>
      </c>
      <c r="AE10" s="2">
        <f t="shared" si="4"/>
        <v>165908800</v>
      </c>
      <c r="AF10" s="2">
        <f t="shared" si="4"/>
        <v>165908800</v>
      </c>
      <c r="AG10" s="2">
        <f t="shared" si="4"/>
        <v>165908800</v>
      </c>
      <c r="AH10" s="184">
        <f>AH9+AH6</f>
        <v>165908800</v>
      </c>
      <c r="AI10" s="2">
        <f>AH10-SUM(B6:AG6)-SUM(B9:AG9)</f>
        <v>0</v>
      </c>
    </row>
    <row r="11" spans="1:35" x14ac:dyDescent="0.25">
      <c r="A11" s="5" t="s">
        <v>16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185">
        <f>SUM(B11:AC11)</f>
        <v>0</v>
      </c>
      <c r="AI11" s="6">
        <f>AH11-SUM(B11:T11)</f>
        <v>0</v>
      </c>
    </row>
    <row r="12" spans="1:35" x14ac:dyDescent="0.25">
      <c r="A12" s="1" t="s">
        <v>17</v>
      </c>
      <c r="B12" s="2">
        <f>SUM(B10:B11)</f>
        <v>19000000</v>
      </c>
      <c r="C12" s="2">
        <f t="shared" ref="C12:E12" si="5">SUM(C10:C11)</f>
        <v>54288300</v>
      </c>
      <c r="D12" s="2">
        <f t="shared" si="5"/>
        <v>87169300</v>
      </c>
      <c r="E12" s="2">
        <f t="shared" si="5"/>
        <v>125902300</v>
      </c>
      <c r="F12" s="2">
        <f>SUM(F10:F11)</f>
        <v>165908800</v>
      </c>
      <c r="G12" s="2">
        <f>SUM(G10:G11)</f>
        <v>165908800</v>
      </c>
      <c r="H12" s="2">
        <f t="shared" ref="H12" si="6">SUM(H10:H11)</f>
        <v>165908800</v>
      </c>
      <c r="I12" s="2">
        <f t="shared" ref="I12" si="7">SUM(I10:I11)</f>
        <v>165908800</v>
      </c>
      <c r="J12" s="2">
        <f t="shared" ref="J12:K12" si="8">SUM(J10:J11)</f>
        <v>165908800</v>
      </c>
      <c r="K12" s="2">
        <f t="shared" si="8"/>
        <v>165908800</v>
      </c>
      <c r="L12" s="2">
        <f t="shared" ref="L12" si="9">SUM(L10:L11)</f>
        <v>165908800</v>
      </c>
      <c r="M12" s="2">
        <f t="shared" ref="M12" si="10">SUM(M10:M11)</f>
        <v>165908800</v>
      </c>
      <c r="N12" s="2">
        <f t="shared" ref="N12" si="11">SUM(N10:N11)</f>
        <v>165908800</v>
      </c>
      <c r="O12" s="2">
        <f t="shared" ref="O12" si="12">SUM(O10:O11)</f>
        <v>165908800</v>
      </c>
      <c r="P12" s="2">
        <f t="shared" ref="P12" si="13">SUM(P10:P11)</f>
        <v>165908800</v>
      </c>
      <c r="Q12" s="2">
        <f t="shared" ref="Q12" si="14">SUM(Q10:Q11)</f>
        <v>165908800</v>
      </c>
      <c r="R12" s="2">
        <f t="shared" ref="R12" si="15">SUM(R10:R11)</f>
        <v>165908800</v>
      </c>
      <c r="S12" s="2">
        <f t="shared" ref="S12:T12" si="16">SUM(S10:S11)</f>
        <v>165908800</v>
      </c>
      <c r="T12" s="2">
        <f t="shared" si="16"/>
        <v>165908800</v>
      </c>
      <c r="U12" s="2">
        <f t="shared" ref="U12:AC12" si="17">SUM(U10:U11)</f>
        <v>165908800</v>
      </c>
      <c r="V12" s="2">
        <f t="shared" si="17"/>
        <v>165908800</v>
      </c>
      <c r="W12" s="2">
        <f t="shared" si="17"/>
        <v>165908800</v>
      </c>
      <c r="X12" s="2">
        <f t="shared" si="17"/>
        <v>165908800</v>
      </c>
      <c r="Y12" s="2">
        <f t="shared" si="17"/>
        <v>165908800</v>
      </c>
      <c r="Z12" s="2">
        <f t="shared" si="17"/>
        <v>165908800</v>
      </c>
      <c r="AA12" s="2">
        <f t="shared" si="17"/>
        <v>165908800</v>
      </c>
      <c r="AB12" s="2">
        <f t="shared" si="17"/>
        <v>165908800</v>
      </c>
      <c r="AC12" s="2">
        <f t="shared" si="17"/>
        <v>165908800</v>
      </c>
      <c r="AD12" s="2">
        <f t="shared" ref="AD12:AG12" si="18">SUM(AD10:AD11)</f>
        <v>165908800</v>
      </c>
      <c r="AE12" s="2">
        <f t="shared" si="18"/>
        <v>165908800</v>
      </c>
      <c r="AF12" s="2">
        <f t="shared" si="18"/>
        <v>165908800</v>
      </c>
      <c r="AG12" s="2">
        <f t="shared" si="18"/>
        <v>165908800</v>
      </c>
      <c r="AH12" s="2">
        <f>SUM(AH10:AH11)</f>
        <v>165908800</v>
      </c>
      <c r="AI12" s="2"/>
    </row>
    <row r="13" spans="1:35" x14ac:dyDescent="0.25">
      <c r="A13" s="198" t="s">
        <v>423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25">
      <c r="A14" s="19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5">
      <c r="A15" s="1" t="s">
        <v>422</v>
      </c>
      <c r="B15" s="2">
        <f>B12-B16</f>
        <v>18300000</v>
      </c>
      <c r="C15" s="2">
        <f t="shared" ref="C15:AG15" si="19">C12-C16</f>
        <v>51559603.571428575</v>
      </c>
      <c r="D15" s="2">
        <f t="shared" si="19"/>
        <v>81199965.714285716</v>
      </c>
      <c r="E15" s="2">
        <f t="shared" si="19"/>
        <v>115200706.42857143</v>
      </c>
      <c r="F15" s="2">
        <f t="shared" si="19"/>
        <v>148992537.85714287</v>
      </c>
      <c r="G15" s="2">
        <f t="shared" si="19"/>
        <v>142777869.2857143</v>
      </c>
      <c r="H15" s="2">
        <f t="shared" si="19"/>
        <v>136563200.71428573</v>
      </c>
      <c r="I15" s="2">
        <f t="shared" si="19"/>
        <v>130348532.14285715</v>
      </c>
      <c r="J15" s="2">
        <f t="shared" si="19"/>
        <v>124133863.57142858</v>
      </c>
      <c r="K15" s="2">
        <f t="shared" si="19"/>
        <v>117919195.00000001</v>
      </c>
      <c r="L15" s="2">
        <f t="shared" si="19"/>
        <v>111704526.42857145</v>
      </c>
      <c r="M15" s="2">
        <f t="shared" si="19"/>
        <v>105489857.85714288</v>
      </c>
      <c r="N15" s="2">
        <f t="shared" si="19"/>
        <v>99275189.285714313</v>
      </c>
      <c r="O15" s="2">
        <f t="shared" si="19"/>
        <v>93060520.714285746</v>
      </c>
      <c r="P15" s="2">
        <f t="shared" si="19"/>
        <v>86845852.142857179</v>
      </c>
      <c r="Q15" s="2">
        <f t="shared" si="19"/>
        <v>80631183.571428612</v>
      </c>
      <c r="R15" s="2">
        <f t="shared" si="19"/>
        <v>74416515.000000045</v>
      </c>
      <c r="S15" s="2">
        <f t="shared" si="19"/>
        <v>68201846.428571478</v>
      </c>
      <c r="T15" s="2">
        <f t="shared" si="19"/>
        <v>61987177.85714291</v>
      </c>
      <c r="U15" s="2">
        <f t="shared" si="19"/>
        <v>55772509.285714343</v>
      </c>
      <c r="V15" s="2">
        <f t="shared" si="19"/>
        <v>49557840.714285776</v>
      </c>
      <c r="W15" s="2">
        <f t="shared" si="19"/>
        <v>43343172.142857209</v>
      </c>
      <c r="X15" s="2">
        <f t="shared" si="19"/>
        <v>37128503.571428642</v>
      </c>
      <c r="Y15" s="2">
        <f t="shared" si="19"/>
        <v>30913835.00000006</v>
      </c>
      <c r="Z15" s="2">
        <f t="shared" si="19"/>
        <v>24699166.428571492</v>
      </c>
      <c r="AA15" s="2">
        <f t="shared" si="19"/>
        <v>18684497.857142925</v>
      </c>
      <c r="AB15" s="2">
        <f t="shared" si="19"/>
        <v>13308229.285714358</v>
      </c>
      <c r="AC15" s="2">
        <f t="shared" si="19"/>
        <v>8283080.7142857909</v>
      </c>
      <c r="AD15" s="2">
        <f t="shared" si="19"/>
        <v>4768732.1428572237</v>
      </c>
      <c r="AE15" s="2">
        <f t="shared" si="19"/>
        <v>2445000.0000000894</v>
      </c>
      <c r="AF15" s="2">
        <f t="shared" si="19"/>
        <v>982089.28571438789</v>
      </c>
      <c r="AG15" s="2">
        <f t="shared" si="19"/>
        <v>0</v>
      </c>
      <c r="AH15" s="2">
        <f>AG15</f>
        <v>0</v>
      </c>
      <c r="AI15" s="2"/>
    </row>
    <row r="16" spans="1:35" x14ac:dyDescent="0.25">
      <c r="A16" s="3" t="s">
        <v>4</v>
      </c>
      <c r="B16" s="4">
        <f>B26</f>
        <v>700000</v>
      </c>
      <c r="C16" s="4">
        <f>B16+C26</f>
        <v>2728696.4285714286</v>
      </c>
      <c r="D16" s="4">
        <f t="shared" ref="D16:AG16" si="20">C16+D26</f>
        <v>5969334.2857142854</v>
      </c>
      <c r="E16" s="4">
        <f t="shared" si="20"/>
        <v>10701593.571428571</v>
      </c>
      <c r="F16" s="4">
        <f t="shared" si="20"/>
        <v>16916262.142857142</v>
      </c>
      <c r="G16" s="4">
        <f t="shared" si="20"/>
        <v>23130930.714285713</v>
      </c>
      <c r="H16" s="4">
        <f t="shared" si="20"/>
        <v>29345599.285714284</v>
      </c>
      <c r="I16" s="4">
        <f t="shared" si="20"/>
        <v>35560267.857142851</v>
      </c>
      <c r="J16" s="4">
        <f t="shared" si="20"/>
        <v>41774936.428571418</v>
      </c>
      <c r="K16" s="4">
        <f t="shared" si="20"/>
        <v>47989604.999999985</v>
      </c>
      <c r="L16" s="4">
        <f t="shared" si="20"/>
        <v>54204273.571428552</v>
      </c>
      <c r="M16" s="4">
        <f t="shared" si="20"/>
        <v>60418942.142857119</v>
      </c>
      <c r="N16" s="4">
        <f t="shared" si="20"/>
        <v>66633610.714285687</v>
      </c>
      <c r="O16" s="4">
        <f t="shared" si="20"/>
        <v>72848279.285714254</v>
      </c>
      <c r="P16" s="4">
        <f t="shared" si="20"/>
        <v>79062947.857142821</v>
      </c>
      <c r="Q16" s="4">
        <f t="shared" si="20"/>
        <v>85277616.428571388</v>
      </c>
      <c r="R16" s="4">
        <f t="shared" si="20"/>
        <v>91492284.999999955</v>
      </c>
      <c r="S16" s="4">
        <f t="shared" si="20"/>
        <v>97706953.571428522</v>
      </c>
      <c r="T16" s="4">
        <f t="shared" si="20"/>
        <v>103921622.14285709</v>
      </c>
      <c r="U16" s="4">
        <f t="shared" si="20"/>
        <v>110136290.71428566</v>
      </c>
      <c r="V16" s="4">
        <f t="shared" si="20"/>
        <v>116350959.28571422</v>
      </c>
      <c r="W16" s="4">
        <f t="shared" si="20"/>
        <v>122565627.85714279</v>
      </c>
      <c r="X16" s="4">
        <f t="shared" si="20"/>
        <v>128780296.42857136</v>
      </c>
      <c r="Y16" s="4">
        <f t="shared" si="20"/>
        <v>134994964.99999994</v>
      </c>
      <c r="Z16" s="4">
        <f t="shared" si="20"/>
        <v>141209633.57142851</v>
      </c>
      <c r="AA16" s="4">
        <f t="shared" si="20"/>
        <v>147224302.14285707</v>
      </c>
      <c r="AB16" s="4">
        <f t="shared" si="20"/>
        <v>152600570.71428564</v>
      </c>
      <c r="AC16" s="4">
        <f t="shared" si="20"/>
        <v>157625719.28571421</v>
      </c>
      <c r="AD16" s="4">
        <f t="shared" si="20"/>
        <v>161140067.85714278</v>
      </c>
      <c r="AE16" s="4">
        <f t="shared" si="20"/>
        <v>163463799.99999991</v>
      </c>
      <c r="AF16" s="4">
        <f t="shared" si="20"/>
        <v>164926710.71428561</v>
      </c>
      <c r="AG16" s="4">
        <f t="shared" si="20"/>
        <v>165908799.99999991</v>
      </c>
      <c r="AH16" s="2">
        <f>AG16</f>
        <v>165908799.99999991</v>
      </c>
      <c r="AI16" s="4"/>
    </row>
    <row r="17" spans="1:36" x14ac:dyDescent="0.25">
      <c r="A17" s="5" t="s">
        <v>5</v>
      </c>
      <c r="B17" s="6">
        <f t="shared" ref="B17:T17" si="21">B46+B59</f>
        <v>252000</v>
      </c>
      <c r="C17" s="6">
        <f t="shared" si="21"/>
        <v>1285228.0499999998</v>
      </c>
      <c r="D17" s="6">
        <f>D46+D59</f>
        <v>3203652.84</v>
      </c>
      <c r="E17" s="6">
        <f t="shared" si="21"/>
        <v>5792939.3819999993</v>
      </c>
      <c r="F17" s="6">
        <f t="shared" si="21"/>
        <v>9007996.875599999</v>
      </c>
      <c r="G17" s="6">
        <f t="shared" si="21"/>
        <v>12159220.312199999</v>
      </c>
      <c r="H17" s="6">
        <f t="shared" si="21"/>
        <v>14445109.149299998</v>
      </c>
      <c r="I17" s="6">
        <f t="shared" si="21"/>
        <v>16113449.146799998</v>
      </c>
      <c r="J17" s="6">
        <f t="shared" si="21"/>
        <v>17381857.962299999</v>
      </c>
      <c r="K17" s="6">
        <f t="shared" si="21"/>
        <v>18428485.353599999</v>
      </c>
      <c r="L17" s="6">
        <f t="shared" si="21"/>
        <v>19275697.998599999</v>
      </c>
      <c r="M17" s="6">
        <f t="shared" si="21"/>
        <v>19749836.7795</v>
      </c>
      <c r="N17" s="6">
        <f t="shared" si="21"/>
        <v>19755142.666500002</v>
      </c>
      <c r="O17" s="6">
        <f t="shared" si="21"/>
        <v>19267144.578000002</v>
      </c>
      <c r="P17" s="6">
        <f t="shared" si="21"/>
        <v>18237628.950000003</v>
      </c>
      <c r="Q17" s="6">
        <f t="shared" si="21"/>
        <v>16932548.550000004</v>
      </c>
      <c r="R17" s="6">
        <f t="shared" si="21"/>
        <v>15627468.150000004</v>
      </c>
      <c r="S17" s="6">
        <f t="shared" si="21"/>
        <v>14322387.750000004</v>
      </c>
      <c r="T17" s="6">
        <f t="shared" si="21"/>
        <v>13017307.350000003</v>
      </c>
      <c r="U17" s="6">
        <f t="shared" ref="U17:AC17" si="22">U46+U59</f>
        <v>11712226.950000003</v>
      </c>
      <c r="V17" s="6">
        <f t="shared" si="22"/>
        <v>10407146.550000003</v>
      </c>
      <c r="W17" s="6">
        <f t="shared" si="22"/>
        <v>9102066.1500000022</v>
      </c>
      <c r="X17" s="6">
        <f t="shared" si="22"/>
        <v>7796985.7500000019</v>
      </c>
      <c r="Y17" s="6">
        <f t="shared" si="22"/>
        <v>6491905.3500000015</v>
      </c>
      <c r="Z17" s="6">
        <f t="shared" si="22"/>
        <v>5186824.9500000011</v>
      </c>
      <c r="AA17" s="6">
        <f t="shared" si="22"/>
        <v>3923744.5500000012</v>
      </c>
      <c r="AB17" s="6">
        <f t="shared" si="22"/>
        <v>2794728.1500000013</v>
      </c>
      <c r="AC17" s="6">
        <f t="shared" si="22"/>
        <v>1739446.9500000014</v>
      </c>
      <c r="AD17" s="6">
        <f t="shared" ref="AD17:AG17" si="23">AD46+AD59</f>
        <v>1001433.7500000014</v>
      </c>
      <c r="AE17" s="6">
        <f t="shared" si="23"/>
        <v>513450.00000000146</v>
      </c>
      <c r="AF17" s="6">
        <f t="shared" si="23"/>
        <v>206238.75000000146</v>
      </c>
      <c r="AG17" s="6">
        <f t="shared" si="23"/>
        <v>1.4842953532934189E-9</v>
      </c>
      <c r="AH17" s="6">
        <f>AG17</f>
        <v>1.4842953532934189E-9</v>
      </c>
      <c r="AI17" s="6"/>
    </row>
    <row r="18" spans="1:36" s="5" customFormat="1" x14ac:dyDescent="0.25">
      <c r="A18" s="5" t="s">
        <v>6</v>
      </c>
      <c r="B18" s="6">
        <f>B15-B17</f>
        <v>18048000</v>
      </c>
      <c r="C18" s="6">
        <f t="shared" ref="C18:R18" si="24">C15-C17</f>
        <v>50274375.521428578</v>
      </c>
      <c r="D18" s="6">
        <f t="shared" si="24"/>
        <v>77996312.874285713</v>
      </c>
      <c r="E18" s="6">
        <f t="shared" si="24"/>
        <v>109407767.04657143</v>
      </c>
      <c r="F18" s="6">
        <f t="shared" si="24"/>
        <v>139984540.98154286</v>
      </c>
      <c r="G18" s="6">
        <f>G15-G17</f>
        <v>130618648.9735143</v>
      </c>
      <c r="H18" s="6">
        <f t="shared" si="24"/>
        <v>122118091.56498574</v>
      </c>
      <c r="I18" s="6">
        <f t="shared" si="24"/>
        <v>114235082.99605715</v>
      </c>
      <c r="J18" s="6">
        <f t="shared" si="24"/>
        <v>106752005.60912858</v>
      </c>
      <c r="K18" s="6">
        <f t="shared" si="24"/>
        <v>99490709.64640002</v>
      </c>
      <c r="L18" s="6">
        <f t="shared" si="24"/>
        <v>92428828.429971457</v>
      </c>
      <c r="M18" s="6">
        <f t="shared" si="24"/>
        <v>85740021.077642888</v>
      </c>
      <c r="N18" s="6">
        <f t="shared" si="24"/>
        <v>79520046.619214311</v>
      </c>
      <c r="O18" s="6">
        <f t="shared" si="24"/>
        <v>73793376.136285752</v>
      </c>
      <c r="P18" s="6">
        <f t="shared" si="24"/>
        <v>68608223.192857176</v>
      </c>
      <c r="Q18" s="6">
        <f t="shared" si="24"/>
        <v>63698635.021428607</v>
      </c>
      <c r="R18" s="6">
        <f t="shared" si="24"/>
        <v>58789046.850000039</v>
      </c>
      <c r="S18" s="6">
        <f t="shared" ref="S18:T18" si="25">S15-S17</f>
        <v>53879458.678571478</v>
      </c>
      <c r="T18" s="6">
        <f t="shared" si="25"/>
        <v>48969870.507142909</v>
      </c>
      <c r="U18" s="6">
        <f t="shared" ref="U18:AC18" si="26">U15-U17</f>
        <v>44060282.33571434</v>
      </c>
      <c r="V18" s="6">
        <f t="shared" si="26"/>
        <v>39150694.164285772</v>
      </c>
      <c r="W18" s="6">
        <f t="shared" si="26"/>
        <v>34241105.992857203</v>
      </c>
      <c r="X18" s="6">
        <f t="shared" si="26"/>
        <v>29331517.821428642</v>
      </c>
      <c r="Y18" s="6">
        <f t="shared" si="26"/>
        <v>24421929.650000058</v>
      </c>
      <c r="Z18" s="6">
        <f t="shared" si="26"/>
        <v>19512341.478571489</v>
      </c>
      <c r="AA18" s="6">
        <f t="shared" si="26"/>
        <v>14760753.307142925</v>
      </c>
      <c r="AB18" s="6">
        <f t="shared" si="26"/>
        <v>10513501.135714356</v>
      </c>
      <c r="AC18" s="6">
        <f t="shared" si="26"/>
        <v>6543633.7642857898</v>
      </c>
      <c r="AD18" s="6">
        <f t="shared" ref="AD18:AG18" si="27">AD15-AD17</f>
        <v>3767298.3928572224</v>
      </c>
      <c r="AE18" s="6">
        <f t="shared" si="27"/>
        <v>1931550.000000088</v>
      </c>
      <c r="AF18" s="6">
        <f t="shared" si="27"/>
        <v>775850.5357143865</v>
      </c>
      <c r="AG18" s="6">
        <f t="shared" si="27"/>
        <v>-1.4842953532934189E-9</v>
      </c>
      <c r="AH18" s="6">
        <f t="shared" ref="AH18" si="28">AH15-AH17</f>
        <v>-1.4842953532934189E-9</v>
      </c>
      <c r="AI18" s="6"/>
    </row>
    <row r="19" spans="1:36" s="3" customFormat="1" x14ac:dyDescent="0.25">
      <c r="A19" s="3" t="s">
        <v>45</v>
      </c>
      <c r="B19" s="18">
        <f>'Cost of Capital'!O17</f>
        <v>8.14E-2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6" x14ac:dyDescent="0.25">
      <c r="A20" s="1" t="s">
        <v>7</v>
      </c>
      <c r="B20" s="2">
        <f>$B$19*SUM(A18:B18)/2</f>
        <v>734553.59999999998</v>
      </c>
      <c r="C20" s="2">
        <f t="shared" ref="C20:AC20" si="29">$B$19*SUM(B18:C18)/2</f>
        <v>2780720.6837221435</v>
      </c>
      <c r="D20" s="2">
        <f t="shared" si="29"/>
        <v>5220617.0177055709</v>
      </c>
      <c r="E20" s="2">
        <f t="shared" si="29"/>
        <v>7627346.0527788857</v>
      </c>
      <c r="F20" s="2">
        <f t="shared" si="29"/>
        <v>10150266.936744252</v>
      </c>
      <c r="G20" s="2">
        <f t="shared" si="29"/>
        <v>11013549.831170825</v>
      </c>
      <c r="H20" s="2">
        <f t="shared" si="29"/>
        <v>10286385.339916952</v>
      </c>
      <c r="I20" s="2">
        <f t="shared" si="29"/>
        <v>9619574.2046344467</v>
      </c>
      <c r="J20" s="2">
        <f t="shared" si="29"/>
        <v>8994174.5062310603</v>
      </c>
      <c r="K20" s="2">
        <f t="shared" si="29"/>
        <v>8394078.5109000131</v>
      </c>
      <c r="L20" s="2">
        <f t="shared" si="29"/>
        <v>7811125.1997083193</v>
      </c>
      <c r="M20" s="2">
        <f t="shared" si="29"/>
        <v>7251472.1749599036</v>
      </c>
      <c r="N20" s="2">
        <f t="shared" si="29"/>
        <v>6726084.755262089</v>
      </c>
      <c r="O20" s="2">
        <f t="shared" si="29"/>
        <v>6239856.3061488532</v>
      </c>
      <c r="P20" s="2">
        <f t="shared" si="29"/>
        <v>5795745.0926961172</v>
      </c>
      <c r="Q20" s="2">
        <f t="shared" si="29"/>
        <v>5384889.1293214317</v>
      </c>
      <c r="R20" s="2">
        <f t="shared" si="29"/>
        <v>4985248.6521671452</v>
      </c>
      <c r="S20" s="2">
        <f t="shared" si="29"/>
        <v>4585608.1750128604</v>
      </c>
      <c r="T20" s="2">
        <f t="shared" si="29"/>
        <v>4185967.6978585757</v>
      </c>
      <c r="U20" s="2">
        <f t="shared" si="29"/>
        <v>3786327.2207042896</v>
      </c>
      <c r="V20" s="2">
        <f t="shared" si="29"/>
        <v>3386686.7435500049</v>
      </c>
      <c r="W20" s="2">
        <f t="shared" si="29"/>
        <v>2987046.2663957188</v>
      </c>
      <c r="X20" s="2">
        <f t="shared" si="29"/>
        <v>2587405.7892414341</v>
      </c>
      <c r="Y20" s="2">
        <f t="shared" si="29"/>
        <v>2187765.312087148</v>
      </c>
      <c r="Z20" s="2">
        <f t="shared" si="29"/>
        <v>1788124.8349328621</v>
      </c>
      <c r="AA20" s="2">
        <f t="shared" si="29"/>
        <v>1394914.9577785768</v>
      </c>
      <c r="AB20" s="2">
        <f t="shared" si="29"/>
        <v>1028662.1558242913</v>
      </c>
      <c r="AC20" s="2">
        <f t="shared" si="29"/>
        <v>694225.39043000597</v>
      </c>
      <c r="AD20" s="2">
        <f>$B$19*SUM(AC18:AD18)/2</f>
        <v>419654.93879572058</v>
      </c>
      <c r="AE20" s="2">
        <f>$B$19*SUM(AD18:AE18)/2</f>
        <v>231943.12958929254</v>
      </c>
      <c r="AF20" s="2">
        <f>$B$19*SUM(AE18:AF18)/2</f>
        <v>110191.20180357911</v>
      </c>
      <c r="AG20" s="2">
        <f>$B$19*SUM(AF18:AG18)/2</f>
        <v>31577.116803575467</v>
      </c>
      <c r="AH20" s="2"/>
      <c r="AI20" s="2"/>
    </row>
    <row r="21" spans="1:36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6" x14ac:dyDescent="0.25">
      <c r="A22" s="1" t="s">
        <v>412</v>
      </c>
      <c r="B22" s="194">
        <f>1/28</f>
        <v>3.5714285714285712E-2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6" x14ac:dyDescent="0.25">
      <c r="A23" s="1" t="s">
        <v>413</v>
      </c>
      <c r="B23" s="194">
        <f>1/25</f>
        <v>0.04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6" s="2" customFormat="1" x14ac:dyDescent="0.25">
      <c r="A24" s="2" t="s">
        <v>410</v>
      </c>
      <c r="B24" s="4">
        <f>$B$22*B6</f>
        <v>500000</v>
      </c>
      <c r="C24" s="4">
        <f>$B$22*C6+$B$22*SUM(B6:B6)</f>
        <v>1190296.4285714286</v>
      </c>
      <c r="D24" s="4">
        <f>$B$22*D6+$B$22*SUM(B6:C6)</f>
        <v>2051117.8571428568</v>
      </c>
      <c r="E24" s="4">
        <f>$B$22*E6+$B$22*SUM(B6:D6)</f>
        <v>2531939.2857142854</v>
      </c>
      <c r="F24" s="4">
        <f>$B$22*F6+$B$22*SUM(B6:E6)</f>
        <v>3514028.5714285709</v>
      </c>
      <c r="G24" s="4">
        <f>$B$22*G6+$B$22*SUM(B6:F6)</f>
        <v>3514028.5714285714</v>
      </c>
      <c r="H24" s="4">
        <f>$B$22*H6+$B$22*SUM(B6:G6)</f>
        <v>3514028.5714285714</v>
      </c>
      <c r="I24" s="4">
        <f>$B$22*I6+$B$22*SUM(B6:H6)</f>
        <v>3514028.5714285714</v>
      </c>
      <c r="J24" s="4">
        <f>$B$22*J6+$B$22*SUM(B6:I6)</f>
        <v>3514028.5714285714</v>
      </c>
      <c r="K24" s="4">
        <f>$B$22*K6+$B$22*SUM(B6:J6)</f>
        <v>3514028.5714285714</v>
      </c>
      <c r="L24" s="4">
        <f>$B$22*L6+$B$22*SUM(B6:K6)</f>
        <v>3514028.5714285714</v>
      </c>
      <c r="M24" s="4">
        <f>$B$22*M6+$B$22*SUM(B6:L6)</f>
        <v>3514028.5714285714</v>
      </c>
      <c r="N24" s="4">
        <f>$B$22*N6+$B$22*SUM(B6:M6)</f>
        <v>3514028.5714285714</v>
      </c>
      <c r="O24" s="4">
        <f>$B$22*O6+$B$22*SUM(B6:N6)</f>
        <v>3514028.5714285714</v>
      </c>
      <c r="P24" s="4">
        <f>$B$22*P6+$B$22*SUM(B6:O6)</f>
        <v>3514028.5714285714</v>
      </c>
      <c r="Q24" s="4">
        <f>$B$22*Q6+$B$22*SUM(B6:P6)</f>
        <v>3514028.5714285714</v>
      </c>
      <c r="R24" s="4">
        <f>$B$22*R6+$B$22*SUM(B6:Q6)</f>
        <v>3514028.5714285714</v>
      </c>
      <c r="S24" s="4">
        <f>$B$22*S6+$B$22*SUM(B6:R6)</f>
        <v>3514028.5714285714</v>
      </c>
      <c r="T24" s="4">
        <f>$B$22*T6+$B$22*SUM(B6:S6)</f>
        <v>3514028.5714285714</v>
      </c>
      <c r="U24" s="4">
        <f>$B$22*U6+$B$22*SUM(B6:T6)</f>
        <v>3514028.5714285714</v>
      </c>
      <c r="V24" s="4">
        <f>$B$22*V6+$B$22*SUM(B6:U6)</f>
        <v>3514028.5714285714</v>
      </c>
      <c r="W24" s="4">
        <f>$B$22*W6+$B$22*SUM(B6:V6)</f>
        <v>3514028.5714285714</v>
      </c>
      <c r="X24" s="4">
        <f>$B$22*X6+$B$22*SUM(B6:W6)</f>
        <v>3514028.5714285714</v>
      </c>
      <c r="Y24" s="4">
        <f>$B$22*Y6+$B$22*SUM(B6:X6)</f>
        <v>3514028.5714285714</v>
      </c>
      <c r="Z24" s="4">
        <f>$B$22*Z6+$B$22*SUM(B6:Y6)</f>
        <v>3514028.5714285714</v>
      </c>
      <c r="AA24" s="4">
        <f>$B$22*AA6+$B$22*SUM(B6:Z6)</f>
        <v>3514028.5714285714</v>
      </c>
      <c r="AB24" s="4">
        <f>$B$22*AB6+$B$22*SUM(B6:AA6)</f>
        <v>3514028.5714285714</v>
      </c>
      <c r="AC24" s="4">
        <f>$B$22*AC6+$B$22*SUM(B6:AB6)</f>
        <v>3514028.5714285714</v>
      </c>
      <c r="AD24" s="4">
        <f>$B$22*AD6+$B$22*SUM(C6:AC6)</f>
        <v>3014028.5714285714</v>
      </c>
      <c r="AE24" s="4">
        <f>$B$22*AE6+$B$22*SUM(D6:AD6)</f>
        <v>2323732.1428571427</v>
      </c>
      <c r="AF24" s="4">
        <f>$B$22*AF6+$B$22*SUM(E6:AE6)</f>
        <v>1462910.7142857143</v>
      </c>
      <c r="AG24" s="4">
        <f>$B$22*AG6+$B$22*SUM(F6:AF6)</f>
        <v>982089.28571428568</v>
      </c>
      <c r="AH24" s="4">
        <f>SUM(B24:AG24)</f>
        <v>98392800</v>
      </c>
      <c r="AI24" s="4"/>
      <c r="AJ24" s="4"/>
    </row>
    <row r="25" spans="1:36" s="4" customFormat="1" x14ac:dyDescent="0.25">
      <c r="A25" s="4" t="s">
        <v>411</v>
      </c>
      <c r="B25" s="4">
        <f>$B$23*B9</f>
        <v>200000</v>
      </c>
      <c r="C25" s="4">
        <f>$B$23*C9+$B$23*SUM(B9)</f>
        <v>838400</v>
      </c>
      <c r="D25" s="4">
        <f>$B$23*D9+$B$23*SUM(B9:C9)</f>
        <v>1189520</v>
      </c>
      <c r="E25" s="4">
        <f>$B$23*E9+$B$23*SUM(B9:D9)</f>
        <v>2200320</v>
      </c>
      <c r="F25" s="4">
        <f>$B$23*F9+$B$23*SUM(B9:E9)</f>
        <v>2700640</v>
      </c>
      <c r="G25" s="4">
        <f>$B$23*G9+$B$23*SUM(B9:F9)</f>
        <v>2700640</v>
      </c>
      <c r="H25" s="4">
        <f>$B$23*H9+$B$23*SUM(B9:G9)</f>
        <v>2700640</v>
      </c>
      <c r="I25" s="4">
        <f>$B$23*I9+$B$23*SUM(B9:H9)</f>
        <v>2700640</v>
      </c>
      <c r="J25" s="4">
        <f>$B$23*J9+$B$23*SUM(B9:I9)</f>
        <v>2700640</v>
      </c>
      <c r="K25" s="4">
        <f>$B$23*K9+$B$23*SUM(B9:J9)</f>
        <v>2700640</v>
      </c>
      <c r="L25" s="4">
        <f>$B$23*L9+$B$23*SUM(B9:K9)</f>
        <v>2700640</v>
      </c>
      <c r="M25" s="4">
        <f>$B$23*M9+$B$23*SUM(B9:L9)</f>
        <v>2700640</v>
      </c>
      <c r="N25" s="4">
        <f>$B$23*N9+$B$23*SUM(B9:M9)</f>
        <v>2700640</v>
      </c>
      <c r="O25" s="4">
        <f>$B$23*O9+$B$23*SUM(B9:N9)</f>
        <v>2700640</v>
      </c>
      <c r="P25" s="4">
        <f>$B$23*P9+$B$23*SUM(B9:O9)</f>
        <v>2700640</v>
      </c>
      <c r="Q25" s="4">
        <f>$B$23*Q9+$B$23*SUM(B9:P9)</f>
        <v>2700640</v>
      </c>
      <c r="R25" s="4">
        <f>$B$23*R9+$B$23*SUM(B9:Q9)</f>
        <v>2700640</v>
      </c>
      <c r="S25" s="4">
        <f>$B$23*S9+$B$23*SUM(B9:R9)</f>
        <v>2700640</v>
      </c>
      <c r="T25" s="4">
        <f>$B$23*T9+$B$23*SUM(B9:S9)</f>
        <v>2700640</v>
      </c>
      <c r="U25" s="4">
        <f>$B$23*U9+$B$23*SUM(B9:T9)</f>
        <v>2700640</v>
      </c>
      <c r="V25" s="4">
        <f>$B$23*V9+$B$23*SUM(B9:U9)</f>
        <v>2700640</v>
      </c>
      <c r="W25" s="4">
        <f>$B$23*W9+$B$23*SUM(B9:V9)</f>
        <v>2700640</v>
      </c>
      <c r="X25" s="4">
        <f>$B$23*X9+$B$23*SUM(B9:W9)</f>
        <v>2700640</v>
      </c>
      <c r="Y25" s="4">
        <f>$B$23*Y9+$B$23*SUM(B9:X9)</f>
        <v>2700640</v>
      </c>
      <c r="Z25" s="4">
        <f t="shared" ref="Z25:AG25" si="30">$B$23*Z9+$B$23*SUM(B9:Y9)</f>
        <v>2700640</v>
      </c>
      <c r="AA25" s="4">
        <f t="shared" si="30"/>
        <v>2500640</v>
      </c>
      <c r="AB25" s="4">
        <f t="shared" si="30"/>
        <v>1862240</v>
      </c>
      <c r="AC25" s="4">
        <f t="shared" si="30"/>
        <v>1511120</v>
      </c>
      <c r="AD25" s="4">
        <f t="shared" si="30"/>
        <v>500320</v>
      </c>
      <c r="AE25" s="4">
        <f t="shared" si="30"/>
        <v>0</v>
      </c>
      <c r="AF25" s="4">
        <f t="shared" si="30"/>
        <v>0</v>
      </c>
      <c r="AG25" s="4">
        <f t="shared" si="30"/>
        <v>0</v>
      </c>
      <c r="AH25" s="4">
        <f>SUM(B25:AG25)</f>
        <v>67516000</v>
      </c>
    </row>
    <row r="26" spans="1:36" s="2" customFormat="1" x14ac:dyDescent="0.25">
      <c r="A26" s="2" t="s">
        <v>18</v>
      </c>
      <c r="B26" s="2">
        <f t="shared" ref="B26:AG26" si="31">B24+B25</f>
        <v>700000</v>
      </c>
      <c r="C26" s="2">
        <f t="shared" si="31"/>
        <v>2028696.4285714286</v>
      </c>
      <c r="D26" s="2">
        <f t="shared" si="31"/>
        <v>3240637.8571428568</v>
      </c>
      <c r="E26" s="2">
        <f t="shared" si="31"/>
        <v>4732259.2857142854</v>
      </c>
      <c r="F26" s="2">
        <f t="shared" si="31"/>
        <v>6214668.5714285709</v>
      </c>
      <c r="G26" s="2">
        <f t="shared" si="31"/>
        <v>6214668.5714285709</v>
      </c>
      <c r="H26" s="2">
        <f t="shared" si="31"/>
        <v>6214668.5714285709</v>
      </c>
      <c r="I26" s="2">
        <f t="shared" si="31"/>
        <v>6214668.5714285709</v>
      </c>
      <c r="J26" s="2">
        <f t="shared" si="31"/>
        <v>6214668.5714285709</v>
      </c>
      <c r="K26" s="2">
        <f t="shared" si="31"/>
        <v>6214668.5714285709</v>
      </c>
      <c r="L26" s="2">
        <f t="shared" si="31"/>
        <v>6214668.5714285709</v>
      </c>
      <c r="M26" s="2">
        <f t="shared" si="31"/>
        <v>6214668.5714285709</v>
      </c>
      <c r="N26" s="2">
        <f t="shared" si="31"/>
        <v>6214668.5714285709</v>
      </c>
      <c r="O26" s="2">
        <f t="shared" si="31"/>
        <v>6214668.5714285709</v>
      </c>
      <c r="P26" s="2">
        <f t="shared" si="31"/>
        <v>6214668.5714285709</v>
      </c>
      <c r="Q26" s="2">
        <f t="shared" si="31"/>
        <v>6214668.5714285709</v>
      </c>
      <c r="R26" s="2">
        <f t="shared" si="31"/>
        <v>6214668.5714285709</v>
      </c>
      <c r="S26" s="2">
        <f t="shared" si="31"/>
        <v>6214668.5714285709</v>
      </c>
      <c r="T26" s="2">
        <f t="shared" si="31"/>
        <v>6214668.5714285709</v>
      </c>
      <c r="U26" s="2">
        <f t="shared" si="31"/>
        <v>6214668.5714285709</v>
      </c>
      <c r="V26" s="2">
        <f t="shared" si="31"/>
        <v>6214668.5714285709</v>
      </c>
      <c r="W26" s="2">
        <f t="shared" si="31"/>
        <v>6214668.5714285709</v>
      </c>
      <c r="X26" s="2">
        <f t="shared" si="31"/>
        <v>6214668.5714285709</v>
      </c>
      <c r="Y26" s="2">
        <f t="shared" si="31"/>
        <v>6214668.5714285709</v>
      </c>
      <c r="Z26" s="2">
        <f t="shared" si="31"/>
        <v>6214668.5714285709</v>
      </c>
      <c r="AA26" s="2">
        <f t="shared" si="31"/>
        <v>6014668.5714285709</v>
      </c>
      <c r="AB26" s="2">
        <f t="shared" si="31"/>
        <v>5376268.5714285709</v>
      </c>
      <c r="AC26" s="2">
        <f t="shared" si="31"/>
        <v>5025148.5714285709</v>
      </c>
      <c r="AD26" s="2">
        <f t="shared" si="31"/>
        <v>3514348.5714285714</v>
      </c>
      <c r="AE26" s="2">
        <f t="shared" si="31"/>
        <v>2323732.1428571427</v>
      </c>
      <c r="AF26" s="2">
        <f t="shared" si="31"/>
        <v>1462910.7142857143</v>
      </c>
      <c r="AG26" s="2">
        <f t="shared" si="31"/>
        <v>982089.28571428568</v>
      </c>
      <c r="AH26" s="2">
        <f>AH25+AH24</f>
        <v>165908800</v>
      </c>
      <c r="AI26" s="4">
        <f>AH26-AH12</f>
        <v>0</v>
      </c>
      <c r="AJ26" s="22"/>
    </row>
    <row r="27" spans="1:36" s="2" customFormat="1" x14ac:dyDescent="0.25"/>
    <row r="28" spans="1:36" s="2" customFormat="1" x14ac:dyDescent="0.25">
      <c r="A28" s="2" t="s">
        <v>418</v>
      </c>
      <c r="B28" s="195">
        <v>1.1849999999999999E-2</v>
      </c>
    </row>
    <row r="29" spans="1:36" s="2" customFormat="1" x14ac:dyDescent="0.25">
      <c r="A29" s="2" t="s">
        <v>59</v>
      </c>
      <c r="B29" s="2">
        <f>$B$28*SUM(B12)</f>
        <v>225150</v>
      </c>
      <c r="C29" s="2">
        <f t="shared" ref="C29:AG29" si="32">$B$28*SUM(C12)</f>
        <v>643316.35499999998</v>
      </c>
      <c r="D29" s="2">
        <f t="shared" si="32"/>
        <v>1032956.205</v>
      </c>
      <c r="E29" s="2">
        <f t="shared" si="32"/>
        <v>1491942.2549999999</v>
      </c>
      <c r="F29" s="2">
        <f t="shared" si="32"/>
        <v>1966019.2799999998</v>
      </c>
      <c r="G29" s="2">
        <f t="shared" si="32"/>
        <v>1966019.2799999998</v>
      </c>
      <c r="H29" s="2">
        <f t="shared" si="32"/>
        <v>1966019.2799999998</v>
      </c>
      <c r="I29" s="2">
        <f t="shared" si="32"/>
        <v>1966019.2799999998</v>
      </c>
      <c r="J29" s="2">
        <f t="shared" si="32"/>
        <v>1966019.2799999998</v>
      </c>
      <c r="K29" s="2">
        <f t="shared" si="32"/>
        <v>1966019.2799999998</v>
      </c>
      <c r="L29" s="2">
        <f t="shared" si="32"/>
        <v>1966019.2799999998</v>
      </c>
      <c r="M29" s="2">
        <f t="shared" si="32"/>
        <v>1966019.2799999998</v>
      </c>
      <c r="N29" s="2">
        <f t="shared" si="32"/>
        <v>1966019.2799999998</v>
      </c>
      <c r="O29" s="2">
        <f t="shared" si="32"/>
        <v>1966019.2799999998</v>
      </c>
      <c r="P29" s="2">
        <f t="shared" si="32"/>
        <v>1966019.2799999998</v>
      </c>
      <c r="Q29" s="2">
        <f t="shared" si="32"/>
        <v>1966019.2799999998</v>
      </c>
      <c r="R29" s="2">
        <f t="shared" si="32"/>
        <v>1966019.2799999998</v>
      </c>
      <c r="S29" s="2">
        <f t="shared" si="32"/>
        <v>1966019.2799999998</v>
      </c>
      <c r="T29" s="2">
        <f t="shared" si="32"/>
        <v>1966019.2799999998</v>
      </c>
      <c r="U29" s="2">
        <f t="shared" si="32"/>
        <v>1966019.2799999998</v>
      </c>
      <c r="V29" s="2">
        <f t="shared" si="32"/>
        <v>1966019.2799999998</v>
      </c>
      <c r="W29" s="2">
        <f t="shared" si="32"/>
        <v>1966019.2799999998</v>
      </c>
      <c r="X29" s="2">
        <f t="shared" si="32"/>
        <v>1966019.2799999998</v>
      </c>
      <c r="Y29" s="2">
        <f t="shared" si="32"/>
        <v>1966019.2799999998</v>
      </c>
      <c r="Z29" s="2">
        <f t="shared" si="32"/>
        <v>1966019.2799999998</v>
      </c>
      <c r="AA29" s="2">
        <f t="shared" si="32"/>
        <v>1966019.2799999998</v>
      </c>
      <c r="AB29" s="2">
        <f t="shared" si="32"/>
        <v>1966019.2799999998</v>
      </c>
      <c r="AC29" s="2">
        <f t="shared" si="32"/>
        <v>1966019.2799999998</v>
      </c>
      <c r="AD29" s="2">
        <f t="shared" si="32"/>
        <v>1966019.2799999998</v>
      </c>
      <c r="AE29" s="2">
        <f t="shared" si="32"/>
        <v>1966019.2799999998</v>
      </c>
      <c r="AF29" s="2">
        <f t="shared" si="32"/>
        <v>1966019.2799999998</v>
      </c>
      <c r="AG29" s="2">
        <f t="shared" si="32"/>
        <v>1966019.2799999998</v>
      </c>
    </row>
    <row r="30" spans="1:36" s="19" customFormat="1" x14ac:dyDescent="0.25">
      <c r="A30" s="19" t="s">
        <v>8</v>
      </c>
      <c r="B30" s="20">
        <f>'DRR Projects'!O2</f>
        <v>400000</v>
      </c>
      <c r="C30" s="20">
        <f>'DRR Projects'!P2</f>
        <v>900000</v>
      </c>
      <c r="D30" s="20">
        <f>'DRR Projects'!Q2</f>
        <v>1100000</v>
      </c>
      <c r="E30" s="20">
        <f>'DRR Projects'!R2</f>
        <v>500000</v>
      </c>
      <c r="F30" s="20">
        <f>'DRR Projects'!S2</f>
        <v>1100000</v>
      </c>
      <c r="G30" s="23">
        <f t="shared" ref="G30:T30" si="33">F30</f>
        <v>1100000</v>
      </c>
      <c r="H30" s="23">
        <f t="shared" si="33"/>
        <v>1100000</v>
      </c>
      <c r="I30" s="23">
        <f t="shared" si="33"/>
        <v>1100000</v>
      </c>
      <c r="J30" s="23">
        <f t="shared" si="33"/>
        <v>1100000</v>
      </c>
      <c r="K30" s="23">
        <f t="shared" si="33"/>
        <v>1100000</v>
      </c>
      <c r="L30" s="23">
        <f t="shared" si="33"/>
        <v>1100000</v>
      </c>
      <c r="M30" s="23">
        <f t="shared" si="33"/>
        <v>1100000</v>
      </c>
      <c r="N30" s="23">
        <f t="shared" si="33"/>
        <v>1100000</v>
      </c>
      <c r="O30" s="23">
        <f t="shared" si="33"/>
        <v>1100000</v>
      </c>
      <c r="P30" s="23">
        <f t="shared" si="33"/>
        <v>1100000</v>
      </c>
      <c r="Q30" s="23">
        <f t="shared" si="33"/>
        <v>1100000</v>
      </c>
      <c r="R30" s="23">
        <f t="shared" si="33"/>
        <v>1100000</v>
      </c>
      <c r="S30" s="23">
        <f t="shared" si="33"/>
        <v>1100000</v>
      </c>
      <c r="T30" s="23">
        <f t="shared" si="33"/>
        <v>1100000</v>
      </c>
      <c r="U30" s="23">
        <f t="shared" ref="U30" si="34">T30</f>
        <v>1100000</v>
      </c>
      <c r="V30" s="23">
        <f t="shared" ref="V30" si="35">U30</f>
        <v>1100000</v>
      </c>
      <c r="W30" s="23">
        <f t="shared" ref="W30" si="36">V30</f>
        <v>1100000</v>
      </c>
      <c r="X30" s="23">
        <f t="shared" ref="X30" si="37">W30</f>
        <v>1100000</v>
      </c>
      <c r="Y30" s="23">
        <f t="shared" ref="Y30" si="38">X30</f>
        <v>1100000</v>
      </c>
      <c r="Z30" s="23">
        <f t="shared" ref="Z30" si="39">Y30</f>
        <v>1100000</v>
      </c>
      <c r="AA30" s="23">
        <f t="shared" ref="AA30" si="40">Z30</f>
        <v>1100000</v>
      </c>
      <c r="AB30" s="23">
        <f t="shared" ref="AB30" si="41">AA30</f>
        <v>1100000</v>
      </c>
      <c r="AC30" s="23">
        <f t="shared" ref="AC30" si="42">AB30</f>
        <v>1100000</v>
      </c>
      <c r="AD30" s="23">
        <f t="shared" ref="AD30" si="43">AC30</f>
        <v>1100000</v>
      </c>
      <c r="AE30" s="23">
        <f t="shared" ref="AE30" si="44">AD30</f>
        <v>1100000</v>
      </c>
      <c r="AF30" s="23">
        <f t="shared" ref="AF30" si="45">AE30</f>
        <v>1100000</v>
      </c>
      <c r="AG30" s="23">
        <f t="shared" ref="AG30" si="46">AF30</f>
        <v>1100000</v>
      </c>
      <c r="AH30" s="23"/>
      <c r="AI30" s="23"/>
    </row>
    <row r="32" spans="1:36" x14ac:dyDescent="0.25">
      <c r="A32" s="1" t="s">
        <v>300</v>
      </c>
      <c r="B32" s="7">
        <f t="shared" ref="B32:AG32" si="47">B20+B26+B30+B29</f>
        <v>2059703.6</v>
      </c>
      <c r="C32" s="7">
        <f t="shared" si="47"/>
        <v>6352733.4672935717</v>
      </c>
      <c r="D32" s="7">
        <f t="shared" si="47"/>
        <v>10594211.079848427</v>
      </c>
      <c r="E32" s="7">
        <f t="shared" si="47"/>
        <v>14351547.593493171</v>
      </c>
      <c r="F32" s="7">
        <f t="shared" si="47"/>
        <v>19430954.788172826</v>
      </c>
      <c r="G32" s="7">
        <f t="shared" si="47"/>
        <v>20294237.682599396</v>
      </c>
      <c r="H32" s="7">
        <f t="shared" si="47"/>
        <v>19567073.191345524</v>
      </c>
      <c r="I32" s="7">
        <f t="shared" si="47"/>
        <v>18900262.056063019</v>
      </c>
      <c r="J32" s="7">
        <f t="shared" si="47"/>
        <v>18274862.35765963</v>
      </c>
      <c r="K32" s="7">
        <f t="shared" si="47"/>
        <v>17674766.362328585</v>
      </c>
      <c r="L32" s="7">
        <f t="shared" si="47"/>
        <v>17091813.051136892</v>
      </c>
      <c r="M32" s="7">
        <f t="shared" si="47"/>
        <v>16532160.026388474</v>
      </c>
      <c r="N32" s="7">
        <f t="shared" si="47"/>
        <v>16006772.606690658</v>
      </c>
      <c r="O32" s="7">
        <f t="shared" si="47"/>
        <v>15520544.157577423</v>
      </c>
      <c r="P32" s="7">
        <f t="shared" si="47"/>
        <v>15076432.944124687</v>
      </c>
      <c r="Q32" s="7">
        <f t="shared" si="47"/>
        <v>14665576.980750002</v>
      </c>
      <c r="R32" s="7">
        <f t="shared" si="47"/>
        <v>14265936.503595715</v>
      </c>
      <c r="S32" s="7">
        <f t="shared" si="47"/>
        <v>13866296.026441431</v>
      </c>
      <c r="T32" s="7">
        <f t="shared" si="47"/>
        <v>13466655.549287146</v>
      </c>
      <c r="U32" s="7">
        <f t="shared" si="47"/>
        <v>13067015.072132859</v>
      </c>
      <c r="V32" s="7">
        <f t="shared" si="47"/>
        <v>12667374.594978575</v>
      </c>
      <c r="W32" s="7">
        <f t="shared" si="47"/>
        <v>12267734.117824288</v>
      </c>
      <c r="X32" s="7">
        <f t="shared" si="47"/>
        <v>11868093.640670003</v>
      </c>
      <c r="Y32" s="7">
        <f t="shared" si="47"/>
        <v>11468453.163515719</v>
      </c>
      <c r="Z32" s="7">
        <f t="shared" si="47"/>
        <v>11068812.686361432</v>
      </c>
      <c r="AA32" s="7">
        <f t="shared" si="47"/>
        <v>10475602.809207147</v>
      </c>
      <c r="AB32" s="7">
        <f t="shared" si="47"/>
        <v>9470950.0072528627</v>
      </c>
      <c r="AC32" s="7">
        <f t="shared" si="47"/>
        <v>8785393.2418585774</v>
      </c>
      <c r="AD32" s="7">
        <f t="shared" si="47"/>
        <v>7000022.7902242914</v>
      </c>
      <c r="AE32" s="7">
        <f t="shared" si="47"/>
        <v>5621694.5524464352</v>
      </c>
      <c r="AF32" s="7">
        <f t="shared" si="47"/>
        <v>4639121.1960892938</v>
      </c>
      <c r="AG32" s="7">
        <f t="shared" si="47"/>
        <v>4079685.682517861</v>
      </c>
      <c r="AH32" s="7"/>
    </row>
    <row r="34" spans="1:38" x14ac:dyDescent="0.25">
      <c r="B34" s="197">
        <f>(B6+B9+B30)-'DRR Projects'!F2-'DRR Projects'!O2</f>
        <v>0</v>
      </c>
      <c r="C34" s="197">
        <f>(C6+C9+C30)-'DRR Projects'!G2-'DRR Projects'!P2</f>
        <v>0</v>
      </c>
      <c r="D34" s="197">
        <f>(D6+D9+D30)-'DRR Projects'!H2-'DRR Projects'!Q2</f>
        <v>0</v>
      </c>
      <c r="E34" s="197">
        <f>(E6+E9+E30)-'DRR Projects'!I2-'DRR Projects'!R2</f>
        <v>0</v>
      </c>
    </row>
    <row r="35" spans="1:38" x14ac:dyDescent="0.25">
      <c r="A35" s="1" t="s">
        <v>168</v>
      </c>
    </row>
    <row r="36" spans="1:38" x14ac:dyDescent="0.25">
      <c r="A36" s="8" t="s">
        <v>9</v>
      </c>
      <c r="B36" s="8">
        <v>1</v>
      </c>
      <c r="C36" s="8">
        <v>2</v>
      </c>
      <c r="D36" s="8">
        <v>3</v>
      </c>
      <c r="E36" s="8">
        <v>4</v>
      </c>
      <c r="F36" s="8">
        <v>5</v>
      </c>
      <c r="G36" s="8">
        <v>6</v>
      </c>
      <c r="H36" s="8">
        <v>7</v>
      </c>
      <c r="I36" s="8">
        <v>8</v>
      </c>
      <c r="J36" s="8">
        <v>9</v>
      </c>
      <c r="K36" s="8">
        <v>10</v>
      </c>
      <c r="L36" s="8">
        <v>11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8" x14ac:dyDescent="0.25">
      <c r="A37" s="8" t="s">
        <v>10</v>
      </c>
      <c r="B37" s="9">
        <v>0.1</v>
      </c>
      <c r="C37" s="9">
        <v>0.18</v>
      </c>
      <c r="D37" s="9">
        <v>0.14399999999999999</v>
      </c>
      <c r="E37" s="9">
        <v>0.1152</v>
      </c>
      <c r="F37" s="9">
        <v>9.2200000000000004E-2</v>
      </c>
      <c r="G37" s="9">
        <v>7.3700000000000002E-2</v>
      </c>
      <c r="H37" s="9">
        <v>6.5500000000000003E-2</v>
      </c>
      <c r="I37" s="9">
        <v>6.5500000000000003E-2</v>
      </c>
      <c r="J37" s="9">
        <v>6.5600000000000006E-2</v>
      </c>
      <c r="K37" s="9">
        <v>6.5500000000000003E-2</v>
      </c>
      <c r="L37" s="9">
        <v>3.2800000000000003E-2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8" x14ac:dyDescent="0.25">
      <c r="A38" s="8" t="s">
        <v>11</v>
      </c>
      <c r="B38" s="10">
        <f>($B$9+$B$6)*B$37</f>
        <v>1900000</v>
      </c>
      <c r="C38" s="10">
        <f t="shared" ref="C38:L38" si="48">($B$9+$B$6)*C$37</f>
        <v>3420000</v>
      </c>
      <c r="D38" s="10">
        <f t="shared" si="48"/>
        <v>2736000</v>
      </c>
      <c r="E38" s="10">
        <f t="shared" si="48"/>
        <v>2188800</v>
      </c>
      <c r="F38" s="10">
        <f t="shared" si="48"/>
        <v>1751800</v>
      </c>
      <c r="G38" s="10">
        <f t="shared" si="48"/>
        <v>1400300</v>
      </c>
      <c r="H38" s="10">
        <f t="shared" si="48"/>
        <v>1244500</v>
      </c>
      <c r="I38" s="10">
        <f t="shared" si="48"/>
        <v>1244500</v>
      </c>
      <c r="J38" s="10">
        <f t="shared" si="48"/>
        <v>1246400</v>
      </c>
      <c r="K38" s="10">
        <f t="shared" si="48"/>
        <v>1244500</v>
      </c>
      <c r="L38" s="10">
        <f t="shared" si="48"/>
        <v>623200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8" x14ac:dyDescent="0.25">
      <c r="A39" s="8" t="s">
        <v>12</v>
      </c>
      <c r="B39" s="11"/>
      <c r="C39" s="10">
        <f>B$37*($C$6+$C$9)</f>
        <v>3528830</v>
      </c>
      <c r="D39" s="10">
        <f t="shared" ref="D39:M39" si="49">C$37*($C$6+$C$9)</f>
        <v>6351894</v>
      </c>
      <c r="E39" s="10">
        <f t="shared" si="49"/>
        <v>5081515.1999999993</v>
      </c>
      <c r="F39" s="10">
        <f t="shared" si="49"/>
        <v>4065212.1599999997</v>
      </c>
      <c r="G39" s="10">
        <f t="shared" si="49"/>
        <v>3253581.2600000002</v>
      </c>
      <c r="H39" s="10">
        <f t="shared" si="49"/>
        <v>2600747.71</v>
      </c>
      <c r="I39" s="10">
        <f t="shared" si="49"/>
        <v>2311383.65</v>
      </c>
      <c r="J39" s="10">
        <f t="shared" si="49"/>
        <v>2311383.65</v>
      </c>
      <c r="K39" s="10">
        <f t="shared" si="49"/>
        <v>2314912.48</v>
      </c>
      <c r="L39" s="10">
        <f t="shared" si="49"/>
        <v>2311383.65</v>
      </c>
      <c r="M39" s="10">
        <f t="shared" si="49"/>
        <v>1157456.24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8" x14ac:dyDescent="0.25">
      <c r="A40" s="8" t="s">
        <v>311</v>
      </c>
      <c r="B40" s="11"/>
      <c r="C40" s="12"/>
      <c r="D40" s="10">
        <f>B$37*($D$9+$D$6)</f>
        <v>3288100</v>
      </c>
      <c r="E40" s="10">
        <f t="shared" ref="E40:N40" si="50">C$37*($D$9+$D$6)</f>
        <v>5918580</v>
      </c>
      <c r="F40" s="10">
        <f t="shared" si="50"/>
        <v>4734864</v>
      </c>
      <c r="G40" s="10">
        <f t="shared" si="50"/>
        <v>3787891.1999999997</v>
      </c>
      <c r="H40" s="10">
        <f t="shared" si="50"/>
        <v>3031628.2</v>
      </c>
      <c r="I40" s="10">
        <f t="shared" si="50"/>
        <v>2423329.7000000002</v>
      </c>
      <c r="J40" s="10">
        <f t="shared" si="50"/>
        <v>2153705.5</v>
      </c>
      <c r="K40" s="10">
        <f t="shared" si="50"/>
        <v>2153705.5</v>
      </c>
      <c r="L40" s="10">
        <f t="shared" si="50"/>
        <v>2156993.6</v>
      </c>
      <c r="M40" s="10">
        <f t="shared" si="50"/>
        <v>2153705.5</v>
      </c>
      <c r="N40" s="10">
        <f t="shared" si="50"/>
        <v>1078496.8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2"/>
      <c r="AI40" s="22"/>
      <c r="AJ40" s="10"/>
    </row>
    <row r="41" spans="1:38" x14ac:dyDescent="0.25">
      <c r="A41" s="8" t="s">
        <v>312</v>
      </c>
      <c r="B41" s="13"/>
      <c r="C41" s="14"/>
      <c r="D41" s="12"/>
      <c r="E41" s="10">
        <f>B$37*($E$9+$E$6)</f>
        <v>3873300</v>
      </c>
      <c r="F41" s="10">
        <f t="shared" ref="F41:O41" si="51">C$37*($E$9+$E$6)</f>
        <v>6971940</v>
      </c>
      <c r="G41" s="10">
        <f t="shared" si="51"/>
        <v>5577552</v>
      </c>
      <c r="H41" s="10">
        <f t="shared" si="51"/>
        <v>4462041.5999999996</v>
      </c>
      <c r="I41" s="10">
        <f t="shared" si="51"/>
        <v>3571182.6</v>
      </c>
      <c r="J41" s="10">
        <f t="shared" si="51"/>
        <v>2854622.1</v>
      </c>
      <c r="K41" s="10">
        <f t="shared" si="51"/>
        <v>2537011.5</v>
      </c>
      <c r="L41" s="10">
        <f t="shared" si="51"/>
        <v>2537011.5</v>
      </c>
      <c r="M41" s="10">
        <f t="shared" si="51"/>
        <v>2540884.8000000003</v>
      </c>
      <c r="N41" s="10">
        <f t="shared" si="51"/>
        <v>2537011.5</v>
      </c>
      <c r="O41" s="10">
        <f t="shared" si="51"/>
        <v>1270442.4000000001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8" x14ac:dyDescent="0.25">
      <c r="A42" s="8" t="s">
        <v>313</v>
      </c>
      <c r="B42" s="13"/>
      <c r="C42" s="12"/>
      <c r="D42" s="12"/>
      <c r="E42" s="12"/>
      <c r="F42" s="10">
        <f>B$37*($F$9+$F$6)</f>
        <v>4000650</v>
      </c>
      <c r="G42" s="10">
        <f t="shared" ref="G42:P42" si="52">C$37*($F$9+$F$6)</f>
        <v>7201170</v>
      </c>
      <c r="H42" s="10">
        <f t="shared" si="52"/>
        <v>5760936</v>
      </c>
      <c r="I42" s="10">
        <f t="shared" si="52"/>
        <v>4608748.8</v>
      </c>
      <c r="J42" s="10">
        <f t="shared" si="52"/>
        <v>3688599.3000000003</v>
      </c>
      <c r="K42" s="10">
        <f t="shared" si="52"/>
        <v>2948479.0500000003</v>
      </c>
      <c r="L42" s="10">
        <f t="shared" si="52"/>
        <v>2620425.75</v>
      </c>
      <c r="M42" s="10">
        <f t="shared" si="52"/>
        <v>2620425.75</v>
      </c>
      <c r="N42" s="10">
        <f t="shared" si="52"/>
        <v>2624426.4000000004</v>
      </c>
      <c r="O42" s="10">
        <f t="shared" si="52"/>
        <v>2620425.75</v>
      </c>
      <c r="P42" s="10">
        <f t="shared" si="52"/>
        <v>1312213.2000000002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8" x14ac:dyDescent="0.25">
      <c r="A43" s="8"/>
      <c r="B43" s="8"/>
      <c r="C43" s="8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x14ac:dyDescent="0.25">
      <c r="A44" s="11" t="s">
        <v>13</v>
      </c>
      <c r="B44" s="16">
        <f>SUM(B38:B42)</f>
        <v>1900000</v>
      </c>
      <c r="C44" s="16">
        <f t="shared" ref="C44:T44" si="53">SUM(C38:C42)</f>
        <v>6948830</v>
      </c>
      <c r="D44" s="16">
        <f t="shared" si="53"/>
        <v>12375994</v>
      </c>
      <c r="E44" s="16">
        <f t="shared" si="53"/>
        <v>17062195.199999999</v>
      </c>
      <c r="F44" s="16">
        <f t="shared" si="53"/>
        <v>21524466.16</v>
      </c>
      <c r="G44" s="16">
        <f t="shared" si="53"/>
        <v>21220494.460000001</v>
      </c>
      <c r="H44" s="16">
        <f t="shared" si="53"/>
        <v>17099853.509999998</v>
      </c>
      <c r="I44" s="16">
        <f t="shared" si="53"/>
        <v>14159144.75</v>
      </c>
      <c r="J44" s="16">
        <f t="shared" si="53"/>
        <v>12254710.550000001</v>
      </c>
      <c r="K44" s="16">
        <f t="shared" si="53"/>
        <v>11198608.530000001</v>
      </c>
      <c r="L44" s="16">
        <f t="shared" si="53"/>
        <v>10249014.5</v>
      </c>
      <c r="M44" s="16">
        <f t="shared" si="53"/>
        <v>8472472.290000001</v>
      </c>
      <c r="N44" s="16">
        <f t="shared" si="53"/>
        <v>6239934.7000000002</v>
      </c>
      <c r="O44" s="16">
        <f t="shared" si="53"/>
        <v>3890868.1500000004</v>
      </c>
      <c r="P44" s="16">
        <f t="shared" si="53"/>
        <v>1312213.2000000002</v>
      </c>
      <c r="Q44" s="16">
        <f t="shared" si="53"/>
        <v>0</v>
      </c>
      <c r="R44" s="16">
        <f t="shared" si="53"/>
        <v>0</v>
      </c>
      <c r="S44" s="16">
        <f t="shared" si="53"/>
        <v>0</v>
      </c>
      <c r="T44" s="16">
        <f t="shared" si="53"/>
        <v>0</v>
      </c>
      <c r="U44" s="16">
        <f t="shared" ref="U44:AC44" si="54">SUM(U38:U42)</f>
        <v>0</v>
      </c>
      <c r="V44" s="16">
        <f t="shared" si="54"/>
        <v>0</v>
      </c>
      <c r="W44" s="16">
        <f t="shared" si="54"/>
        <v>0</v>
      </c>
      <c r="X44" s="16">
        <f t="shared" si="54"/>
        <v>0</v>
      </c>
      <c r="Y44" s="16">
        <f t="shared" si="54"/>
        <v>0</v>
      </c>
      <c r="Z44" s="16">
        <f t="shared" si="54"/>
        <v>0</v>
      </c>
      <c r="AA44" s="16">
        <f t="shared" si="54"/>
        <v>0</v>
      </c>
      <c r="AB44" s="16">
        <f t="shared" si="54"/>
        <v>0</v>
      </c>
      <c r="AC44" s="16">
        <f t="shared" si="54"/>
        <v>0</v>
      </c>
      <c r="AD44" s="16">
        <f t="shared" ref="AD44:AG44" si="55">SUM(AD38:AD42)</f>
        <v>0</v>
      </c>
      <c r="AE44" s="16">
        <f t="shared" si="55"/>
        <v>0</v>
      </c>
      <c r="AF44" s="16">
        <f t="shared" si="55"/>
        <v>0</v>
      </c>
      <c r="AG44" s="16">
        <f t="shared" si="55"/>
        <v>0</v>
      </c>
      <c r="AH44" s="16">
        <f>SUM(B44:AG44)</f>
        <v>165908799.99999994</v>
      </c>
      <c r="AI44" s="16">
        <f>AH10-AH44</f>
        <v>0</v>
      </c>
      <c r="AJ44" s="16"/>
      <c r="AK44" s="10"/>
      <c r="AL44" s="10"/>
    </row>
    <row r="45" spans="1:38" x14ac:dyDescent="0.25">
      <c r="A45" s="15" t="s">
        <v>14</v>
      </c>
      <c r="B45" s="16">
        <f>(B44-B26)*0.21</f>
        <v>252000</v>
      </c>
      <c r="C45" s="16">
        <f>(C44-C26)*0.21</f>
        <v>1033228.0499999998</v>
      </c>
      <c r="D45" s="16">
        <f t="shared" ref="D45:AF45" si="56">(D44-D26)*0.21</f>
        <v>1918424.79</v>
      </c>
      <c r="E45" s="16">
        <f t="shared" si="56"/>
        <v>2589286.5419999999</v>
      </c>
      <c r="F45" s="16">
        <f t="shared" si="56"/>
        <v>3215057.4936000002</v>
      </c>
      <c r="G45" s="16">
        <f t="shared" si="56"/>
        <v>3151223.4366000001</v>
      </c>
      <c r="H45" s="16">
        <f t="shared" si="56"/>
        <v>2285888.8370999997</v>
      </c>
      <c r="I45" s="16">
        <f t="shared" si="56"/>
        <v>1668339.9975000001</v>
      </c>
      <c r="J45" s="16">
        <f t="shared" si="56"/>
        <v>1268408.8155000003</v>
      </c>
      <c r="K45" s="16">
        <f t="shared" si="56"/>
        <v>1046627.3913000004</v>
      </c>
      <c r="L45" s="16">
        <f t="shared" si="56"/>
        <v>847212.64500000014</v>
      </c>
      <c r="M45" s="16">
        <f t="shared" si="56"/>
        <v>474138.7809000003</v>
      </c>
      <c r="N45" s="16">
        <f t="shared" si="56"/>
        <v>5305.8870000001507</v>
      </c>
      <c r="O45" s="16">
        <f t="shared" si="56"/>
        <v>-487998.08849999978</v>
      </c>
      <c r="P45" s="16">
        <f t="shared" si="56"/>
        <v>-1029515.6279999998</v>
      </c>
      <c r="Q45" s="16">
        <f t="shared" si="56"/>
        <v>-1305080.3999999999</v>
      </c>
      <c r="R45" s="16">
        <f t="shared" si="56"/>
        <v>-1305080.3999999999</v>
      </c>
      <c r="S45" s="16">
        <f t="shared" si="56"/>
        <v>-1305080.3999999999</v>
      </c>
      <c r="T45" s="16">
        <f t="shared" si="56"/>
        <v>-1305080.3999999999</v>
      </c>
      <c r="U45" s="16">
        <f t="shared" si="56"/>
        <v>-1305080.3999999999</v>
      </c>
      <c r="V45" s="16">
        <f t="shared" si="56"/>
        <v>-1305080.3999999999</v>
      </c>
      <c r="W45" s="16">
        <f t="shared" si="56"/>
        <v>-1305080.3999999999</v>
      </c>
      <c r="X45" s="16">
        <f t="shared" si="56"/>
        <v>-1305080.3999999999</v>
      </c>
      <c r="Y45" s="16">
        <f t="shared" si="56"/>
        <v>-1305080.3999999999</v>
      </c>
      <c r="Z45" s="16">
        <f t="shared" si="56"/>
        <v>-1305080.3999999999</v>
      </c>
      <c r="AA45" s="16">
        <f t="shared" si="56"/>
        <v>-1263080.3999999999</v>
      </c>
      <c r="AB45" s="16">
        <f t="shared" si="56"/>
        <v>-1129016.3999999999</v>
      </c>
      <c r="AC45" s="16">
        <f t="shared" si="56"/>
        <v>-1055281.2</v>
      </c>
      <c r="AD45" s="16">
        <f t="shared" si="56"/>
        <v>-738013.2</v>
      </c>
      <c r="AE45" s="16">
        <f t="shared" si="56"/>
        <v>-487983.74999999994</v>
      </c>
      <c r="AF45" s="16">
        <f t="shared" si="56"/>
        <v>-307211.25</v>
      </c>
      <c r="AG45" s="16">
        <f>(AG44-AG26)*0.21</f>
        <v>-206238.74999999997</v>
      </c>
      <c r="AH45" s="16">
        <f>SUM(B45:AG45)</f>
        <v>1.4842953532934189E-9</v>
      </c>
      <c r="AI45" s="16"/>
      <c r="AJ45" s="16"/>
      <c r="AK45" s="10"/>
      <c r="AL45" s="10"/>
    </row>
    <row r="46" spans="1:38" x14ac:dyDescent="0.25">
      <c r="A46" s="8" t="s">
        <v>15</v>
      </c>
      <c r="B46" s="17">
        <f>B45</f>
        <v>252000</v>
      </c>
      <c r="C46" s="17">
        <f>B46+C45</f>
        <v>1285228.0499999998</v>
      </c>
      <c r="D46" s="17">
        <f t="shared" ref="D46:T46" si="57">C46+D45</f>
        <v>3203652.84</v>
      </c>
      <c r="E46" s="17">
        <f t="shared" si="57"/>
        <v>5792939.3819999993</v>
      </c>
      <c r="F46" s="17">
        <f t="shared" si="57"/>
        <v>9007996.875599999</v>
      </c>
      <c r="G46" s="17">
        <f t="shared" si="57"/>
        <v>12159220.312199999</v>
      </c>
      <c r="H46" s="17">
        <f t="shared" si="57"/>
        <v>14445109.149299998</v>
      </c>
      <c r="I46" s="17">
        <f t="shared" si="57"/>
        <v>16113449.146799998</v>
      </c>
      <c r="J46" s="17">
        <f t="shared" si="57"/>
        <v>17381857.962299999</v>
      </c>
      <c r="K46" s="17">
        <f t="shared" si="57"/>
        <v>18428485.353599999</v>
      </c>
      <c r="L46" s="17">
        <f t="shared" si="57"/>
        <v>19275697.998599999</v>
      </c>
      <c r="M46" s="17">
        <f t="shared" si="57"/>
        <v>19749836.7795</v>
      </c>
      <c r="N46" s="17">
        <f t="shared" si="57"/>
        <v>19755142.666500002</v>
      </c>
      <c r="O46" s="17">
        <f t="shared" si="57"/>
        <v>19267144.578000002</v>
      </c>
      <c r="P46" s="17">
        <f t="shared" si="57"/>
        <v>18237628.950000003</v>
      </c>
      <c r="Q46" s="17">
        <f t="shared" si="57"/>
        <v>16932548.550000004</v>
      </c>
      <c r="R46" s="17">
        <f t="shared" si="57"/>
        <v>15627468.150000004</v>
      </c>
      <c r="S46" s="17">
        <f t="shared" si="57"/>
        <v>14322387.750000004</v>
      </c>
      <c r="T46" s="17">
        <f t="shared" si="57"/>
        <v>13017307.350000003</v>
      </c>
      <c r="U46" s="17">
        <f t="shared" ref="U46" si="58">T46+U45</f>
        <v>11712226.950000003</v>
      </c>
      <c r="V46" s="17">
        <f t="shared" ref="V46" si="59">U46+V45</f>
        <v>10407146.550000003</v>
      </c>
      <c r="W46" s="17">
        <f t="shared" ref="W46" si="60">V46+W45</f>
        <v>9102066.1500000022</v>
      </c>
      <c r="X46" s="17">
        <f t="shared" ref="X46" si="61">W46+X45</f>
        <v>7796985.7500000019</v>
      </c>
      <c r="Y46" s="17">
        <f t="shared" ref="Y46" si="62">X46+Y45</f>
        <v>6491905.3500000015</v>
      </c>
      <c r="Z46" s="17">
        <f t="shared" ref="Z46" si="63">Y46+Z45</f>
        <v>5186824.9500000011</v>
      </c>
      <c r="AA46" s="17">
        <f t="shared" ref="AA46" si="64">Z46+AA45</f>
        <v>3923744.5500000012</v>
      </c>
      <c r="AB46" s="17">
        <f t="shared" ref="AB46" si="65">AA46+AB45</f>
        <v>2794728.1500000013</v>
      </c>
      <c r="AC46" s="17">
        <f t="shared" ref="AC46" si="66">AB46+AC45</f>
        <v>1739446.9500000014</v>
      </c>
      <c r="AD46" s="17">
        <f t="shared" ref="AD46" si="67">AC46+AD45</f>
        <v>1001433.7500000014</v>
      </c>
      <c r="AE46" s="17">
        <f t="shared" ref="AE46" si="68">AD46+AE45</f>
        <v>513450.00000000146</v>
      </c>
      <c r="AF46" s="17">
        <f t="shared" ref="AF46" si="69">AE46+AF45</f>
        <v>206238.75000000146</v>
      </c>
      <c r="AG46" s="17">
        <f t="shared" ref="AG46" si="70">AF46+AG45</f>
        <v>1.4842953532934189E-9</v>
      </c>
      <c r="AH46" s="17"/>
      <c r="AI46" s="17"/>
      <c r="AJ46" s="17"/>
      <c r="AK46" s="10"/>
      <c r="AL46" s="10"/>
    </row>
    <row r="47" spans="1:38" x14ac:dyDescent="0.25">
      <c r="A47" s="8"/>
      <c r="B47" s="8"/>
      <c r="C47" s="8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x14ac:dyDescent="0.25">
      <c r="A48" s="1" t="s">
        <v>19</v>
      </c>
      <c r="L48" s="12"/>
      <c r="M48" s="12"/>
      <c r="N48" s="12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x14ac:dyDescent="0.25">
      <c r="A49" s="8" t="s">
        <v>9</v>
      </c>
      <c r="B49" s="8">
        <v>1</v>
      </c>
      <c r="C49" s="8">
        <v>2</v>
      </c>
      <c r="D49" s="8">
        <v>3</v>
      </c>
      <c r="E49" s="8">
        <v>4</v>
      </c>
      <c r="F49" s="8">
        <v>5</v>
      </c>
      <c r="G49" s="8">
        <v>6</v>
      </c>
      <c r="H49" s="8">
        <v>7</v>
      </c>
      <c r="I49" s="8">
        <v>8</v>
      </c>
      <c r="J49" s="8">
        <v>9</v>
      </c>
      <c r="K49" s="8">
        <v>10</v>
      </c>
      <c r="L49" s="12"/>
      <c r="M49" s="12"/>
      <c r="N49" s="1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x14ac:dyDescent="0.25">
      <c r="A50" s="8" t="s">
        <v>10</v>
      </c>
      <c r="B50" s="9">
        <f>1/3</f>
        <v>0.33333333333333331</v>
      </c>
      <c r="C50" s="9">
        <f>1/3</f>
        <v>0.33333333333333331</v>
      </c>
      <c r="D50" s="9">
        <f>1/3</f>
        <v>0.33333333333333331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2"/>
      <c r="M50" s="12"/>
      <c r="N50" s="12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x14ac:dyDescent="0.25">
      <c r="A51" s="8" t="s">
        <v>11</v>
      </c>
      <c r="B51" s="10">
        <f>($B$11*B$50)</f>
        <v>0</v>
      </c>
      <c r="C51" s="10">
        <f>($B$11*C$50)</f>
        <v>0</v>
      </c>
      <c r="D51" s="10">
        <f>($B$11*D$50)</f>
        <v>0</v>
      </c>
      <c r="E51" s="10"/>
      <c r="F51" s="10"/>
      <c r="G51" s="10"/>
      <c r="H51" s="10"/>
      <c r="I51" s="10"/>
      <c r="J51" s="10"/>
      <c r="K51" s="10"/>
      <c r="L51" s="12"/>
      <c r="M51" s="12"/>
      <c r="N51" s="1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x14ac:dyDescent="0.25">
      <c r="A52" s="8" t="s">
        <v>12</v>
      </c>
      <c r="B52" s="11"/>
      <c r="C52" s="10">
        <f>C$11*$C$50</f>
        <v>0</v>
      </c>
      <c r="D52" s="10">
        <f>D$11*$C$50</f>
        <v>0</v>
      </c>
      <c r="E52" s="10">
        <f>E$11*$C$50</f>
        <v>0</v>
      </c>
      <c r="F52" s="10"/>
      <c r="G52" s="10"/>
      <c r="H52" s="10"/>
      <c r="I52" s="10"/>
      <c r="J52" s="10"/>
      <c r="K52" s="10"/>
    </row>
    <row r="53" spans="1:38" x14ac:dyDescent="0.25">
      <c r="A53" s="8" t="s">
        <v>311</v>
      </c>
      <c r="B53" s="11"/>
      <c r="C53" s="12"/>
      <c r="D53" s="10">
        <f>B$50*$D$11</f>
        <v>0</v>
      </c>
      <c r="E53" s="10">
        <f>C$50*$D$11</f>
        <v>0</v>
      </c>
      <c r="F53" s="10">
        <f>D$50*$D$11</f>
        <v>0</v>
      </c>
      <c r="G53" s="10"/>
      <c r="H53" s="10"/>
      <c r="I53" s="10"/>
      <c r="J53" s="10"/>
      <c r="K53" s="10"/>
    </row>
    <row r="54" spans="1:38" x14ac:dyDescent="0.25">
      <c r="A54" s="8" t="s">
        <v>312</v>
      </c>
      <c r="B54" s="13"/>
      <c r="C54" s="14"/>
      <c r="D54" s="12"/>
      <c r="E54" s="10">
        <f>B$50*$E$11</f>
        <v>0</v>
      </c>
      <c r="F54" s="10">
        <f>C$50*$E$11</f>
        <v>0</v>
      </c>
      <c r="G54" s="10">
        <f>D$50*$E$11</f>
        <v>0</v>
      </c>
      <c r="H54" s="10"/>
      <c r="I54" s="10"/>
      <c r="J54" s="10"/>
      <c r="K54" s="10"/>
    </row>
    <row r="55" spans="1:38" x14ac:dyDescent="0.25">
      <c r="A55" s="8" t="s">
        <v>313</v>
      </c>
      <c r="B55" s="13"/>
      <c r="C55" s="14"/>
      <c r="D55" s="12"/>
      <c r="E55" s="10"/>
      <c r="F55" s="10">
        <f>B$50*$F$11</f>
        <v>0</v>
      </c>
      <c r="G55" s="10">
        <f>C$50*$F$11</f>
        <v>0</v>
      </c>
      <c r="H55" s="10">
        <f>D$50*$F$11</f>
        <v>0</v>
      </c>
      <c r="I55" s="10"/>
      <c r="J55" s="10"/>
      <c r="K55" s="10"/>
    </row>
    <row r="56" spans="1:38" x14ac:dyDescent="0.25">
      <c r="A56" s="8"/>
      <c r="AH56" s="22"/>
      <c r="AI56" s="22"/>
    </row>
    <row r="57" spans="1:38" x14ac:dyDescent="0.25">
      <c r="A57" s="15" t="s">
        <v>13</v>
      </c>
      <c r="B57" s="16">
        <f>SUM(B51:B54)</f>
        <v>0</v>
      </c>
      <c r="C57" s="16">
        <f t="shared" ref="C57" si="71">SUM(C51:C54)</f>
        <v>0</v>
      </c>
      <c r="D57" s="16">
        <f t="shared" ref="D57:T57" si="72">SUM(D51:D54)</f>
        <v>0</v>
      </c>
      <c r="E57" s="16">
        <f t="shared" si="72"/>
        <v>0</v>
      </c>
      <c r="F57" s="16">
        <f t="shared" si="72"/>
        <v>0</v>
      </c>
      <c r="G57" s="16">
        <f t="shared" si="72"/>
        <v>0</v>
      </c>
      <c r="H57" s="16">
        <f t="shared" si="72"/>
        <v>0</v>
      </c>
      <c r="I57" s="16">
        <f t="shared" si="72"/>
        <v>0</v>
      </c>
      <c r="J57" s="16">
        <f t="shared" si="72"/>
        <v>0</v>
      </c>
      <c r="K57" s="16">
        <f t="shared" si="72"/>
        <v>0</v>
      </c>
      <c r="L57" s="16">
        <f t="shared" si="72"/>
        <v>0</v>
      </c>
      <c r="M57" s="16">
        <f t="shared" si="72"/>
        <v>0</v>
      </c>
      <c r="N57" s="16">
        <f t="shared" si="72"/>
        <v>0</v>
      </c>
      <c r="O57" s="16">
        <f t="shared" si="72"/>
        <v>0</v>
      </c>
      <c r="P57" s="16">
        <f t="shared" si="72"/>
        <v>0</v>
      </c>
      <c r="Q57" s="16">
        <f t="shared" si="72"/>
        <v>0</v>
      </c>
      <c r="R57" s="16">
        <f t="shared" si="72"/>
        <v>0</v>
      </c>
      <c r="S57" s="16">
        <f t="shared" si="72"/>
        <v>0</v>
      </c>
      <c r="T57" s="16">
        <f t="shared" si="72"/>
        <v>0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7">
        <f>SUM(B57:T57)</f>
        <v>0</v>
      </c>
      <c r="AI57" s="7">
        <f>AH11-AH57</f>
        <v>0</v>
      </c>
    </row>
    <row r="58" spans="1:38" x14ac:dyDescent="0.25">
      <c r="A58" s="15" t="s">
        <v>14</v>
      </c>
      <c r="B58" s="16">
        <f>(B57-B27)*0.21</f>
        <v>0</v>
      </c>
      <c r="C58" s="16">
        <f t="shared" ref="C58:T58" si="73">(C57-C27)*0.21</f>
        <v>0</v>
      </c>
      <c r="D58" s="16">
        <f t="shared" si="73"/>
        <v>0</v>
      </c>
      <c r="E58" s="16">
        <f t="shared" si="73"/>
        <v>0</v>
      </c>
      <c r="F58" s="16">
        <f t="shared" si="73"/>
        <v>0</v>
      </c>
      <c r="G58" s="16">
        <f t="shared" si="73"/>
        <v>0</v>
      </c>
      <c r="H58" s="16">
        <f t="shared" si="73"/>
        <v>0</v>
      </c>
      <c r="I58" s="16">
        <f t="shared" si="73"/>
        <v>0</v>
      </c>
      <c r="J58" s="16">
        <f t="shared" si="73"/>
        <v>0</v>
      </c>
      <c r="K58" s="16">
        <f t="shared" si="73"/>
        <v>0</v>
      </c>
      <c r="L58" s="16">
        <f t="shared" si="73"/>
        <v>0</v>
      </c>
      <c r="M58" s="16">
        <f t="shared" si="73"/>
        <v>0</v>
      </c>
      <c r="N58" s="16">
        <f t="shared" si="73"/>
        <v>0</v>
      </c>
      <c r="O58" s="16">
        <f t="shared" si="73"/>
        <v>0</v>
      </c>
      <c r="P58" s="16">
        <f t="shared" si="73"/>
        <v>0</v>
      </c>
      <c r="Q58" s="16">
        <f t="shared" si="73"/>
        <v>0</v>
      </c>
      <c r="R58" s="16">
        <f t="shared" si="73"/>
        <v>0</v>
      </c>
      <c r="S58" s="16">
        <f t="shared" si="73"/>
        <v>0</v>
      </c>
      <c r="T58" s="16">
        <f t="shared" si="73"/>
        <v>0</v>
      </c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7">
        <f>SUM(B58:T58)</f>
        <v>0</v>
      </c>
    </row>
    <row r="59" spans="1:38" x14ac:dyDescent="0.25">
      <c r="A59" s="8" t="s">
        <v>15</v>
      </c>
      <c r="B59" s="17">
        <f>B58</f>
        <v>0</v>
      </c>
      <c r="C59" s="17">
        <f>B59+C58</f>
        <v>0</v>
      </c>
      <c r="D59" s="17">
        <f t="shared" ref="D59:T59" si="74">C59+D58</f>
        <v>0</v>
      </c>
      <c r="E59" s="17">
        <f t="shared" si="74"/>
        <v>0</v>
      </c>
      <c r="F59" s="17">
        <f t="shared" si="74"/>
        <v>0</v>
      </c>
      <c r="G59" s="17">
        <f t="shared" si="74"/>
        <v>0</v>
      </c>
      <c r="H59" s="17">
        <f t="shared" si="74"/>
        <v>0</v>
      </c>
      <c r="I59" s="17">
        <f t="shared" si="74"/>
        <v>0</v>
      </c>
      <c r="J59" s="17">
        <f t="shared" si="74"/>
        <v>0</v>
      </c>
      <c r="K59" s="16">
        <f t="shared" si="74"/>
        <v>0</v>
      </c>
      <c r="L59" s="16">
        <f t="shared" si="74"/>
        <v>0</v>
      </c>
      <c r="M59" s="16">
        <f t="shared" si="74"/>
        <v>0</v>
      </c>
      <c r="N59" s="16">
        <f t="shared" si="74"/>
        <v>0</v>
      </c>
      <c r="O59" s="16">
        <f t="shared" si="74"/>
        <v>0</v>
      </c>
      <c r="P59" s="16">
        <f t="shared" si="74"/>
        <v>0</v>
      </c>
      <c r="Q59" s="16">
        <f t="shared" si="74"/>
        <v>0</v>
      </c>
      <c r="R59" s="16">
        <f t="shared" si="74"/>
        <v>0</v>
      </c>
      <c r="S59" s="16">
        <f t="shared" si="74"/>
        <v>0</v>
      </c>
      <c r="T59" s="16">
        <f t="shared" si="74"/>
        <v>0</v>
      </c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</sheetData>
  <pageMargins left="1" right="0.25" top="1" bottom="0.5" header="0.5" footer="0.5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B1BB-BFDE-4B93-BB93-3EF23F14888D}">
  <dimension ref="A1:S145"/>
  <sheetViews>
    <sheetView zoomScale="70" zoomScaleNormal="70" workbookViewId="0">
      <selection activeCell="E21" sqref="E21"/>
    </sheetView>
  </sheetViews>
  <sheetFormatPr defaultRowHeight="15" x14ac:dyDescent="0.25"/>
  <cols>
    <col min="1" max="1" width="9.140625" style="1"/>
    <col min="2" max="2" width="67.5703125" style="1" customWidth="1"/>
    <col min="3" max="3" width="12.140625" style="1" customWidth="1"/>
    <col min="4" max="4" width="9.5703125" style="1" bestFit="1" customWidth="1"/>
    <col min="5" max="5" width="18.85546875" style="244" bestFit="1" customWidth="1"/>
    <col min="6" max="6" width="19.85546875" style="244" customWidth="1"/>
    <col min="7" max="7" width="19.42578125" style="244" bestFit="1" customWidth="1"/>
    <col min="8" max="8" width="18.42578125" style="244" bestFit="1" customWidth="1"/>
    <col min="9" max="9" width="18.85546875" style="244" bestFit="1" customWidth="1"/>
    <col min="10" max="10" width="20.140625" style="244" bestFit="1" customWidth="1"/>
    <col min="11" max="11" width="7.28515625" style="1" bestFit="1" customWidth="1"/>
    <col min="12" max="12" width="57" style="1" bestFit="1" customWidth="1"/>
    <col min="13" max="13" width="5.7109375" style="1" bestFit="1" customWidth="1"/>
    <col min="14" max="19" width="12" style="1" bestFit="1" customWidth="1"/>
    <col min="20" max="16384" width="9.140625" style="1"/>
  </cols>
  <sheetData>
    <row r="1" spans="1:19" ht="23.25" x14ac:dyDescent="0.35">
      <c r="B1" s="199" t="s">
        <v>42</v>
      </c>
      <c r="C1" s="200" t="s">
        <v>408</v>
      </c>
      <c r="D1" s="200" t="s">
        <v>60</v>
      </c>
      <c r="E1" s="201" t="s">
        <v>61</v>
      </c>
      <c r="F1" s="202" t="s">
        <v>62</v>
      </c>
      <c r="G1" s="202" t="s">
        <v>63</v>
      </c>
      <c r="H1" s="202" t="s">
        <v>64</v>
      </c>
      <c r="I1" s="202" t="s">
        <v>65</v>
      </c>
      <c r="J1" s="203" t="s">
        <v>66</v>
      </c>
      <c r="N1" s="201" t="s">
        <v>61</v>
      </c>
      <c r="O1" s="202">
        <v>2024</v>
      </c>
      <c r="P1" s="202">
        <v>2025</v>
      </c>
      <c r="Q1" s="202">
        <v>2026</v>
      </c>
      <c r="R1" s="202">
        <v>2027</v>
      </c>
      <c r="S1" s="203">
        <v>2028</v>
      </c>
    </row>
    <row r="2" spans="1:19" ht="23.25" x14ac:dyDescent="0.35">
      <c r="B2" s="204" t="s">
        <v>67</v>
      </c>
      <c r="C2" s="204"/>
      <c r="D2" s="205" t="s">
        <v>3</v>
      </c>
      <c r="E2" s="206">
        <f t="shared" ref="E2:J2" si="0">SUM(E3:E7)</f>
        <v>165908800</v>
      </c>
      <c r="F2" s="206">
        <f>SUM(F3:F7)</f>
        <v>19000000</v>
      </c>
      <c r="G2" s="206">
        <f t="shared" si="0"/>
        <v>35288300</v>
      </c>
      <c r="H2" s="206">
        <f t="shared" si="0"/>
        <v>32881000</v>
      </c>
      <c r="I2" s="206">
        <f t="shared" si="0"/>
        <v>38733000</v>
      </c>
      <c r="J2" s="207">
        <f t="shared" si="0"/>
        <v>40006500</v>
      </c>
      <c r="L2" s="208" t="s">
        <v>3</v>
      </c>
      <c r="M2" s="205" t="s">
        <v>3</v>
      </c>
      <c r="N2" s="206">
        <f>SUM(N3:N7)</f>
        <v>4000000</v>
      </c>
      <c r="O2" s="206">
        <f t="shared" ref="O2:S2" si="1">SUM(O3:O7)</f>
        <v>400000</v>
      </c>
      <c r="P2" s="206">
        <f t="shared" si="1"/>
        <v>900000</v>
      </c>
      <c r="Q2" s="206">
        <f t="shared" si="1"/>
        <v>1100000</v>
      </c>
      <c r="R2" s="206">
        <f t="shared" si="1"/>
        <v>500000</v>
      </c>
      <c r="S2" s="207">
        <f t="shared" si="1"/>
        <v>1100000</v>
      </c>
    </row>
    <row r="3" spans="1:19" ht="18.75" x14ac:dyDescent="0.3">
      <c r="A3" s="307" t="s">
        <v>0</v>
      </c>
      <c r="B3" s="208" t="s">
        <v>68</v>
      </c>
      <c r="C3" s="208">
        <v>365</v>
      </c>
      <c r="D3" s="205" t="s">
        <v>3</v>
      </c>
      <c r="E3" s="206">
        <f>SUM(F3:J3)</f>
        <v>60000000</v>
      </c>
      <c r="F3" s="206">
        <v>12000000</v>
      </c>
      <c r="G3" s="206">
        <v>12000000</v>
      </c>
      <c r="H3" s="206">
        <v>12000000</v>
      </c>
      <c r="I3" s="206">
        <v>12000000</v>
      </c>
      <c r="J3" s="207">
        <v>12000000</v>
      </c>
      <c r="K3" s="307" t="s">
        <v>2</v>
      </c>
      <c r="L3" s="208" t="s">
        <v>68</v>
      </c>
      <c r="M3" s="205" t="s">
        <v>3</v>
      </c>
      <c r="N3" s="206">
        <f>SUM(O3:S3)</f>
        <v>0</v>
      </c>
      <c r="O3" s="206">
        <v>0</v>
      </c>
      <c r="P3" s="206">
        <v>0</v>
      </c>
      <c r="Q3" s="206">
        <v>0</v>
      </c>
      <c r="R3" s="206">
        <v>0</v>
      </c>
      <c r="S3" s="207">
        <v>0</v>
      </c>
    </row>
    <row r="4" spans="1:19" ht="18.75" x14ac:dyDescent="0.3">
      <c r="A4" s="307"/>
      <c r="B4" s="208" t="s">
        <v>69</v>
      </c>
      <c r="C4" s="208" t="s">
        <v>409</v>
      </c>
      <c r="D4" s="205" t="s">
        <v>3</v>
      </c>
      <c r="E4" s="206">
        <f>SUM(F4:J4)</f>
        <v>10580000</v>
      </c>
      <c r="F4" s="206">
        <f>(F10+F14+F18)</f>
        <v>1000000</v>
      </c>
      <c r="G4" s="206">
        <f>(G10+G14+G18)*1.33</f>
        <v>3325000</v>
      </c>
      <c r="H4" s="206">
        <f>(H10+H14+H18)*1.33</f>
        <v>3192000</v>
      </c>
      <c r="I4" s="206">
        <f>(I10+I14+I18)*1.33</f>
        <v>1463000</v>
      </c>
      <c r="J4" s="207">
        <v>1600000</v>
      </c>
      <c r="K4" s="307"/>
      <c r="L4" s="208" t="s">
        <v>69</v>
      </c>
      <c r="M4" s="205" t="s">
        <v>3</v>
      </c>
      <c r="N4" s="206">
        <f t="shared" ref="N4:N7" si="2">SUM(O4:S4)</f>
        <v>1100000</v>
      </c>
      <c r="O4" s="206">
        <v>100000</v>
      </c>
      <c r="P4" s="206">
        <v>300000</v>
      </c>
      <c r="Q4" s="206">
        <v>300000</v>
      </c>
      <c r="R4" s="206">
        <v>200000</v>
      </c>
      <c r="S4" s="207">
        <v>200000</v>
      </c>
    </row>
    <row r="5" spans="1:19" ht="18.75" x14ac:dyDescent="0.3">
      <c r="A5" s="307"/>
      <c r="B5" s="208" t="s">
        <v>70</v>
      </c>
      <c r="C5" s="208">
        <v>362</v>
      </c>
      <c r="D5" s="205" t="s">
        <v>3</v>
      </c>
      <c r="E5" s="206">
        <f>SUM(F5:J5)</f>
        <v>27812800</v>
      </c>
      <c r="F5" s="206">
        <v>1000000</v>
      </c>
      <c r="G5" s="206">
        <f>(G26+G37+G58+G93)*1.33</f>
        <v>4003300</v>
      </c>
      <c r="H5" s="206">
        <f>(H26+H37+H58+H93)*1.33</f>
        <v>8911000</v>
      </c>
      <c r="I5" s="206">
        <f>(I26+I37+I58+I93)*1.33</f>
        <v>0</v>
      </c>
      <c r="J5" s="207">
        <f>(J26+J37+J58+J93)*1.33</f>
        <v>13898500</v>
      </c>
      <c r="K5" s="307"/>
      <c r="L5" s="208" t="s">
        <v>70</v>
      </c>
      <c r="M5" s="205" t="s">
        <v>3</v>
      </c>
      <c r="N5" s="206">
        <f t="shared" si="2"/>
        <v>1400000</v>
      </c>
      <c r="O5" s="206">
        <v>100000</v>
      </c>
      <c r="P5" s="206">
        <v>200000</v>
      </c>
      <c r="Q5" s="206">
        <v>400000</v>
      </c>
      <c r="R5" s="206">
        <f>(R26+R37+R58+R93)*1.33</f>
        <v>0</v>
      </c>
      <c r="S5" s="207">
        <v>700000</v>
      </c>
    </row>
    <row r="6" spans="1:19" ht="18.75" x14ac:dyDescent="0.3">
      <c r="A6" s="307"/>
      <c r="B6" s="208" t="s">
        <v>71</v>
      </c>
      <c r="C6" s="208">
        <v>362</v>
      </c>
      <c r="D6" s="205" t="s">
        <v>3</v>
      </c>
      <c r="E6" s="206">
        <f>SUM(F6:J6)</f>
        <v>52476000</v>
      </c>
      <c r="F6" s="206">
        <f>SUM(F96+F104+F110)</f>
        <v>3000000</v>
      </c>
      <c r="G6" s="206">
        <f>SUM(G96+G104+G110)*1.33</f>
        <v>11970000</v>
      </c>
      <c r="H6" s="206">
        <f>SUM(H96+H104+H110)*1.33</f>
        <v>4788000</v>
      </c>
      <c r="I6" s="206">
        <f>SUM(I96+I104+I110)*1.33</f>
        <v>22610000</v>
      </c>
      <c r="J6" s="207">
        <f>SUM(J96+J104+J110)*1.33</f>
        <v>10108000</v>
      </c>
      <c r="K6" s="307"/>
      <c r="L6" s="208" t="s">
        <v>71</v>
      </c>
      <c r="M6" s="205" t="s">
        <v>3</v>
      </c>
      <c r="N6" s="206">
        <f t="shared" si="2"/>
        <v>0</v>
      </c>
      <c r="O6" s="206">
        <f>SUM(O96+O104+O110)</f>
        <v>0</v>
      </c>
      <c r="P6" s="206">
        <f>SUM(P96+P104+P110)*1.33</f>
        <v>0</v>
      </c>
      <c r="Q6" s="206">
        <f>SUM(Q96+Q104+Q110)*1.33</f>
        <v>0</v>
      </c>
      <c r="R6" s="206">
        <f>SUM(R96+R104+R110)*1.33</f>
        <v>0</v>
      </c>
      <c r="S6" s="207">
        <f>SUM(S96+S104+S110)*1.33</f>
        <v>0</v>
      </c>
    </row>
    <row r="7" spans="1:19" ht="18.75" x14ac:dyDescent="0.3">
      <c r="A7" s="307"/>
      <c r="B7" s="208" t="s">
        <v>72</v>
      </c>
      <c r="C7" s="208" t="s">
        <v>409</v>
      </c>
      <c r="D7" s="205" t="s">
        <v>3</v>
      </c>
      <c r="E7" s="206">
        <f>SUM(F7:J7)</f>
        <v>15040000</v>
      </c>
      <c r="F7" s="206">
        <v>2000000</v>
      </c>
      <c r="G7" s="206">
        <f t="shared" ref="G7:H7" si="3">3000000*1.33</f>
        <v>3990000</v>
      </c>
      <c r="H7" s="206">
        <f t="shared" si="3"/>
        <v>3990000</v>
      </c>
      <c r="I7" s="206">
        <f>2000000*1.33</f>
        <v>2660000</v>
      </c>
      <c r="J7" s="207">
        <v>2400000</v>
      </c>
      <c r="K7" s="307"/>
      <c r="L7" s="208" t="s">
        <v>72</v>
      </c>
      <c r="M7" s="205" t="s">
        <v>3</v>
      </c>
      <c r="N7" s="206">
        <f t="shared" si="2"/>
        <v>1500000</v>
      </c>
      <c r="O7" s="206">
        <v>200000</v>
      </c>
      <c r="P7" s="206">
        <v>400000</v>
      </c>
      <c r="Q7" s="206">
        <v>400000</v>
      </c>
      <c r="R7" s="206">
        <v>300000</v>
      </c>
      <c r="S7" s="207">
        <v>200000</v>
      </c>
    </row>
    <row r="8" spans="1:19" ht="18.75" x14ac:dyDescent="0.3">
      <c r="B8" s="209"/>
      <c r="C8" s="209"/>
      <c r="D8" s="210"/>
      <c r="E8" s="211"/>
      <c r="F8" s="212"/>
      <c r="G8" s="212"/>
      <c r="H8" s="212"/>
      <c r="I8" s="212"/>
      <c r="J8" s="212"/>
    </row>
    <row r="9" spans="1:19" ht="19.5" thickBot="1" x14ac:dyDescent="0.35">
      <c r="B9" s="213" t="s">
        <v>73</v>
      </c>
      <c r="C9" s="213"/>
      <c r="D9" s="214" t="s">
        <v>3</v>
      </c>
      <c r="E9" s="215">
        <f>SUM(E10,E14,E18)</f>
        <v>10580000.241</v>
      </c>
      <c r="F9" s="215">
        <f>SUM(F10,F14,F18)</f>
        <v>1000000</v>
      </c>
      <c r="G9" s="215">
        <f>SUM(G10,G14,G18)*1.33</f>
        <v>3325000</v>
      </c>
      <c r="H9" s="215">
        <f>SUM(H10,H14,H18)*1.33</f>
        <v>3192000</v>
      </c>
      <c r="I9" s="215">
        <f>SUM(I10,I14,I18)*1.33</f>
        <v>1463000</v>
      </c>
      <c r="J9" s="216">
        <f>SUM(J10,J14,J18)*1.33</f>
        <v>1600000.2409999999</v>
      </c>
      <c r="L9" s="19" t="s">
        <v>298</v>
      </c>
      <c r="N9" s="217">
        <f>F2+O2</f>
        <v>19400000</v>
      </c>
    </row>
    <row r="10" spans="1:19" ht="19.5" thickBot="1" x14ac:dyDescent="0.35">
      <c r="B10" s="218" t="s">
        <v>74</v>
      </c>
      <c r="C10" s="218"/>
      <c r="D10" s="219" t="s">
        <v>75</v>
      </c>
      <c r="E10" s="220">
        <f>SUM(E11:E13)</f>
        <v>1000000</v>
      </c>
      <c r="F10" s="220">
        <f>SUM(F11:F13)</f>
        <v>1000000</v>
      </c>
      <c r="G10" s="220">
        <f t="shared" ref="G10:J10" si="4">SUM(G11:G13)</f>
        <v>0</v>
      </c>
      <c r="H10" s="220">
        <f t="shared" si="4"/>
        <v>0</v>
      </c>
      <c r="I10" s="220">
        <f t="shared" si="4"/>
        <v>0</v>
      </c>
      <c r="J10" s="221">
        <f t="shared" si="4"/>
        <v>0</v>
      </c>
    </row>
    <row r="11" spans="1:19" x14ac:dyDescent="0.25">
      <c r="B11" s="222" t="s">
        <v>76</v>
      </c>
      <c r="C11" s="222"/>
      <c r="D11" s="223" t="s">
        <v>77</v>
      </c>
      <c r="E11" s="224">
        <f t="shared" ref="E11" si="5">F11+SUM(G11:J11)*1.33</f>
        <v>1000000</v>
      </c>
      <c r="F11" s="225">
        <v>1000000</v>
      </c>
      <c r="G11" s="225">
        <v>0</v>
      </c>
      <c r="H11" s="225">
        <v>0</v>
      </c>
      <c r="I11" s="225">
        <v>0</v>
      </c>
      <c r="J11" s="226">
        <v>0</v>
      </c>
    </row>
    <row r="12" spans="1:19" x14ac:dyDescent="0.25">
      <c r="B12" s="227"/>
      <c r="C12" s="227"/>
      <c r="D12" s="210"/>
      <c r="E12" s="228"/>
      <c r="F12" s="228"/>
      <c r="G12" s="228"/>
      <c r="H12" s="228"/>
      <c r="I12" s="228"/>
      <c r="J12" s="226"/>
    </row>
    <row r="13" spans="1:19" ht="15.75" thickBot="1" x14ac:dyDescent="0.3">
      <c r="B13" s="227"/>
      <c r="C13" s="227"/>
      <c r="D13" s="210"/>
      <c r="E13" s="228"/>
      <c r="F13" s="228"/>
      <c r="G13" s="228"/>
      <c r="H13" s="228"/>
      <c r="I13" s="228"/>
      <c r="J13" s="226"/>
    </row>
    <row r="14" spans="1:19" ht="19.5" thickBot="1" x14ac:dyDescent="0.35">
      <c r="B14" s="218" t="s">
        <v>78</v>
      </c>
      <c r="C14" s="218"/>
      <c r="D14" s="219" t="s">
        <v>75</v>
      </c>
      <c r="E14" s="220">
        <f t="shared" ref="E14:J14" si="6">SUM(E15:E16)</f>
        <v>7316999.9210000001</v>
      </c>
      <c r="F14" s="220">
        <f t="shared" si="6"/>
        <v>0</v>
      </c>
      <c r="G14" s="220">
        <f t="shared" si="6"/>
        <v>2500000</v>
      </c>
      <c r="H14" s="220">
        <f t="shared" si="6"/>
        <v>2400000</v>
      </c>
      <c r="I14" s="220">
        <f t="shared" si="6"/>
        <v>0</v>
      </c>
      <c r="J14" s="221">
        <f t="shared" si="6"/>
        <v>601503.69999999995</v>
      </c>
    </row>
    <row r="15" spans="1:19" ht="30" x14ac:dyDescent="0.25">
      <c r="B15" s="229" t="s">
        <v>79</v>
      </c>
      <c r="C15" s="230"/>
      <c r="D15" s="223" t="s">
        <v>80</v>
      </c>
      <c r="E15" s="224">
        <f t="shared" ref="E15:E16" si="7">F15+SUM(G15:J15)*1.33</f>
        <v>6517000</v>
      </c>
      <c r="F15" s="225">
        <v>0</v>
      </c>
      <c r="G15" s="225">
        <v>2500000</v>
      </c>
      <c r="H15" s="225">
        <v>2400000</v>
      </c>
      <c r="I15" s="225">
        <v>0</v>
      </c>
      <c r="J15" s="231">
        <v>0</v>
      </c>
    </row>
    <row r="16" spans="1:19" x14ac:dyDescent="0.25">
      <c r="B16" s="227" t="s">
        <v>81</v>
      </c>
      <c r="C16" s="227"/>
      <c r="D16" s="210"/>
      <c r="E16" s="232">
        <f t="shared" si="7"/>
        <v>799999.92099999997</v>
      </c>
      <c r="F16" s="228">
        <v>0</v>
      </c>
      <c r="G16" s="228">
        <v>0</v>
      </c>
      <c r="H16" s="228">
        <v>0</v>
      </c>
      <c r="I16" s="228">
        <v>0</v>
      </c>
      <c r="J16" s="226">
        <v>601503.69999999995</v>
      </c>
    </row>
    <row r="17" spans="2:10" ht="15.75" thickBot="1" x14ac:dyDescent="0.3">
      <c r="B17" s="227"/>
      <c r="C17" s="227"/>
      <c r="D17" s="210"/>
      <c r="E17" s="228"/>
      <c r="F17" s="228"/>
      <c r="G17" s="228"/>
      <c r="H17" s="228"/>
      <c r="I17" s="228"/>
      <c r="J17" s="226"/>
    </row>
    <row r="18" spans="2:10" ht="19.5" thickBot="1" x14ac:dyDescent="0.35">
      <c r="B18" s="218" t="s">
        <v>82</v>
      </c>
      <c r="C18" s="218"/>
      <c r="D18" s="219" t="s">
        <v>75</v>
      </c>
      <c r="E18" s="220">
        <f t="shared" ref="E18:J18" si="8">SUM(E19:E20)</f>
        <v>2263000.3200000003</v>
      </c>
      <c r="F18" s="220">
        <f t="shared" si="8"/>
        <v>0</v>
      </c>
      <c r="G18" s="220">
        <f t="shared" si="8"/>
        <v>0</v>
      </c>
      <c r="H18" s="220">
        <f t="shared" si="8"/>
        <v>0</v>
      </c>
      <c r="I18" s="220">
        <f t="shared" si="8"/>
        <v>1100000</v>
      </c>
      <c r="J18" s="221">
        <f t="shared" si="8"/>
        <v>601504</v>
      </c>
    </row>
    <row r="19" spans="2:10" x14ac:dyDescent="0.25">
      <c r="B19" s="233" t="s">
        <v>83</v>
      </c>
      <c r="C19" s="233"/>
      <c r="D19" s="234" t="s">
        <v>84</v>
      </c>
      <c r="E19" s="224">
        <f t="shared" ref="E19:E20" si="9">F19+SUM(G19:J19)*1.33</f>
        <v>1463000</v>
      </c>
      <c r="F19" s="224">
        <v>0</v>
      </c>
      <c r="G19" s="224">
        <v>0</v>
      </c>
      <c r="H19" s="224">
        <v>0</v>
      </c>
      <c r="I19" s="224">
        <v>1100000</v>
      </c>
      <c r="J19" s="235">
        <v>0</v>
      </c>
    </row>
    <row r="20" spans="2:10" x14ac:dyDescent="0.25">
      <c r="B20" s="236" t="s">
        <v>81</v>
      </c>
      <c r="C20" s="236"/>
      <c r="D20" s="237"/>
      <c r="E20" s="232">
        <f t="shared" si="9"/>
        <v>800000.32000000007</v>
      </c>
      <c r="F20" s="228">
        <v>0</v>
      </c>
      <c r="G20" s="228">
        <v>0</v>
      </c>
      <c r="H20" s="228">
        <v>0</v>
      </c>
      <c r="I20" s="228">
        <v>0</v>
      </c>
      <c r="J20" s="226">
        <v>601504</v>
      </c>
    </row>
    <row r="21" spans="2:10" ht="15.75" thickBot="1" x14ac:dyDescent="0.3">
      <c r="B21" s="238"/>
      <c r="C21" s="238"/>
      <c r="D21" s="239"/>
      <c r="E21" s="240"/>
      <c r="F21" s="240"/>
      <c r="G21" s="240"/>
      <c r="H21" s="240"/>
      <c r="I21" s="240"/>
      <c r="J21" s="241"/>
    </row>
    <row r="23" spans="2:10" ht="18.75" x14ac:dyDescent="0.3">
      <c r="B23" s="242"/>
      <c r="C23" s="242"/>
      <c r="D23" s="243"/>
    </row>
    <row r="24" spans="2:10" ht="15.75" thickBot="1" x14ac:dyDescent="0.3"/>
    <row r="25" spans="2:10" ht="19.5" thickBot="1" x14ac:dyDescent="0.35">
      <c r="B25" s="245" t="s">
        <v>85</v>
      </c>
      <c r="C25" s="245"/>
      <c r="D25" s="246" t="s">
        <v>3</v>
      </c>
      <c r="E25" s="220">
        <f>SUM(E26,E37,E58,E93)</f>
        <v>27812800</v>
      </c>
      <c r="F25" s="220">
        <f>SUM(F37,F58,F93)</f>
        <v>1000000</v>
      </c>
      <c r="G25" s="220">
        <f>SUM(G26,G37,G58,G93)*1.33</f>
        <v>4003300</v>
      </c>
      <c r="H25" s="220">
        <f>SUM(H26,H37,H58,H93)*1.33</f>
        <v>8911000</v>
      </c>
      <c r="I25" s="220">
        <f>SUM(I26,I37,I58,I93)*1.33</f>
        <v>0</v>
      </c>
      <c r="J25" s="221">
        <f>SUM(J26,J37,J58,J93)*1.33</f>
        <v>13898500</v>
      </c>
    </row>
    <row r="26" spans="2:10" ht="19.5" thickBot="1" x14ac:dyDescent="0.35">
      <c r="B26" s="247" t="s">
        <v>86</v>
      </c>
      <c r="C26" s="247"/>
      <c r="D26" s="248" t="s">
        <v>75</v>
      </c>
      <c r="E26" s="249">
        <f t="shared" ref="E26:J26" si="10">SUM(E27:E34)</f>
        <v>3005800</v>
      </c>
      <c r="F26" s="249">
        <f t="shared" si="10"/>
        <v>0</v>
      </c>
      <c r="G26" s="249">
        <f t="shared" si="10"/>
        <v>2010000</v>
      </c>
      <c r="H26" s="249">
        <f t="shared" si="10"/>
        <v>250000</v>
      </c>
      <c r="I26" s="249">
        <f t="shared" si="10"/>
        <v>0</v>
      </c>
      <c r="J26" s="250">
        <f t="shared" si="10"/>
        <v>0</v>
      </c>
    </row>
    <row r="27" spans="2:10" x14ac:dyDescent="0.25">
      <c r="B27" s="251" t="s">
        <v>87</v>
      </c>
      <c r="C27" s="251"/>
      <c r="D27" s="252" t="s">
        <v>77</v>
      </c>
      <c r="E27" s="232">
        <f t="shared" ref="E27:E34" si="11">F27+SUM(G27:J27)*1.33</f>
        <v>1330000</v>
      </c>
      <c r="F27" s="232">
        <v>0</v>
      </c>
      <c r="G27" s="232">
        <v>1000000</v>
      </c>
      <c r="H27" s="232">
        <v>0</v>
      </c>
      <c r="I27" s="232">
        <v>0</v>
      </c>
      <c r="J27" s="253">
        <v>0</v>
      </c>
    </row>
    <row r="28" spans="2:10" x14ac:dyDescent="0.25">
      <c r="B28" s="251" t="s">
        <v>88</v>
      </c>
      <c r="C28" s="251"/>
      <c r="D28" s="252" t="s">
        <v>77</v>
      </c>
      <c r="E28" s="232">
        <f t="shared" si="11"/>
        <v>1343300</v>
      </c>
      <c r="F28" s="232">
        <v>0</v>
      </c>
      <c r="G28" s="232">
        <v>1010000</v>
      </c>
      <c r="H28" s="232">
        <v>0</v>
      </c>
      <c r="I28" s="232">
        <v>0</v>
      </c>
      <c r="J28" s="253">
        <v>0</v>
      </c>
    </row>
    <row r="29" spans="2:10" x14ac:dyDescent="0.25">
      <c r="B29" s="251" t="s">
        <v>89</v>
      </c>
      <c r="C29" s="251"/>
      <c r="D29" s="252" t="s">
        <v>77</v>
      </c>
      <c r="E29" s="232">
        <f t="shared" si="11"/>
        <v>332500</v>
      </c>
      <c r="F29" s="232">
        <v>0</v>
      </c>
      <c r="G29" s="232">
        <v>0</v>
      </c>
      <c r="H29" s="232">
        <v>250000</v>
      </c>
      <c r="I29" s="232">
        <v>0</v>
      </c>
      <c r="J29" s="253">
        <v>0</v>
      </c>
    </row>
    <row r="30" spans="2:10" x14ac:dyDescent="0.25">
      <c r="B30" s="251" t="s">
        <v>90</v>
      </c>
      <c r="C30" s="251"/>
      <c r="D30" s="252" t="s">
        <v>77</v>
      </c>
      <c r="E30" s="232">
        <f t="shared" si="11"/>
        <v>0</v>
      </c>
      <c r="F30" s="232">
        <v>0</v>
      </c>
      <c r="G30" s="232">
        <v>0</v>
      </c>
      <c r="H30" s="232">
        <v>0</v>
      </c>
      <c r="I30" s="232">
        <v>0</v>
      </c>
      <c r="J30" s="253">
        <v>0</v>
      </c>
    </row>
    <row r="31" spans="2:10" x14ac:dyDescent="0.25">
      <c r="B31" s="251" t="s">
        <v>91</v>
      </c>
      <c r="C31" s="251"/>
      <c r="D31" s="252" t="s">
        <v>77</v>
      </c>
      <c r="E31" s="232">
        <f t="shared" si="11"/>
        <v>0</v>
      </c>
      <c r="F31" s="232">
        <v>0</v>
      </c>
      <c r="G31" s="232">
        <v>0</v>
      </c>
      <c r="H31" s="232">
        <v>0</v>
      </c>
      <c r="I31" s="232">
        <v>0</v>
      </c>
      <c r="J31" s="253">
        <v>0</v>
      </c>
    </row>
    <row r="32" spans="2:10" x14ac:dyDescent="0.25">
      <c r="B32" s="251" t="s">
        <v>92</v>
      </c>
      <c r="C32" s="251"/>
      <c r="D32" s="252" t="s">
        <v>77</v>
      </c>
      <c r="E32" s="232">
        <f t="shared" si="11"/>
        <v>0</v>
      </c>
      <c r="F32" s="232">
        <v>0</v>
      </c>
      <c r="G32" s="232">
        <v>0</v>
      </c>
      <c r="H32" s="232">
        <v>0</v>
      </c>
      <c r="I32" s="232">
        <v>0</v>
      </c>
      <c r="J32" s="253">
        <v>0</v>
      </c>
    </row>
    <row r="33" spans="2:10" x14ac:dyDescent="0.25">
      <c r="B33" s="251" t="s">
        <v>93</v>
      </c>
      <c r="C33" s="251"/>
      <c r="D33" s="252" t="s">
        <v>77</v>
      </c>
      <c r="E33" s="232">
        <f t="shared" si="11"/>
        <v>0</v>
      </c>
      <c r="F33" s="232">
        <v>0</v>
      </c>
      <c r="G33" s="232">
        <v>0</v>
      </c>
      <c r="H33" s="232">
        <v>0</v>
      </c>
      <c r="I33" s="232">
        <v>0</v>
      </c>
      <c r="J33" s="253">
        <v>0</v>
      </c>
    </row>
    <row r="34" spans="2:10" x14ac:dyDescent="0.25">
      <c r="B34" s="251" t="s">
        <v>94</v>
      </c>
      <c r="C34" s="251"/>
      <c r="D34" s="252" t="s">
        <v>77</v>
      </c>
      <c r="E34" s="232">
        <f t="shared" si="11"/>
        <v>0</v>
      </c>
      <c r="F34" s="232">
        <v>0</v>
      </c>
      <c r="G34" s="232">
        <v>0</v>
      </c>
      <c r="H34" s="232">
        <v>0</v>
      </c>
      <c r="I34" s="232">
        <v>0</v>
      </c>
      <c r="J34" s="253">
        <v>0</v>
      </c>
    </row>
    <row r="35" spans="2:10" x14ac:dyDescent="0.25">
      <c r="B35" s="251"/>
      <c r="C35" s="251"/>
      <c r="D35" s="252"/>
      <c r="E35" s="232"/>
      <c r="F35" s="232"/>
      <c r="G35" s="232"/>
      <c r="H35" s="232"/>
      <c r="I35" s="232"/>
      <c r="J35" s="253"/>
    </row>
    <row r="36" spans="2:10" ht="15.75" thickBot="1" x14ac:dyDescent="0.3">
      <c r="B36" s="254"/>
      <c r="C36" s="254"/>
      <c r="D36" s="255"/>
      <c r="E36" s="228"/>
      <c r="F36" s="228"/>
      <c r="G36" s="228"/>
      <c r="H36" s="228"/>
      <c r="I36" s="228"/>
      <c r="J36" s="226"/>
    </row>
    <row r="37" spans="2:10" ht="19.5" thickBot="1" x14ac:dyDescent="0.35">
      <c r="B37" s="245" t="s">
        <v>95</v>
      </c>
      <c r="C37" s="245"/>
      <c r="D37" s="256" t="s">
        <v>96</v>
      </c>
      <c r="E37" s="257">
        <f t="shared" ref="E37:J37" si="12">SUM(E38:E55)</f>
        <v>14098000</v>
      </c>
      <c r="F37" s="257">
        <f t="shared" si="12"/>
        <v>0</v>
      </c>
      <c r="G37" s="257">
        <f t="shared" si="12"/>
        <v>0</v>
      </c>
      <c r="H37" s="257">
        <f t="shared" si="12"/>
        <v>3750000</v>
      </c>
      <c r="I37" s="257">
        <f t="shared" si="12"/>
        <v>0</v>
      </c>
      <c r="J37" s="258">
        <f t="shared" si="12"/>
        <v>6850000</v>
      </c>
    </row>
    <row r="38" spans="2:10" x14ac:dyDescent="0.25">
      <c r="B38" s="251" t="s">
        <v>97</v>
      </c>
      <c r="C38" s="251"/>
      <c r="D38" s="259" t="s">
        <v>80</v>
      </c>
      <c r="E38" s="232">
        <f t="shared" ref="E38:E55" si="13">F38+SUM(G38:J38)*1.33</f>
        <v>731500</v>
      </c>
      <c r="F38" s="232">
        <v>0</v>
      </c>
      <c r="G38" s="232">
        <v>0</v>
      </c>
      <c r="H38" s="232">
        <v>550000</v>
      </c>
      <c r="I38" s="232">
        <v>0</v>
      </c>
      <c r="J38" s="253">
        <v>0</v>
      </c>
    </row>
    <row r="39" spans="2:10" x14ac:dyDescent="0.25">
      <c r="B39" s="251" t="s">
        <v>98</v>
      </c>
      <c r="C39" s="251"/>
      <c r="D39" s="259" t="s">
        <v>80</v>
      </c>
      <c r="E39" s="232">
        <f t="shared" si="13"/>
        <v>665000</v>
      </c>
      <c r="F39" s="232">
        <v>0</v>
      </c>
      <c r="G39" s="232">
        <v>0</v>
      </c>
      <c r="H39" s="232">
        <v>500000</v>
      </c>
      <c r="I39" s="232">
        <v>0</v>
      </c>
      <c r="J39" s="253">
        <v>0</v>
      </c>
    </row>
    <row r="40" spans="2:10" x14ac:dyDescent="0.25">
      <c r="B40" s="251" t="s">
        <v>99</v>
      </c>
      <c r="C40" s="251"/>
      <c r="D40" s="259" t="s">
        <v>80</v>
      </c>
      <c r="E40" s="232">
        <f t="shared" si="13"/>
        <v>731500</v>
      </c>
      <c r="F40" s="232">
        <v>0</v>
      </c>
      <c r="G40" s="232">
        <v>0</v>
      </c>
      <c r="H40" s="232">
        <v>550000</v>
      </c>
      <c r="I40" s="232">
        <v>0</v>
      </c>
      <c r="J40" s="253">
        <v>0</v>
      </c>
    </row>
    <row r="41" spans="2:10" x14ac:dyDescent="0.25">
      <c r="B41" s="251" t="s">
        <v>100</v>
      </c>
      <c r="C41" s="251"/>
      <c r="D41" s="259" t="s">
        <v>80</v>
      </c>
      <c r="E41" s="232">
        <f t="shared" si="13"/>
        <v>665000</v>
      </c>
      <c r="F41" s="232">
        <v>0</v>
      </c>
      <c r="G41" s="232">
        <v>0</v>
      </c>
      <c r="H41" s="232">
        <v>500000</v>
      </c>
      <c r="I41" s="232">
        <v>0</v>
      </c>
      <c r="J41" s="253">
        <v>0</v>
      </c>
    </row>
    <row r="42" spans="2:10" x14ac:dyDescent="0.25">
      <c r="B42" s="251" t="s">
        <v>101</v>
      </c>
      <c r="C42" s="251"/>
      <c r="D42" s="259" t="s">
        <v>80</v>
      </c>
      <c r="E42" s="232">
        <f t="shared" si="13"/>
        <v>731500</v>
      </c>
      <c r="F42" s="232">
        <v>0</v>
      </c>
      <c r="G42" s="232">
        <v>0</v>
      </c>
      <c r="H42" s="232">
        <v>550000</v>
      </c>
      <c r="I42" s="232">
        <v>0</v>
      </c>
      <c r="J42" s="253">
        <v>0</v>
      </c>
    </row>
    <row r="43" spans="2:10" x14ac:dyDescent="0.25">
      <c r="B43" s="251" t="s">
        <v>102</v>
      </c>
      <c r="C43" s="251"/>
      <c r="D43" s="259" t="s">
        <v>80</v>
      </c>
      <c r="E43" s="232">
        <f t="shared" si="13"/>
        <v>133000</v>
      </c>
      <c r="F43" s="232">
        <v>0</v>
      </c>
      <c r="G43" s="232">
        <v>0</v>
      </c>
      <c r="H43" s="232">
        <v>100000</v>
      </c>
      <c r="I43" s="232">
        <v>0</v>
      </c>
      <c r="J43" s="253">
        <v>0</v>
      </c>
    </row>
    <row r="44" spans="2:10" x14ac:dyDescent="0.25">
      <c r="B44" s="251" t="s">
        <v>103</v>
      </c>
      <c r="C44" s="251"/>
      <c r="D44" s="259" t="s">
        <v>80</v>
      </c>
      <c r="E44" s="232">
        <f t="shared" si="13"/>
        <v>1330000</v>
      </c>
      <c r="F44" s="232">
        <v>0</v>
      </c>
      <c r="G44" s="232">
        <v>0</v>
      </c>
      <c r="H44" s="232">
        <v>1000000</v>
      </c>
      <c r="I44" s="232">
        <v>0</v>
      </c>
      <c r="J44" s="253">
        <v>0</v>
      </c>
    </row>
    <row r="45" spans="2:10" x14ac:dyDescent="0.25">
      <c r="B45" s="251" t="s">
        <v>104</v>
      </c>
      <c r="C45" s="251"/>
      <c r="D45" s="259" t="s">
        <v>80</v>
      </c>
      <c r="E45" s="232">
        <f t="shared" si="13"/>
        <v>665000</v>
      </c>
      <c r="F45" s="232">
        <v>0</v>
      </c>
      <c r="G45" s="232">
        <v>0</v>
      </c>
      <c r="H45" s="232">
        <v>0</v>
      </c>
      <c r="I45" s="232">
        <v>0</v>
      </c>
      <c r="J45" s="253">
        <v>500000</v>
      </c>
    </row>
    <row r="46" spans="2:10" x14ac:dyDescent="0.25">
      <c r="B46" s="251" t="s">
        <v>105</v>
      </c>
      <c r="C46" s="251"/>
      <c r="D46" s="259" t="s">
        <v>80</v>
      </c>
      <c r="E46" s="232">
        <f t="shared" si="13"/>
        <v>665000</v>
      </c>
      <c r="F46" s="232">
        <v>0</v>
      </c>
      <c r="G46" s="232">
        <v>0</v>
      </c>
      <c r="H46" s="232">
        <v>0</v>
      </c>
      <c r="I46" s="232">
        <v>0</v>
      </c>
      <c r="J46" s="253">
        <v>500000</v>
      </c>
    </row>
    <row r="47" spans="2:10" x14ac:dyDescent="0.25">
      <c r="B47" s="251" t="s">
        <v>106</v>
      </c>
      <c r="C47" s="251"/>
      <c r="D47" s="259" t="s">
        <v>80</v>
      </c>
      <c r="E47" s="232">
        <f t="shared" si="13"/>
        <v>1330000</v>
      </c>
      <c r="F47" s="232">
        <v>0</v>
      </c>
      <c r="G47" s="232">
        <v>0</v>
      </c>
      <c r="H47" s="232">
        <v>0</v>
      </c>
      <c r="I47" s="232">
        <v>0</v>
      </c>
      <c r="J47" s="253">
        <v>1000000</v>
      </c>
    </row>
    <row r="48" spans="2:10" x14ac:dyDescent="0.25">
      <c r="B48" s="251" t="s">
        <v>107</v>
      </c>
      <c r="C48" s="251"/>
      <c r="D48" s="259" t="s">
        <v>80</v>
      </c>
      <c r="E48" s="232">
        <f t="shared" si="13"/>
        <v>665000</v>
      </c>
      <c r="F48" s="232">
        <v>0</v>
      </c>
      <c r="G48" s="232">
        <v>0</v>
      </c>
      <c r="H48" s="232">
        <v>0</v>
      </c>
      <c r="I48" s="232">
        <v>0</v>
      </c>
      <c r="J48" s="253">
        <v>500000</v>
      </c>
    </row>
    <row r="49" spans="2:10" x14ac:dyDescent="0.25">
      <c r="B49" s="251" t="s">
        <v>108</v>
      </c>
      <c r="C49" s="251"/>
      <c r="D49" s="259" t="s">
        <v>80</v>
      </c>
      <c r="E49" s="232">
        <f t="shared" si="13"/>
        <v>1330000</v>
      </c>
      <c r="F49" s="232">
        <v>0</v>
      </c>
      <c r="G49" s="232">
        <v>0</v>
      </c>
      <c r="H49" s="232">
        <v>0</v>
      </c>
      <c r="I49" s="232">
        <v>0</v>
      </c>
      <c r="J49" s="253">
        <v>1000000</v>
      </c>
    </row>
    <row r="50" spans="2:10" x14ac:dyDescent="0.25">
      <c r="B50" s="251" t="s">
        <v>109</v>
      </c>
      <c r="C50" s="251"/>
      <c r="D50" s="259" t="s">
        <v>80</v>
      </c>
      <c r="E50" s="232">
        <f t="shared" si="13"/>
        <v>997500</v>
      </c>
      <c r="F50" s="232">
        <v>0</v>
      </c>
      <c r="G50" s="232">
        <v>0</v>
      </c>
      <c r="H50" s="232">
        <v>0</v>
      </c>
      <c r="I50" s="232">
        <v>0</v>
      </c>
      <c r="J50" s="253">
        <v>750000</v>
      </c>
    </row>
    <row r="51" spans="2:10" x14ac:dyDescent="0.25">
      <c r="B51" s="251" t="s">
        <v>110</v>
      </c>
      <c r="C51" s="251"/>
      <c r="D51" s="259" t="s">
        <v>80</v>
      </c>
      <c r="E51" s="232">
        <f t="shared" si="13"/>
        <v>731500</v>
      </c>
      <c r="F51" s="232">
        <v>0</v>
      </c>
      <c r="G51" s="232">
        <v>0</v>
      </c>
      <c r="H51" s="232">
        <v>0</v>
      </c>
      <c r="I51" s="232">
        <v>0</v>
      </c>
      <c r="J51" s="253">
        <v>550000</v>
      </c>
    </row>
    <row r="52" spans="2:10" x14ac:dyDescent="0.25">
      <c r="B52" s="251" t="s">
        <v>111</v>
      </c>
      <c r="C52" s="251"/>
      <c r="D52" s="259" t="s">
        <v>80</v>
      </c>
      <c r="E52" s="232">
        <f t="shared" si="13"/>
        <v>665000</v>
      </c>
      <c r="F52" s="232">
        <v>0</v>
      </c>
      <c r="G52" s="232">
        <v>0</v>
      </c>
      <c r="H52" s="232">
        <v>0</v>
      </c>
      <c r="I52" s="232">
        <v>0</v>
      </c>
      <c r="J52" s="253">
        <v>500000</v>
      </c>
    </row>
    <row r="53" spans="2:10" x14ac:dyDescent="0.25">
      <c r="B53" s="251" t="s">
        <v>112</v>
      </c>
      <c r="C53" s="251"/>
      <c r="D53" s="259" t="s">
        <v>80</v>
      </c>
      <c r="E53" s="232">
        <f t="shared" si="13"/>
        <v>665000</v>
      </c>
      <c r="F53" s="232">
        <v>0</v>
      </c>
      <c r="G53" s="232">
        <v>0</v>
      </c>
      <c r="H53" s="232">
        <v>0</v>
      </c>
      <c r="I53" s="232">
        <v>0</v>
      </c>
      <c r="J53" s="253">
        <v>500000</v>
      </c>
    </row>
    <row r="54" spans="2:10" x14ac:dyDescent="0.25">
      <c r="B54" s="251" t="s">
        <v>113</v>
      </c>
      <c r="C54" s="251"/>
      <c r="D54" s="259" t="s">
        <v>80</v>
      </c>
      <c r="E54" s="232">
        <f t="shared" si="13"/>
        <v>731500</v>
      </c>
      <c r="F54" s="232">
        <v>0</v>
      </c>
      <c r="G54" s="232">
        <v>0</v>
      </c>
      <c r="H54" s="232">
        <v>0</v>
      </c>
      <c r="I54" s="232">
        <v>0</v>
      </c>
      <c r="J54" s="253">
        <v>550000</v>
      </c>
    </row>
    <row r="55" spans="2:10" x14ac:dyDescent="0.25">
      <c r="B55" s="251" t="s">
        <v>114</v>
      </c>
      <c r="C55" s="251"/>
      <c r="D55" s="259" t="s">
        <v>80</v>
      </c>
      <c r="E55" s="232">
        <f t="shared" si="13"/>
        <v>665000</v>
      </c>
      <c r="F55" s="232">
        <v>0</v>
      </c>
      <c r="G55" s="232">
        <v>0</v>
      </c>
      <c r="H55" s="232">
        <v>0</v>
      </c>
      <c r="I55" s="232">
        <v>0</v>
      </c>
      <c r="J55" s="253">
        <v>500000</v>
      </c>
    </row>
    <row r="56" spans="2:10" x14ac:dyDescent="0.25">
      <c r="B56" s="254"/>
      <c r="C56" s="254"/>
      <c r="D56" s="260"/>
      <c r="E56" s="228"/>
      <c r="F56" s="228"/>
      <c r="G56" s="228"/>
      <c r="H56" s="228"/>
      <c r="I56" s="228"/>
      <c r="J56" s="226"/>
    </row>
    <row r="57" spans="2:10" ht="15.75" thickBot="1" x14ac:dyDescent="0.3">
      <c r="B57" s="254"/>
      <c r="C57" s="254"/>
      <c r="D57" s="255"/>
      <c r="E57" s="228"/>
      <c r="F57" s="228"/>
      <c r="G57" s="228"/>
      <c r="H57" s="228"/>
      <c r="I57" s="228"/>
      <c r="J57" s="226"/>
    </row>
    <row r="58" spans="2:10" ht="19.5" thickBot="1" x14ac:dyDescent="0.35">
      <c r="B58" s="218" t="s">
        <v>115</v>
      </c>
      <c r="C58" s="218"/>
      <c r="D58" s="256" t="s">
        <v>96</v>
      </c>
      <c r="E58" s="257">
        <f t="shared" ref="E58:J58" si="14">SUM(E59:E91)</f>
        <v>5719000</v>
      </c>
      <c r="F58" s="257">
        <f t="shared" si="14"/>
        <v>0</v>
      </c>
      <c r="G58" s="257">
        <f t="shared" si="14"/>
        <v>0</v>
      </c>
      <c r="H58" s="257">
        <f t="shared" si="14"/>
        <v>1700000</v>
      </c>
      <c r="I58" s="257">
        <f t="shared" si="14"/>
        <v>0</v>
      </c>
      <c r="J58" s="258">
        <f t="shared" si="14"/>
        <v>2600000</v>
      </c>
    </row>
    <row r="59" spans="2:10" x14ac:dyDescent="0.25">
      <c r="B59" s="261" t="s">
        <v>116</v>
      </c>
      <c r="C59" s="261"/>
      <c r="D59" s="262" t="s">
        <v>84</v>
      </c>
      <c r="E59" s="232">
        <f t="shared" ref="E59:J91" si="15">F59+SUM(G59:J59)*1.33</f>
        <v>931000</v>
      </c>
      <c r="F59" s="224">
        <v>0</v>
      </c>
      <c r="G59" s="224">
        <v>0</v>
      </c>
      <c r="H59" s="224">
        <v>700000</v>
      </c>
      <c r="I59" s="224">
        <v>0</v>
      </c>
      <c r="J59" s="235">
        <v>0</v>
      </c>
    </row>
    <row r="60" spans="2:10" x14ac:dyDescent="0.25">
      <c r="B60" s="263" t="s">
        <v>117</v>
      </c>
      <c r="C60" s="263"/>
      <c r="D60" s="237" t="s">
        <v>84</v>
      </c>
      <c r="E60" s="232">
        <f t="shared" si="15"/>
        <v>665000</v>
      </c>
      <c r="F60" s="232">
        <v>0</v>
      </c>
      <c r="G60" s="232">
        <v>0</v>
      </c>
      <c r="H60" s="232">
        <v>500000</v>
      </c>
      <c r="I60" s="232">
        <v>0</v>
      </c>
      <c r="J60" s="253">
        <v>0</v>
      </c>
    </row>
    <row r="61" spans="2:10" x14ac:dyDescent="0.25">
      <c r="B61" s="263" t="s">
        <v>118</v>
      </c>
      <c r="C61" s="263"/>
      <c r="D61" s="237" t="s">
        <v>84</v>
      </c>
      <c r="E61" s="232">
        <f t="shared" si="15"/>
        <v>665000</v>
      </c>
      <c r="F61" s="232">
        <v>0</v>
      </c>
      <c r="G61" s="232">
        <v>0</v>
      </c>
      <c r="H61" s="232">
        <v>500000</v>
      </c>
      <c r="I61" s="232">
        <v>0</v>
      </c>
      <c r="J61" s="253">
        <v>0</v>
      </c>
    </row>
    <row r="62" spans="2:10" x14ac:dyDescent="0.25">
      <c r="B62" s="251" t="s">
        <v>119</v>
      </c>
      <c r="C62" s="251"/>
      <c r="D62" s="237" t="s">
        <v>84</v>
      </c>
      <c r="E62" s="232">
        <f t="shared" si="15"/>
        <v>2128000</v>
      </c>
      <c r="F62" s="232">
        <v>0</v>
      </c>
      <c r="G62" s="232">
        <v>0</v>
      </c>
      <c r="H62" s="232">
        <v>0</v>
      </c>
      <c r="I62" s="232">
        <v>0</v>
      </c>
      <c r="J62" s="253">
        <v>1600000</v>
      </c>
    </row>
    <row r="63" spans="2:10" x14ac:dyDescent="0.25">
      <c r="B63" s="251" t="s">
        <v>120</v>
      </c>
      <c r="C63" s="251"/>
      <c r="D63" s="237" t="s">
        <v>84</v>
      </c>
      <c r="E63" s="232">
        <f t="shared" si="15"/>
        <v>1330000</v>
      </c>
      <c r="F63" s="232">
        <v>0</v>
      </c>
      <c r="G63" s="232">
        <v>0</v>
      </c>
      <c r="H63" s="232">
        <v>0</v>
      </c>
      <c r="I63" s="232">
        <v>0</v>
      </c>
      <c r="J63" s="253">
        <v>1000000</v>
      </c>
    </row>
    <row r="64" spans="2:10" x14ac:dyDescent="0.25">
      <c r="B64" s="251" t="s">
        <v>121</v>
      </c>
      <c r="C64" s="251"/>
      <c r="D64" s="237" t="s">
        <v>84</v>
      </c>
      <c r="E64" s="232">
        <f t="shared" si="15"/>
        <v>0</v>
      </c>
      <c r="F64" s="232">
        <f t="shared" si="15"/>
        <v>0</v>
      </c>
      <c r="G64" s="232">
        <f t="shared" si="15"/>
        <v>0</v>
      </c>
      <c r="H64" s="232">
        <f t="shared" si="15"/>
        <v>0</v>
      </c>
      <c r="I64" s="232">
        <f t="shared" si="15"/>
        <v>0</v>
      </c>
      <c r="J64" s="253">
        <f t="shared" si="15"/>
        <v>0</v>
      </c>
    </row>
    <row r="65" spans="2:10" x14ac:dyDescent="0.25">
      <c r="B65" s="251" t="s">
        <v>122</v>
      </c>
      <c r="C65" s="251"/>
      <c r="D65" s="237" t="s">
        <v>84</v>
      </c>
      <c r="E65" s="232">
        <f t="shared" si="15"/>
        <v>0</v>
      </c>
      <c r="F65" s="232">
        <f t="shared" si="15"/>
        <v>0</v>
      </c>
      <c r="G65" s="232">
        <f t="shared" si="15"/>
        <v>0</v>
      </c>
      <c r="H65" s="232">
        <f t="shared" si="15"/>
        <v>0</v>
      </c>
      <c r="I65" s="232">
        <f t="shared" si="15"/>
        <v>0</v>
      </c>
      <c r="J65" s="253">
        <f t="shared" si="15"/>
        <v>0</v>
      </c>
    </row>
    <row r="66" spans="2:10" x14ac:dyDescent="0.25">
      <c r="B66" s="251" t="s">
        <v>123</v>
      </c>
      <c r="C66" s="251"/>
      <c r="D66" s="237" t="s">
        <v>84</v>
      </c>
      <c r="E66" s="232">
        <f t="shared" si="15"/>
        <v>0</v>
      </c>
      <c r="F66" s="232">
        <f t="shared" si="15"/>
        <v>0</v>
      </c>
      <c r="G66" s="232">
        <f t="shared" si="15"/>
        <v>0</v>
      </c>
      <c r="H66" s="232">
        <f t="shared" si="15"/>
        <v>0</v>
      </c>
      <c r="I66" s="232">
        <f t="shared" si="15"/>
        <v>0</v>
      </c>
      <c r="J66" s="253">
        <f t="shared" si="15"/>
        <v>0</v>
      </c>
    </row>
    <row r="67" spans="2:10" x14ac:dyDescent="0.25">
      <c r="B67" s="251" t="s">
        <v>124</v>
      </c>
      <c r="C67" s="251"/>
      <c r="D67" s="237" t="s">
        <v>84</v>
      </c>
      <c r="E67" s="232">
        <f t="shared" si="15"/>
        <v>0</v>
      </c>
      <c r="F67" s="232">
        <f t="shared" si="15"/>
        <v>0</v>
      </c>
      <c r="G67" s="232">
        <f t="shared" si="15"/>
        <v>0</v>
      </c>
      <c r="H67" s="232">
        <f t="shared" si="15"/>
        <v>0</v>
      </c>
      <c r="I67" s="232">
        <f t="shared" si="15"/>
        <v>0</v>
      </c>
      <c r="J67" s="253">
        <f t="shared" si="15"/>
        <v>0</v>
      </c>
    </row>
    <row r="68" spans="2:10" x14ac:dyDescent="0.25">
      <c r="B68" s="251" t="s">
        <v>125</v>
      </c>
      <c r="C68" s="251"/>
      <c r="D68" s="237" t="s">
        <v>84</v>
      </c>
      <c r="E68" s="232">
        <f t="shared" si="15"/>
        <v>0</v>
      </c>
      <c r="F68" s="232">
        <f t="shared" si="15"/>
        <v>0</v>
      </c>
      <c r="G68" s="232">
        <f t="shared" si="15"/>
        <v>0</v>
      </c>
      <c r="H68" s="232">
        <f t="shared" si="15"/>
        <v>0</v>
      </c>
      <c r="I68" s="232">
        <f t="shared" si="15"/>
        <v>0</v>
      </c>
      <c r="J68" s="253">
        <f t="shared" si="15"/>
        <v>0</v>
      </c>
    </row>
    <row r="69" spans="2:10" x14ac:dyDescent="0.25">
      <c r="B69" s="251" t="s">
        <v>126</v>
      </c>
      <c r="C69" s="251"/>
      <c r="D69" s="237" t="s">
        <v>84</v>
      </c>
      <c r="E69" s="232">
        <f t="shared" si="15"/>
        <v>0</v>
      </c>
      <c r="F69" s="232">
        <f t="shared" si="15"/>
        <v>0</v>
      </c>
      <c r="G69" s="232">
        <f t="shared" si="15"/>
        <v>0</v>
      </c>
      <c r="H69" s="232">
        <f t="shared" si="15"/>
        <v>0</v>
      </c>
      <c r="I69" s="232">
        <f t="shared" si="15"/>
        <v>0</v>
      </c>
      <c r="J69" s="253">
        <f t="shared" si="15"/>
        <v>0</v>
      </c>
    </row>
    <row r="70" spans="2:10" x14ac:dyDescent="0.25">
      <c r="B70" s="251" t="s">
        <v>127</v>
      </c>
      <c r="C70" s="251"/>
      <c r="D70" s="237" t="s">
        <v>84</v>
      </c>
      <c r="E70" s="232">
        <f t="shared" si="15"/>
        <v>0</v>
      </c>
      <c r="F70" s="232">
        <f t="shared" si="15"/>
        <v>0</v>
      </c>
      <c r="G70" s="232">
        <f t="shared" si="15"/>
        <v>0</v>
      </c>
      <c r="H70" s="232">
        <f t="shared" si="15"/>
        <v>0</v>
      </c>
      <c r="I70" s="232">
        <f t="shared" si="15"/>
        <v>0</v>
      </c>
      <c r="J70" s="253">
        <f t="shared" si="15"/>
        <v>0</v>
      </c>
    </row>
    <row r="71" spans="2:10" x14ac:dyDescent="0.25">
      <c r="B71" s="251" t="s">
        <v>128</v>
      </c>
      <c r="C71" s="251"/>
      <c r="D71" s="237" t="s">
        <v>84</v>
      </c>
      <c r="E71" s="232">
        <f t="shared" si="15"/>
        <v>0</v>
      </c>
      <c r="F71" s="232">
        <f t="shared" si="15"/>
        <v>0</v>
      </c>
      <c r="G71" s="232">
        <f t="shared" si="15"/>
        <v>0</v>
      </c>
      <c r="H71" s="232">
        <f t="shared" si="15"/>
        <v>0</v>
      </c>
      <c r="I71" s="232">
        <f t="shared" si="15"/>
        <v>0</v>
      </c>
      <c r="J71" s="253">
        <f t="shared" si="15"/>
        <v>0</v>
      </c>
    </row>
    <row r="72" spans="2:10" x14ac:dyDescent="0.25">
      <c r="B72" s="251" t="s">
        <v>129</v>
      </c>
      <c r="C72" s="251"/>
      <c r="D72" s="237" t="s">
        <v>84</v>
      </c>
      <c r="E72" s="232">
        <f t="shared" si="15"/>
        <v>0</v>
      </c>
      <c r="F72" s="232">
        <f t="shared" si="15"/>
        <v>0</v>
      </c>
      <c r="G72" s="232">
        <f t="shared" si="15"/>
        <v>0</v>
      </c>
      <c r="H72" s="232">
        <f t="shared" si="15"/>
        <v>0</v>
      </c>
      <c r="I72" s="232">
        <f t="shared" si="15"/>
        <v>0</v>
      </c>
      <c r="J72" s="253">
        <f t="shared" si="15"/>
        <v>0</v>
      </c>
    </row>
    <row r="73" spans="2:10" x14ac:dyDescent="0.25">
      <c r="B73" s="251" t="s">
        <v>130</v>
      </c>
      <c r="C73" s="251"/>
      <c r="D73" s="237" t="s">
        <v>84</v>
      </c>
      <c r="E73" s="232">
        <f t="shared" si="15"/>
        <v>0</v>
      </c>
      <c r="F73" s="232">
        <f t="shared" si="15"/>
        <v>0</v>
      </c>
      <c r="G73" s="232">
        <f t="shared" si="15"/>
        <v>0</v>
      </c>
      <c r="H73" s="232">
        <f t="shared" si="15"/>
        <v>0</v>
      </c>
      <c r="I73" s="232">
        <f t="shared" si="15"/>
        <v>0</v>
      </c>
      <c r="J73" s="253">
        <f t="shared" si="15"/>
        <v>0</v>
      </c>
    </row>
    <row r="74" spans="2:10" x14ac:dyDescent="0.25">
      <c r="B74" s="251" t="s">
        <v>131</v>
      </c>
      <c r="C74" s="251"/>
      <c r="D74" s="237" t="s">
        <v>84</v>
      </c>
      <c r="E74" s="232">
        <f t="shared" si="15"/>
        <v>0</v>
      </c>
      <c r="F74" s="232">
        <f t="shared" si="15"/>
        <v>0</v>
      </c>
      <c r="G74" s="232">
        <f t="shared" si="15"/>
        <v>0</v>
      </c>
      <c r="H74" s="232">
        <f t="shared" si="15"/>
        <v>0</v>
      </c>
      <c r="I74" s="232">
        <f t="shared" si="15"/>
        <v>0</v>
      </c>
      <c r="J74" s="253">
        <f t="shared" si="15"/>
        <v>0</v>
      </c>
    </row>
    <row r="75" spans="2:10" x14ac:dyDescent="0.25">
      <c r="B75" s="251" t="s">
        <v>132</v>
      </c>
      <c r="C75" s="251"/>
      <c r="D75" s="237" t="s">
        <v>84</v>
      </c>
      <c r="E75" s="232">
        <f t="shared" si="15"/>
        <v>0</v>
      </c>
      <c r="F75" s="232">
        <f t="shared" si="15"/>
        <v>0</v>
      </c>
      <c r="G75" s="232">
        <f t="shared" si="15"/>
        <v>0</v>
      </c>
      <c r="H75" s="232">
        <f t="shared" si="15"/>
        <v>0</v>
      </c>
      <c r="I75" s="232">
        <f t="shared" si="15"/>
        <v>0</v>
      </c>
      <c r="J75" s="253">
        <f t="shared" si="15"/>
        <v>0</v>
      </c>
    </row>
    <row r="76" spans="2:10" x14ac:dyDescent="0.25">
      <c r="B76" s="251" t="s">
        <v>133</v>
      </c>
      <c r="C76" s="251"/>
      <c r="D76" s="237" t="s">
        <v>84</v>
      </c>
      <c r="E76" s="232">
        <f t="shared" si="15"/>
        <v>0</v>
      </c>
      <c r="F76" s="232">
        <f t="shared" si="15"/>
        <v>0</v>
      </c>
      <c r="G76" s="232">
        <f t="shared" si="15"/>
        <v>0</v>
      </c>
      <c r="H76" s="232">
        <f t="shared" si="15"/>
        <v>0</v>
      </c>
      <c r="I76" s="232">
        <f t="shared" si="15"/>
        <v>0</v>
      </c>
      <c r="J76" s="253">
        <f t="shared" si="15"/>
        <v>0</v>
      </c>
    </row>
    <row r="77" spans="2:10" x14ac:dyDescent="0.25">
      <c r="B77" s="251" t="s">
        <v>134</v>
      </c>
      <c r="C77" s="251"/>
      <c r="D77" s="237" t="s">
        <v>84</v>
      </c>
      <c r="E77" s="232">
        <f t="shared" si="15"/>
        <v>0</v>
      </c>
      <c r="F77" s="232">
        <f t="shared" si="15"/>
        <v>0</v>
      </c>
      <c r="G77" s="232">
        <f t="shared" si="15"/>
        <v>0</v>
      </c>
      <c r="H77" s="232">
        <f t="shared" si="15"/>
        <v>0</v>
      </c>
      <c r="I77" s="232">
        <f t="shared" si="15"/>
        <v>0</v>
      </c>
      <c r="J77" s="253">
        <f t="shared" si="15"/>
        <v>0</v>
      </c>
    </row>
    <row r="78" spans="2:10" x14ac:dyDescent="0.25">
      <c r="B78" s="251" t="s">
        <v>135</v>
      </c>
      <c r="C78" s="251"/>
      <c r="D78" s="237" t="s">
        <v>84</v>
      </c>
      <c r="E78" s="232">
        <f t="shared" si="15"/>
        <v>0</v>
      </c>
      <c r="F78" s="232">
        <f t="shared" si="15"/>
        <v>0</v>
      </c>
      <c r="G78" s="232">
        <f t="shared" si="15"/>
        <v>0</v>
      </c>
      <c r="H78" s="232">
        <f t="shared" si="15"/>
        <v>0</v>
      </c>
      <c r="I78" s="232">
        <f t="shared" si="15"/>
        <v>0</v>
      </c>
      <c r="J78" s="253">
        <f t="shared" si="15"/>
        <v>0</v>
      </c>
    </row>
    <row r="79" spans="2:10" x14ac:dyDescent="0.25">
      <c r="B79" s="251" t="s">
        <v>136</v>
      </c>
      <c r="C79" s="251"/>
      <c r="D79" s="237" t="s">
        <v>84</v>
      </c>
      <c r="E79" s="232">
        <f t="shared" si="15"/>
        <v>0</v>
      </c>
      <c r="F79" s="232">
        <f t="shared" si="15"/>
        <v>0</v>
      </c>
      <c r="G79" s="232">
        <f t="shared" si="15"/>
        <v>0</v>
      </c>
      <c r="H79" s="232">
        <f t="shared" si="15"/>
        <v>0</v>
      </c>
      <c r="I79" s="232">
        <f t="shared" si="15"/>
        <v>0</v>
      </c>
      <c r="J79" s="253">
        <f t="shared" si="15"/>
        <v>0</v>
      </c>
    </row>
    <row r="80" spans="2:10" x14ac:dyDescent="0.25">
      <c r="B80" s="251" t="s">
        <v>137</v>
      </c>
      <c r="C80" s="251"/>
      <c r="D80" s="237" t="s">
        <v>84</v>
      </c>
      <c r="E80" s="232">
        <f t="shared" si="15"/>
        <v>0</v>
      </c>
      <c r="F80" s="232">
        <f t="shared" si="15"/>
        <v>0</v>
      </c>
      <c r="G80" s="232">
        <f t="shared" si="15"/>
        <v>0</v>
      </c>
      <c r="H80" s="232">
        <f t="shared" si="15"/>
        <v>0</v>
      </c>
      <c r="I80" s="232">
        <f t="shared" si="15"/>
        <v>0</v>
      </c>
      <c r="J80" s="253">
        <f t="shared" si="15"/>
        <v>0</v>
      </c>
    </row>
    <row r="81" spans="2:15" x14ac:dyDescent="0.25">
      <c r="B81" s="251" t="s">
        <v>138</v>
      </c>
      <c r="C81" s="251"/>
      <c r="D81" s="237" t="s">
        <v>84</v>
      </c>
      <c r="E81" s="232">
        <f t="shared" si="15"/>
        <v>0</v>
      </c>
      <c r="F81" s="232">
        <f t="shared" si="15"/>
        <v>0</v>
      </c>
      <c r="G81" s="232">
        <f t="shared" si="15"/>
        <v>0</v>
      </c>
      <c r="H81" s="232">
        <f t="shared" si="15"/>
        <v>0</v>
      </c>
      <c r="I81" s="232">
        <f t="shared" si="15"/>
        <v>0</v>
      </c>
      <c r="J81" s="253">
        <f t="shared" si="15"/>
        <v>0</v>
      </c>
    </row>
    <row r="82" spans="2:15" x14ac:dyDescent="0.25">
      <c r="B82" s="251" t="s">
        <v>139</v>
      </c>
      <c r="C82" s="251"/>
      <c r="D82" s="237" t="s">
        <v>84</v>
      </c>
      <c r="E82" s="232">
        <f t="shared" si="15"/>
        <v>0</v>
      </c>
      <c r="F82" s="232">
        <f t="shared" si="15"/>
        <v>0</v>
      </c>
      <c r="G82" s="232">
        <f t="shared" si="15"/>
        <v>0</v>
      </c>
      <c r="H82" s="232">
        <f t="shared" si="15"/>
        <v>0</v>
      </c>
      <c r="I82" s="232">
        <f t="shared" si="15"/>
        <v>0</v>
      </c>
      <c r="J82" s="253">
        <f t="shared" si="15"/>
        <v>0</v>
      </c>
    </row>
    <row r="83" spans="2:15" x14ac:dyDescent="0.25">
      <c r="B83" s="251" t="s">
        <v>140</v>
      </c>
      <c r="C83" s="251"/>
      <c r="D83" s="237" t="s">
        <v>84</v>
      </c>
      <c r="E83" s="232">
        <f t="shared" si="15"/>
        <v>0</v>
      </c>
      <c r="F83" s="232">
        <f t="shared" si="15"/>
        <v>0</v>
      </c>
      <c r="G83" s="232">
        <f t="shared" si="15"/>
        <v>0</v>
      </c>
      <c r="H83" s="232">
        <f t="shared" si="15"/>
        <v>0</v>
      </c>
      <c r="I83" s="232">
        <f t="shared" si="15"/>
        <v>0</v>
      </c>
      <c r="J83" s="253">
        <f t="shared" si="15"/>
        <v>0</v>
      </c>
    </row>
    <row r="84" spans="2:15" x14ac:dyDescent="0.25">
      <c r="B84" s="251" t="s">
        <v>141</v>
      </c>
      <c r="C84" s="251"/>
      <c r="D84" s="237" t="s">
        <v>84</v>
      </c>
      <c r="E84" s="232">
        <f t="shared" si="15"/>
        <v>0</v>
      </c>
      <c r="F84" s="232">
        <f t="shared" si="15"/>
        <v>0</v>
      </c>
      <c r="G84" s="232">
        <f t="shared" si="15"/>
        <v>0</v>
      </c>
      <c r="H84" s="232">
        <f t="shared" si="15"/>
        <v>0</v>
      </c>
      <c r="I84" s="232">
        <f t="shared" si="15"/>
        <v>0</v>
      </c>
      <c r="J84" s="253">
        <f t="shared" si="15"/>
        <v>0</v>
      </c>
      <c r="L84" s="243"/>
      <c r="M84" s="264"/>
      <c r="N84" s="264"/>
      <c r="O84" s="264"/>
    </row>
    <row r="85" spans="2:15" x14ac:dyDescent="0.25">
      <c r="B85" s="236" t="s">
        <v>142</v>
      </c>
      <c r="C85" s="236"/>
      <c r="D85" s="237" t="s">
        <v>84</v>
      </c>
      <c r="E85" s="232">
        <f t="shared" si="15"/>
        <v>0</v>
      </c>
      <c r="F85" s="232">
        <f t="shared" si="15"/>
        <v>0</v>
      </c>
      <c r="G85" s="232">
        <f t="shared" si="15"/>
        <v>0</v>
      </c>
      <c r="H85" s="232">
        <f t="shared" si="15"/>
        <v>0</v>
      </c>
      <c r="I85" s="232">
        <f t="shared" si="15"/>
        <v>0</v>
      </c>
      <c r="J85" s="253">
        <f t="shared" si="15"/>
        <v>0</v>
      </c>
      <c r="L85" s="243"/>
      <c r="M85" s="264"/>
      <c r="N85" s="264"/>
      <c r="O85" s="264"/>
    </row>
    <row r="86" spans="2:15" x14ac:dyDescent="0.25">
      <c r="B86" s="236" t="s">
        <v>143</v>
      </c>
      <c r="C86" s="236"/>
      <c r="D86" s="237" t="s">
        <v>84</v>
      </c>
      <c r="E86" s="232">
        <f t="shared" si="15"/>
        <v>0</v>
      </c>
      <c r="F86" s="232">
        <f t="shared" si="15"/>
        <v>0</v>
      </c>
      <c r="G86" s="232">
        <f t="shared" si="15"/>
        <v>0</v>
      </c>
      <c r="H86" s="232">
        <f t="shared" si="15"/>
        <v>0</v>
      </c>
      <c r="I86" s="232">
        <f t="shared" si="15"/>
        <v>0</v>
      </c>
      <c r="J86" s="253">
        <f t="shared" si="15"/>
        <v>0</v>
      </c>
      <c r="L86" s="243"/>
      <c r="M86" s="264"/>
      <c r="N86" s="264"/>
      <c r="O86" s="264"/>
    </row>
    <row r="87" spans="2:15" x14ac:dyDescent="0.25">
      <c r="B87" s="236" t="s">
        <v>144</v>
      </c>
      <c r="C87" s="236"/>
      <c r="D87" s="237" t="s">
        <v>84</v>
      </c>
      <c r="E87" s="232">
        <f t="shared" si="15"/>
        <v>0</v>
      </c>
      <c r="F87" s="232">
        <f t="shared" si="15"/>
        <v>0</v>
      </c>
      <c r="G87" s="232">
        <f t="shared" si="15"/>
        <v>0</v>
      </c>
      <c r="H87" s="232">
        <f t="shared" si="15"/>
        <v>0</v>
      </c>
      <c r="I87" s="232">
        <f t="shared" si="15"/>
        <v>0</v>
      </c>
      <c r="J87" s="253">
        <f t="shared" si="15"/>
        <v>0</v>
      </c>
      <c r="L87" s="243"/>
      <c r="M87" s="264"/>
      <c r="N87" s="264"/>
      <c r="O87" s="264"/>
    </row>
    <row r="88" spans="2:15" x14ac:dyDescent="0.25">
      <c r="B88" s="236" t="s">
        <v>145</v>
      </c>
      <c r="C88" s="236"/>
      <c r="D88" s="237" t="s">
        <v>84</v>
      </c>
      <c r="E88" s="232">
        <f t="shared" si="15"/>
        <v>0</v>
      </c>
      <c r="F88" s="232">
        <f t="shared" si="15"/>
        <v>0</v>
      </c>
      <c r="G88" s="232">
        <f t="shared" si="15"/>
        <v>0</v>
      </c>
      <c r="H88" s="232">
        <f t="shared" si="15"/>
        <v>0</v>
      </c>
      <c r="I88" s="232">
        <f t="shared" si="15"/>
        <v>0</v>
      </c>
      <c r="J88" s="253">
        <f t="shared" si="15"/>
        <v>0</v>
      </c>
      <c r="L88" s="243"/>
      <c r="M88" s="264"/>
      <c r="N88" s="264"/>
      <c r="O88" s="264"/>
    </row>
    <row r="89" spans="2:15" x14ac:dyDescent="0.25">
      <c r="B89" s="236" t="s">
        <v>146</v>
      </c>
      <c r="C89" s="236"/>
      <c r="D89" s="237" t="s">
        <v>84</v>
      </c>
      <c r="E89" s="232">
        <f t="shared" si="15"/>
        <v>0</v>
      </c>
      <c r="F89" s="232">
        <f t="shared" si="15"/>
        <v>0</v>
      </c>
      <c r="G89" s="232">
        <f t="shared" si="15"/>
        <v>0</v>
      </c>
      <c r="H89" s="232">
        <f t="shared" si="15"/>
        <v>0</v>
      </c>
      <c r="I89" s="232">
        <f t="shared" si="15"/>
        <v>0</v>
      </c>
      <c r="J89" s="253">
        <f t="shared" si="15"/>
        <v>0</v>
      </c>
      <c r="L89" s="243"/>
      <c r="M89" s="264"/>
      <c r="N89" s="264"/>
      <c r="O89" s="264"/>
    </row>
    <row r="90" spans="2:15" x14ac:dyDescent="0.25">
      <c r="B90" s="236" t="s">
        <v>147</v>
      </c>
      <c r="C90" s="236"/>
      <c r="D90" s="237" t="s">
        <v>84</v>
      </c>
      <c r="E90" s="232">
        <f t="shared" si="15"/>
        <v>0</v>
      </c>
      <c r="F90" s="232">
        <f t="shared" si="15"/>
        <v>0</v>
      </c>
      <c r="G90" s="232">
        <f t="shared" si="15"/>
        <v>0</v>
      </c>
      <c r="H90" s="232">
        <f t="shared" si="15"/>
        <v>0</v>
      </c>
      <c r="I90" s="232">
        <f t="shared" si="15"/>
        <v>0</v>
      </c>
      <c r="J90" s="253">
        <f t="shared" si="15"/>
        <v>0</v>
      </c>
      <c r="L90" s="243"/>
      <c r="M90" s="264"/>
      <c r="N90" s="264"/>
      <c r="O90" s="264"/>
    </row>
    <row r="91" spans="2:15" x14ac:dyDescent="0.25">
      <c r="B91" s="236" t="s">
        <v>148</v>
      </c>
      <c r="C91" s="236"/>
      <c r="D91" s="237" t="s">
        <v>84</v>
      </c>
      <c r="E91" s="232">
        <f t="shared" si="15"/>
        <v>0</v>
      </c>
      <c r="F91" s="232">
        <f t="shared" si="15"/>
        <v>0</v>
      </c>
      <c r="G91" s="232">
        <f t="shared" si="15"/>
        <v>0</v>
      </c>
      <c r="H91" s="232">
        <f t="shared" si="15"/>
        <v>0</v>
      </c>
      <c r="I91" s="232">
        <f t="shared" si="15"/>
        <v>0</v>
      </c>
      <c r="J91" s="253">
        <f t="shared" si="15"/>
        <v>0</v>
      </c>
      <c r="L91" s="243"/>
      <c r="M91" s="264"/>
      <c r="N91" s="264"/>
      <c r="O91" s="264"/>
    </row>
    <row r="92" spans="2:15" ht="15.75" thickBot="1" x14ac:dyDescent="0.3">
      <c r="B92" s="222"/>
      <c r="C92" s="222"/>
      <c r="D92" s="223"/>
      <c r="E92" s="225"/>
      <c r="F92" s="225"/>
      <c r="G92" s="225"/>
      <c r="H92" s="225"/>
      <c r="I92" s="225"/>
      <c r="J92" s="231"/>
      <c r="L92" s="243"/>
      <c r="M92" s="264"/>
      <c r="N92" s="264"/>
      <c r="O92" s="264"/>
    </row>
    <row r="93" spans="2:15" ht="19.5" thickBot="1" x14ac:dyDescent="0.35">
      <c r="B93" s="218" t="s">
        <v>149</v>
      </c>
      <c r="C93" s="218"/>
      <c r="D93" s="256" t="s">
        <v>150</v>
      </c>
      <c r="E93" s="257">
        <f>F93+SUM(G93:J93)*1.33</f>
        <v>4990000</v>
      </c>
      <c r="F93" s="257">
        <v>1000000</v>
      </c>
      <c r="G93" s="257">
        <v>1000000</v>
      </c>
      <c r="H93" s="257">
        <v>1000000</v>
      </c>
      <c r="I93" s="257">
        <v>0</v>
      </c>
      <c r="J93" s="258">
        <v>1000000</v>
      </c>
      <c r="L93" s="243"/>
      <c r="M93" s="264"/>
      <c r="N93" s="264"/>
      <c r="O93" s="264"/>
    </row>
    <row r="94" spans="2:15" ht="15.75" thickBot="1" x14ac:dyDescent="0.3">
      <c r="B94" s="238"/>
      <c r="C94" s="238"/>
      <c r="D94" s="239"/>
      <c r="E94" s="240"/>
      <c r="F94" s="240"/>
      <c r="G94" s="240"/>
      <c r="H94" s="240"/>
      <c r="I94" s="240"/>
      <c r="J94" s="241"/>
      <c r="L94" s="243"/>
      <c r="M94" s="264"/>
      <c r="N94" s="264"/>
      <c r="O94" s="264"/>
    </row>
    <row r="95" spans="2:15" ht="19.5" thickBot="1" x14ac:dyDescent="0.35">
      <c r="B95" s="213" t="s">
        <v>151</v>
      </c>
      <c r="C95" s="213"/>
      <c r="D95" s="265" t="s">
        <v>3</v>
      </c>
      <c r="E95" s="266">
        <f>SUM(E96,E104,E110)</f>
        <v>52476000</v>
      </c>
      <c r="F95" s="266">
        <f t="shared" ref="F95" si="16">SUM(F96,F104,F110)</f>
        <v>3000000</v>
      </c>
      <c r="G95" s="266">
        <f>SUM(G96,G104,G110)*1.33</f>
        <v>11970000</v>
      </c>
      <c r="H95" s="266">
        <f>SUM(H96,H104,H110)*1.33</f>
        <v>4788000</v>
      </c>
      <c r="I95" s="266">
        <f>SUM(I96,I104,I110)*1.33</f>
        <v>22610000</v>
      </c>
      <c r="J95" s="267">
        <f>SUM(J96,J104,J110)*1.33</f>
        <v>10108000</v>
      </c>
      <c r="L95" s="243"/>
      <c r="M95" s="264"/>
      <c r="N95" s="264"/>
      <c r="O95" s="264"/>
    </row>
    <row r="96" spans="2:15" ht="19.5" thickBot="1" x14ac:dyDescent="0.35">
      <c r="B96" s="268" t="s">
        <v>152</v>
      </c>
      <c r="C96" s="209"/>
      <c r="D96" s="269" t="s">
        <v>96</v>
      </c>
      <c r="E96" s="249">
        <f t="shared" ref="E96:J96" si="17">SUM(E97:E101)</f>
        <v>23807000</v>
      </c>
      <c r="F96" s="249">
        <f t="shared" si="17"/>
        <v>0</v>
      </c>
      <c r="G96" s="249">
        <f t="shared" si="17"/>
        <v>0</v>
      </c>
      <c r="H96" s="249">
        <f t="shared" si="17"/>
        <v>2300000</v>
      </c>
      <c r="I96" s="249">
        <f t="shared" si="17"/>
        <v>12000000</v>
      </c>
      <c r="J96" s="250">
        <f t="shared" si="17"/>
        <v>3600000</v>
      </c>
      <c r="L96" s="243"/>
      <c r="M96" s="264"/>
      <c r="N96" s="264"/>
      <c r="O96" s="264"/>
    </row>
    <row r="97" spans="2:15" x14ac:dyDescent="0.25">
      <c r="B97" s="236"/>
      <c r="C97" s="270"/>
      <c r="D97" s="271"/>
      <c r="E97" s="272"/>
      <c r="F97" s="224"/>
      <c r="G97" s="224"/>
      <c r="H97" s="224"/>
      <c r="I97" s="224"/>
      <c r="J97" s="235"/>
      <c r="L97" s="243"/>
      <c r="M97" s="264"/>
      <c r="N97" s="264"/>
      <c r="O97" s="264"/>
    </row>
    <row r="98" spans="2:15" x14ac:dyDescent="0.25">
      <c r="B98" s="236" t="s">
        <v>153</v>
      </c>
      <c r="C98" s="236"/>
      <c r="D98" s="259" t="s">
        <v>77</v>
      </c>
      <c r="E98" s="232">
        <f>SUM(F98:J98)*1.33</f>
        <v>9975000</v>
      </c>
      <c r="F98" s="273">
        <v>0</v>
      </c>
      <c r="G98" s="273">
        <v>0</v>
      </c>
      <c r="H98" s="232">
        <v>300000</v>
      </c>
      <c r="I98" s="232">
        <v>3600000</v>
      </c>
      <c r="J98" s="253">
        <v>3600000</v>
      </c>
      <c r="L98" s="243"/>
      <c r="M98" s="264"/>
      <c r="N98" s="264"/>
      <c r="O98" s="264"/>
    </row>
    <row r="99" spans="2:15" x14ac:dyDescent="0.25">
      <c r="B99" s="236" t="s">
        <v>154</v>
      </c>
      <c r="C99" s="236"/>
      <c r="D99" s="259" t="s">
        <v>77</v>
      </c>
      <c r="E99" s="232">
        <f t="shared" ref="E99:E101" si="18">SUM(F99:J99)*1.33</f>
        <v>12236000</v>
      </c>
      <c r="F99" s="232">
        <v>0</v>
      </c>
      <c r="G99" s="232">
        <v>0</v>
      </c>
      <c r="H99" s="232">
        <v>2000000</v>
      </c>
      <c r="I99" s="232">
        <v>7200000</v>
      </c>
      <c r="J99" s="253">
        <v>0</v>
      </c>
      <c r="L99" s="243"/>
      <c r="M99" s="264"/>
      <c r="N99" s="264"/>
      <c r="O99" s="264"/>
    </row>
    <row r="100" spans="2:15" x14ac:dyDescent="0.25">
      <c r="B100" s="236" t="s">
        <v>155</v>
      </c>
      <c r="C100" s="236"/>
      <c r="D100" s="259" t="s">
        <v>77</v>
      </c>
      <c r="E100" s="232">
        <f t="shared" si="18"/>
        <v>1596000</v>
      </c>
      <c r="F100" s="232">
        <v>0</v>
      </c>
      <c r="G100" s="232">
        <v>0</v>
      </c>
      <c r="H100" s="232">
        <v>0</v>
      </c>
      <c r="I100" s="232">
        <v>1200000</v>
      </c>
      <c r="J100" s="253">
        <v>0</v>
      </c>
      <c r="L100" s="243"/>
      <c r="M100" s="264"/>
      <c r="N100" s="264"/>
      <c r="O100" s="264"/>
    </row>
    <row r="101" spans="2:15" x14ac:dyDescent="0.25">
      <c r="B101" s="236" t="s">
        <v>156</v>
      </c>
      <c r="C101" s="236"/>
      <c r="D101" s="259" t="s">
        <v>77</v>
      </c>
      <c r="E101" s="232">
        <f t="shared" si="18"/>
        <v>0</v>
      </c>
      <c r="F101" s="232">
        <v>0</v>
      </c>
      <c r="G101" s="232">
        <v>0</v>
      </c>
      <c r="H101" s="232">
        <v>0</v>
      </c>
      <c r="I101" s="232">
        <v>0</v>
      </c>
      <c r="J101" s="253">
        <v>0</v>
      </c>
      <c r="L101" s="243"/>
      <c r="M101" s="264"/>
      <c r="N101" s="264"/>
      <c r="O101" s="264"/>
    </row>
    <row r="102" spans="2:15" x14ac:dyDescent="0.25">
      <c r="B102" s="236"/>
      <c r="C102" s="236"/>
      <c r="D102" s="259"/>
      <c r="E102" s="211"/>
      <c r="F102" s="232"/>
      <c r="G102" s="232"/>
      <c r="H102" s="232"/>
      <c r="I102" s="232"/>
      <c r="J102" s="253"/>
      <c r="L102" s="243"/>
      <c r="M102" s="264"/>
      <c r="N102" s="264"/>
      <c r="O102" s="264"/>
    </row>
    <row r="103" spans="2:15" ht="15.75" thickBot="1" x14ac:dyDescent="0.3">
      <c r="B103" s="251"/>
      <c r="C103" s="254"/>
      <c r="D103" s="255"/>
      <c r="E103" s="228"/>
      <c r="F103" s="228"/>
      <c r="G103" s="228"/>
      <c r="H103" s="228"/>
      <c r="I103" s="228"/>
      <c r="J103" s="226"/>
      <c r="L103" s="243"/>
      <c r="M103" s="264"/>
      <c r="N103" s="264"/>
      <c r="O103" s="264"/>
    </row>
    <row r="104" spans="2:15" ht="19.5" thickBot="1" x14ac:dyDescent="0.35">
      <c r="B104" s="208" t="s">
        <v>157</v>
      </c>
      <c r="C104" s="209"/>
      <c r="D104" s="274" t="s">
        <v>96</v>
      </c>
      <c r="E104" s="257">
        <f t="shared" ref="E104:J104" si="19">SUM(E105:E107)</f>
        <v>14970000</v>
      </c>
      <c r="F104" s="257">
        <f t="shared" si="19"/>
        <v>3000000</v>
      </c>
      <c r="G104" s="257">
        <f t="shared" si="19"/>
        <v>9000000</v>
      </c>
      <c r="H104" s="257">
        <f t="shared" si="19"/>
        <v>0</v>
      </c>
      <c r="I104" s="257">
        <f t="shared" si="19"/>
        <v>0</v>
      </c>
      <c r="J104" s="258">
        <f t="shared" si="19"/>
        <v>0</v>
      </c>
      <c r="L104" s="243"/>
      <c r="M104" s="264"/>
      <c r="N104" s="264"/>
      <c r="O104" s="264"/>
    </row>
    <row r="105" spans="2:15" x14ac:dyDescent="0.25">
      <c r="B105" s="236"/>
      <c r="C105" s="270"/>
      <c r="D105" s="234"/>
      <c r="E105" s="224"/>
      <c r="F105" s="224"/>
      <c r="G105" s="224"/>
      <c r="H105" s="224"/>
      <c r="I105" s="224"/>
      <c r="J105" s="235"/>
      <c r="L105" s="243"/>
      <c r="M105" s="264"/>
      <c r="N105" s="264"/>
      <c r="O105" s="264"/>
    </row>
    <row r="106" spans="2:15" x14ac:dyDescent="0.25">
      <c r="B106" s="236" t="s">
        <v>158</v>
      </c>
      <c r="C106" s="236"/>
      <c r="D106" s="252" t="s">
        <v>80</v>
      </c>
      <c r="E106" s="232">
        <f>F106</f>
        <v>500000</v>
      </c>
      <c r="F106" s="224">
        <v>500000</v>
      </c>
      <c r="G106" s="232">
        <v>0</v>
      </c>
      <c r="H106" s="232">
        <v>0</v>
      </c>
      <c r="I106" s="232">
        <v>0</v>
      </c>
      <c r="J106" s="253">
        <v>0</v>
      </c>
      <c r="L106" s="243"/>
      <c r="M106" s="264"/>
      <c r="N106" s="264"/>
      <c r="O106" s="264"/>
    </row>
    <row r="107" spans="2:15" x14ac:dyDescent="0.25">
      <c r="B107" s="236" t="s">
        <v>159</v>
      </c>
      <c r="C107" s="236"/>
      <c r="D107" s="252" t="s">
        <v>80</v>
      </c>
      <c r="E107" s="232">
        <f>F107+SUM(G107:J107)*1.33</f>
        <v>14470000</v>
      </c>
      <c r="F107" s="224">
        <v>2500000</v>
      </c>
      <c r="G107" s="232">
        <v>9000000</v>
      </c>
      <c r="H107" s="232">
        <v>0</v>
      </c>
      <c r="I107" s="232">
        <v>0</v>
      </c>
      <c r="J107" s="253">
        <v>0</v>
      </c>
      <c r="L107" s="243"/>
      <c r="M107" s="264"/>
      <c r="N107" s="264"/>
      <c r="O107" s="264"/>
    </row>
    <row r="108" spans="2:15" x14ac:dyDescent="0.25">
      <c r="B108" s="251"/>
      <c r="C108" s="251"/>
      <c r="D108" s="252"/>
      <c r="E108" s="232"/>
      <c r="F108" s="224"/>
      <c r="G108" s="232"/>
      <c r="H108" s="232"/>
      <c r="I108" s="232"/>
      <c r="J108" s="253"/>
      <c r="L108" s="243"/>
      <c r="M108" s="264"/>
      <c r="N108" s="264"/>
      <c r="O108" s="264"/>
    </row>
    <row r="109" spans="2:15" ht="15.75" thickBot="1" x14ac:dyDescent="0.3">
      <c r="B109" s="251"/>
      <c r="C109" s="254"/>
      <c r="D109" s="255"/>
      <c r="E109" s="228"/>
      <c r="F109" s="228"/>
      <c r="G109" s="228"/>
      <c r="H109" s="228"/>
      <c r="I109" s="228"/>
      <c r="J109" s="226"/>
      <c r="L109" s="243"/>
      <c r="M109" s="264"/>
      <c r="N109" s="264"/>
      <c r="O109" s="264"/>
    </row>
    <row r="110" spans="2:15" ht="19.5" thickBot="1" x14ac:dyDescent="0.35">
      <c r="B110" s="208" t="s">
        <v>160</v>
      </c>
      <c r="C110" s="209"/>
      <c r="D110" s="274" t="s">
        <v>96</v>
      </c>
      <c r="E110" s="257">
        <f t="shared" ref="E110:J110" si="20">SUM(E112:E115)</f>
        <v>13699000</v>
      </c>
      <c r="F110" s="257">
        <f t="shared" si="20"/>
        <v>0</v>
      </c>
      <c r="G110" s="257">
        <f t="shared" si="20"/>
        <v>0</v>
      </c>
      <c r="H110" s="257">
        <f t="shared" si="20"/>
        <v>1300000</v>
      </c>
      <c r="I110" s="257">
        <f t="shared" si="20"/>
        <v>5000000</v>
      </c>
      <c r="J110" s="258">
        <f t="shared" si="20"/>
        <v>4000000</v>
      </c>
      <c r="L110" s="243"/>
      <c r="M110" s="264"/>
      <c r="N110" s="264"/>
      <c r="O110" s="264"/>
    </row>
    <row r="111" spans="2:15" x14ac:dyDescent="0.25">
      <c r="B111" s="236"/>
      <c r="C111" s="270"/>
      <c r="D111" s="234"/>
      <c r="E111" s="224"/>
      <c r="F111" s="224"/>
      <c r="G111" s="224"/>
      <c r="H111" s="224"/>
      <c r="I111" s="224"/>
      <c r="J111" s="235"/>
      <c r="L111" s="243"/>
      <c r="M111" s="264"/>
      <c r="N111" s="264"/>
      <c r="O111" s="264"/>
    </row>
    <row r="112" spans="2:15" x14ac:dyDescent="0.25">
      <c r="B112" s="251" t="s">
        <v>161</v>
      </c>
      <c r="C112" s="251"/>
      <c r="D112" s="252" t="s">
        <v>84</v>
      </c>
      <c r="E112" s="232">
        <f>F112+SUM(G112:J112)*1.33</f>
        <v>6650000</v>
      </c>
      <c r="F112" s="232">
        <v>0</v>
      </c>
      <c r="G112" s="232">
        <v>0</v>
      </c>
      <c r="H112" s="232">
        <v>1000000</v>
      </c>
      <c r="I112" s="232">
        <v>4000000</v>
      </c>
      <c r="J112" s="235">
        <v>0</v>
      </c>
      <c r="L112" s="243"/>
      <c r="M112" s="264"/>
      <c r="N112" s="264"/>
      <c r="O112" s="264"/>
    </row>
    <row r="113" spans="2:15" x14ac:dyDescent="0.25">
      <c r="B113" s="251" t="s">
        <v>162</v>
      </c>
      <c r="C113" s="251"/>
      <c r="D113" s="252" t="s">
        <v>84</v>
      </c>
      <c r="E113" s="232">
        <f t="shared" ref="E113:E115" si="21">F113+SUM(G113:J113)*1.33</f>
        <v>0</v>
      </c>
      <c r="F113" s="232">
        <v>0</v>
      </c>
      <c r="G113" s="232">
        <v>0</v>
      </c>
      <c r="H113" s="232">
        <v>0</v>
      </c>
      <c r="I113" s="232">
        <v>0</v>
      </c>
      <c r="J113" s="235">
        <v>0</v>
      </c>
      <c r="L113" s="243"/>
      <c r="M113" s="264"/>
      <c r="N113" s="264"/>
      <c r="O113" s="264"/>
    </row>
    <row r="114" spans="2:15" x14ac:dyDescent="0.25">
      <c r="B114" s="251" t="s">
        <v>163</v>
      </c>
      <c r="C114" s="251"/>
      <c r="D114" s="252" t="s">
        <v>84</v>
      </c>
      <c r="E114" s="232">
        <f t="shared" si="21"/>
        <v>6650000</v>
      </c>
      <c r="F114" s="232">
        <v>0</v>
      </c>
      <c r="G114" s="232">
        <v>0</v>
      </c>
      <c r="H114" s="232">
        <v>0</v>
      </c>
      <c r="I114" s="232">
        <v>1000000</v>
      </c>
      <c r="J114" s="235">
        <v>4000000</v>
      </c>
      <c r="L114" s="243"/>
      <c r="M114" s="264"/>
      <c r="N114" s="264"/>
      <c r="O114" s="264"/>
    </row>
    <row r="115" spans="2:15" x14ac:dyDescent="0.25">
      <c r="B115" s="251" t="s">
        <v>164</v>
      </c>
      <c r="C115" s="251"/>
      <c r="D115" s="252" t="s">
        <v>84</v>
      </c>
      <c r="E115" s="232">
        <f t="shared" si="21"/>
        <v>399000</v>
      </c>
      <c r="F115" s="232">
        <v>0</v>
      </c>
      <c r="G115" s="232">
        <v>0</v>
      </c>
      <c r="H115" s="232">
        <v>300000</v>
      </c>
      <c r="I115" s="232">
        <v>0</v>
      </c>
      <c r="J115" s="235">
        <v>0</v>
      </c>
      <c r="L115" s="243"/>
      <c r="M115" s="264"/>
      <c r="N115" s="264"/>
      <c r="O115" s="264"/>
    </row>
    <row r="116" spans="2:15" ht="15.75" thickBot="1" x14ac:dyDescent="0.3">
      <c r="B116" s="275"/>
      <c r="C116" s="275"/>
      <c r="D116" s="275"/>
      <c r="J116" s="276"/>
      <c r="L116" s="243"/>
      <c r="M116" s="264"/>
      <c r="N116" s="264"/>
      <c r="O116" s="264"/>
    </row>
    <row r="117" spans="2:15" ht="19.5" thickBot="1" x14ac:dyDescent="0.35">
      <c r="B117" s="277" t="s">
        <v>165</v>
      </c>
      <c r="C117" s="245"/>
      <c r="D117" s="278" t="s">
        <v>3</v>
      </c>
      <c r="E117" s="257">
        <f>SUM(F117:J117)</f>
        <v>15039999.630000001</v>
      </c>
      <c r="F117" s="257">
        <v>2000000</v>
      </c>
      <c r="G117" s="257">
        <f>3000000*1.33</f>
        <v>3990000</v>
      </c>
      <c r="H117" s="257">
        <f>3000000*1.33</f>
        <v>3990000</v>
      </c>
      <c r="I117" s="257">
        <f>2000000*1.33</f>
        <v>2660000</v>
      </c>
      <c r="J117" s="258">
        <f>1804511*1.33</f>
        <v>2399999.6300000004</v>
      </c>
      <c r="L117" s="243"/>
      <c r="M117" s="264"/>
      <c r="N117" s="264"/>
      <c r="O117" s="264"/>
    </row>
    <row r="118" spans="2:15" ht="15.75" thickBot="1" x14ac:dyDescent="0.3">
      <c r="B118" s="279"/>
      <c r="C118" s="279"/>
      <c r="D118" s="279"/>
      <c r="E118" s="215"/>
      <c r="F118" s="215"/>
      <c r="G118" s="215"/>
      <c r="H118" s="215"/>
      <c r="I118" s="215"/>
      <c r="J118" s="216"/>
      <c r="L118" s="243"/>
      <c r="M118" s="264"/>
      <c r="N118" s="264"/>
      <c r="O118" s="264"/>
    </row>
    <row r="119" spans="2:15" x14ac:dyDescent="0.25">
      <c r="B119" s="280"/>
      <c r="C119" s="280"/>
      <c r="D119" s="243"/>
      <c r="L119" s="243"/>
      <c r="M119" s="264"/>
      <c r="N119" s="264"/>
      <c r="O119" s="264"/>
    </row>
    <row r="120" spans="2:15" x14ac:dyDescent="0.25">
      <c r="L120" s="243"/>
      <c r="M120" s="264"/>
      <c r="N120" s="264"/>
      <c r="O120" s="264"/>
    </row>
    <row r="121" spans="2:15" x14ac:dyDescent="0.25">
      <c r="L121" s="243"/>
      <c r="M121" s="264"/>
      <c r="N121" s="264"/>
      <c r="O121" s="264"/>
    </row>
    <row r="122" spans="2:15" x14ac:dyDescent="0.25">
      <c r="L122" s="243"/>
      <c r="M122" s="264"/>
      <c r="N122" s="264"/>
      <c r="O122" s="264"/>
    </row>
    <row r="123" spans="2:15" x14ac:dyDescent="0.25">
      <c r="L123" s="243"/>
      <c r="M123" s="264"/>
      <c r="N123" s="264"/>
      <c r="O123" s="264"/>
    </row>
    <row r="124" spans="2:15" x14ac:dyDescent="0.25">
      <c r="L124" s="243"/>
      <c r="M124" s="264"/>
      <c r="N124" s="264"/>
      <c r="O124" s="264"/>
    </row>
    <row r="125" spans="2:15" x14ac:dyDescent="0.25">
      <c r="L125" s="243"/>
      <c r="M125" s="264"/>
      <c r="N125" s="264"/>
      <c r="O125" s="264"/>
    </row>
    <row r="126" spans="2:15" ht="18.75" x14ac:dyDescent="0.3">
      <c r="B126" s="209"/>
      <c r="C126" s="281"/>
      <c r="D126" s="282"/>
      <c r="E126" s="283"/>
      <c r="F126" s="284"/>
      <c r="G126" s="284"/>
      <c r="H126" s="284"/>
      <c r="I126" s="284"/>
      <c r="J126" s="284"/>
      <c r="L126" s="243"/>
      <c r="M126" s="264"/>
      <c r="N126" s="264"/>
      <c r="O126" s="264"/>
    </row>
    <row r="127" spans="2:15" ht="18.75" x14ac:dyDescent="0.3">
      <c r="B127" s="209"/>
      <c r="C127" s="281"/>
      <c r="D127" s="282"/>
      <c r="E127" s="283"/>
      <c r="F127" s="284"/>
      <c r="G127" s="284"/>
      <c r="H127" s="284"/>
      <c r="I127" s="284"/>
      <c r="J127" s="284"/>
      <c r="L127" s="243"/>
      <c r="M127" s="264"/>
      <c r="N127" s="264"/>
      <c r="O127" s="264"/>
    </row>
    <row r="128" spans="2:15" ht="18.75" x14ac:dyDescent="0.3">
      <c r="B128" s="209"/>
      <c r="C128" s="281"/>
      <c r="D128" s="282"/>
      <c r="E128" s="283"/>
      <c r="F128" s="284"/>
      <c r="G128" s="284"/>
      <c r="H128" s="284"/>
      <c r="I128" s="284"/>
      <c r="J128" s="284"/>
      <c r="L128" s="243"/>
      <c r="M128" s="264"/>
      <c r="N128" s="264"/>
      <c r="O128" s="264"/>
    </row>
    <row r="129" spans="2:15" x14ac:dyDescent="0.25">
      <c r="B129" s="275"/>
      <c r="C129" s="3"/>
      <c r="L129" s="243"/>
      <c r="M129" s="264"/>
      <c r="N129" s="264"/>
      <c r="O129" s="264"/>
    </row>
    <row r="130" spans="2:15" x14ac:dyDescent="0.25">
      <c r="L130" s="243"/>
      <c r="M130" s="264"/>
      <c r="N130" s="264"/>
      <c r="O130" s="264"/>
    </row>
    <row r="131" spans="2:15" x14ac:dyDescent="0.25">
      <c r="L131" s="243"/>
      <c r="M131" s="264"/>
      <c r="N131" s="264"/>
      <c r="O131" s="264"/>
    </row>
    <row r="132" spans="2:15" x14ac:dyDescent="0.25">
      <c r="L132" s="243"/>
      <c r="M132" s="264"/>
      <c r="N132" s="264"/>
      <c r="O132" s="264"/>
    </row>
    <row r="133" spans="2:15" x14ac:dyDescent="0.25">
      <c r="L133" s="243"/>
      <c r="M133" s="264"/>
      <c r="N133" s="264"/>
      <c r="O133" s="264"/>
    </row>
    <row r="134" spans="2:15" x14ac:dyDescent="0.25">
      <c r="L134" s="243"/>
      <c r="M134" s="264"/>
      <c r="N134" s="264"/>
      <c r="O134" s="264"/>
    </row>
    <row r="135" spans="2:15" x14ac:dyDescent="0.25">
      <c r="L135" s="243"/>
      <c r="M135" s="264"/>
      <c r="N135" s="264"/>
      <c r="O135" s="264"/>
    </row>
    <row r="136" spans="2:15" x14ac:dyDescent="0.25">
      <c r="L136" s="243"/>
      <c r="M136" s="264"/>
      <c r="N136" s="264"/>
      <c r="O136" s="264"/>
    </row>
    <row r="137" spans="2:15" x14ac:dyDescent="0.25">
      <c r="L137" s="243"/>
      <c r="M137" s="264"/>
      <c r="N137" s="264"/>
      <c r="O137" s="264"/>
    </row>
    <row r="139" spans="2:15" x14ac:dyDescent="0.25">
      <c r="L139" s="243"/>
      <c r="M139" s="264"/>
      <c r="N139" s="264"/>
      <c r="O139" s="264"/>
    </row>
    <row r="140" spans="2:15" x14ac:dyDescent="0.25">
      <c r="L140" s="243"/>
      <c r="M140" s="264"/>
      <c r="N140" s="264"/>
      <c r="O140" s="264"/>
    </row>
    <row r="141" spans="2:15" x14ac:dyDescent="0.25">
      <c r="L141" s="243"/>
      <c r="M141" s="264"/>
      <c r="N141" s="264"/>
      <c r="O141" s="264"/>
    </row>
    <row r="142" spans="2:15" x14ac:dyDescent="0.25">
      <c r="L142" s="243"/>
      <c r="M142" s="264"/>
      <c r="N142" s="264" t="s">
        <v>166</v>
      </c>
      <c r="O142" s="264"/>
    </row>
    <row r="143" spans="2:15" x14ac:dyDescent="0.25">
      <c r="L143" s="243"/>
      <c r="M143" s="264"/>
      <c r="N143" s="264"/>
      <c r="O143" s="264"/>
    </row>
    <row r="144" spans="2:15" x14ac:dyDescent="0.25">
      <c r="L144" s="243"/>
      <c r="M144" s="264"/>
      <c r="N144" s="264"/>
      <c r="O144" s="264"/>
    </row>
    <row r="145" spans="12:15" x14ac:dyDescent="0.25">
      <c r="L145" s="243"/>
      <c r="M145" s="264"/>
      <c r="N145" s="264"/>
      <c r="O145" s="264"/>
    </row>
  </sheetData>
  <mergeCells count="2">
    <mergeCell ref="A3:A7"/>
    <mergeCell ref="K3:K7"/>
  </mergeCells>
  <pageMargins left="1" right="0.25" top="1" bottom="0.5" header="0.5" footer="0.5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zoomScale="70" zoomScaleNormal="70" workbookViewId="0">
      <selection activeCell="P23" sqref="P23"/>
    </sheetView>
  </sheetViews>
  <sheetFormatPr defaultColWidth="9.140625" defaultRowHeight="12.75" x14ac:dyDescent="0.2"/>
  <cols>
    <col min="1" max="1" width="4.7109375" style="24" customWidth="1"/>
    <col min="2" max="2" width="3.140625" style="25" customWidth="1"/>
    <col min="3" max="3" width="29.7109375" style="24" bestFit="1" customWidth="1"/>
    <col min="4" max="4" width="2.7109375" style="24" customWidth="1"/>
    <col min="5" max="5" width="15.5703125" style="24" bestFit="1" customWidth="1"/>
    <col min="6" max="6" width="2.7109375" style="24" customWidth="1"/>
    <col min="7" max="7" width="13.7109375" style="24" bestFit="1" customWidth="1"/>
    <col min="8" max="8" width="2.7109375" style="24" customWidth="1"/>
    <col min="9" max="9" width="13.85546875" style="25" bestFit="1" customWidth="1"/>
    <col min="10" max="10" width="4.140625" style="25" customWidth="1"/>
    <col min="11" max="11" width="13.7109375" style="24" bestFit="1" customWidth="1"/>
    <col min="12" max="12" width="2.7109375" style="24" customWidth="1"/>
    <col min="13" max="13" width="11.140625" style="24" bestFit="1" customWidth="1"/>
    <col min="14" max="14" width="23.85546875" style="24" bestFit="1" customWidth="1"/>
    <col min="15" max="15" width="12.7109375" style="24" bestFit="1" customWidth="1"/>
    <col min="16" max="16" width="2.7109375" style="24" customWidth="1"/>
    <col min="17" max="17" width="13.7109375" style="24" bestFit="1" customWidth="1"/>
    <col min="18" max="18" width="2.7109375" style="24" customWidth="1"/>
    <col min="19" max="19" width="19" style="24" bestFit="1" customWidth="1"/>
    <col min="20" max="16384" width="9.140625" style="24"/>
  </cols>
  <sheetData>
    <row r="1" spans="1:19" x14ac:dyDescent="0.2">
      <c r="A1" s="41"/>
      <c r="B1" s="42"/>
      <c r="C1" s="41"/>
      <c r="D1" s="41"/>
      <c r="E1" s="41"/>
      <c r="F1" s="42" t="s">
        <v>26</v>
      </c>
      <c r="G1" s="41"/>
      <c r="H1" s="41"/>
      <c r="I1" s="42"/>
      <c r="J1" s="42"/>
      <c r="K1" s="43" t="s">
        <v>27</v>
      </c>
    </row>
    <row r="2" spans="1:19" x14ac:dyDescent="0.2">
      <c r="A2" s="41"/>
      <c r="B2" s="42"/>
      <c r="C2" s="41"/>
      <c r="D2" s="41"/>
      <c r="E2" s="41"/>
      <c r="F2" s="42" t="s">
        <v>28</v>
      </c>
      <c r="G2" s="41"/>
      <c r="H2" s="41"/>
      <c r="I2" s="42"/>
      <c r="J2" s="42"/>
      <c r="K2" s="43" t="s">
        <v>29</v>
      </c>
    </row>
    <row r="3" spans="1:19" x14ac:dyDescent="0.2">
      <c r="A3" s="41"/>
      <c r="B3" s="42"/>
      <c r="C3" s="41"/>
      <c r="D3" s="41"/>
      <c r="E3" s="41"/>
      <c r="F3" s="42" t="s">
        <v>167</v>
      </c>
      <c r="G3" s="41"/>
      <c r="H3" s="41"/>
      <c r="I3" s="42"/>
      <c r="J3" s="42"/>
      <c r="K3" s="43" t="s">
        <v>30</v>
      </c>
    </row>
    <row r="4" spans="1:19" x14ac:dyDescent="0.2">
      <c r="A4" s="41"/>
      <c r="B4" s="42"/>
      <c r="C4" s="41"/>
      <c r="D4" s="41"/>
      <c r="E4" s="41"/>
      <c r="F4" s="41"/>
      <c r="G4" s="41"/>
      <c r="H4" s="41"/>
      <c r="I4" s="42"/>
      <c r="J4" s="42"/>
      <c r="K4" s="41"/>
    </row>
    <row r="5" spans="1:19" x14ac:dyDescent="0.2">
      <c r="A5" s="41"/>
      <c r="B5" s="42"/>
      <c r="C5" s="41"/>
      <c r="D5" s="41"/>
      <c r="E5" s="42" t="s">
        <v>31</v>
      </c>
      <c r="F5" s="41"/>
      <c r="G5" s="41"/>
      <c r="H5" s="41"/>
      <c r="I5" s="42" t="s">
        <v>32</v>
      </c>
      <c r="J5" s="42"/>
      <c r="K5" s="42" t="s">
        <v>33</v>
      </c>
    </row>
    <row r="6" spans="1:19" x14ac:dyDescent="0.2">
      <c r="A6" s="42"/>
      <c r="B6" s="42"/>
      <c r="C6" s="42"/>
      <c r="D6" s="42"/>
      <c r="E6" s="42" t="s">
        <v>34</v>
      </c>
      <c r="F6" s="42"/>
      <c r="G6" s="42" t="s">
        <v>35</v>
      </c>
      <c r="H6" s="42"/>
      <c r="I6" s="42" t="s">
        <v>1</v>
      </c>
      <c r="J6" s="42"/>
      <c r="K6" s="42" t="s">
        <v>36</v>
      </c>
      <c r="L6" s="25"/>
      <c r="M6" s="25"/>
      <c r="N6" s="25"/>
      <c r="O6" s="25"/>
      <c r="P6" s="25"/>
      <c r="Q6" s="25"/>
      <c r="R6" s="25"/>
      <c r="S6" s="25"/>
    </row>
    <row r="7" spans="1:19" x14ac:dyDescent="0.2">
      <c r="A7" s="42" t="s">
        <v>37</v>
      </c>
      <c r="B7" s="42"/>
      <c r="C7" s="42"/>
      <c r="D7" s="42"/>
      <c r="E7" s="42" t="s">
        <v>38</v>
      </c>
      <c r="F7" s="42"/>
      <c r="G7" s="42" t="s">
        <v>39</v>
      </c>
      <c r="H7" s="42"/>
      <c r="I7" s="42" t="s">
        <v>35</v>
      </c>
      <c r="J7" s="42"/>
      <c r="K7" s="42" t="s">
        <v>1</v>
      </c>
      <c r="L7" s="25"/>
      <c r="M7" s="42"/>
      <c r="N7" s="42"/>
      <c r="O7" s="42" t="s">
        <v>40</v>
      </c>
      <c r="P7" s="25"/>
      <c r="Q7" s="25"/>
      <c r="R7" s="25"/>
      <c r="S7" s="25"/>
    </row>
    <row r="8" spans="1:19" x14ac:dyDescent="0.2">
      <c r="A8" s="44" t="s">
        <v>41</v>
      </c>
      <c r="B8" s="44"/>
      <c r="C8" s="44" t="s">
        <v>42</v>
      </c>
      <c r="D8" s="44"/>
      <c r="E8" s="44" t="s">
        <v>43</v>
      </c>
      <c r="F8" s="44"/>
      <c r="G8" s="44" t="s">
        <v>3</v>
      </c>
      <c r="H8" s="44"/>
      <c r="I8" s="44" t="s">
        <v>25</v>
      </c>
      <c r="J8" s="44"/>
      <c r="K8" s="44" t="s">
        <v>44</v>
      </c>
      <c r="L8" s="26"/>
      <c r="M8" s="44"/>
      <c r="N8" s="44"/>
      <c r="O8" s="44" t="s">
        <v>45</v>
      </c>
      <c r="P8" s="26"/>
      <c r="Q8" s="26"/>
      <c r="R8" s="26"/>
      <c r="S8" s="26"/>
    </row>
    <row r="9" spans="1:19" x14ac:dyDescent="0.2">
      <c r="A9" s="45">
        <v>-1</v>
      </c>
      <c r="B9" s="45"/>
      <c r="C9" s="45">
        <v>-2</v>
      </c>
      <c r="D9" s="45"/>
      <c r="E9" s="45">
        <v>-3</v>
      </c>
      <c r="F9" s="45"/>
      <c r="G9" s="45">
        <v>-4</v>
      </c>
      <c r="H9" s="45"/>
      <c r="I9" s="45">
        <v>-5</v>
      </c>
      <c r="J9" s="45"/>
      <c r="K9" s="46" t="s">
        <v>46</v>
      </c>
      <c r="L9" s="27"/>
      <c r="M9" s="45" t="s">
        <v>47</v>
      </c>
      <c r="N9" s="45"/>
      <c r="O9" s="45"/>
      <c r="P9" s="27"/>
      <c r="Q9" s="27"/>
      <c r="R9" s="27"/>
      <c r="S9" s="27"/>
    </row>
    <row r="10" spans="1:19" x14ac:dyDescent="0.2">
      <c r="A10" s="47"/>
      <c r="B10" s="45"/>
      <c r="C10" s="47"/>
      <c r="D10" s="47"/>
      <c r="E10" s="47"/>
      <c r="F10" s="47"/>
      <c r="G10" s="47"/>
      <c r="H10" s="47"/>
      <c r="I10" s="45"/>
      <c r="J10" s="45"/>
      <c r="K10" s="47"/>
      <c r="L10" s="28"/>
      <c r="M10" s="47"/>
      <c r="N10" s="47"/>
      <c r="O10" s="47"/>
      <c r="P10" s="28"/>
      <c r="Q10" s="28"/>
      <c r="R10" s="28"/>
      <c r="S10" s="28"/>
    </row>
    <row r="11" spans="1:19" x14ac:dyDescent="0.2">
      <c r="A11" s="42">
        <v>1</v>
      </c>
      <c r="B11" s="42"/>
      <c r="C11" s="41" t="s">
        <v>48</v>
      </c>
      <c r="D11" s="41"/>
      <c r="E11" s="48">
        <f>'[3]Sch 3'!AD12</f>
        <v>962401698.74372435</v>
      </c>
      <c r="F11" s="48"/>
      <c r="G11" s="49">
        <f>ROUND(E11/$E$17,5)</f>
        <v>0.53097000000000005</v>
      </c>
      <c r="H11" s="48"/>
      <c r="I11" s="50">
        <f>+'[3]3 P1'!S39</f>
        <v>4.9099999999999998E-2</v>
      </c>
      <c r="J11" s="51" t="s">
        <v>49</v>
      </c>
      <c r="K11" s="49">
        <f>ROUND(G11*I11,4)</f>
        <v>2.6100000000000002E-2</v>
      </c>
      <c r="L11" s="29"/>
      <c r="M11" s="33">
        <v>1.005493</v>
      </c>
      <c r="N11" s="33" t="s">
        <v>58</v>
      </c>
      <c r="O11" s="49">
        <f>ROUND(M11*K11,4)</f>
        <v>2.6200000000000001E-2</v>
      </c>
      <c r="P11" s="29"/>
      <c r="Q11" s="29"/>
      <c r="R11" s="29"/>
      <c r="S11" s="29"/>
    </row>
    <row r="12" spans="1:19" x14ac:dyDescent="0.2">
      <c r="A12" s="42"/>
      <c r="B12" s="42"/>
      <c r="C12" s="41"/>
      <c r="D12" s="41"/>
      <c r="E12" s="48"/>
      <c r="F12" s="48"/>
      <c r="G12" s="49"/>
      <c r="H12" s="48"/>
      <c r="I12" s="52"/>
      <c r="J12" s="51"/>
      <c r="K12" s="49"/>
      <c r="L12" s="29"/>
      <c r="M12" s="48"/>
      <c r="N12" s="48"/>
      <c r="O12" s="49"/>
      <c r="P12" s="29"/>
      <c r="Q12" s="29"/>
      <c r="R12" s="29"/>
      <c r="S12" s="29"/>
    </row>
    <row r="13" spans="1:19" x14ac:dyDescent="0.2">
      <c r="A13" s="42">
        <v>2</v>
      </c>
      <c r="B13" s="42"/>
      <c r="C13" s="41" t="s">
        <v>50</v>
      </c>
      <c r="D13" s="41"/>
      <c r="E13" s="48">
        <f>'[3]Sch 3'!AD14</f>
        <v>95743647.998314917</v>
      </c>
      <c r="F13" s="53"/>
      <c r="G13" s="49">
        <f>ROUND(E13/$E$17,5)</f>
        <v>5.2819999999999999E-2</v>
      </c>
      <c r="H13" s="53"/>
      <c r="I13" s="188">
        <f>+'[3]3 P2'!F41</f>
        <v>3.73E-2</v>
      </c>
      <c r="J13" s="30" t="s">
        <v>51</v>
      </c>
      <c r="K13" s="189">
        <f>ROUND(G13*I13,4)</f>
        <v>2E-3</v>
      </c>
      <c r="L13" s="32"/>
      <c r="M13" s="53"/>
      <c r="N13" s="53"/>
      <c r="O13" s="49"/>
      <c r="P13" s="32"/>
      <c r="Q13" s="32"/>
      <c r="R13" s="32"/>
      <c r="S13" s="32"/>
    </row>
    <row r="14" spans="1:19" x14ac:dyDescent="0.2">
      <c r="A14" s="42"/>
      <c r="B14" s="42"/>
      <c r="C14" s="41"/>
      <c r="D14" s="41"/>
      <c r="E14" s="48"/>
      <c r="F14" s="53"/>
      <c r="G14" s="49"/>
      <c r="H14" s="53"/>
      <c r="I14" s="190"/>
      <c r="J14" s="30"/>
      <c r="K14" s="189"/>
      <c r="L14" s="32"/>
      <c r="M14" s="53"/>
      <c r="N14" s="53"/>
      <c r="O14" s="49"/>
      <c r="P14" s="32"/>
      <c r="Q14" s="32"/>
      <c r="R14" s="32"/>
      <c r="S14" s="32"/>
    </row>
    <row r="15" spans="1:19" x14ac:dyDescent="0.2">
      <c r="A15" s="42">
        <v>4</v>
      </c>
      <c r="B15" s="42"/>
      <c r="C15" s="41" t="s">
        <v>52</v>
      </c>
      <c r="D15" s="41"/>
      <c r="E15" s="48">
        <f>'[3]Sch 3'!AD16</f>
        <v>754394228.05464816</v>
      </c>
      <c r="F15" s="53"/>
      <c r="G15" s="49">
        <f>ROUND(E15/$E$17,5)</f>
        <v>0.41621000000000002</v>
      </c>
      <c r="H15" s="53"/>
      <c r="I15" s="191">
        <v>9.9000000000000005E-2</v>
      </c>
      <c r="J15" s="30" t="s">
        <v>56</v>
      </c>
      <c r="K15" s="189">
        <f>ROUND(G15*I15,4)</f>
        <v>4.1200000000000001E-2</v>
      </c>
      <c r="L15" s="32"/>
      <c r="M15" s="33">
        <v>1.3398970400000001</v>
      </c>
      <c r="N15" s="53" t="s">
        <v>57</v>
      </c>
      <c r="O15" s="49">
        <f>ROUND(M15*K15,4)</f>
        <v>5.5199999999999999E-2</v>
      </c>
      <c r="P15" s="32"/>
      <c r="Q15" s="32"/>
      <c r="R15" s="32"/>
      <c r="S15" s="32"/>
    </row>
    <row r="16" spans="1:19" x14ac:dyDescent="0.2">
      <c r="A16" s="42"/>
      <c r="B16" s="42"/>
      <c r="C16" s="41"/>
      <c r="D16" s="41"/>
      <c r="E16" s="51" t="s">
        <v>53</v>
      </c>
      <c r="F16" s="52"/>
      <c r="G16" s="51" t="s">
        <v>53</v>
      </c>
      <c r="H16" s="52"/>
      <c r="I16" s="30"/>
      <c r="J16" s="30"/>
      <c r="K16" s="192" t="s">
        <v>53</v>
      </c>
      <c r="L16" s="32"/>
      <c r="M16" s="51"/>
      <c r="N16" s="52"/>
      <c r="O16" s="51"/>
      <c r="P16" s="32"/>
      <c r="Q16" s="32"/>
      <c r="R16" s="32"/>
      <c r="S16" s="32"/>
    </row>
    <row r="17" spans="1:19" x14ac:dyDescent="0.2">
      <c r="A17" s="42">
        <v>5</v>
      </c>
      <c r="B17" s="42"/>
      <c r="C17" s="41" t="s">
        <v>3</v>
      </c>
      <c r="D17" s="41"/>
      <c r="E17" s="48">
        <f>SUM(E11:E15)</f>
        <v>1812539574.7966874</v>
      </c>
      <c r="F17" s="53"/>
      <c r="G17" s="49">
        <f>SUM(G11:G16)</f>
        <v>1</v>
      </c>
      <c r="H17" s="53"/>
      <c r="I17" s="190"/>
      <c r="J17" s="30"/>
      <c r="K17" s="193">
        <f>SUM(K11:K15)</f>
        <v>6.93E-2</v>
      </c>
      <c r="L17" s="32"/>
      <c r="M17" s="53"/>
      <c r="N17" s="53"/>
      <c r="O17" s="55">
        <f>SUM(O11:O16)</f>
        <v>8.14E-2</v>
      </c>
      <c r="P17" s="32"/>
      <c r="Q17" s="32"/>
      <c r="R17" s="32"/>
      <c r="S17" s="32"/>
    </row>
    <row r="18" spans="1:19" x14ac:dyDescent="0.2">
      <c r="A18" s="42"/>
      <c r="B18" s="42"/>
      <c r="C18" s="41"/>
      <c r="D18" s="41"/>
      <c r="E18" s="51" t="s">
        <v>54</v>
      </c>
      <c r="F18" s="53"/>
      <c r="G18" s="51" t="s">
        <v>54</v>
      </c>
      <c r="H18" s="53"/>
      <c r="I18" s="190"/>
      <c r="J18" s="30"/>
      <c r="K18" s="30" t="s">
        <v>54</v>
      </c>
      <c r="L18" s="31"/>
      <c r="M18" s="32"/>
      <c r="N18" s="32"/>
      <c r="O18" s="30"/>
      <c r="P18" s="31"/>
      <c r="Q18" s="30"/>
      <c r="R18" s="31"/>
      <c r="S18" s="34"/>
    </row>
    <row r="19" spans="1:19" x14ac:dyDescent="0.2">
      <c r="A19" s="42"/>
      <c r="B19" s="42"/>
      <c r="C19" s="41"/>
      <c r="D19" s="41"/>
      <c r="E19" s="53"/>
      <c r="F19" s="53"/>
      <c r="G19" s="49"/>
      <c r="H19" s="53"/>
      <c r="I19" s="54"/>
      <c r="J19" s="54"/>
      <c r="K19" s="53"/>
      <c r="L19" s="32"/>
      <c r="M19" s="32"/>
      <c r="N19" s="32"/>
      <c r="O19" s="32"/>
      <c r="P19" s="32"/>
      <c r="Q19" s="32"/>
      <c r="R19" s="32"/>
      <c r="S19" s="32"/>
    </row>
    <row r="20" spans="1:19" x14ac:dyDescent="0.2">
      <c r="A20" s="42"/>
      <c r="B20" s="42"/>
      <c r="C20" s="41"/>
      <c r="D20" s="41"/>
      <c r="E20" s="51"/>
      <c r="F20" s="52"/>
      <c r="G20" s="186"/>
      <c r="H20" s="52"/>
      <c r="I20" s="51"/>
      <c r="J20" s="52"/>
      <c r="K20" s="51"/>
      <c r="L20" s="32"/>
      <c r="M20" s="30"/>
      <c r="N20" s="31"/>
      <c r="O20" s="30"/>
      <c r="P20" s="32"/>
      <c r="Q20" s="32"/>
      <c r="R20" s="32"/>
      <c r="S20" s="32"/>
    </row>
    <row r="21" spans="1:19" x14ac:dyDescent="0.2">
      <c r="A21" s="42"/>
      <c r="B21" s="51" t="s">
        <v>55</v>
      </c>
      <c r="C21" s="41" t="s">
        <v>414</v>
      </c>
      <c r="D21" s="41"/>
      <c r="E21" s="48"/>
      <c r="F21" s="48"/>
      <c r="G21" s="56"/>
      <c r="H21" s="48"/>
      <c r="I21" s="52"/>
      <c r="J21" s="52"/>
      <c r="K21" s="48"/>
      <c r="L21" s="32"/>
      <c r="M21" s="29"/>
      <c r="N21" s="29"/>
      <c r="O21" s="29"/>
      <c r="P21" s="32"/>
      <c r="Q21" s="32"/>
      <c r="R21" s="32"/>
      <c r="S21" s="32"/>
    </row>
    <row r="22" spans="1:19" x14ac:dyDescent="0.2">
      <c r="A22" s="42"/>
      <c r="B22" s="51" t="s">
        <v>49</v>
      </c>
      <c r="C22" s="41" t="s">
        <v>415</v>
      </c>
      <c r="D22" s="41"/>
      <c r="E22" s="51"/>
      <c r="F22" s="42"/>
      <c r="G22" s="51"/>
      <c r="H22" s="42"/>
      <c r="I22" s="51"/>
      <c r="J22" s="42"/>
      <c r="K22" s="51"/>
      <c r="L22" s="31"/>
      <c r="M22" s="30"/>
      <c r="N22" s="25"/>
      <c r="O22" s="30"/>
      <c r="P22" s="31"/>
      <c r="Q22" s="30"/>
      <c r="R22" s="31"/>
      <c r="S22" s="34"/>
    </row>
    <row r="23" spans="1:19" x14ac:dyDescent="0.2">
      <c r="A23" s="42"/>
      <c r="B23" s="51" t="s">
        <v>51</v>
      </c>
      <c r="C23" s="41" t="s">
        <v>416</v>
      </c>
      <c r="D23" s="41"/>
      <c r="E23" s="51"/>
      <c r="F23" s="42"/>
      <c r="G23" s="51"/>
      <c r="H23" s="42"/>
      <c r="I23" s="51"/>
      <c r="J23" s="42"/>
      <c r="K23" s="51"/>
      <c r="L23" s="29"/>
      <c r="M23" s="30"/>
      <c r="N23" s="25"/>
      <c r="O23" s="30"/>
      <c r="P23" s="29"/>
      <c r="Q23" s="29"/>
      <c r="R23" s="29"/>
      <c r="S23" s="29"/>
    </row>
    <row r="24" spans="1:19" x14ac:dyDescent="0.2">
      <c r="A24" s="42"/>
      <c r="B24" s="51" t="s">
        <v>56</v>
      </c>
      <c r="C24" s="41" t="s">
        <v>417</v>
      </c>
      <c r="D24" s="41"/>
      <c r="E24" s="187"/>
      <c r="F24" s="41"/>
      <c r="G24" s="41"/>
      <c r="H24" s="41"/>
      <c r="I24" s="42"/>
      <c r="J24" s="42"/>
      <c r="K24" s="41"/>
      <c r="L24" s="25"/>
      <c r="P24" s="25"/>
      <c r="Q24" s="30"/>
      <c r="R24" s="25"/>
      <c r="S24" s="34"/>
    </row>
    <row r="25" spans="1:19" x14ac:dyDescent="0.2">
      <c r="A25" s="25"/>
      <c r="B25" s="30"/>
      <c r="E25" s="30"/>
      <c r="F25" s="25"/>
      <c r="G25" s="30"/>
      <c r="H25" s="25"/>
      <c r="I25" s="30"/>
      <c r="K25" s="30"/>
      <c r="L25" s="25"/>
      <c r="P25" s="25"/>
      <c r="Q25" s="30"/>
      <c r="R25" s="25"/>
      <c r="S25" s="34"/>
    </row>
    <row r="26" spans="1:19" x14ac:dyDescent="0.2">
      <c r="A26" s="25"/>
      <c r="B26" s="30"/>
      <c r="E26" s="35"/>
    </row>
    <row r="27" spans="1:19" x14ac:dyDescent="0.2">
      <c r="A27" s="25"/>
      <c r="B27" s="30"/>
    </row>
    <row r="28" spans="1:19" x14ac:dyDescent="0.2">
      <c r="A28" s="25"/>
      <c r="B28" s="30"/>
    </row>
    <row r="29" spans="1:19" x14ac:dyDescent="0.2">
      <c r="B29" s="30"/>
    </row>
    <row r="30" spans="1:19" x14ac:dyDescent="0.2">
      <c r="B30" s="30"/>
    </row>
    <row r="31" spans="1:19" x14ac:dyDescent="0.2">
      <c r="B31" s="30"/>
    </row>
    <row r="32" spans="1:19" x14ac:dyDescent="0.2">
      <c r="B32" s="30"/>
    </row>
    <row r="33" spans="2:2" x14ac:dyDescent="0.2">
      <c r="B33" s="30"/>
    </row>
  </sheetData>
  <pageMargins left="1" right="0.25" top="1" bottom="0.5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9"/>
  <sheetViews>
    <sheetView zoomScale="70" zoomScaleNormal="70" workbookViewId="0">
      <selection activeCell="P23" sqref="P23"/>
    </sheetView>
  </sheetViews>
  <sheetFormatPr defaultRowHeight="15" x14ac:dyDescent="0.25"/>
  <cols>
    <col min="1" max="1" width="6.85546875" style="38" customWidth="1"/>
    <col min="2" max="2" width="27.28515625" style="38" bestFit="1" customWidth="1"/>
    <col min="3" max="3" width="20.140625" style="38" customWidth="1"/>
    <col min="4" max="4" width="14.5703125" style="38" customWidth="1"/>
    <col min="5" max="5" width="18.42578125" style="38" customWidth="1"/>
    <col min="6" max="6" width="19.85546875" style="38" bestFit="1" customWidth="1"/>
    <col min="7" max="7" width="16.5703125" style="38" hidden="1" customWidth="1"/>
    <col min="8" max="8" width="0" style="38" hidden="1" customWidth="1"/>
    <col min="9" max="9" width="10" style="38" hidden="1" customWidth="1"/>
    <col min="10" max="16384" width="9.140625" style="38"/>
  </cols>
  <sheetData>
    <row r="1" spans="2:5" x14ac:dyDescent="0.25">
      <c r="B1" s="38" t="s">
        <v>201</v>
      </c>
    </row>
    <row r="2" spans="2:5" x14ac:dyDescent="0.25">
      <c r="B2" s="38" t="s">
        <v>202</v>
      </c>
    </row>
    <row r="3" spans="2:5" x14ac:dyDescent="0.25">
      <c r="B3" s="38" t="s">
        <v>203</v>
      </c>
      <c r="E3" s="39"/>
    </row>
    <row r="5" spans="2:5" x14ac:dyDescent="0.25">
      <c r="D5" s="38" t="s">
        <v>204</v>
      </c>
      <c r="E5" s="38" t="s">
        <v>205</v>
      </c>
    </row>
    <row r="6" spans="2:5" x14ac:dyDescent="0.25">
      <c r="C6" s="38" t="s">
        <v>206</v>
      </c>
      <c r="D6" s="38" t="s">
        <v>207</v>
      </c>
      <c r="E6" s="38" t="s">
        <v>207</v>
      </c>
    </row>
    <row r="7" spans="2:5" x14ac:dyDescent="0.25">
      <c r="C7" s="38" t="s">
        <v>208</v>
      </c>
      <c r="D7" s="38" t="s">
        <v>209</v>
      </c>
      <c r="E7" s="38" t="s">
        <v>210</v>
      </c>
    </row>
    <row r="8" spans="2:5" x14ac:dyDescent="0.25">
      <c r="B8" s="38" t="s">
        <v>21</v>
      </c>
      <c r="C8" s="37">
        <v>131760</v>
      </c>
      <c r="D8" s="37">
        <v>131760</v>
      </c>
      <c r="E8" s="37">
        <v>131760</v>
      </c>
    </row>
    <row r="9" spans="2:5" x14ac:dyDescent="0.25">
      <c r="B9" s="38" t="s">
        <v>211</v>
      </c>
      <c r="C9" s="37">
        <v>30856</v>
      </c>
      <c r="D9" s="37">
        <v>30856</v>
      </c>
      <c r="E9" s="37">
        <v>30856</v>
      </c>
    </row>
    <row r="10" spans="2:5" x14ac:dyDescent="0.25">
      <c r="B10" s="38" t="s">
        <v>212</v>
      </c>
      <c r="C10" s="37">
        <v>72</v>
      </c>
      <c r="D10" s="37">
        <v>72</v>
      </c>
      <c r="E10" s="37">
        <v>0</v>
      </c>
    </row>
    <row r="11" spans="2:5" x14ac:dyDescent="0.25">
      <c r="B11" s="38" t="s">
        <v>213</v>
      </c>
      <c r="C11" s="37">
        <v>3</v>
      </c>
      <c r="D11" s="37">
        <v>0</v>
      </c>
      <c r="E11" s="37">
        <v>0</v>
      </c>
    </row>
    <row r="12" spans="2:5" x14ac:dyDescent="0.25">
      <c r="B12" s="38" t="s">
        <v>214</v>
      </c>
      <c r="C12" s="37">
        <v>376</v>
      </c>
      <c r="D12" s="37">
        <v>376</v>
      </c>
      <c r="E12" s="37">
        <v>376</v>
      </c>
    </row>
    <row r="13" spans="2:5" x14ac:dyDescent="0.25">
      <c r="B13" s="38" t="s">
        <v>215</v>
      </c>
      <c r="C13" s="37">
        <v>71</v>
      </c>
      <c r="D13" s="37">
        <v>71</v>
      </c>
      <c r="E13" s="37">
        <v>0</v>
      </c>
    </row>
    <row r="14" spans="2:5" x14ac:dyDescent="0.25">
      <c r="B14" s="38" t="s">
        <v>216</v>
      </c>
      <c r="C14" s="37">
        <v>7</v>
      </c>
      <c r="D14" s="37">
        <v>0</v>
      </c>
      <c r="E14" s="37">
        <v>0</v>
      </c>
    </row>
    <row r="15" spans="2:5" x14ac:dyDescent="0.25">
      <c r="B15" s="38" t="s">
        <v>217</v>
      </c>
      <c r="C15" s="37">
        <v>0</v>
      </c>
      <c r="D15" s="37">
        <v>0</v>
      </c>
      <c r="E15" s="37">
        <v>0</v>
      </c>
    </row>
    <row r="16" spans="2:5" x14ac:dyDescent="0.25">
      <c r="B16" s="38" t="s">
        <v>218</v>
      </c>
      <c r="C16" s="37">
        <v>4</v>
      </c>
      <c r="D16" s="37">
        <v>4</v>
      </c>
      <c r="E16" s="37">
        <v>4</v>
      </c>
    </row>
    <row r="17" spans="2:5" x14ac:dyDescent="0.25">
      <c r="B17" s="38" t="s">
        <v>219</v>
      </c>
      <c r="C17" s="37">
        <v>42</v>
      </c>
      <c r="D17" s="37">
        <v>42</v>
      </c>
      <c r="E17" s="37">
        <v>0</v>
      </c>
    </row>
    <row r="18" spans="2:5" x14ac:dyDescent="0.25">
      <c r="B18" s="38" t="s">
        <v>220</v>
      </c>
      <c r="C18" s="37">
        <v>22</v>
      </c>
      <c r="D18" s="37">
        <v>0</v>
      </c>
      <c r="E18" s="37">
        <v>0</v>
      </c>
    </row>
    <row r="19" spans="2:5" x14ac:dyDescent="0.25">
      <c r="B19" s="38" t="s">
        <v>221</v>
      </c>
      <c r="C19" s="37">
        <v>3</v>
      </c>
      <c r="D19" s="37">
        <v>0</v>
      </c>
      <c r="E19" s="37">
        <v>0</v>
      </c>
    </row>
    <row r="20" spans="2:5" x14ac:dyDescent="0.25">
      <c r="B20" s="38" t="s">
        <v>222</v>
      </c>
      <c r="C20" s="37">
        <v>138</v>
      </c>
      <c r="D20" s="37">
        <v>138</v>
      </c>
      <c r="E20" s="37">
        <v>138</v>
      </c>
    </row>
    <row r="21" spans="2:5" x14ac:dyDescent="0.25">
      <c r="B21" s="38" t="s">
        <v>223</v>
      </c>
      <c r="C21" s="37">
        <v>1</v>
      </c>
      <c r="D21" s="37">
        <v>1</v>
      </c>
      <c r="E21" s="37">
        <v>0</v>
      </c>
    </row>
    <row r="22" spans="2:5" x14ac:dyDescent="0.25">
      <c r="B22" s="38" t="s">
        <v>22</v>
      </c>
      <c r="C22" s="37">
        <v>8</v>
      </c>
      <c r="D22" s="37">
        <v>8</v>
      </c>
      <c r="E22" s="37">
        <v>8</v>
      </c>
    </row>
    <row r="23" spans="2:5" x14ac:dyDescent="0.25">
      <c r="B23" s="38" t="s">
        <v>23</v>
      </c>
      <c r="C23" s="37">
        <v>54557</v>
      </c>
      <c r="D23" s="37">
        <v>54557</v>
      </c>
      <c r="E23" s="37">
        <v>54557</v>
      </c>
    </row>
    <row r="24" spans="2:5" x14ac:dyDescent="0.25">
      <c r="B24" s="38" t="s">
        <v>24</v>
      </c>
      <c r="C24" s="37">
        <v>54</v>
      </c>
      <c r="D24" s="37">
        <v>54</v>
      </c>
      <c r="E24" s="37">
        <v>54</v>
      </c>
    </row>
    <row r="25" spans="2:5" x14ac:dyDescent="0.25">
      <c r="C25" s="37">
        <f>SUM(C8:C24)</f>
        <v>217974</v>
      </c>
      <c r="D25" s="37">
        <f t="shared" ref="D25:E25" si="0">SUM(D8:D24)</f>
        <v>217939</v>
      </c>
      <c r="E25" s="37">
        <f t="shared" si="0"/>
        <v>217753</v>
      </c>
    </row>
    <row r="26" spans="2:5" x14ac:dyDescent="0.25">
      <c r="C26" s="37"/>
      <c r="D26" s="37"/>
      <c r="E26" s="37"/>
    </row>
    <row r="27" spans="2:5" x14ac:dyDescent="0.25">
      <c r="B27" s="38" t="s">
        <v>224</v>
      </c>
      <c r="C27" s="37">
        <f>SUM(C8:C22)</f>
        <v>163363</v>
      </c>
      <c r="D27" s="37">
        <f t="shared" ref="D27" si="1">SUM(D8:D22)</f>
        <v>163328</v>
      </c>
      <c r="E27" s="37">
        <f>SUM(E8:E22)</f>
        <v>163142</v>
      </c>
    </row>
    <row r="28" spans="2:5" x14ac:dyDescent="0.25">
      <c r="B28" s="95" t="s">
        <v>225</v>
      </c>
      <c r="C28" s="95"/>
      <c r="D28" s="96">
        <f>D8*12</f>
        <v>1581120</v>
      </c>
    </row>
    <row r="29" spans="2:5" x14ac:dyDescent="0.25">
      <c r="B29" s="95" t="s">
        <v>226</v>
      </c>
      <c r="C29" s="95"/>
      <c r="D29" s="96">
        <f>SUM(D9:D22)*12</f>
        <v>378816</v>
      </c>
    </row>
  </sheetData>
  <pageMargins left="1" right="0.25" top="1" bottom="0.5" header="0.5" footer="0.5"/>
  <pageSetup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314E4-A6A1-435D-A4C5-36EB25ABAF2B}">
  <dimension ref="A1:J9"/>
  <sheetViews>
    <sheetView zoomScale="70" zoomScaleNormal="70" workbookViewId="0">
      <selection activeCell="P23" sqref="P23"/>
    </sheetView>
  </sheetViews>
  <sheetFormatPr defaultColWidth="8.7109375" defaultRowHeight="12.75" x14ac:dyDescent="0.2"/>
  <cols>
    <col min="1" max="1" width="51.85546875" style="58" bestFit="1" customWidth="1"/>
    <col min="2" max="2" width="23.5703125" style="58" customWidth="1"/>
    <col min="3" max="3" width="16.42578125" style="58" bestFit="1" customWidth="1"/>
    <col min="4" max="4" width="16.42578125" style="58" customWidth="1"/>
    <col min="5" max="5" width="16.42578125" style="58" bestFit="1" customWidth="1"/>
    <col min="6" max="9" width="8.7109375" style="58"/>
    <col min="10" max="10" width="19.140625" style="58" customWidth="1"/>
    <col min="11" max="11" width="16.85546875" style="58" customWidth="1"/>
    <col min="12" max="12" width="15.85546875" style="58" customWidth="1"/>
    <col min="13" max="13" width="14.7109375" style="58" customWidth="1"/>
    <col min="14" max="15" width="8.7109375" style="58"/>
    <col min="16" max="17" width="15.42578125" style="58" bestFit="1" customWidth="1"/>
    <col min="18" max="18" width="8.7109375" style="58"/>
    <col min="19" max="19" width="22.5703125" style="58" bestFit="1" customWidth="1"/>
    <col min="20" max="16384" width="8.7109375" style="58"/>
  </cols>
  <sheetData>
    <row r="1" spans="1:10" x14ac:dyDescent="0.2">
      <c r="A1" s="57" t="s">
        <v>169</v>
      </c>
    </row>
    <row r="2" spans="1:10" x14ac:dyDescent="0.2">
      <c r="A2" s="57" t="s">
        <v>309</v>
      </c>
    </row>
    <row r="3" spans="1:10" x14ac:dyDescent="0.2">
      <c r="A3" s="57"/>
    </row>
    <row r="5" spans="1:10" x14ac:dyDescent="0.2">
      <c r="C5" s="59" t="s">
        <v>170</v>
      </c>
      <c r="D5" s="59" t="s">
        <v>171</v>
      </c>
      <c r="E5" s="59" t="s">
        <v>3</v>
      </c>
    </row>
    <row r="6" spans="1:10" ht="51" x14ac:dyDescent="0.25">
      <c r="B6" s="114" t="s">
        <v>296</v>
      </c>
      <c r="C6" s="60">
        <f>SUM('12 Mos BA'!C8:C19)</f>
        <v>311197177.22000003</v>
      </c>
      <c r="D6" s="60">
        <f>SUM('12 Mos BA'!C20:C55)</f>
        <v>321410462.53000003</v>
      </c>
      <c r="E6" s="60">
        <f>'12 Mos BA'!C56</f>
        <v>632607639.74999988</v>
      </c>
      <c r="J6" s="61"/>
    </row>
    <row r="7" spans="1:10" ht="51" x14ac:dyDescent="0.25">
      <c r="B7" s="114" t="s">
        <v>297</v>
      </c>
      <c r="C7" s="62">
        <v>0</v>
      </c>
      <c r="D7" s="62">
        <f>SUM('12 Mos BA'!E20:E55)</f>
        <v>256443984.04000002</v>
      </c>
      <c r="E7" s="62">
        <v>0</v>
      </c>
      <c r="J7" s="61"/>
    </row>
    <row r="8" spans="1:10" ht="15" x14ac:dyDescent="0.25">
      <c r="J8" s="63"/>
    </row>
    <row r="9" spans="1:10" ht="15" x14ac:dyDescent="0.25">
      <c r="J9" s="63"/>
    </row>
  </sheetData>
  <pageMargins left="1" right="0.25" top="1" bottom="0.5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1B2EF-ADF9-4336-AAEB-66945CB3A05C}">
  <dimension ref="A1:N57"/>
  <sheetViews>
    <sheetView zoomScale="70" zoomScaleNormal="70" workbookViewId="0">
      <selection activeCell="P23" sqref="P23"/>
    </sheetView>
  </sheetViews>
  <sheetFormatPr defaultRowHeight="12.75" customHeight="1" x14ac:dyDescent="0.2"/>
  <cols>
    <col min="1" max="1" width="10" style="97" bestFit="1" customWidth="1"/>
    <col min="2" max="4" width="15" style="97" bestFit="1" customWidth="1"/>
    <col min="5" max="5" width="26.42578125" style="97" bestFit="1" customWidth="1"/>
    <col min="6" max="6" width="16.28515625" style="97" bestFit="1" customWidth="1"/>
    <col min="7" max="7" width="13.7109375" style="97" bestFit="1" customWidth="1"/>
    <col min="8" max="8" width="21.28515625" style="97" bestFit="1" customWidth="1"/>
    <col min="9" max="10" width="20.140625" style="97" bestFit="1" customWidth="1"/>
    <col min="11" max="11" width="13.7109375" style="97" bestFit="1" customWidth="1"/>
    <col min="12" max="12" width="21.28515625" style="97" bestFit="1" customWidth="1"/>
    <col min="13" max="13" width="10" style="97" bestFit="1" customWidth="1"/>
    <col min="14" max="14" width="16.28515625" style="97" bestFit="1" customWidth="1"/>
    <col min="15" max="16384" width="9.140625" style="97"/>
  </cols>
  <sheetData>
    <row r="1" spans="1:14" ht="12.75" customHeight="1" x14ac:dyDescent="0.2">
      <c r="A1" s="309"/>
      <c r="B1" s="309"/>
      <c r="C1" s="309"/>
      <c r="D1" s="309"/>
      <c r="H1" s="318" t="s">
        <v>227</v>
      </c>
      <c r="I1" s="309"/>
      <c r="J1" s="309"/>
      <c r="K1" s="98" t="s">
        <v>228</v>
      </c>
    </row>
    <row r="2" spans="1:14" ht="12.75" customHeight="1" x14ac:dyDescent="0.2">
      <c r="A2" s="309"/>
      <c r="B2" s="309"/>
      <c r="C2" s="309"/>
      <c r="D2" s="309"/>
      <c r="E2" s="319" t="s">
        <v>229</v>
      </c>
      <c r="F2" s="309"/>
      <c r="G2" s="309"/>
      <c r="H2" s="318" t="s">
        <v>230</v>
      </c>
      <c r="I2" s="309"/>
      <c r="J2" s="309"/>
      <c r="K2" s="99" t="s">
        <v>231</v>
      </c>
      <c r="L2" s="100" t="s">
        <v>232</v>
      </c>
    </row>
    <row r="3" spans="1:14" ht="12.75" customHeight="1" x14ac:dyDescent="0.2">
      <c r="A3" s="309"/>
      <c r="B3" s="309"/>
      <c r="C3" s="309"/>
      <c r="D3" s="309"/>
      <c r="E3" s="319" t="s">
        <v>26</v>
      </c>
      <c r="F3" s="309"/>
      <c r="G3" s="309"/>
      <c r="H3" s="309"/>
      <c r="I3" s="309"/>
      <c r="J3" s="309"/>
      <c r="K3" s="308" t="s">
        <v>233</v>
      </c>
      <c r="L3" s="309"/>
    </row>
    <row r="4" spans="1:14" ht="12.75" customHeight="1" x14ac:dyDescent="0.2">
      <c r="A4" s="309"/>
      <c r="B4" s="309"/>
      <c r="C4" s="309"/>
      <c r="D4" s="309"/>
    </row>
    <row r="5" spans="1:14" ht="12.75" customHeight="1" thickBot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310" t="s">
        <v>234</v>
      </c>
      <c r="M5" s="311"/>
      <c r="N5" s="311"/>
    </row>
    <row r="6" spans="1:14" ht="12.75" customHeight="1" thickBot="1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312" t="s">
        <v>235</v>
      </c>
      <c r="M6" s="313"/>
      <c r="N6" s="104"/>
    </row>
    <row r="7" spans="1:14" ht="12.75" customHeight="1" thickBot="1" x14ac:dyDescent="0.25">
      <c r="A7" s="105" t="s">
        <v>236</v>
      </c>
      <c r="B7" s="106"/>
      <c r="C7" s="105" t="s">
        <v>237</v>
      </c>
      <c r="D7" s="105" t="s">
        <v>238</v>
      </c>
      <c r="E7" s="105" t="s">
        <v>239</v>
      </c>
      <c r="F7" s="105" t="s">
        <v>240</v>
      </c>
      <c r="G7" s="105" t="s">
        <v>241</v>
      </c>
      <c r="H7" s="105" t="s">
        <v>242</v>
      </c>
      <c r="I7" s="105" t="s">
        <v>243</v>
      </c>
      <c r="J7" s="105" t="s">
        <v>244</v>
      </c>
      <c r="K7" s="105" t="s">
        <v>245</v>
      </c>
      <c r="L7" s="105" t="s">
        <v>246</v>
      </c>
      <c r="M7" s="105" t="s">
        <v>247</v>
      </c>
      <c r="N7" s="105" t="s">
        <v>248</v>
      </c>
    </row>
    <row r="8" spans="1:14" ht="12.75" customHeight="1" x14ac:dyDescent="0.2">
      <c r="A8" s="107">
        <v>11</v>
      </c>
      <c r="B8" s="108" t="s">
        <v>249</v>
      </c>
      <c r="C8" s="109">
        <v>338234.39</v>
      </c>
      <c r="D8" s="109">
        <v>51147.27</v>
      </c>
      <c r="E8" s="109">
        <v>287087.12</v>
      </c>
      <c r="F8" s="110">
        <v>2222480</v>
      </c>
      <c r="G8" s="110">
        <v>0</v>
      </c>
      <c r="H8" s="111">
        <v>0</v>
      </c>
      <c r="I8" s="110">
        <v>126.75</v>
      </c>
      <c r="J8" s="110">
        <v>0</v>
      </c>
      <c r="K8" s="110">
        <v>0</v>
      </c>
      <c r="L8" s="109">
        <v>15.218782171268</v>
      </c>
      <c r="M8" s="109">
        <v>12.917421979049999</v>
      </c>
      <c r="N8" s="109">
        <v>0</v>
      </c>
    </row>
    <row r="9" spans="1:14" ht="12.75" customHeight="1" x14ac:dyDescent="0.2">
      <c r="A9" s="107">
        <v>12</v>
      </c>
      <c r="B9" s="108" t="s">
        <v>250</v>
      </c>
      <c r="C9" s="109">
        <v>30369.7</v>
      </c>
      <c r="D9" s="109">
        <v>4666.8500000000004</v>
      </c>
      <c r="E9" s="109">
        <v>25702.85</v>
      </c>
      <c r="F9" s="110">
        <v>203811</v>
      </c>
      <c r="G9" s="110">
        <v>0</v>
      </c>
      <c r="H9" s="111">
        <v>0</v>
      </c>
      <c r="I9" s="110">
        <v>10.333333333333</v>
      </c>
      <c r="J9" s="110">
        <v>0</v>
      </c>
      <c r="K9" s="110">
        <v>0</v>
      </c>
      <c r="L9" s="109">
        <v>14.900913100863001</v>
      </c>
      <c r="M9" s="109">
        <v>12.611120106373001</v>
      </c>
      <c r="N9" s="109">
        <v>0</v>
      </c>
    </row>
    <row r="10" spans="1:14" ht="12.75" customHeight="1" x14ac:dyDescent="0.2">
      <c r="A10" s="113">
        <v>13</v>
      </c>
      <c r="B10" s="108" t="s">
        <v>251</v>
      </c>
      <c r="C10" s="109">
        <v>2804.28</v>
      </c>
      <c r="D10" s="109">
        <v>446.68</v>
      </c>
      <c r="E10" s="109">
        <v>2357.6</v>
      </c>
      <c r="F10" s="110">
        <v>18651</v>
      </c>
      <c r="G10" s="110">
        <v>0</v>
      </c>
      <c r="H10" s="111">
        <v>0</v>
      </c>
      <c r="I10" s="110">
        <v>1</v>
      </c>
      <c r="J10" s="110">
        <v>0</v>
      </c>
      <c r="K10" s="110">
        <v>0</v>
      </c>
      <c r="L10" s="109">
        <v>15.035547691812001</v>
      </c>
      <c r="M10" s="109">
        <v>12.640609082621999</v>
      </c>
      <c r="N10" s="109">
        <v>0</v>
      </c>
    </row>
    <row r="11" spans="1:14" ht="12.75" customHeight="1" x14ac:dyDescent="0.2">
      <c r="A11" s="113">
        <v>14</v>
      </c>
      <c r="B11" s="108" t="s">
        <v>252</v>
      </c>
      <c r="C11" s="109">
        <v>32906.65</v>
      </c>
      <c r="D11" s="109">
        <v>4943.34</v>
      </c>
      <c r="E11" s="109">
        <v>27963.31</v>
      </c>
      <c r="F11" s="110">
        <v>221772</v>
      </c>
      <c r="G11" s="110">
        <v>0</v>
      </c>
      <c r="H11" s="111">
        <v>0</v>
      </c>
      <c r="I11" s="110">
        <v>14.916666666666</v>
      </c>
      <c r="J11" s="110">
        <v>0</v>
      </c>
      <c r="K11" s="110">
        <v>0</v>
      </c>
      <c r="L11" s="109">
        <v>14.83805439821</v>
      </c>
      <c r="M11" s="109">
        <v>12.609035405732</v>
      </c>
      <c r="N11" s="109">
        <v>0</v>
      </c>
    </row>
    <row r="12" spans="1:14" ht="12.75" customHeight="1" x14ac:dyDescent="0.2">
      <c r="A12" s="113">
        <v>15</v>
      </c>
      <c r="B12" s="108" t="s">
        <v>253</v>
      </c>
      <c r="C12" s="109">
        <v>144751201.21000001</v>
      </c>
      <c r="D12" s="109">
        <v>20906105.300000001</v>
      </c>
      <c r="E12" s="109">
        <v>123845095.91</v>
      </c>
      <c r="F12" s="110">
        <v>893261906</v>
      </c>
      <c r="G12" s="110">
        <v>75327</v>
      </c>
      <c r="H12" s="111">
        <v>9693.7999999999993</v>
      </c>
      <c r="I12" s="110">
        <v>65296.583333333299</v>
      </c>
      <c r="J12" s="110">
        <v>0</v>
      </c>
      <c r="K12" s="110">
        <v>0</v>
      </c>
      <c r="L12" s="109">
        <v>16.204788342333998</v>
      </c>
      <c r="M12" s="109">
        <v>13.864365543648001</v>
      </c>
      <c r="N12" s="109">
        <v>0</v>
      </c>
    </row>
    <row r="13" spans="1:14" ht="12.75" customHeight="1" x14ac:dyDescent="0.2">
      <c r="A13" s="113">
        <v>17</v>
      </c>
      <c r="B13" s="108" t="s">
        <v>254</v>
      </c>
      <c r="C13" s="109">
        <v>834899.3</v>
      </c>
      <c r="D13" s="109">
        <v>122622.59</v>
      </c>
      <c r="E13" s="109">
        <v>712276.71</v>
      </c>
      <c r="F13" s="110">
        <v>5335523</v>
      </c>
      <c r="G13" s="110">
        <v>0</v>
      </c>
      <c r="H13" s="111">
        <v>0</v>
      </c>
      <c r="I13" s="110">
        <v>294.08333333333297</v>
      </c>
      <c r="J13" s="110">
        <v>0</v>
      </c>
      <c r="K13" s="110">
        <v>0</v>
      </c>
      <c r="L13" s="109">
        <v>15.647937418692999</v>
      </c>
      <c r="M13" s="109">
        <v>13.349707423246</v>
      </c>
      <c r="N13" s="109">
        <v>0</v>
      </c>
    </row>
    <row r="14" spans="1:14" ht="12.75" customHeight="1" x14ac:dyDescent="0.2">
      <c r="A14" s="113">
        <v>22</v>
      </c>
      <c r="B14" s="108" t="s">
        <v>255</v>
      </c>
      <c r="C14" s="109">
        <v>164741952.5</v>
      </c>
      <c r="D14" s="109">
        <v>23797080.710000001</v>
      </c>
      <c r="E14" s="109">
        <v>140944871.78999999</v>
      </c>
      <c r="F14" s="110">
        <v>1040548864</v>
      </c>
      <c r="G14" s="110">
        <v>57326</v>
      </c>
      <c r="H14" s="111">
        <v>18903.3</v>
      </c>
      <c r="I14" s="110">
        <v>66719.25</v>
      </c>
      <c r="J14" s="110">
        <v>0</v>
      </c>
      <c r="K14" s="110">
        <v>0</v>
      </c>
      <c r="L14" s="109">
        <v>15.832216842436999</v>
      </c>
      <c r="M14" s="109">
        <v>13.545242964197</v>
      </c>
      <c r="N14" s="109">
        <v>0</v>
      </c>
    </row>
    <row r="15" spans="1:14" ht="12.75" customHeight="1" x14ac:dyDescent="0.2">
      <c r="A15" s="113">
        <v>28</v>
      </c>
      <c r="B15" s="108" t="s">
        <v>256</v>
      </c>
      <c r="C15" s="109">
        <v>18730.689999999999</v>
      </c>
      <c r="D15" s="109">
        <v>2804.68</v>
      </c>
      <c r="E15" s="109">
        <v>15926.01</v>
      </c>
      <c r="F15" s="110">
        <v>124331</v>
      </c>
      <c r="G15" s="110">
        <v>74519</v>
      </c>
      <c r="H15" s="111">
        <v>0</v>
      </c>
      <c r="I15" s="110">
        <v>6</v>
      </c>
      <c r="J15" s="110">
        <v>0</v>
      </c>
      <c r="K15" s="110">
        <v>0</v>
      </c>
      <c r="L15" s="109">
        <v>15.065180847897</v>
      </c>
      <c r="M15" s="109">
        <v>12.8093637146</v>
      </c>
      <c r="N15" s="109">
        <v>0</v>
      </c>
    </row>
    <row r="16" spans="1:14" ht="12.75" customHeight="1" x14ac:dyDescent="0.2">
      <c r="A16" s="113">
        <v>30</v>
      </c>
      <c r="B16" s="108" t="s">
        <v>257</v>
      </c>
      <c r="C16" s="109">
        <v>204447.33</v>
      </c>
      <c r="D16" s="109">
        <v>30260.1</v>
      </c>
      <c r="E16" s="109">
        <v>174187.23</v>
      </c>
      <c r="F16" s="110">
        <v>1345923</v>
      </c>
      <c r="G16" s="110">
        <v>816621</v>
      </c>
      <c r="H16" s="111">
        <v>0</v>
      </c>
      <c r="I16" s="110">
        <v>64.833333333333002</v>
      </c>
      <c r="J16" s="110">
        <v>0</v>
      </c>
      <c r="K16" s="110">
        <v>0</v>
      </c>
      <c r="L16" s="109">
        <v>15.190120831578</v>
      </c>
      <c r="M16" s="109">
        <v>12.941842141043001</v>
      </c>
      <c r="N16" s="109">
        <v>0</v>
      </c>
    </row>
    <row r="17" spans="1:14" ht="12.75" customHeight="1" x14ac:dyDescent="0.2">
      <c r="A17" s="113">
        <v>32</v>
      </c>
      <c r="B17" s="108" t="s">
        <v>258</v>
      </c>
      <c r="C17" s="109">
        <v>224727.82</v>
      </c>
      <c r="D17" s="109">
        <v>33630.660000000003</v>
      </c>
      <c r="E17" s="109">
        <v>191097.16</v>
      </c>
      <c r="F17" s="110">
        <v>1464907</v>
      </c>
      <c r="G17" s="110">
        <v>901440</v>
      </c>
      <c r="H17" s="111">
        <v>0</v>
      </c>
      <c r="I17" s="110">
        <v>76.166666666666003</v>
      </c>
      <c r="J17" s="110">
        <v>0</v>
      </c>
      <c r="K17" s="110">
        <v>0</v>
      </c>
      <c r="L17" s="109">
        <v>15.340756785243</v>
      </c>
      <c r="M17" s="109">
        <v>13.045002856836</v>
      </c>
      <c r="N17" s="109">
        <v>0</v>
      </c>
    </row>
    <row r="18" spans="1:14" ht="12.75" customHeight="1" x14ac:dyDescent="0.2">
      <c r="A18" s="113">
        <v>34</v>
      </c>
      <c r="B18" s="108" t="s">
        <v>259</v>
      </c>
      <c r="C18" s="109">
        <v>1947.44</v>
      </c>
      <c r="D18" s="109">
        <v>301.35000000000002</v>
      </c>
      <c r="E18" s="109">
        <v>1646.09</v>
      </c>
      <c r="F18" s="110">
        <v>13446</v>
      </c>
      <c r="G18" s="110">
        <v>8338</v>
      </c>
      <c r="H18" s="111">
        <v>0</v>
      </c>
      <c r="I18" s="110">
        <v>2</v>
      </c>
      <c r="J18" s="110">
        <v>0</v>
      </c>
      <c r="K18" s="110">
        <v>0</v>
      </c>
      <c r="L18" s="109">
        <v>14.483415142048999</v>
      </c>
      <c r="M18" s="109">
        <v>12.242228171947</v>
      </c>
      <c r="N18" s="109">
        <v>0</v>
      </c>
    </row>
    <row r="19" spans="1:14" ht="12.75" customHeight="1" x14ac:dyDescent="0.2">
      <c r="A19" s="113">
        <v>36</v>
      </c>
      <c r="B19" s="108" t="s">
        <v>260</v>
      </c>
      <c r="C19" s="109">
        <v>14955.91</v>
      </c>
      <c r="D19" s="109">
        <v>2328.1</v>
      </c>
      <c r="E19" s="109">
        <v>12627.81</v>
      </c>
      <c r="F19" s="110">
        <v>97760</v>
      </c>
      <c r="G19" s="110">
        <v>57012</v>
      </c>
      <c r="H19" s="111">
        <v>0</v>
      </c>
      <c r="I19" s="110">
        <v>4.4166666666659999</v>
      </c>
      <c r="J19" s="110">
        <v>0</v>
      </c>
      <c r="K19" s="110">
        <v>0</v>
      </c>
      <c r="L19" s="109">
        <v>15.298598608838001</v>
      </c>
      <c r="M19" s="109">
        <v>12.917154255319</v>
      </c>
      <c r="N19" s="109">
        <v>0</v>
      </c>
    </row>
    <row r="20" spans="1:14" x14ac:dyDescent="0.2">
      <c r="A20" s="113">
        <v>204</v>
      </c>
      <c r="B20" s="108" t="s">
        <v>261</v>
      </c>
      <c r="C20" s="109">
        <v>216611.13</v>
      </c>
      <c r="D20" s="109">
        <v>22763.31</v>
      </c>
      <c r="E20" s="109">
        <v>193847.82</v>
      </c>
      <c r="F20" s="110">
        <v>931259</v>
      </c>
      <c r="G20" s="110">
        <v>0</v>
      </c>
      <c r="H20" s="111">
        <v>0</v>
      </c>
      <c r="I20" s="110">
        <v>368</v>
      </c>
      <c r="J20" s="110">
        <v>0</v>
      </c>
      <c r="K20" s="110">
        <v>0</v>
      </c>
      <c r="L20" s="109">
        <v>23.260030775541001</v>
      </c>
      <c r="M20" s="109">
        <v>20.815672116994001</v>
      </c>
      <c r="N20" s="109">
        <v>0</v>
      </c>
    </row>
    <row r="21" spans="1:14" x14ac:dyDescent="0.2">
      <c r="A21" s="113">
        <v>211</v>
      </c>
      <c r="B21" s="108" t="s">
        <v>262</v>
      </c>
      <c r="C21" s="109">
        <v>29805208.539999999</v>
      </c>
      <c r="D21" s="109">
        <v>3380256.79</v>
      </c>
      <c r="E21" s="109">
        <v>26424951.75</v>
      </c>
      <c r="F21" s="110">
        <v>143272087</v>
      </c>
      <c r="G21" s="110">
        <v>150362</v>
      </c>
      <c r="H21" s="111">
        <v>234907.7</v>
      </c>
      <c r="I21" s="110">
        <v>22614.25</v>
      </c>
      <c r="J21" s="110">
        <v>0</v>
      </c>
      <c r="K21" s="110">
        <v>0</v>
      </c>
      <c r="L21" s="109">
        <v>20.803220755763</v>
      </c>
      <c r="M21" s="109">
        <v>18.443893924710999</v>
      </c>
      <c r="N21" s="109">
        <v>0</v>
      </c>
    </row>
    <row r="22" spans="1:14" x14ac:dyDescent="0.2">
      <c r="A22" s="113">
        <v>212</v>
      </c>
      <c r="B22" s="108" t="s">
        <v>263</v>
      </c>
      <c r="C22" s="109">
        <v>853.44</v>
      </c>
      <c r="D22" s="109">
        <v>80.86</v>
      </c>
      <c r="E22" s="109">
        <v>772.58</v>
      </c>
      <c r="F22" s="110">
        <v>3285</v>
      </c>
      <c r="G22" s="110">
        <v>0</v>
      </c>
      <c r="H22" s="111">
        <v>0</v>
      </c>
      <c r="I22" s="110">
        <v>1</v>
      </c>
      <c r="J22" s="110">
        <v>0</v>
      </c>
      <c r="K22" s="110">
        <v>0</v>
      </c>
      <c r="L22" s="109">
        <v>25.979908675798999</v>
      </c>
      <c r="M22" s="109">
        <v>23.518417047183998</v>
      </c>
      <c r="N22" s="109">
        <v>0</v>
      </c>
    </row>
    <row r="23" spans="1:14" x14ac:dyDescent="0.2">
      <c r="A23" s="113">
        <v>213</v>
      </c>
      <c r="B23" s="108" t="s">
        <v>264</v>
      </c>
      <c r="C23" s="109">
        <v>535812.26</v>
      </c>
      <c r="D23" s="109">
        <v>56382.28</v>
      </c>
      <c r="E23" s="109">
        <v>479429.98</v>
      </c>
      <c r="F23" s="110">
        <v>2258992</v>
      </c>
      <c r="G23" s="110">
        <v>0</v>
      </c>
      <c r="H23" s="111">
        <v>0</v>
      </c>
      <c r="I23" s="110">
        <v>582.83333333333303</v>
      </c>
      <c r="J23" s="110">
        <v>0</v>
      </c>
      <c r="K23" s="110">
        <v>0</v>
      </c>
      <c r="L23" s="109">
        <v>23.719086211903001</v>
      </c>
      <c r="M23" s="109">
        <v>21.223181843936999</v>
      </c>
      <c r="N23" s="109">
        <v>0</v>
      </c>
    </row>
    <row r="24" spans="1:14" x14ac:dyDescent="0.2">
      <c r="A24" s="113">
        <v>214</v>
      </c>
      <c r="B24" s="108" t="s">
        <v>265</v>
      </c>
      <c r="C24" s="109">
        <v>232106.88</v>
      </c>
      <c r="D24" s="109">
        <v>31119.71</v>
      </c>
      <c r="E24" s="109">
        <v>200987.17</v>
      </c>
      <c r="F24" s="110">
        <v>1387541</v>
      </c>
      <c r="G24" s="110">
        <v>0</v>
      </c>
      <c r="H24" s="111">
        <v>32616.6</v>
      </c>
      <c r="I24" s="110">
        <v>84.5</v>
      </c>
      <c r="J24" s="110">
        <v>0</v>
      </c>
      <c r="K24" s="110">
        <v>0</v>
      </c>
      <c r="L24" s="109">
        <v>16.727929481002001</v>
      </c>
      <c r="M24" s="109">
        <v>14.485133772623</v>
      </c>
      <c r="N24" s="109">
        <v>0</v>
      </c>
    </row>
    <row r="25" spans="1:14" x14ac:dyDescent="0.2">
      <c r="A25" s="113">
        <v>215</v>
      </c>
      <c r="B25" s="108" t="s">
        <v>262</v>
      </c>
      <c r="C25" s="109">
        <v>75311107.459999993</v>
      </c>
      <c r="D25" s="109">
        <v>10724531.699999999</v>
      </c>
      <c r="E25" s="109">
        <v>64586575.759999998</v>
      </c>
      <c r="F25" s="110">
        <v>450257514</v>
      </c>
      <c r="G25" s="110">
        <v>0</v>
      </c>
      <c r="H25" s="111">
        <v>1792927.7</v>
      </c>
      <c r="I25" s="110">
        <v>6419.0833333333303</v>
      </c>
      <c r="J25" s="110">
        <v>0</v>
      </c>
      <c r="K25" s="110">
        <v>0</v>
      </c>
      <c r="L25" s="109">
        <v>16.726230016896</v>
      </c>
      <c r="M25" s="109">
        <v>14.344363781122</v>
      </c>
      <c r="N25" s="109">
        <v>0</v>
      </c>
    </row>
    <row r="26" spans="1:14" x14ac:dyDescent="0.2">
      <c r="A26" s="107">
        <v>217</v>
      </c>
      <c r="B26" s="108" t="s">
        <v>266</v>
      </c>
      <c r="C26" s="109">
        <v>572690.17000000004</v>
      </c>
      <c r="D26" s="109">
        <v>80123.05</v>
      </c>
      <c r="E26" s="109">
        <v>492567.12</v>
      </c>
      <c r="F26" s="110">
        <v>3436402</v>
      </c>
      <c r="G26" s="110">
        <v>0</v>
      </c>
      <c r="H26" s="111">
        <v>15721.3</v>
      </c>
      <c r="I26" s="110">
        <v>33.25</v>
      </c>
      <c r="J26" s="110">
        <v>0</v>
      </c>
      <c r="K26" s="110">
        <v>0</v>
      </c>
      <c r="L26" s="109">
        <v>16.665400904782999</v>
      </c>
      <c r="M26" s="109">
        <v>14.333803786635</v>
      </c>
      <c r="N26" s="109">
        <v>0</v>
      </c>
    </row>
    <row r="27" spans="1:14" x14ac:dyDescent="0.2">
      <c r="A27" s="107">
        <v>218</v>
      </c>
      <c r="B27" s="108" t="s">
        <v>267</v>
      </c>
      <c r="C27" s="109">
        <v>33555.949999999997</v>
      </c>
      <c r="D27" s="109">
        <v>4543.2700000000004</v>
      </c>
      <c r="E27" s="109">
        <v>29012.68</v>
      </c>
      <c r="F27" s="110">
        <v>206174</v>
      </c>
      <c r="G27" s="110">
        <v>0</v>
      </c>
      <c r="H27" s="111">
        <v>685.6</v>
      </c>
      <c r="I27" s="110">
        <v>1</v>
      </c>
      <c r="J27" s="110">
        <v>0</v>
      </c>
      <c r="K27" s="110">
        <v>0</v>
      </c>
      <c r="L27" s="109">
        <v>16.275548808288001</v>
      </c>
      <c r="M27" s="109">
        <v>14.071939235791</v>
      </c>
      <c r="N27" s="109">
        <v>0</v>
      </c>
    </row>
    <row r="28" spans="1:14" x14ac:dyDescent="0.2">
      <c r="A28" s="107">
        <v>220</v>
      </c>
      <c r="B28" s="108" t="s">
        <v>268</v>
      </c>
      <c r="C28" s="109">
        <v>805431.83</v>
      </c>
      <c r="D28" s="109">
        <v>124592.87</v>
      </c>
      <c r="E28" s="109">
        <v>680838.96</v>
      </c>
      <c r="F28" s="110">
        <v>5208460</v>
      </c>
      <c r="G28" s="110">
        <v>0</v>
      </c>
      <c r="H28" s="111">
        <v>14292.4</v>
      </c>
      <c r="I28" s="110">
        <v>41.333333333333002</v>
      </c>
      <c r="J28" s="110">
        <v>0</v>
      </c>
      <c r="K28" s="110">
        <v>0</v>
      </c>
      <c r="L28" s="109">
        <v>15.463915053585</v>
      </c>
      <c r="M28" s="109">
        <v>13.071790126064</v>
      </c>
      <c r="N28" s="109">
        <v>0</v>
      </c>
    </row>
    <row r="29" spans="1:14" x14ac:dyDescent="0.2">
      <c r="A29" s="107">
        <v>223</v>
      </c>
      <c r="B29" s="108" t="s">
        <v>269</v>
      </c>
      <c r="C29" s="109">
        <v>146460.12</v>
      </c>
      <c r="D29" s="109">
        <v>19584.93</v>
      </c>
      <c r="E29" s="109">
        <v>126875.19</v>
      </c>
      <c r="F29" s="110">
        <v>904508</v>
      </c>
      <c r="G29" s="110">
        <v>556174</v>
      </c>
      <c r="H29" s="111">
        <v>0</v>
      </c>
      <c r="I29" s="110">
        <v>38</v>
      </c>
      <c r="J29" s="110">
        <v>0</v>
      </c>
      <c r="K29" s="110">
        <v>0</v>
      </c>
      <c r="L29" s="109">
        <v>16.192241527989999</v>
      </c>
      <c r="M29" s="109">
        <v>14.026983730381</v>
      </c>
      <c r="N29" s="109">
        <v>0</v>
      </c>
    </row>
    <row r="30" spans="1:14" x14ac:dyDescent="0.2">
      <c r="A30" s="107">
        <v>225</v>
      </c>
      <c r="B30" s="108" t="s">
        <v>270</v>
      </c>
      <c r="C30" s="109">
        <v>145640.21</v>
      </c>
      <c r="D30" s="109">
        <v>21220.66</v>
      </c>
      <c r="E30" s="109">
        <v>124419.55</v>
      </c>
      <c r="F30" s="110">
        <v>901099</v>
      </c>
      <c r="G30" s="110">
        <v>540211</v>
      </c>
      <c r="H30" s="111">
        <v>0</v>
      </c>
      <c r="I30" s="110">
        <v>31</v>
      </c>
      <c r="J30" s="110">
        <v>0</v>
      </c>
      <c r="K30" s="110">
        <v>0</v>
      </c>
      <c r="L30" s="109">
        <v>16.162509335822001</v>
      </c>
      <c r="M30" s="109">
        <v>13.807533911367999</v>
      </c>
      <c r="N30" s="109">
        <v>0</v>
      </c>
    </row>
    <row r="31" spans="1:14" x14ac:dyDescent="0.2">
      <c r="A31" s="107">
        <v>227</v>
      </c>
      <c r="B31" s="108" t="s">
        <v>271</v>
      </c>
      <c r="C31" s="109">
        <v>1561626.15</v>
      </c>
      <c r="D31" s="109">
        <v>196762.18</v>
      </c>
      <c r="E31" s="109">
        <v>1364863.97</v>
      </c>
      <c r="F31" s="110">
        <v>8206003</v>
      </c>
      <c r="G31" s="110">
        <v>6775512</v>
      </c>
      <c r="H31" s="111">
        <v>0</v>
      </c>
      <c r="I31" s="110">
        <v>498.08333333333297</v>
      </c>
      <c r="J31" s="110">
        <v>0</v>
      </c>
      <c r="K31" s="110">
        <v>0</v>
      </c>
      <c r="L31" s="109">
        <v>19.030289776886001</v>
      </c>
      <c r="M31" s="109">
        <v>16.632506349315001</v>
      </c>
      <c r="N31" s="109">
        <v>0</v>
      </c>
    </row>
    <row r="32" spans="1:14" x14ac:dyDescent="0.2">
      <c r="A32" s="107">
        <v>229</v>
      </c>
      <c r="B32" s="108" t="s">
        <v>272</v>
      </c>
      <c r="C32" s="109">
        <v>1322979.3400000001</v>
      </c>
      <c r="D32" s="109">
        <v>204742.78</v>
      </c>
      <c r="E32" s="109">
        <v>1118236.56</v>
      </c>
      <c r="F32" s="110">
        <v>8541805</v>
      </c>
      <c r="G32" s="110">
        <v>5168228</v>
      </c>
      <c r="H32" s="111">
        <v>5789.2</v>
      </c>
      <c r="I32" s="110">
        <v>138.333333333333</v>
      </c>
      <c r="J32" s="110">
        <v>0</v>
      </c>
      <c r="K32" s="110">
        <v>0</v>
      </c>
      <c r="L32" s="109">
        <v>15.488287779924001</v>
      </c>
      <c r="M32" s="109">
        <v>13.091337954917</v>
      </c>
      <c r="N32" s="109">
        <v>0</v>
      </c>
    </row>
    <row r="33" spans="1:14" x14ac:dyDescent="0.2">
      <c r="A33" s="107">
        <v>236</v>
      </c>
      <c r="B33" s="108" t="s">
        <v>273</v>
      </c>
      <c r="C33" s="109"/>
      <c r="D33" s="109"/>
      <c r="E33" s="109"/>
      <c r="F33" s="110">
        <v>481465</v>
      </c>
      <c r="G33" s="110">
        <v>0</v>
      </c>
      <c r="H33" s="111">
        <v>1067.0999999999999</v>
      </c>
      <c r="I33" s="110">
        <v>3.25</v>
      </c>
      <c r="J33" s="110">
        <v>0</v>
      </c>
      <c r="K33" s="110">
        <v>0</v>
      </c>
      <c r="L33" s="109">
        <v>16.149913285493</v>
      </c>
      <c r="M33" s="109">
        <v>14.032131099872</v>
      </c>
      <c r="N33" s="109">
        <v>0</v>
      </c>
    </row>
    <row r="34" spans="1:14" x14ac:dyDescent="0.2">
      <c r="A34" s="107">
        <v>240</v>
      </c>
      <c r="B34" s="108" t="s">
        <v>274</v>
      </c>
      <c r="C34" s="109">
        <v>43400801.289999999</v>
      </c>
      <c r="D34" s="109">
        <v>7057680.1500000004</v>
      </c>
      <c r="E34" s="109">
        <v>36343121.140000001</v>
      </c>
      <c r="F34" s="110">
        <v>293063278</v>
      </c>
      <c r="G34" s="110">
        <v>0</v>
      </c>
      <c r="H34" s="111">
        <v>809195</v>
      </c>
      <c r="I34" s="110">
        <v>351.75</v>
      </c>
      <c r="J34" s="110">
        <v>0</v>
      </c>
      <c r="K34" s="110">
        <v>0</v>
      </c>
      <c r="L34" s="109">
        <v>14.809361850514</v>
      </c>
      <c r="M34" s="109">
        <v>12.401117392811001</v>
      </c>
      <c r="N34" s="109">
        <v>0</v>
      </c>
    </row>
    <row r="35" spans="1:14" x14ac:dyDescent="0.2">
      <c r="A35" s="107">
        <v>242</v>
      </c>
      <c r="B35" s="108" t="s">
        <v>275</v>
      </c>
      <c r="C35" s="109">
        <v>1014953.47</v>
      </c>
      <c r="D35" s="109">
        <v>171469.79</v>
      </c>
      <c r="E35" s="109">
        <v>843483.68</v>
      </c>
      <c r="F35" s="110">
        <v>7112400</v>
      </c>
      <c r="G35" s="110">
        <v>0</v>
      </c>
      <c r="H35" s="111">
        <v>16942</v>
      </c>
      <c r="I35" s="110">
        <v>7</v>
      </c>
      <c r="J35" s="110">
        <v>0</v>
      </c>
      <c r="K35" s="110">
        <v>0</v>
      </c>
      <c r="L35" s="109">
        <v>14.270196698723</v>
      </c>
      <c r="M35" s="109">
        <v>11.859339744671001</v>
      </c>
      <c r="N35" s="109">
        <v>0</v>
      </c>
    </row>
    <row r="36" spans="1:14" x14ac:dyDescent="0.2">
      <c r="A36" s="107">
        <v>244</v>
      </c>
      <c r="B36" s="108" t="s">
        <v>276</v>
      </c>
      <c r="C36" s="109">
        <v>11951649.810000001</v>
      </c>
      <c r="D36" s="109">
        <v>1959816.17</v>
      </c>
      <c r="E36" s="109">
        <v>9991833.6400000006</v>
      </c>
      <c r="F36" s="110">
        <v>82007496</v>
      </c>
      <c r="G36" s="110">
        <v>296400</v>
      </c>
      <c r="H36" s="111">
        <v>305447</v>
      </c>
      <c r="I36" s="110">
        <v>64.833333333333002</v>
      </c>
      <c r="J36" s="110">
        <v>0</v>
      </c>
      <c r="K36" s="110">
        <v>0</v>
      </c>
      <c r="L36" s="109">
        <v>14.573850431916</v>
      </c>
      <c r="M36" s="109">
        <v>12.184049175211999</v>
      </c>
      <c r="N36" s="109">
        <v>0</v>
      </c>
    </row>
    <row r="37" spans="1:14" x14ac:dyDescent="0.2">
      <c r="A37" s="107">
        <v>246</v>
      </c>
      <c r="B37" s="108" t="s">
        <v>277</v>
      </c>
      <c r="C37" s="109">
        <v>90250.35</v>
      </c>
      <c r="D37" s="109">
        <v>16556.75</v>
      </c>
      <c r="E37" s="109">
        <v>73693.600000000006</v>
      </c>
      <c r="F37" s="110">
        <v>658349</v>
      </c>
      <c r="G37" s="110">
        <v>0</v>
      </c>
      <c r="H37" s="111">
        <v>2015</v>
      </c>
      <c r="I37" s="110">
        <v>1</v>
      </c>
      <c r="J37" s="110">
        <v>0</v>
      </c>
      <c r="K37" s="110">
        <v>0</v>
      </c>
      <c r="L37" s="109">
        <v>13.708587694367999</v>
      </c>
      <c r="M37" s="109">
        <v>11.193698175283</v>
      </c>
      <c r="N37" s="109">
        <v>0</v>
      </c>
    </row>
    <row r="38" spans="1:14" x14ac:dyDescent="0.2">
      <c r="A38" s="107">
        <v>248</v>
      </c>
      <c r="B38" s="108" t="s">
        <v>278</v>
      </c>
      <c r="C38" s="109"/>
      <c r="D38" s="109"/>
      <c r="E38" s="109"/>
      <c r="F38" s="110">
        <v>13810210</v>
      </c>
      <c r="G38" s="110">
        <v>0</v>
      </c>
      <c r="H38" s="111">
        <v>33807</v>
      </c>
      <c r="I38" s="110">
        <v>6.6666666666659999</v>
      </c>
      <c r="J38" s="110">
        <v>0</v>
      </c>
      <c r="K38" s="110">
        <v>0</v>
      </c>
      <c r="L38" s="109">
        <v>10.278004534326</v>
      </c>
      <c r="M38" s="109">
        <v>7.8923969295180001</v>
      </c>
      <c r="N38" s="109">
        <v>0</v>
      </c>
    </row>
    <row r="39" spans="1:14" x14ac:dyDescent="0.2">
      <c r="A39" s="107">
        <v>251</v>
      </c>
      <c r="B39" s="108" t="s">
        <v>279</v>
      </c>
      <c r="C39" s="109">
        <v>274918.15000000002</v>
      </c>
      <c r="D39" s="109">
        <v>50674.86</v>
      </c>
      <c r="E39" s="109">
        <v>224243.29</v>
      </c>
      <c r="F39" s="110">
        <v>1797841</v>
      </c>
      <c r="G39" s="110">
        <v>1029724</v>
      </c>
      <c r="H39" s="111">
        <v>0</v>
      </c>
      <c r="I39" s="110">
        <v>6.9166666666659999</v>
      </c>
      <c r="J39" s="110">
        <v>0</v>
      </c>
      <c r="K39" s="110">
        <v>0</v>
      </c>
      <c r="L39" s="109">
        <v>15.291571946573001</v>
      </c>
      <c r="M39" s="109">
        <v>12.472921131512001</v>
      </c>
      <c r="N39" s="109">
        <v>0</v>
      </c>
    </row>
    <row r="40" spans="1:14" x14ac:dyDescent="0.2">
      <c r="A40" s="107">
        <v>256</v>
      </c>
      <c r="B40" s="108" t="s">
        <v>280</v>
      </c>
      <c r="C40" s="109">
        <v>634651.21</v>
      </c>
      <c r="D40" s="109">
        <v>120210.36</v>
      </c>
      <c r="E40" s="109">
        <v>514440.85</v>
      </c>
      <c r="F40" s="110">
        <v>4979717</v>
      </c>
      <c r="G40" s="110">
        <v>2947568</v>
      </c>
      <c r="H40" s="111">
        <v>9061</v>
      </c>
      <c r="I40" s="110">
        <v>4</v>
      </c>
      <c r="J40" s="110">
        <v>0</v>
      </c>
      <c r="K40" s="110">
        <v>0</v>
      </c>
      <c r="L40" s="109">
        <v>12.7447244492</v>
      </c>
      <c r="M40" s="109">
        <v>10.330724617483</v>
      </c>
      <c r="N40" s="109">
        <v>0</v>
      </c>
    </row>
    <row r="41" spans="1:14" x14ac:dyDescent="0.2">
      <c r="A41" s="107">
        <v>257</v>
      </c>
      <c r="B41" s="108" t="s">
        <v>281</v>
      </c>
      <c r="C41" s="109">
        <v>376501.75</v>
      </c>
      <c r="D41" s="109">
        <v>60633.2</v>
      </c>
      <c r="E41" s="109">
        <v>315868.55</v>
      </c>
      <c r="F41" s="110">
        <v>2865510</v>
      </c>
      <c r="G41" s="110">
        <v>1744800</v>
      </c>
      <c r="H41" s="111">
        <v>7443</v>
      </c>
      <c r="I41" s="110">
        <v>1.9166666666659999</v>
      </c>
      <c r="J41" s="110">
        <v>0</v>
      </c>
      <c r="K41" s="110">
        <v>0</v>
      </c>
      <c r="L41" s="109">
        <v>13.139083444133</v>
      </c>
      <c r="M41" s="109">
        <v>11.023118048794</v>
      </c>
      <c r="N41" s="109">
        <v>0</v>
      </c>
    </row>
    <row r="42" spans="1:14" x14ac:dyDescent="0.2">
      <c r="A42" s="107">
        <v>260</v>
      </c>
      <c r="B42" s="108" t="s">
        <v>282</v>
      </c>
      <c r="C42" s="109">
        <v>14093620.09</v>
      </c>
      <c r="D42" s="109">
        <v>2044125.39</v>
      </c>
      <c r="E42" s="109">
        <v>12049494.699999999</v>
      </c>
      <c r="F42" s="110">
        <v>87787132</v>
      </c>
      <c r="G42" s="110">
        <v>0</v>
      </c>
      <c r="H42" s="111">
        <v>338407</v>
      </c>
      <c r="I42" s="110">
        <v>137.5</v>
      </c>
      <c r="J42" s="110">
        <v>0</v>
      </c>
      <c r="K42" s="110">
        <v>0</v>
      </c>
      <c r="L42" s="109">
        <v>16.054312026049001</v>
      </c>
      <c r="M42" s="109">
        <v>13.725809723456999</v>
      </c>
      <c r="N42" s="109">
        <v>0</v>
      </c>
    </row>
    <row r="43" spans="1:14" x14ac:dyDescent="0.2">
      <c r="A43" s="107">
        <v>264</v>
      </c>
      <c r="B43" s="108" t="s">
        <v>283</v>
      </c>
      <c r="C43" s="109">
        <v>250306.42</v>
      </c>
      <c r="D43" s="109">
        <v>39160.019999999997</v>
      </c>
      <c r="E43" s="109">
        <v>211146.4</v>
      </c>
      <c r="F43" s="110">
        <v>1772699</v>
      </c>
      <c r="G43" s="110">
        <v>0</v>
      </c>
      <c r="H43" s="111">
        <v>6687</v>
      </c>
      <c r="I43" s="110">
        <v>1</v>
      </c>
      <c r="J43" s="110">
        <v>0</v>
      </c>
      <c r="K43" s="110">
        <v>0</v>
      </c>
      <c r="L43" s="109">
        <v>14.120074530419</v>
      </c>
      <c r="M43" s="109">
        <v>11.911012529481001</v>
      </c>
      <c r="N43" s="109">
        <v>0</v>
      </c>
    </row>
    <row r="44" spans="1:14" x14ac:dyDescent="0.2">
      <c r="A44" s="107">
        <v>330</v>
      </c>
      <c r="B44" s="108" t="s">
        <v>284</v>
      </c>
      <c r="C44" s="109">
        <v>4120457.12</v>
      </c>
      <c r="D44" s="109">
        <v>669383.56000000006</v>
      </c>
      <c r="E44" s="109">
        <v>3451073.56</v>
      </c>
      <c r="F44" s="110">
        <v>28111741</v>
      </c>
      <c r="G44" s="110">
        <v>0</v>
      </c>
      <c r="H44" s="111">
        <v>98167</v>
      </c>
      <c r="I44" s="110">
        <v>5.083333333333</v>
      </c>
      <c r="J44" s="110">
        <v>0</v>
      </c>
      <c r="K44" s="110">
        <v>0</v>
      </c>
      <c r="L44" s="109">
        <v>14.657424170206999</v>
      </c>
      <c r="M44" s="109">
        <v>12.276271185054</v>
      </c>
      <c r="N44" s="109">
        <v>0</v>
      </c>
    </row>
    <row r="45" spans="1:14" x14ac:dyDescent="0.2">
      <c r="A45" s="107">
        <v>331</v>
      </c>
      <c r="B45" s="108" t="s">
        <v>285</v>
      </c>
      <c r="C45" s="109"/>
      <c r="D45" s="109"/>
      <c r="E45" s="109"/>
      <c r="F45" s="110">
        <v>136536000</v>
      </c>
      <c r="G45" s="110">
        <v>-10248000</v>
      </c>
      <c r="H45" s="111">
        <v>19200</v>
      </c>
      <c r="I45" s="110">
        <v>1</v>
      </c>
      <c r="J45" s="110">
        <v>0</v>
      </c>
      <c r="K45" s="110">
        <v>0</v>
      </c>
      <c r="L45" s="109">
        <v>4.9111596941459998</v>
      </c>
      <c r="M45" s="109">
        <v>4.9111596941459998</v>
      </c>
      <c r="N45" s="109">
        <v>0</v>
      </c>
    </row>
    <row r="46" spans="1:14" x14ac:dyDescent="0.2">
      <c r="A46" s="107">
        <v>332</v>
      </c>
      <c r="B46" s="108" t="s">
        <v>286</v>
      </c>
      <c r="C46" s="109"/>
      <c r="D46" s="109"/>
      <c r="E46" s="109"/>
      <c r="F46" s="110">
        <v>17117313</v>
      </c>
      <c r="G46" s="110">
        <v>0</v>
      </c>
      <c r="H46" s="111">
        <v>47418</v>
      </c>
      <c r="I46" s="110">
        <v>1</v>
      </c>
      <c r="J46" s="110">
        <v>0</v>
      </c>
      <c r="K46" s="110">
        <v>0</v>
      </c>
      <c r="L46" s="109">
        <v>9.9543210432610003</v>
      </c>
      <c r="M46" s="109">
        <v>7.5481918219289996</v>
      </c>
      <c r="N46" s="109">
        <v>0</v>
      </c>
    </row>
    <row r="47" spans="1:14" x14ac:dyDescent="0.2">
      <c r="A47" s="107">
        <v>333</v>
      </c>
      <c r="B47" s="108" t="s">
        <v>287</v>
      </c>
      <c r="C47" s="109">
        <v>4396340.0199999996</v>
      </c>
      <c r="D47" s="109">
        <v>1207766.94</v>
      </c>
      <c r="E47" s="109">
        <v>3188573.08</v>
      </c>
      <c r="F47" s="110">
        <v>50373415</v>
      </c>
      <c r="G47" s="110">
        <v>0</v>
      </c>
      <c r="H47" s="111">
        <v>127824</v>
      </c>
      <c r="I47" s="110">
        <v>1</v>
      </c>
      <c r="J47" s="110">
        <v>0</v>
      </c>
      <c r="K47" s="110">
        <v>0</v>
      </c>
      <c r="L47" s="109">
        <v>8.7275004484010008</v>
      </c>
      <c r="M47" s="109">
        <v>6.329872771182</v>
      </c>
      <c r="N47" s="109">
        <v>0</v>
      </c>
    </row>
    <row r="48" spans="1:14" x14ac:dyDescent="0.2">
      <c r="A48" s="107">
        <v>356</v>
      </c>
      <c r="B48" s="108" t="s">
        <v>288</v>
      </c>
      <c r="C48" s="109">
        <v>1789451</v>
      </c>
      <c r="D48" s="109">
        <v>361712.92</v>
      </c>
      <c r="E48" s="109">
        <v>1427738.08</v>
      </c>
      <c r="F48" s="110">
        <v>15295393</v>
      </c>
      <c r="G48" s="110">
        <v>0</v>
      </c>
      <c r="H48" s="111">
        <v>31286</v>
      </c>
      <c r="I48" s="110">
        <v>4</v>
      </c>
      <c r="J48" s="110">
        <v>0</v>
      </c>
      <c r="K48" s="110">
        <v>0</v>
      </c>
      <c r="L48" s="109">
        <v>11.699280953421001</v>
      </c>
      <c r="M48" s="109">
        <v>9.3344321391410006</v>
      </c>
      <c r="N48" s="109">
        <v>0</v>
      </c>
    </row>
    <row r="49" spans="1:14" x14ac:dyDescent="0.2">
      <c r="A49" s="107">
        <v>358</v>
      </c>
      <c r="B49" s="108" t="s">
        <v>289</v>
      </c>
      <c r="C49" s="109">
        <v>31710697.359999999</v>
      </c>
      <c r="D49" s="109">
        <v>6368116.7199999997</v>
      </c>
      <c r="E49" s="109">
        <v>25342580.640000001</v>
      </c>
      <c r="F49" s="110">
        <v>265726983</v>
      </c>
      <c r="G49" s="110">
        <v>-143500</v>
      </c>
      <c r="H49" s="111">
        <v>593017.59999999998</v>
      </c>
      <c r="I49" s="110">
        <v>33</v>
      </c>
      <c r="J49" s="110">
        <v>0</v>
      </c>
      <c r="K49" s="110">
        <v>0</v>
      </c>
      <c r="L49" s="109">
        <v>11.933563163963001</v>
      </c>
      <c r="M49" s="109">
        <v>9.5370746146609999</v>
      </c>
      <c r="N49" s="109">
        <v>0</v>
      </c>
    </row>
    <row r="50" spans="1:14" x14ac:dyDescent="0.2">
      <c r="A50" s="107">
        <v>359</v>
      </c>
      <c r="B50" s="108" t="s">
        <v>290</v>
      </c>
      <c r="C50" s="109"/>
      <c r="D50" s="109"/>
      <c r="E50" s="109"/>
      <c r="F50" s="110">
        <v>288092024</v>
      </c>
      <c r="G50" s="110">
        <v>-35829000</v>
      </c>
      <c r="H50" s="111">
        <v>647414</v>
      </c>
      <c r="I50" s="110">
        <v>16.25</v>
      </c>
      <c r="J50" s="110">
        <v>0</v>
      </c>
      <c r="K50" s="110">
        <v>0</v>
      </c>
      <c r="L50" s="109">
        <v>10.166003908527999</v>
      </c>
      <c r="M50" s="109">
        <v>7.520352941114</v>
      </c>
      <c r="N50" s="109">
        <v>0</v>
      </c>
    </row>
    <row r="51" spans="1:14" x14ac:dyDescent="0.2">
      <c r="A51" s="107">
        <v>360</v>
      </c>
      <c r="B51" s="108" t="s">
        <v>291</v>
      </c>
      <c r="C51" s="109"/>
      <c r="D51" s="109"/>
      <c r="E51" s="109"/>
      <c r="F51" s="110">
        <v>9216000</v>
      </c>
      <c r="G51" s="110">
        <v>0</v>
      </c>
      <c r="H51" s="111">
        <v>44175</v>
      </c>
      <c r="I51" s="110">
        <v>1</v>
      </c>
      <c r="J51" s="110">
        <v>0</v>
      </c>
      <c r="K51" s="110">
        <v>0</v>
      </c>
      <c r="L51" s="109">
        <v>13.029987304686999</v>
      </c>
      <c r="M51" s="109">
        <v>10.731491102430001</v>
      </c>
      <c r="N51" s="109">
        <v>0</v>
      </c>
    </row>
    <row r="52" spans="1:14" x14ac:dyDescent="0.2">
      <c r="A52" s="107">
        <v>370</v>
      </c>
      <c r="B52" s="108" t="s">
        <v>291</v>
      </c>
      <c r="C52" s="109">
        <v>1260060.19</v>
      </c>
      <c r="D52" s="109">
        <v>346458.69</v>
      </c>
      <c r="E52" s="109">
        <v>913601.5</v>
      </c>
      <c r="F52" s="110">
        <v>14839200</v>
      </c>
      <c r="G52" s="110">
        <v>0</v>
      </c>
      <c r="H52" s="111">
        <v>24292.799999999999</v>
      </c>
      <c r="I52" s="110">
        <v>1</v>
      </c>
      <c r="J52" s="110">
        <v>0</v>
      </c>
      <c r="K52" s="110">
        <v>0</v>
      </c>
      <c r="L52" s="109">
        <v>8.4914293897240007</v>
      </c>
      <c r="M52" s="109">
        <v>6.1566762359149996</v>
      </c>
      <c r="N52" s="109">
        <v>0</v>
      </c>
    </row>
    <row r="53" spans="1:14" x14ac:dyDescent="0.2">
      <c r="A53" s="107">
        <v>371</v>
      </c>
      <c r="B53" s="108" t="s">
        <v>291</v>
      </c>
      <c r="C53" s="109">
        <v>95098427.269999996</v>
      </c>
      <c r="D53" s="109">
        <v>29582863.93</v>
      </c>
      <c r="E53" s="109">
        <v>65515563.340000004</v>
      </c>
      <c r="F53" s="110">
        <v>1231430601</v>
      </c>
      <c r="G53" s="110">
        <v>0</v>
      </c>
      <c r="H53" s="111">
        <v>1824722</v>
      </c>
      <c r="I53" s="110">
        <v>3.75</v>
      </c>
      <c r="J53" s="110">
        <v>0</v>
      </c>
      <c r="K53" s="110">
        <v>0</v>
      </c>
      <c r="L53" s="109">
        <v>7.7225973751800003</v>
      </c>
      <c r="M53" s="109">
        <v>5.320280597769</v>
      </c>
      <c r="N53" s="109">
        <v>0</v>
      </c>
    </row>
    <row r="54" spans="1:14" x14ac:dyDescent="0.2">
      <c r="A54" s="107">
        <v>372</v>
      </c>
      <c r="B54" s="108" t="s">
        <v>291</v>
      </c>
      <c r="C54" s="109"/>
      <c r="D54" s="109"/>
      <c r="E54" s="109"/>
      <c r="F54" s="110">
        <v>218524207</v>
      </c>
      <c r="G54" s="110">
        <v>0</v>
      </c>
      <c r="H54" s="111">
        <v>341614</v>
      </c>
      <c r="I54" s="110">
        <v>1</v>
      </c>
      <c r="J54" s="110">
        <v>0</v>
      </c>
      <c r="K54" s="110">
        <v>0</v>
      </c>
      <c r="L54" s="109">
        <v>8.0233693148690008</v>
      </c>
      <c r="M54" s="109">
        <v>5.612478607461</v>
      </c>
      <c r="N54" s="109">
        <v>0</v>
      </c>
    </row>
    <row r="55" spans="1:14" ht="13.5" thickBot="1" x14ac:dyDescent="0.25">
      <c r="A55" s="107">
        <v>540</v>
      </c>
      <c r="B55" s="108" t="s">
        <v>292</v>
      </c>
      <c r="C55" s="109">
        <v>257293.55</v>
      </c>
      <c r="D55" s="109">
        <v>43144.65</v>
      </c>
      <c r="E55" s="109">
        <v>214148.9</v>
      </c>
      <c r="F55" s="110">
        <v>1813803</v>
      </c>
      <c r="G55" s="110">
        <v>0</v>
      </c>
      <c r="H55" s="111">
        <v>2834.4</v>
      </c>
      <c r="I55" s="110">
        <v>8.833333333333</v>
      </c>
      <c r="J55" s="110">
        <v>0</v>
      </c>
      <c r="K55" s="110">
        <v>0</v>
      </c>
      <c r="L55" s="109">
        <v>14.185308437574999</v>
      </c>
      <c r="M55" s="109">
        <v>11.806623982869</v>
      </c>
      <c r="N55" s="109">
        <v>0</v>
      </c>
    </row>
    <row r="56" spans="1:14" ht="13.5" thickBot="1" x14ac:dyDescent="0.25">
      <c r="A56" s="314" t="s">
        <v>293</v>
      </c>
      <c r="B56" s="315"/>
      <c r="C56" s="112">
        <f>SUM(C8:C55)</f>
        <v>632607639.74999988</v>
      </c>
      <c r="D56" s="112">
        <f t="shared" ref="D56:N56" si="0">SUM(D8:D55)</f>
        <v>109922816.12</v>
      </c>
      <c r="E56" s="112">
        <f t="shared" si="0"/>
        <v>522684823.63</v>
      </c>
      <c r="F56" s="112">
        <f t="shared" si="0"/>
        <v>5343787280</v>
      </c>
      <c r="G56" s="112">
        <f t="shared" si="0"/>
        <v>-25020938</v>
      </c>
      <c r="H56" s="112">
        <f t="shared" si="0"/>
        <v>7457573.5</v>
      </c>
      <c r="I56" s="112">
        <f t="shared" si="0"/>
        <v>164129.75</v>
      </c>
      <c r="J56" s="112">
        <f t="shared" si="0"/>
        <v>0</v>
      </c>
      <c r="K56" s="112">
        <f t="shared" si="0"/>
        <v>0</v>
      </c>
      <c r="L56" s="112">
        <f t="shared" si="0"/>
        <v>704.19253738107989</v>
      </c>
      <c r="M56" s="112">
        <f t="shared" si="0"/>
        <v>593.4708754874199</v>
      </c>
      <c r="N56" s="112">
        <f t="shared" si="0"/>
        <v>0</v>
      </c>
    </row>
    <row r="57" spans="1:14" x14ac:dyDescent="0.2">
      <c r="A57" s="309"/>
      <c r="B57" s="309"/>
      <c r="C57" s="309"/>
      <c r="D57" s="309"/>
      <c r="E57" s="309"/>
      <c r="F57" s="316" t="s">
        <v>294</v>
      </c>
      <c r="G57" s="309"/>
      <c r="H57" s="309"/>
      <c r="I57" s="309"/>
      <c r="J57" s="309"/>
      <c r="K57" s="317" t="s">
        <v>295</v>
      </c>
      <c r="L57" s="309"/>
      <c r="M57" s="309"/>
      <c r="N57" s="309"/>
    </row>
  </sheetData>
  <mergeCells count="13">
    <mergeCell ref="K3:L3"/>
    <mergeCell ref="L5:N5"/>
    <mergeCell ref="L6:M6"/>
    <mergeCell ref="A56:B56"/>
    <mergeCell ref="A57:E57"/>
    <mergeCell ref="F57:J57"/>
    <mergeCell ref="K57:N57"/>
    <mergeCell ref="A1:D4"/>
    <mergeCell ref="H1:J1"/>
    <mergeCell ref="E2:G2"/>
    <mergeCell ref="H2:J2"/>
    <mergeCell ref="E3:G3"/>
    <mergeCell ref="H3:J3"/>
  </mergeCells>
  <hyperlinks>
    <hyperlink ref="K3" location="TOC" display="Drill-Through Definition1" xr:uid="{6E2F1D3D-DCEA-4083-91B7-FB5E182A4C89}"/>
  </hyperlinks>
  <pageMargins left="1" right="0.25" top="1" bottom="0.5" header="0.5" footer="0.5"/>
  <pageSetup scale="7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828F-1C44-4D21-A95E-D7BE72C7440C}">
  <sheetPr>
    <pageSetUpPr autoPageBreaks="0" fitToPage="1"/>
  </sheetPr>
  <dimension ref="A2:P463"/>
  <sheetViews>
    <sheetView showOutlineSymbols="0" zoomScale="70" zoomScaleNormal="70" workbookViewId="0">
      <selection activeCell="P14" sqref="P14"/>
    </sheetView>
  </sheetViews>
  <sheetFormatPr defaultColWidth="12.42578125" defaultRowHeight="15" x14ac:dyDescent="0.2"/>
  <cols>
    <col min="1" max="1" width="9.85546875" style="151" customWidth="1"/>
    <col min="2" max="2" width="42.28515625" style="151" customWidth="1"/>
    <col min="3" max="3" width="9.28515625" style="151" customWidth="1"/>
    <col min="4" max="4" width="7.28515625" style="151" customWidth="1"/>
    <col min="5" max="5" width="9.7109375" style="151" customWidth="1"/>
    <col min="6" max="6" width="10.140625" style="151" customWidth="1"/>
    <col min="7" max="7" width="10.42578125" style="151" customWidth="1"/>
    <col min="8" max="8" width="6.85546875" style="151" hidden="1" customWidth="1"/>
    <col min="9" max="9" width="8.85546875" style="151" hidden="1" customWidth="1"/>
    <col min="10" max="10" width="8.42578125" style="151" hidden="1" customWidth="1"/>
    <col min="11" max="11" width="10.140625" style="151" hidden="1" customWidth="1"/>
    <col min="12" max="12" width="10.42578125" style="151" hidden="1" customWidth="1"/>
    <col min="13" max="13" width="11.5703125" style="151" hidden="1" customWidth="1"/>
    <col min="14" max="14" width="17.5703125" style="151" hidden="1" customWidth="1"/>
    <col min="15" max="15" width="16.28515625" style="151" customWidth="1"/>
    <col min="16" max="16" width="17.5703125" style="151" customWidth="1"/>
    <col min="17" max="16384" width="12.42578125" style="151"/>
  </cols>
  <sheetData>
    <row r="2" spans="1:16" ht="18.75" x14ac:dyDescent="0.3">
      <c r="A2" s="321" t="s">
        <v>26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6" ht="18.75" x14ac:dyDescent="0.3">
      <c r="A3" s="321" t="s">
        <v>314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6" ht="18.75" x14ac:dyDescent="0.3">
      <c r="A4" s="321" t="s">
        <v>315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6" ht="18.75" x14ac:dyDescent="0.3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6" ht="15.75" x14ac:dyDescent="0.25">
      <c r="A6" s="322" t="s">
        <v>316</v>
      </c>
      <c r="B6" s="322"/>
      <c r="C6" s="153" t="s">
        <v>317</v>
      </c>
      <c r="D6" s="153" t="s">
        <v>318</v>
      </c>
      <c r="E6" s="153" t="s">
        <v>319</v>
      </c>
      <c r="F6" s="153" t="s">
        <v>320</v>
      </c>
      <c r="G6" s="153" t="s">
        <v>321</v>
      </c>
      <c r="H6" s="153"/>
      <c r="I6" s="153" t="s">
        <v>322</v>
      </c>
      <c r="J6" s="153" t="s">
        <v>323</v>
      </c>
      <c r="K6" s="153" t="s">
        <v>324</v>
      </c>
      <c r="L6" s="153" t="s">
        <v>325</v>
      </c>
      <c r="M6" s="153" t="s">
        <v>326</v>
      </c>
    </row>
    <row r="7" spans="1:16" x14ac:dyDescent="0.2"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</row>
    <row r="8" spans="1:16" ht="18.75" x14ac:dyDescent="0.3">
      <c r="A8" s="152"/>
      <c r="B8" s="152"/>
      <c r="C8" s="323" t="s">
        <v>327</v>
      </c>
      <c r="D8" s="323"/>
      <c r="E8" s="323"/>
      <c r="F8" s="323"/>
      <c r="G8" s="323"/>
      <c r="H8" s="152" t="s">
        <v>166</v>
      </c>
      <c r="I8" s="323" t="s">
        <v>328</v>
      </c>
      <c r="J8" s="323"/>
      <c r="K8" s="323"/>
      <c r="L8" s="323"/>
      <c r="M8" s="323"/>
    </row>
    <row r="9" spans="1:16" ht="18.75" x14ac:dyDescent="0.3">
      <c r="A9" s="152"/>
      <c r="B9" s="152"/>
      <c r="C9" s="154" t="s">
        <v>36</v>
      </c>
      <c r="D9" s="154"/>
      <c r="E9" s="154"/>
      <c r="F9" s="154" t="s">
        <v>329</v>
      </c>
      <c r="G9" s="154" t="s">
        <v>330</v>
      </c>
      <c r="H9" s="152"/>
      <c r="I9" s="154" t="s">
        <v>36</v>
      </c>
      <c r="J9" s="154"/>
      <c r="K9" s="154"/>
      <c r="L9" s="154" t="s">
        <v>329</v>
      </c>
      <c r="M9" s="154" t="s">
        <v>330</v>
      </c>
    </row>
    <row r="10" spans="1:16" ht="18.75" x14ac:dyDescent="0.3">
      <c r="A10" s="152"/>
      <c r="B10" s="152"/>
      <c r="C10" s="154" t="s">
        <v>331</v>
      </c>
      <c r="D10" s="154" t="s">
        <v>332</v>
      </c>
      <c r="E10" s="154" t="s">
        <v>333</v>
      </c>
      <c r="F10" s="154" t="s">
        <v>334</v>
      </c>
      <c r="G10" s="154" t="s">
        <v>333</v>
      </c>
      <c r="H10" s="152"/>
      <c r="I10" s="154" t="s">
        <v>331</v>
      </c>
      <c r="J10" s="154" t="s">
        <v>332</v>
      </c>
      <c r="K10" s="154" t="s">
        <v>333</v>
      </c>
      <c r="L10" s="154" t="s">
        <v>334</v>
      </c>
      <c r="M10" s="154" t="s">
        <v>333</v>
      </c>
    </row>
    <row r="11" spans="1:16" ht="18.75" x14ac:dyDescent="0.3">
      <c r="B11" s="152"/>
      <c r="C11" s="155" t="s">
        <v>335</v>
      </c>
      <c r="D11" s="155" t="s">
        <v>336</v>
      </c>
      <c r="E11" s="155" t="s">
        <v>337</v>
      </c>
      <c r="F11" s="155" t="s">
        <v>337</v>
      </c>
      <c r="G11" s="155" t="s">
        <v>337</v>
      </c>
      <c r="H11" s="156"/>
      <c r="I11" s="155" t="s">
        <v>335</v>
      </c>
      <c r="J11" s="155" t="s">
        <v>336</v>
      </c>
      <c r="K11" s="155" t="s">
        <v>337</v>
      </c>
      <c r="L11" s="155" t="s">
        <v>337</v>
      </c>
      <c r="M11" s="155" t="s">
        <v>337</v>
      </c>
    </row>
    <row r="12" spans="1:16" ht="18.75" x14ac:dyDescent="0.3">
      <c r="B12" s="152"/>
      <c r="C12" s="152" t="s">
        <v>338</v>
      </c>
      <c r="E12" s="154" t="s">
        <v>166</v>
      </c>
      <c r="F12" s="154" t="s">
        <v>166</v>
      </c>
      <c r="G12" s="154" t="s">
        <v>166</v>
      </c>
      <c r="H12" s="152"/>
      <c r="I12" s="152" t="s">
        <v>338</v>
      </c>
      <c r="J12" s="152"/>
      <c r="K12" s="154" t="s">
        <v>166</v>
      </c>
      <c r="L12" s="154" t="s">
        <v>166</v>
      </c>
      <c r="M12" s="154" t="s">
        <v>166</v>
      </c>
    </row>
    <row r="13" spans="1:16" ht="18.75" x14ac:dyDescent="0.3">
      <c r="A13" s="157" t="s">
        <v>339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16" ht="18.75" x14ac:dyDescent="0.3">
      <c r="A14" s="154">
        <v>350.1</v>
      </c>
      <c r="B14" s="152" t="s">
        <v>340</v>
      </c>
      <c r="C14" s="158">
        <v>75</v>
      </c>
      <c r="D14" s="154" t="s">
        <v>341</v>
      </c>
      <c r="E14" s="159">
        <v>0</v>
      </c>
      <c r="F14" s="159">
        <v>0</v>
      </c>
      <c r="G14" s="159">
        <f>E14-F14</f>
        <v>0</v>
      </c>
      <c r="H14" s="160"/>
      <c r="I14" s="158">
        <v>75</v>
      </c>
      <c r="J14" s="154" t="s">
        <v>341</v>
      </c>
      <c r="K14" s="159">
        <v>0</v>
      </c>
      <c r="L14" s="159">
        <v>0</v>
      </c>
      <c r="M14" s="159">
        <f>K14-L14</f>
        <v>0</v>
      </c>
      <c r="N14" s="151" t="s">
        <v>342</v>
      </c>
    </row>
    <row r="15" spans="1:16" ht="18.75" x14ac:dyDescent="0.3">
      <c r="A15" s="154" t="s">
        <v>343</v>
      </c>
      <c r="B15" s="152" t="s">
        <v>344</v>
      </c>
      <c r="C15" s="158">
        <v>60</v>
      </c>
      <c r="D15" s="161" t="s">
        <v>345</v>
      </c>
      <c r="E15" s="159">
        <v>0</v>
      </c>
      <c r="F15" s="159">
        <v>0.1</v>
      </c>
      <c r="G15" s="159">
        <f t="shared" ref="G15:G21" si="0">E15-F15</f>
        <v>-0.1</v>
      </c>
      <c r="H15" s="160"/>
      <c r="I15" s="158">
        <v>63</v>
      </c>
      <c r="J15" s="154" t="s">
        <v>346</v>
      </c>
      <c r="K15" s="159">
        <v>0</v>
      </c>
      <c r="L15" s="159">
        <v>0.09</v>
      </c>
      <c r="M15" s="159">
        <f t="shared" ref="M15:M21" si="1">K15-L15</f>
        <v>-0.09</v>
      </c>
      <c r="N15" s="151" t="s">
        <v>347</v>
      </c>
      <c r="O15" s="162"/>
      <c r="P15" s="163"/>
    </row>
    <row r="16" spans="1:16" ht="18.75" x14ac:dyDescent="0.3">
      <c r="A16" s="154" t="s">
        <v>348</v>
      </c>
      <c r="B16" s="152" t="s">
        <v>349</v>
      </c>
      <c r="C16" s="158">
        <v>50</v>
      </c>
      <c r="D16" s="161" t="s">
        <v>350</v>
      </c>
      <c r="E16" s="159">
        <v>0.08</v>
      </c>
      <c r="F16" s="159">
        <v>0.11</v>
      </c>
      <c r="G16" s="159">
        <f t="shared" si="0"/>
        <v>-0.03</v>
      </c>
      <c r="H16" s="160"/>
      <c r="I16" s="158">
        <v>55</v>
      </c>
      <c r="J16" s="154" t="s">
        <v>350</v>
      </c>
      <c r="K16" s="159">
        <v>0.09</v>
      </c>
      <c r="L16" s="159">
        <v>0.22</v>
      </c>
      <c r="M16" s="159">
        <f t="shared" si="1"/>
        <v>-0.13</v>
      </c>
      <c r="N16" s="151" t="s">
        <v>347</v>
      </c>
      <c r="O16" s="162"/>
      <c r="P16" s="163"/>
    </row>
    <row r="17" spans="1:16" ht="18.75" x14ac:dyDescent="0.3">
      <c r="A17" s="154" t="s">
        <v>351</v>
      </c>
      <c r="B17" s="152" t="s">
        <v>352</v>
      </c>
      <c r="C17" s="158">
        <v>51</v>
      </c>
      <c r="D17" s="161" t="s">
        <v>353</v>
      </c>
      <c r="E17" s="159">
        <v>0.03</v>
      </c>
      <c r="F17" s="159">
        <v>0.13</v>
      </c>
      <c r="G17" s="159">
        <f t="shared" si="0"/>
        <v>-0.1</v>
      </c>
      <c r="H17" s="160"/>
      <c r="I17" s="158">
        <v>56</v>
      </c>
      <c r="J17" s="154" t="s">
        <v>353</v>
      </c>
      <c r="K17" s="159">
        <v>0.02</v>
      </c>
      <c r="L17" s="159">
        <v>0.21</v>
      </c>
      <c r="M17" s="159">
        <f t="shared" si="1"/>
        <v>-0.19</v>
      </c>
      <c r="N17" s="151" t="s">
        <v>354</v>
      </c>
      <c r="O17" s="162"/>
      <c r="P17" s="163"/>
    </row>
    <row r="18" spans="1:16" ht="18.75" x14ac:dyDescent="0.3">
      <c r="A18" s="154" t="s">
        <v>355</v>
      </c>
      <c r="B18" s="152" t="s">
        <v>356</v>
      </c>
      <c r="C18" s="158">
        <v>43</v>
      </c>
      <c r="D18" s="161" t="s">
        <v>357</v>
      </c>
      <c r="E18" s="159">
        <v>0.02</v>
      </c>
      <c r="F18" s="159">
        <v>0.63</v>
      </c>
      <c r="G18" s="159">
        <f t="shared" si="0"/>
        <v>-0.61</v>
      </c>
      <c r="H18" s="160"/>
      <c r="I18" s="158">
        <v>45</v>
      </c>
      <c r="J18" s="154" t="s">
        <v>341</v>
      </c>
      <c r="K18" s="159">
        <v>0</v>
      </c>
      <c r="L18" s="159">
        <v>0.51</v>
      </c>
      <c r="M18" s="159">
        <f t="shared" si="1"/>
        <v>-0.51</v>
      </c>
      <c r="N18" s="151" t="s">
        <v>347</v>
      </c>
      <c r="O18" s="162"/>
      <c r="P18" s="163"/>
    </row>
    <row r="19" spans="1:16" ht="18.75" x14ac:dyDescent="0.3">
      <c r="A19" s="154" t="s">
        <v>358</v>
      </c>
      <c r="B19" s="152" t="s">
        <v>359</v>
      </c>
      <c r="C19" s="158">
        <v>50</v>
      </c>
      <c r="D19" s="161" t="s">
        <v>353</v>
      </c>
      <c r="E19" s="159">
        <v>0.06</v>
      </c>
      <c r="F19" s="159">
        <v>0.33</v>
      </c>
      <c r="G19" s="159">
        <f t="shared" si="0"/>
        <v>-0.27</v>
      </c>
      <c r="H19" s="160"/>
      <c r="I19" s="158">
        <v>55</v>
      </c>
      <c r="J19" s="161" t="s">
        <v>353</v>
      </c>
      <c r="K19" s="159">
        <v>0.03</v>
      </c>
      <c r="L19" s="159">
        <v>0.32</v>
      </c>
      <c r="M19" s="159">
        <f t="shared" si="1"/>
        <v>-0.29000000000000004</v>
      </c>
      <c r="N19" s="151" t="s">
        <v>354</v>
      </c>
      <c r="O19" s="162"/>
      <c r="P19" s="163"/>
    </row>
    <row r="20" spans="1:16" ht="18.75" x14ac:dyDescent="0.3">
      <c r="A20" s="164">
        <v>357</v>
      </c>
      <c r="B20" s="152" t="s">
        <v>360</v>
      </c>
      <c r="C20" s="158">
        <v>37</v>
      </c>
      <c r="D20" s="161" t="s">
        <v>361</v>
      </c>
      <c r="E20" s="159">
        <v>0</v>
      </c>
      <c r="F20" s="159">
        <v>0</v>
      </c>
      <c r="G20" s="159">
        <f t="shared" si="0"/>
        <v>0</v>
      </c>
      <c r="H20" s="160"/>
      <c r="I20" s="158">
        <v>37</v>
      </c>
      <c r="J20" s="161" t="s">
        <v>361</v>
      </c>
      <c r="K20" s="159">
        <v>0</v>
      </c>
      <c r="L20" s="159">
        <v>0</v>
      </c>
      <c r="M20" s="159">
        <f t="shared" si="1"/>
        <v>0</v>
      </c>
      <c r="N20" s="151" t="s">
        <v>342</v>
      </c>
      <c r="O20" s="162"/>
      <c r="P20" s="163"/>
    </row>
    <row r="21" spans="1:16" ht="18.75" x14ac:dyDescent="0.3">
      <c r="A21" s="164">
        <v>358</v>
      </c>
      <c r="B21" s="152" t="s">
        <v>362</v>
      </c>
      <c r="C21" s="158">
        <v>44</v>
      </c>
      <c r="D21" s="161" t="s">
        <v>363</v>
      </c>
      <c r="E21" s="159">
        <v>0</v>
      </c>
      <c r="F21" s="159">
        <v>0</v>
      </c>
      <c r="G21" s="159">
        <f t="shared" si="0"/>
        <v>0</v>
      </c>
      <c r="H21" s="160"/>
      <c r="I21" s="158">
        <v>44</v>
      </c>
      <c r="J21" s="161" t="s">
        <v>363</v>
      </c>
      <c r="K21" s="159">
        <v>0</v>
      </c>
      <c r="L21" s="159">
        <v>0</v>
      </c>
      <c r="M21" s="159">
        <f t="shared" si="1"/>
        <v>0</v>
      </c>
      <c r="N21" s="151" t="s">
        <v>342</v>
      </c>
      <c r="O21" s="162"/>
      <c r="P21" s="163"/>
    </row>
    <row r="22" spans="1:16" ht="18.75" x14ac:dyDescent="0.3">
      <c r="C22" s="165"/>
      <c r="D22" s="166"/>
      <c r="E22" s="167"/>
      <c r="F22" s="167"/>
      <c r="G22" s="159"/>
      <c r="I22" s="165"/>
      <c r="J22" s="166"/>
      <c r="K22" s="167"/>
      <c r="L22" s="167"/>
      <c r="M22" s="159"/>
    </row>
    <row r="23" spans="1:16" s="172" customFormat="1" ht="18.75" x14ac:dyDescent="0.3">
      <c r="A23" s="157" t="s">
        <v>364</v>
      </c>
      <c r="B23" s="168"/>
      <c r="C23" s="169"/>
      <c r="D23" s="170"/>
      <c r="E23" s="171"/>
      <c r="F23" s="171"/>
      <c r="G23" s="171"/>
      <c r="H23" s="170"/>
      <c r="I23" s="169"/>
      <c r="J23" s="170"/>
      <c r="K23" s="171"/>
      <c r="L23" s="171"/>
      <c r="M23" s="171"/>
    </row>
    <row r="24" spans="1:16" ht="18.75" x14ac:dyDescent="0.3">
      <c r="A24" s="154">
        <v>360.1</v>
      </c>
      <c r="B24" s="152" t="s">
        <v>340</v>
      </c>
      <c r="C24" s="158">
        <v>75</v>
      </c>
      <c r="D24" s="154" t="s">
        <v>341</v>
      </c>
      <c r="E24" s="158" t="s">
        <v>342</v>
      </c>
      <c r="F24" s="158" t="s">
        <v>342</v>
      </c>
      <c r="G24" s="159">
        <v>0</v>
      </c>
      <c r="H24" s="160" t="s">
        <v>166</v>
      </c>
      <c r="I24" s="158">
        <v>75</v>
      </c>
      <c r="J24" s="154" t="s">
        <v>341</v>
      </c>
      <c r="K24" s="159">
        <v>0</v>
      </c>
      <c r="L24" s="159">
        <v>0</v>
      </c>
      <c r="M24" s="159">
        <f t="shared" ref="M24:M35" si="2">K24-L24</f>
        <v>0</v>
      </c>
      <c r="N24" s="173" t="s">
        <v>342</v>
      </c>
      <c r="O24" s="162"/>
      <c r="P24" s="163"/>
    </row>
    <row r="25" spans="1:16" ht="18.75" x14ac:dyDescent="0.3">
      <c r="A25" s="154" t="s">
        <v>365</v>
      </c>
      <c r="B25" s="152" t="s">
        <v>344</v>
      </c>
      <c r="C25" s="158">
        <v>65</v>
      </c>
      <c r="D25" s="161" t="s">
        <v>350</v>
      </c>
      <c r="E25" s="158" t="s">
        <v>342</v>
      </c>
      <c r="F25" s="158" t="s">
        <v>342</v>
      </c>
      <c r="G25" s="159">
        <v>0</v>
      </c>
      <c r="H25" s="160"/>
      <c r="I25" s="158">
        <v>67</v>
      </c>
      <c r="J25" s="154" t="s">
        <v>366</v>
      </c>
      <c r="K25" s="159">
        <v>0.03</v>
      </c>
      <c r="L25" s="159">
        <v>0.08</v>
      </c>
      <c r="M25" s="159">
        <f t="shared" si="2"/>
        <v>-0.05</v>
      </c>
      <c r="N25" s="173" t="s">
        <v>347</v>
      </c>
      <c r="O25" s="162"/>
      <c r="P25" s="163"/>
    </row>
    <row r="26" spans="1:16" ht="18.75" x14ac:dyDescent="0.3">
      <c r="A26" s="154" t="s">
        <v>367</v>
      </c>
      <c r="B26" s="152" t="s">
        <v>349</v>
      </c>
      <c r="C26" s="158">
        <v>25</v>
      </c>
      <c r="D26" s="161" t="s">
        <v>368</v>
      </c>
      <c r="E26" s="158" t="s">
        <v>342</v>
      </c>
      <c r="F26" s="158" t="s">
        <v>342</v>
      </c>
      <c r="G26" s="159">
        <v>0.25</v>
      </c>
      <c r="H26" s="160"/>
      <c r="I26" s="158">
        <v>37</v>
      </c>
      <c r="J26" s="154" t="s">
        <v>369</v>
      </c>
      <c r="K26" s="159">
        <v>0.08</v>
      </c>
      <c r="L26" s="159">
        <v>0.18</v>
      </c>
      <c r="M26" s="159">
        <f t="shared" si="2"/>
        <v>-9.9999999999999992E-2</v>
      </c>
      <c r="N26" s="173" t="s">
        <v>347</v>
      </c>
      <c r="O26" s="162"/>
      <c r="P26" s="163"/>
    </row>
    <row r="27" spans="1:16" ht="18.75" x14ac:dyDescent="0.3">
      <c r="A27" s="154" t="s">
        <v>370</v>
      </c>
      <c r="B27" s="152" t="s">
        <v>371</v>
      </c>
      <c r="C27" s="158">
        <v>28</v>
      </c>
      <c r="D27" s="161" t="s">
        <v>368</v>
      </c>
      <c r="E27" s="158" t="s">
        <v>342</v>
      </c>
      <c r="F27" s="158" t="s">
        <v>342</v>
      </c>
      <c r="G27" s="159">
        <v>0.25</v>
      </c>
      <c r="H27" s="160"/>
      <c r="I27" s="158">
        <v>35</v>
      </c>
      <c r="J27" s="154" t="s">
        <v>369</v>
      </c>
      <c r="K27" s="159">
        <v>0.14000000000000001</v>
      </c>
      <c r="L27" s="159">
        <v>0.56999999999999995</v>
      </c>
      <c r="M27" s="159">
        <f t="shared" si="2"/>
        <v>-0.42999999999999994</v>
      </c>
      <c r="N27" s="173" t="s">
        <v>354</v>
      </c>
      <c r="O27" s="162"/>
      <c r="P27" s="163"/>
    </row>
    <row r="28" spans="1:16" ht="18.75" x14ac:dyDescent="0.3">
      <c r="A28" s="154" t="s">
        <v>372</v>
      </c>
      <c r="B28" s="152" t="s">
        <v>359</v>
      </c>
      <c r="C28" s="158">
        <v>26</v>
      </c>
      <c r="D28" s="161" t="s">
        <v>373</v>
      </c>
      <c r="E28" s="158" t="s">
        <v>342</v>
      </c>
      <c r="F28" s="158" t="s">
        <v>342</v>
      </c>
      <c r="G28" s="159">
        <v>0.25</v>
      </c>
      <c r="H28" s="160"/>
      <c r="I28" s="158">
        <v>30</v>
      </c>
      <c r="J28" s="154" t="s">
        <v>368</v>
      </c>
      <c r="K28" s="159">
        <v>0.25</v>
      </c>
      <c r="L28" s="159">
        <v>0.32</v>
      </c>
      <c r="M28" s="159">
        <f t="shared" si="2"/>
        <v>-7.0000000000000007E-2</v>
      </c>
      <c r="N28" s="173" t="s">
        <v>354</v>
      </c>
      <c r="O28" s="162"/>
      <c r="P28" s="163"/>
    </row>
    <row r="29" spans="1:16" ht="18.75" x14ac:dyDescent="0.3">
      <c r="A29" s="154" t="s">
        <v>374</v>
      </c>
      <c r="B29" s="152" t="s">
        <v>360</v>
      </c>
      <c r="C29" s="158">
        <v>37</v>
      </c>
      <c r="D29" s="161" t="s">
        <v>361</v>
      </c>
      <c r="E29" s="158" t="s">
        <v>342</v>
      </c>
      <c r="F29" s="158" t="s">
        <v>342</v>
      </c>
      <c r="G29" s="159">
        <v>0</v>
      </c>
      <c r="H29" s="160"/>
      <c r="I29" s="158">
        <v>45</v>
      </c>
      <c r="J29" s="154" t="s">
        <v>341</v>
      </c>
      <c r="K29" s="159">
        <v>0</v>
      </c>
      <c r="L29" s="159">
        <v>0</v>
      </c>
      <c r="M29" s="159">
        <f t="shared" si="2"/>
        <v>0</v>
      </c>
      <c r="N29" s="173" t="s">
        <v>354</v>
      </c>
      <c r="O29" s="162"/>
      <c r="P29" s="163"/>
    </row>
    <row r="30" spans="1:16" ht="18.75" x14ac:dyDescent="0.3">
      <c r="A30" s="154" t="s">
        <v>375</v>
      </c>
      <c r="B30" s="152" t="s">
        <v>376</v>
      </c>
      <c r="C30" s="158">
        <v>44</v>
      </c>
      <c r="D30" s="161" t="s">
        <v>363</v>
      </c>
      <c r="E30" s="158" t="s">
        <v>342</v>
      </c>
      <c r="F30" s="158" t="s">
        <v>342</v>
      </c>
      <c r="G30" s="159">
        <v>0</v>
      </c>
      <c r="H30" s="160"/>
      <c r="I30" s="158">
        <v>46</v>
      </c>
      <c r="J30" s="154" t="s">
        <v>369</v>
      </c>
      <c r="K30" s="159">
        <v>0</v>
      </c>
      <c r="L30" s="159">
        <v>0</v>
      </c>
      <c r="M30" s="159">
        <f t="shared" si="2"/>
        <v>0</v>
      </c>
      <c r="N30" s="173" t="s">
        <v>354</v>
      </c>
      <c r="O30" s="162"/>
      <c r="P30" s="163"/>
    </row>
    <row r="31" spans="1:16" ht="18.75" x14ac:dyDescent="0.3">
      <c r="A31" s="154" t="s">
        <v>377</v>
      </c>
      <c r="B31" s="152" t="s">
        <v>378</v>
      </c>
      <c r="C31" s="158">
        <v>25</v>
      </c>
      <c r="D31" s="161" t="s">
        <v>373</v>
      </c>
      <c r="E31" s="158" t="s">
        <v>342</v>
      </c>
      <c r="F31" s="158" t="s">
        <v>342</v>
      </c>
      <c r="G31" s="159">
        <v>0.15</v>
      </c>
      <c r="H31" s="160"/>
      <c r="I31" s="158">
        <v>30</v>
      </c>
      <c r="J31" s="154" t="s">
        <v>368</v>
      </c>
      <c r="K31" s="159">
        <v>0.21</v>
      </c>
      <c r="L31" s="159">
        <v>0.31</v>
      </c>
      <c r="M31" s="159">
        <f t="shared" si="2"/>
        <v>-0.1</v>
      </c>
      <c r="N31" s="173" t="s">
        <v>354</v>
      </c>
      <c r="O31" s="162"/>
      <c r="P31" s="163"/>
    </row>
    <row r="32" spans="1:16" ht="18.75" x14ac:dyDescent="0.3">
      <c r="A32" s="154" t="s">
        <v>379</v>
      </c>
      <c r="B32" s="152" t="s">
        <v>380</v>
      </c>
      <c r="C32" s="158">
        <v>18</v>
      </c>
      <c r="D32" s="161" t="s">
        <v>361</v>
      </c>
      <c r="E32" s="158" t="s">
        <v>342</v>
      </c>
      <c r="F32" s="158" t="s">
        <v>342</v>
      </c>
      <c r="G32" s="159">
        <v>0</v>
      </c>
      <c r="H32" s="160"/>
      <c r="I32" s="158">
        <v>26</v>
      </c>
      <c r="J32" s="154" t="s">
        <v>368</v>
      </c>
      <c r="K32" s="159">
        <v>0.15</v>
      </c>
      <c r="L32" s="159">
        <v>0.44</v>
      </c>
      <c r="M32" s="159">
        <f t="shared" si="2"/>
        <v>-0.29000000000000004</v>
      </c>
      <c r="N32" s="173" t="s">
        <v>354</v>
      </c>
      <c r="O32" s="162"/>
      <c r="P32" s="163"/>
    </row>
    <row r="33" spans="1:16" ht="18.75" x14ac:dyDescent="0.3">
      <c r="A33" s="154" t="s">
        <v>381</v>
      </c>
      <c r="B33" s="152" t="s">
        <v>382</v>
      </c>
      <c r="C33" s="158">
        <v>27</v>
      </c>
      <c r="D33" s="161" t="s">
        <v>369</v>
      </c>
      <c r="E33" s="158" t="s">
        <v>342</v>
      </c>
      <c r="F33" s="158" t="s">
        <v>342</v>
      </c>
      <c r="G33" s="159">
        <v>0</v>
      </c>
      <c r="H33" s="160"/>
      <c r="I33" s="158">
        <v>15</v>
      </c>
      <c r="J33" s="154" t="s">
        <v>368</v>
      </c>
      <c r="K33" s="159">
        <v>0.2</v>
      </c>
      <c r="L33" s="159">
        <v>0.21</v>
      </c>
      <c r="M33" s="159">
        <f t="shared" si="2"/>
        <v>-9.9999999999999811E-3</v>
      </c>
      <c r="N33" s="173" t="s">
        <v>383</v>
      </c>
      <c r="O33" s="162"/>
      <c r="P33" s="163"/>
    </row>
    <row r="34" spans="1:16" ht="18.75" x14ac:dyDescent="0.3">
      <c r="A34" s="154" t="s">
        <v>384</v>
      </c>
      <c r="B34" s="152" t="s">
        <v>385</v>
      </c>
      <c r="C34" s="158">
        <v>11</v>
      </c>
      <c r="D34" s="161" t="s">
        <v>368</v>
      </c>
      <c r="E34" s="158" t="s">
        <v>342</v>
      </c>
      <c r="F34" s="158" t="s">
        <v>342</v>
      </c>
      <c r="G34" s="159">
        <v>0.3</v>
      </c>
      <c r="H34" s="160"/>
      <c r="I34" s="158">
        <v>12</v>
      </c>
      <c r="J34" s="154" t="s">
        <v>368</v>
      </c>
      <c r="K34" s="159">
        <v>0.01</v>
      </c>
      <c r="L34" s="159">
        <v>0.34</v>
      </c>
      <c r="M34" s="159">
        <f t="shared" si="2"/>
        <v>-0.33</v>
      </c>
      <c r="N34" s="173" t="s">
        <v>354</v>
      </c>
      <c r="O34" s="162"/>
      <c r="P34" s="163"/>
    </row>
    <row r="35" spans="1:16" ht="18.75" x14ac:dyDescent="0.3">
      <c r="A35" s="154" t="s">
        <v>386</v>
      </c>
      <c r="B35" s="152" t="s">
        <v>387</v>
      </c>
      <c r="C35" s="158">
        <v>15</v>
      </c>
      <c r="D35" s="161" t="s">
        <v>368</v>
      </c>
      <c r="E35" s="158" t="s">
        <v>342</v>
      </c>
      <c r="F35" s="158" t="s">
        <v>342</v>
      </c>
      <c r="G35" s="159">
        <v>0.15</v>
      </c>
      <c r="H35" s="160"/>
      <c r="I35" s="158">
        <v>25</v>
      </c>
      <c r="J35" s="154" t="s">
        <v>368</v>
      </c>
      <c r="K35" s="159">
        <v>0.01</v>
      </c>
      <c r="L35" s="159">
        <v>0.28999999999999998</v>
      </c>
      <c r="M35" s="159">
        <f t="shared" si="2"/>
        <v>-0.27999999999999997</v>
      </c>
      <c r="N35" s="173" t="s">
        <v>354</v>
      </c>
      <c r="O35" s="162"/>
      <c r="P35" s="163"/>
    </row>
    <row r="36" spans="1:16" ht="18.75" x14ac:dyDescent="0.3">
      <c r="A36" s="152"/>
      <c r="B36" s="152"/>
      <c r="C36" s="158"/>
      <c r="D36" s="170"/>
      <c r="E36" s="171"/>
      <c r="F36" s="171"/>
      <c r="G36" s="159"/>
      <c r="H36" s="160"/>
      <c r="I36" s="158"/>
      <c r="J36" s="170"/>
      <c r="K36" s="171"/>
      <c r="L36" s="171"/>
      <c r="M36" s="159"/>
      <c r="N36" s="162"/>
      <c r="O36" s="174"/>
      <c r="P36" s="175"/>
    </row>
    <row r="37" spans="1:16" ht="18.75" x14ac:dyDescent="0.3">
      <c r="C37" s="165"/>
      <c r="D37" s="166"/>
      <c r="E37" s="167"/>
      <c r="F37" s="167"/>
      <c r="G37" s="159"/>
      <c r="I37" s="165"/>
      <c r="J37" s="166"/>
      <c r="K37" s="167"/>
      <c r="L37" s="167"/>
      <c r="M37" s="159"/>
    </row>
    <row r="38" spans="1:16" s="172" customFormat="1" ht="18.75" x14ac:dyDescent="0.3">
      <c r="A38" s="157" t="s">
        <v>388</v>
      </c>
      <c r="B38" s="168"/>
      <c r="C38" s="169"/>
      <c r="D38" s="170"/>
      <c r="E38" s="171"/>
      <c r="F38" s="171"/>
      <c r="G38" s="171"/>
      <c r="H38" s="176"/>
      <c r="I38" s="169"/>
      <c r="J38" s="170"/>
      <c r="K38" s="171"/>
      <c r="L38" s="171"/>
      <c r="M38" s="171"/>
    </row>
    <row r="39" spans="1:16" s="172" customFormat="1" ht="18.75" x14ac:dyDescent="0.3">
      <c r="A39" s="154">
        <v>389.1</v>
      </c>
      <c r="B39" s="152" t="s">
        <v>340</v>
      </c>
      <c r="C39" s="158">
        <v>75</v>
      </c>
      <c r="D39" s="154" t="s">
        <v>341</v>
      </c>
      <c r="E39" s="159">
        <v>0</v>
      </c>
      <c r="F39" s="159">
        <v>0</v>
      </c>
      <c r="G39" s="159">
        <f t="shared" ref="G39:G48" si="3">E39-F39</f>
        <v>0</v>
      </c>
      <c r="H39" s="176"/>
      <c r="I39" s="158">
        <v>75</v>
      </c>
      <c r="J39" s="154" t="s">
        <v>341</v>
      </c>
      <c r="K39" s="159">
        <v>0</v>
      </c>
      <c r="L39" s="159">
        <v>0</v>
      </c>
      <c r="M39" s="159">
        <f t="shared" ref="M39:M48" si="4">K39-L39</f>
        <v>0</v>
      </c>
      <c r="N39" s="151" t="s">
        <v>342</v>
      </c>
    </row>
    <row r="40" spans="1:16" ht="18.75" x14ac:dyDescent="0.3">
      <c r="A40" s="154" t="s">
        <v>389</v>
      </c>
      <c r="B40" s="152" t="s">
        <v>344</v>
      </c>
      <c r="C40" s="158">
        <v>35</v>
      </c>
      <c r="D40" s="161" t="s">
        <v>346</v>
      </c>
      <c r="E40" s="159">
        <v>0.01</v>
      </c>
      <c r="F40" s="159">
        <v>0.01</v>
      </c>
      <c r="G40" s="159">
        <f t="shared" si="3"/>
        <v>0</v>
      </c>
      <c r="H40" s="160"/>
      <c r="I40" s="158">
        <v>40</v>
      </c>
      <c r="J40" s="161" t="s">
        <v>346</v>
      </c>
      <c r="K40" s="159">
        <v>0.09</v>
      </c>
      <c r="L40" s="159">
        <v>0.16</v>
      </c>
      <c r="M40" s="159">
        <f t="shared" si="4"/>
        <v>-7.0000000000000007E-2</v>
      </c>
      <c r="N40" s="173" t="s">
        <v>347</v>
      </c>
      <c r="O40" s="162"/>
      <c r="P40" s="163"/>
    </row>
    <row r="41" spans="1:16" ht="18.75" x14ac:dyDescent="0.3">
      <c r="A41" s="154" t="s">
        <v>390</v>
      </c>
      <c r="B41" s="152" t="s">
        <v>391</v>
      </c>
      <c r="C41" s="158">
        <v>35</v>
      </c>
      <c r="D41" s="161" t="s">
        <v>392</v>
      </c>
      <c r="E41" s="159">
        <v>0</v>
      </c>
      <c r="F41" s="159">
        <v>0</v>
      </c>
      <c r="G41" s="159">
        <f t="shared" si="3"/>
        <v>0</v>
      </c>
      <c r="H41" s="160"/>
      <c r="I41" s="158">
        <v>35</v>
      </c>
      <c r="J41" s="161" t="s">
        <v>392</v>
      </c>
      <c r="K41" s="159">
        <v>0</v>
      </c>
      <c r="L41" s="159">
        <v>0</v>
      </c>
      <c r="M41" s="159">
        <f t="shared" si="4"/>
        <v>0</v>
      </c>
      <c r="N41" s="173" t="s">
        <v>342</v>
      </c>
      <c r="O41" s="162"/>
      <c r="P41" s="163"/>
    </row>
    <row r="42" spans="1:16" ht="18.75" x14ac:dyDescent="0.3">
      <c r="A42" s="177" t="s">
        <v>393</v>
      </c>
      <c r="B42" s="152" t="s">
        <v>394</v>
      </c>
      <c r="C42" s="158">
        <v>30</v>
      </c>
      <c r="D42" s="161" t="s">
        <v>392</v>
      </c>
      <c r="E42" s="159">
        <v>0</v>
      </c>
      <c r="F42" s="159">
        <v>0</v>
      </c>
      <c r="G42" s="159">
        <f t="shared" si="3"/>
        <v>0</v>
      </c>
      <c r="H42" s="160"/>
      <c r="I42" s="158">
        <v>30</v>
      </c>
      <c r="J42" s="161" t="s">
        <v>392</v>
      </c>
      <c r="K42" s="159">
        <v>0</v>
      </c>
      <c r="L42" s="159">
        <v>0</v>
      </c>
      <c r="M42" s="159">
        <f t="shared" si="4"/>
        <v>0</v>
      </c>
      <c r="N42" s="173" t="s">
        <v>342</v>
      </c>
      <c r="O42" s="162"/>
      <c r="P42" s="163"/>
    </row>
    <row r="43" spans="1:16" ht="18.75" x14ac:dyDescent="0.3">
      <c r="A43" s="154" t="s">
        <v>395</v>
      </c>
      <c r="B43" s="152" t="s">
        <v>396</v>
      </c>
      <c r="C43" s="158">
        <v>30</v>
      </c>
      <c r="D43" s="161" t="s">
        <v>392</v>
      </c>
      <c r="E43" s="159">
        <v>0</v>
      </c>
      <c r="F43" s="159">
        <v>0</v>
      </c>
      <c r="G43" s="159">
        <f t="shared" si="3"/>
        <v>0</v>
      </c>
      <c r="H43" s="160"/>
      <c r="I43" s="158">
        <v>30</v>
      </c>
      <c r="J43" s="161" t="s">
        <v>392</v>
      </c>
      <c r="K43" s="159">
        <v>0</v>
      </c>
      <c r="L43" s="159">
        <v>0</v>
      </c>
      <c r="M43" s="159">
        <f t="shared" si="4"/>
        <v>0</v>
      </c>
      <c r="N43" s="173" t="s">
        <v>342</v>
      </c>
      <c r="O43" s="162"/>
      <c r="P43" s="163"/>
    </row>
    <row r="44" spans="1:16" ht="18.75" x14ac:dyDescent="0.3">
      <c r="A44" s="154" t="s">
        <v>397</v>
      </c>
      <c r="B44" s="152" t="s">
        <v>398</v>
      </c>
      <c r="C44" s="158">
        <v>30</v>
      </c>
      <c r="D44" s="161" t="s">
        <v>392</v>
      </c>
      <c r="E44" s="159">
        <v>0</v>
      </c>
      <c r="F44" s="159">
        <v>0.09</v>
      </c>
      <c r="G44" s="159">
        <f t="shared" si="3"/>
        <v>-0.09</v>
      </c>
      <c r="H44" s="160"/>
      <c r="I44" s="158">
        <v>30</v>
      </c>
      <c r="J44" s="161" t="s">
        <v>392</v>
      </c>
      <c r="K44" s="159">
        <v>0</v>
      </c>
      <c r="L44" s="159">
        <v>0</v>
      </c>
      <c r="M44" s="159">
        <f t="shared" si="4"/>
        <v>0</v>
      </c>
      <c r="N44" s="173" t="s">
        <v>342</v>
      </c>
      <c r="O44" s="162"/>
      <c r="P44" s="163"/>
    </row>
    <row r="45" spans="1:16" ht="18.75" x14ac:dyDescent="0.3">
      <c r="A45" s="154" t="s">
        <v>399</v>
      </c>
      <c r="B45" s="152" t="s">
        <v>400</v>
      </c>
      <c r="C45" s="158">
        <v>30</v>
      </c>
      <c r="D45" s="161" t="s">
        <v>392</v>
      </c>
      <c r="E45" s="159">
        <v>0</v>
      </c>
      <c r="F45" s="159">
        <v>0</v>
      </c>
      <c r="G45" s="159">
        <f t="shared" si="3"/>
        <v>0</v>
      </c>
      <c r="H45" s="160"/>
      <c r="I45" s="158">
        <v>30</v>
      </c>
      <c r="J45" s="161" t="s">
        <v>392</v>
      </c>
      <c r="K45" s="159">
        <v>0</v>
      </c>
      <c r="L45" s="159">
        <v>0</v>
      </c>
      <c r="M45" s="159">
        <f t="shared" si="4"/>
        <v>0</v>
      </c>
      <c r="N45" s="173" t="s">
        <v>342</v>
      </c>
      <c r="O45" s="162"/>
      <c r="P45" s="163"/>
    </row>
    <row r="46" spans="1:16" ht="18.75" x14ac:dyDescent="0.3">
      <c r="A46" s="177" t="s">
        <v>401</v>
      </c>
      <c r="B46" s="152" t="s">
        <v>402</v>
      </c>
      <c r="C46" s="158">
        <v>25</v>
      </c>
      <c r="D46" s="161" t="s">
        <v>392</v>
      </c>
      <c r="E46" s="159">
        <v>0</v>
      </c>
      <c r="F46" s="159">
        <v>0</v>
      </c>
      <c r="G46" s="159">
        <f t="shared" si="3"/>
        <v>0</v>
      </c>
      <c r="H46" s="160"/>
      <c r="I46" s="158">
        <v>25</v>
      </c>
      <c r="J46" s="161" t="s">
        <v>392</v>
      </c>
      <c r="K46" s="159">
        <v>0</v>
      </c>
      <c r="L46" s="159">
        <v>0</v>
      </c>
      <c r="M46" s="159">
        <f t="shared" si="4"/>
        <v>0</v>
      </c>
      <c r="N46" s="173" t="s">
        <v>342</v>
      </c>
      <c r="O46" s="162"/>
      <c r="P46" s="163"/>
    </row>
    <row r="47" spans="1:16" ht="18.75" x14ac:dyDescent="0.3">
      <c r="A47" s="154" t="s">
        <v>403</v>
      </c>
      <c r="B47" s="152" t="s">
        <v>404</v>
      </c>
      <c r="C47" s="158">
        <v>22</v>
      </c>
      <c r="D47" s="161" t="s">
        <v>392</v>
      </c>
      <c r="E47" s="159">
        <v>0.06</v>
      </c>
      <c r="F47" s="159">
        <v>0.03</v>
      </c>
      <c r="G47" s="159">
        <f t="shared" si="3"/>
        <v>0.03</v>
      </c>
      <c r="H47" s="160"/>
      <c r="I47" s="158">
        <v>22</v>
      </c>
      <c r="J47" s="161" t="s">
        <v>392</v>
      </c>
      <c r="K47" s="159">
        <v>0.08</v>
      </c>
      <c r="L47" s="159">
        <v>0.1</v>
      </c>
      <c r="M47" s="159">
        <f t="shared" si="4"/>
        <v>-2.0000000000000004E-2</v>
      </c>
      <c r="N47" s="173" t="s">
        <v>342</v>
      </c>
      <c r="O47" s="162"/>
      <c r="P47" s="163"/>
    </row>
    <row r="48" spans="1:16" ht="18.75" x14ac:dyDescent="0.3">
      <c r="A48" s="154" t="s">
        <v>405</v>
      </c>
      <c r="B48" s="152" t="s">
        <v>406</v>
      </c>
      <c r="C48" s="158">
        <v>20</v>
      </c>
      <c r="D48" s="161" t="s">
        <v>392</v>
      </c>
      <c r="E48" s="159">
        <v>0</v>
      </c>
      <c r="F48" s="159">
        <v>0.03</v>
      </c>
      <c r="G48" s="159">
        <f t="shared" si="3"/>
        <v>-0.03</v>
      </c>
      <c r="H48" s="160"/>
      <c r="I48" s="158">
        <v>20</v>
      </c>
      <c r="J48" s="161" t="s">
        <v>392</v>
      </c>
      <c r="K48" s="159">
        <v>0</v>
      </c>
      <c r="L48" s="159">
        <v>0.03</v>
      </c>
      <c r="M48" s="159">
        <f t="shared" si="4"/>
        <v>-0.03</v>
      </c>
      <c r="N48" s="173" t="s">
        <v>342</v>
      </c>
      <c r="O48" s="162"/>
      <c r="P48" s="163"/>
    </row>
    <row r="49" spans="1:13" ht="18.75" x14ac:dyDescent="0.3">
      <c r="A49" s="152"/>
      <c r="B49" s="152"/>
      <c r="C49" s="152"/>
      <c r="D49" s="152"/>
      <c r="E49" s="152"/>
      <c r="F49" s="152"/>
      <c r="G49" s="152"/>
      <c r="H49" s="178"/>
      <c r="I49" s="179"/>
      <c r="J49" s="152"/>
      <c r="K49" s="180"/>
      <c r="L49" s="180"/>
      <c r="M49" s="181"/>
    </row>
    <row r="50" spans="1:13" ht="64.900000000000006" customHeight="1" x14ac:dyDescent="0.2">
      <c r="A50" s="320" t="s">
        <v>407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</row>
    <row r="51" spans="1:13" x14ac:dyDescent="0.2">
      <c r="H51" s="163"/>
      <c r="I51" s="182"/>
      <c r="K51" s="181"/>
      <c r="L51" s="181"/>
      <c r="M51" s="181"/>
    </row>
    <row r="52" spans="1:13" x14ac:dyDescent="0.2">
      <c r="H52" s="163"/>
      <c r="I52" s="182"/>
      <c r="K52" s="181"/>
      <c r="L52" s="181"/>
      <c r="M52" s="181"/>
    </row>
    <row r="53" spans="1:13" x14ac:dyDescent="0.2">
      <c r="H53" s="163"/>
      <c r="I53" s="182"/>
      <c r="K53" s="181"/>
      <c r="L53" s="181"/>
      <c r="M53" s="181"/>
    </row>
    <row r="54" spans="1:13" x14ac:dyDescent="0.2">
      <c r="H54" s="163"/>
      <c r="I54" s="182"/>
      <c r="K54" s="181"/>
      <c r="L54" s="181"/>
      <c r="M54" s="181"/>
    </row>
    <row r="55" spans="1:13" x14ac:dyDescent="0.2">
      <c r="H55" s="163"/>
      <c r="I55" s="163"/>
      <c r="K55" s="181"/>
      <c r="L55" s="181"/>
      <c r="M55" s="181"/>
    </row>
    <row r="56" spans="1:13" x14ac:dyDescent="0.2">
      <c r="H56" s="163"/>
      <c r="I56" s="163"/>
      <c r="K56" s="181"/>
      <c r="L56" s="181"/>
      <c r="M56" s="181"/>
    </row>
    <row r="57" spans="1:13" x14ac:dyDescent="0.2">
      <c r="H57" s="163"/>
      <c r="I57" s="163"/>
      <c r="K57" s="181"/>
      <c r="L57" s="181"/>
      <c r="M57" s="181"/>
    </row>
    <row r="58" spans="1:13" x14ac:dyDescent="0.2">
      <c r="H58" s="163"/>
      <c r="I58" s="163"/>
      <c r="K58" s="181"/>
      <c r="L58" s="181"/>
      <c r="M58" s="181"/>
    </row>
    <row r="59" spans="1:13" x14ac:dyDescent="0.2">
      <c r="H59" s="163"/>
      <c r="I59" s="163"/>
      <c r="K59" s="181"/>
      <c r="L59" s="181"/>
      <c r="M59" s="181"/>
    </row>
    <row r="60" spans="1:13" x14ac:dyDescent="0.2">
      <c r="H60" s="163"/>
      <c r="I60" s="163"/>
      <c r="K60" s="181"/>
      <c r="L60" s="181"/>
      <c r="M60" s="181"/>
    </row>
    <row r="61" spans="1:13" x14ac:dyDescent="0.2">
      <c r="H61" s="163"/>
      <c r="I61" s="163"/>
      <c r="K61" s="181"/>
      <c r="L61" s="181"/>
      <c r="M61" s="181"/>
    </row>
    <row r="62" spans="1:13" x14ac:dyDescent="0.2">
      <c r="H62" s="163"/>
      <c r="I62" s="163"/>
      <c r="K62" s="181"/>
      <c r="L62" s="181"/>
      <c r="M62" s="181"/>
    </row>
    <row r="63" spans="1:13" x14ac:dyDescent="0.2">
      <c r="H63" s="163"/>
      <c r="I63" s="163"/>
      <c r="K63" s="181"/>
      <c r="L63" s="181"/>
      <c r="M63" s="181"/>
    </row>
    <row r="64" spans="1:13" x14ac:dyDescent="0.2">
      <c r="H64" s="163"/>
      <c r="I64" s="163"/>
      <c r="K64" s="181"/>
      <c r="L64" s="181"/>
      <c r="M64" s="181"/>
    </row>
    <row r="65" spans="11:13" x14ac:dyDescent="0.2">
      <c r="K65" s="181"/>
      <c r="L65" s="181"/>
      <c r="M65" s="181"/>
    </row>
    <row r="66" spans="11:13" x14ac:dyDescent="0.2">
      <c r="K66" s="181"/>
      <c r="L66" s="181"/>
      <c r="M66" s="181"/>
    </row>
    <row r="67" spans="11:13" x14ac:dyDescent="0.2">
      <c r="K67" s="181"/>
      <c r="L67" s="181"/>
      <c r="M67" s="181"/>
    </row>
    <row r="68" spans="11:13" x14ac:dyDescent="0.2">
      <c r="K68" s="181"/>
      <c r="L68" s="181"/>
      <c r="M68" s="181"/>
    </row>
    <row r="69" spans="11:13" x14ac:dyDescent="0.2">
      <c r="K69" s="181"/>
      <c r="L69" s="181"/>
      <c r="M69" s="181"/>
    </row>
    <row r="70" spans="11:13" x14ac:dyDescent="0.2">
      <c r="K70" s="181"/>
      <c r="L70" s="181"/>
      <c r="M70" s="181"/>
    </row>
    <row r="71" spans="11:13" x14ac:dyDescent="0.2">
      <c r="K71" s="181"/>
      <c r="L71" s="181"/>
      <c r="M71" s="181"/>
    </row>
    <row r="72" spans="11:13" x14ac:dyDescent="0.2">
      <c r="K72" s="181"/>
      <c r="L72" s="181"/>
      <c r="M72" s="181"/>
    </row>
    <row r="73" spans="11:13" x14ac:dyDescent="0.2">
      <c r="K73" s="181"/>
      <c r="L73" s="181"/>
      <c r="M73" s="181"/>
    </row>
    <row r="74" spans="11:13" x14ac:dyDescent="0.2">
      <c r="K74" s="181"/>
      <c r="L74" s="181"/>
      <c r="M74" s="181"/>
    </row>
    <row r="75" spans="11:13" x14ac:dyDescent="0.2">
      <c r="K75" s="181"/>
      <c r="L75" s="181"/>
      <c r="M75" s="181"/>
    </row>
    <row r="76" spans="11:13" x14ac:dyDescent="0.2">
      <c r="K76" s="181"/>
      <c r="L76" s="181"/>
      <c r="M76" s="181"/>
    </row>
    <row r="77" spans="11:13" x14ac:dyDescent="0.2">
      <c r="K77" s="181"/>
      <c r="L77" s="181"/>
      <c r="M77" s="181"/>
    </row>
    <row r="78" spans="11:13" x14ac:dyDescent="0.2">
      <c r="K78" s="181"/>
      <c r="L78" s="181"/>
      <c r="M78" s="181"/>
    </row>
    <row r="79" spans="11:13" x14ac:dyDescent="0.2">
      <c r="K79" s="181"/>
      <c r="L79" s="181"/>
      <c r="M79" s="181"/>
    </row>
    <row r="80" spans="11:13" x14ac:dyDescent="0.2">
      <c r="K80" s="181"/>
      <c r="L80" s="181"/>
      <c r="M80" s="181"/>
    </row>
    <row r="81" spans="11:13" x14ac:dyDescent="0.2">
      <c r="K81" s="181"/>
      <c r="L81" s="181"/>
      <c r="M81" s="181"/>
    </row>
    <row r="82" spans="11:13" x14ac:dyDescent="0.2">
      <c r="K82" s="181"/>
      <c r="L82" s="181"/>
      <c r="M82" s="181"/>
    </row>
    <row r="83" spans="11:13" x14ac:dyDescent="0.2">
      <c r="K83" s="181"/>
      <c r="L83" s="181"/>
      <c r="M83" s="181"/>
    </row>
    <row r="84" spans="11:13" x14ac:dyDescent="0.2">
      <c r="K84" s="181"/>
      <c r="L84" s="181"/>
      <c r="M84" s="181"/>
    </row>
    <row r="85" spans="11:13" x14ac:dyDescent="0.2">
      <c r="K85" s="181"/>
      <c r="L85" s="181"/>
      <c r="M85" s="181"/>
    </row>
    <row r="86" spans="11:13" x14ac:dyDescent="0.2">
      <c r="K86" s="181"/>
      <c r="L86" s="181"/>
      <c r="M86" s="181"/>
    </row>
    <row r="87" spans="11:13" x14ac:dyDescent="0.2">
      <c r="K87" s="181"/>
      <c r="L87" s="181"/>
      <c r="M87" s="181"/>
    </row>
    <row r="88" spans="11:13" x14ac:dyDescent="0.2">
      <c r="K88" s="181"/>
      <c r="L88" s="181"/>
      <c r="M88" s="181"/>
    </row>
    <row r="89" spans="11:13" x14ac:dyDescent="0.2">
      <c r="K89" s="181"/>
      <c r="L89" s="181"/>
      <c r="M89" s="181"/>
    </row>
    <row r="90" spans="11:13" x14ac:dyDescent="0.2">
      <c r="K90" s="181"/>
      <c r="L90" s="181"/>
      <c r="M90" s="181"/>
    </row>
    <row r="91" spans="11:13" x14ac:dyDescent="0.2">
      <c r="K91" s="181"/>
      <c r="L91" s="181"/>
      <c r="M91" s="181"/>
    </row>
    <row r="92" spans="11:13" x14ac:dyDescent="0.2">
      <c r="K92" s="181"/>
      <c r="L92" s="181"/>
      <c r="M92" s="181"/>
    </row>
    <row r="93" spans="11:13" x14ac:dyDescent="0.2">
      <c r="K93" s="181"/>
      <c r="L93" s="181"/>
      <c r="M93" s="181"/>
    </row>
    <row r="94" spans="11:13" x14ac:dyDescent="0.2">
      <c r="K94" s="181"/>
      <c r="L94" s="181"/>
      <c r="M94" s="181"/>
    </row>
    <row r="95" spans="11:13" x14ac:dyDescent="0.2">
      <c r="K95" s="181"/>
      <c r="L95" s="181"/>
      <c r="M95" s="181"/>
    </row>
    <row r="96" spans="11:13" x14ac:dyDescent="0.2">
      <c r="K96" s="181"/>
      <c r="L96" s="181"/>
      <c r="M96" s="181"/>
    </row>
    <row r="97" spans="11:13" x14ac:dyDescent="0.2">
      <c r="K97" s="181"/>
      <c r="L97" s="181"/>
      <c r="M97" s="181"/>
    </row>
    <row r="98" spans="11:13" x14ac:dyDescent="0.2">
      <c r="K98" s="181"/>
      <c r="L98" s="181"/>
      <c r="M98" s="181"/>
    </row>
    <row r="99" spans="11:13" x14ac:dyDescent="0.2">
      <c r="K99" s="181"/>
      <c r="L99" s="181"/>
      <c r="M99" s="181"/>
    </row>
    <row r="100" spans="11:13" x14ac:dyDescent="0.2">
      <c r="K100" s="181"/>
      <c r="L100" s="181"/>
      <c r="M100" s="181"/>
    </row>
    <row r="101" spans="11:13" x14ac:dyDescent="0.2">
      <c r="K101" s="181"/>
      <c r="L101" s="181"/>
      <c r="M101" s="181"/>
    </row>
    <row r="102" spans="11:13" x14ac:dyDescent="0.2">
      <c r="K102" s="181"/>
      <c r="L102" s="181"/>
      <c r="M102" s="181"/>
    </row>
    <row r="103" spans="11:13" x14ac:dyDescent="0.2">
      <c r="K103" s="181"/>
      <c r="L103" s="181"/>
      <c r="M103" s="181"/>
    </row>
    <row r="104" spans="11:13" x14ac:dyDescent="0.2">
      <c r="K104" s="181"/>
      <c r="L104" s="181"/>
      <c r="M104" s="181"/>
    </row>
    <row r="105" spans="11:13" x14ac:dyDescent="0.2">
      <c r="K105" s="181"/>
      <c r="L105" s="181"/>
      <c r="M105" s="181"/>
    </row>
    <row r="106" spans="11:13" x14ac:dyDescent="0.2">
      <c r="K106" s="181"/>
      <c r="L106" s="181"/>
      <c r="M106" s="181"/>
    </row>
    <row r="107" spans="11:13" x14ac:dyDescent="0.2">
      <c r="K107" s="181"/>
      <c r="L107" s="181"/>
      <c r="M107" s="181"/>
    </row>
    <row r="108" spans="11:13" x14ac:dyDescent="0.2">
      <c r="K108" s="181"/>
      <c r="L108" s="181"/>
      <c r="M108" s="181"/>
    </row>
    <row r="109" spans="11:13" x14ac:dyDescent="0.2">
      <c r="K109" s="181"/>
      <c r="L109" s="181"/>
      <c r="M109" s="181"/>
    </row>
    <row r="110" spans="11:13" x14ac:dyDescent="0.2">
      <c r="K110" s="181"/>
      <c r="L110" s="181"/>
      <c r="M110" s="181"/>
    </row>
    <row r="111" spans="11:13" x14ac:dyDescent="0.2">
      <c r="K111" s="181"/>
      <c r="L111" s="181"/>
      <c r="M111" s="181"/>
    </row>
    <row r="112" spans="11:13" x14ac:dyDescent="0.2">
      <c r="K112" s="181"/>
      <c r="L112" s="181"/>
      <c r="M112" s="181"/>
    </row>
    <row r="113" spans="11:13" x14ac:dyDescent="0.2">
      <c r="K113" s="181"/>
      <c r="L113" s="181"/>
      <c r="M113" s="181"/>
    </row>
    <row r="114" spans="11:13" x14ac:dyDescent="0.2">
      <c r="K114" s="181"/>
      <c r="L114" s="181"/>
      <c r="M114" s="181"/>
    </row>
    <row r="115" spans="11:13" x14ac:dyDescent="0.2">
      <c r="K115" s="181"/>
      <c r="L115" s="181"/>
      <c r="M115" s="181"/>
    </row>
    <row r="116" spans="11:13" x14ac:dyDescent="0.2">
      <c r="K116" s="181"/>
      <c r="L116" s="181"/>
      <c r="M116" s="181"/>
    </row>
    <row r="117" spans="11:13" x14ac:dyDescent="0.2">
      <c r="K117" s="181"/>
      <c r="L117" s="181"/>
      <c r="M117" s="181"/>
    </row>
    <row r="118" spans="11:13" x14ac:dyDescent="0.2">
      <c r="K118" s="181"/>
      <c r="L118" s="181"/>
      <c r="M118" s="181"/>
    </row>
    <row r="119" spans="11:13" x14ac:dyDescent="0.2">
      <c r="K119" s="181"/>
      <c r="L119" s="181"/>
      <c r="M119" s="181"/>
    </row>
    <row r="120" spans="11:13" x14ac:dyDescent="0.2">
      <c r="K120" s="181"/>
      <c r="L120" s="181"/>
      <c r="M120" s="181"/>
    </row>
    <row r="121" spans="11:13" x14ac:dyDescent="0.2">
      <c r="K121" s="181"/>
      <c r="L121" s="181"/>
      <c r="M121" s="181"/>
    </row>
    <row r="122" spans="11:13" x14ac:dyDescent="0.2">
      <c r="K122" s="181"/>
      <c r="L122" s="181"/>
      <c r="M122" s="181"/>
    </row>
    <row r="123" spans="11:13" x14ac:dyDescent="0.2">
      <c r="K123" s="181"/>
      <c r="L123" s="181"/>
      <c r="M123" s="181"/>
    </row>
    <row r="124" spans="11:13" x14ac:dyDescent="0.2">
      <c r="K124" s="181"/>
      <c r="L124" s="181"/>
      <c r="M124" s="181"/>
    </row>
    <row r="125" spans="11:13" x14ac:dyDescent="0.2">
      <c r="K125" s="181"/>
      <c r="L125" s="181"/>
      <c r="M125" s="181"/>
    </row>
    <row r="126" spans="11:13" x14ac:dyDescent="0.2">
      <c r="K126" s="181"/>
      <c r="L126" s="181"/>
      <c r="M126" s="181"/>
    </row>
    <row r="127" spans="11:13" x14ac:dyDescent="0.2">
      <c r="K127" s="181"/>
      <c r="L127" s="181"/>
      <c r="M127" s="181"/>
    </row>
    <row r="128" spans="11:13" x14ac:dyDescent="0.2">
      <c r="K128" s="181"/>
      <c r="L128" s="181"/>
      <c r="M128" s="181"/>
    </row>
    <row r="129" spans="11:13" x14ac:dyDescent="0.2">
      <c r="K129" s="181"/>
      <c r="L129" s="181"/>
      <c r="M129" s="181"/>
    </row>
    <row r="130" spans="11:13" x14ac:dyDescent="0.2">
      <c r="K130" s="181"/>
      <c r="L130" s="181"/>
      <c r="M130" s="181"/>
    </row>
    <row r="131" spans="11:13" x14ac:dyDescent="0.2">
      <c r="K131" s="181"/>
      <c r="L131" s="181"/>
      <c r="M131" s="181"/>
    </row>
    <row r="132" spans="11:13" x14ac:dyDescent="0.2">
      <c r="K132" s="181"/>
      <c r="L132" s="181"/>
      <c r="M132" s="181"/>
    </row>
    <row r="133" spans="11:13" x14ac:dyDescent="0.2">
      <c r="K133" s="181"/>
      <c r="L133" s="181"/>
      <c r="M133" s="181"/>
    </row>
    <row r="134" spans="11:13" x14ac:dyDescent="0.2">
      <c r="K134" s="181"/>
      <c r="L134" s="181"/>
      <c r="M134" s="181"/>
    </row>
    <row r="135" spans="11:13" x14ac:dyDescent="0.2">
      <c r="K135" s="181"/>
      <c r="L135" s="181"/>
      <c r="M135" s="181"/>
    </row>
    <row r="136" spans="11:13" x14ac:dyDescent="0.2">
      <c r="K136" s="181"/>
      <c r="L136" s="181"/>
      <c r="M136" s="181"/>
    </row>
    <row r="137" spans="11:13" x14ac:dyDescent="0.2">
      <c r="K137" s="181"/>
      <c r="L137" s="181"/>
      <c r="M137" s="181"/>
    </row>
    <row r="138" spans="11:13" x14ac:dyDescent="0.2">
      <c r="K138" s="181"/>
      <c r="L138" s="181"/>
      <c r="M138" s="181"/>
    </row>
    <row r="139" spans="11:13" x14ac:dyDescent="0.2">
      <c r="K139" s="181"/>
      <c r="L139" s="181"/>
      <c r="M139" s="181"/>
    </row>
    <row r="140" spans="11:13" x14ac:dyDescent="0.2">
      <c r="K140" s="181"/>
      <c r="L140" s="181"/>
      <c r="M140" s="181"/>
    </row>
    <row r="141" spans="11:13" x14ac:dyDescent="0.2">
      <c r="K141" s="181"/>
      <c r="L141" s="181"/>
      <c r="M141" s="181"/>
    </row>
    <row r="142" spans="11:13" x14ac:dyDescent="0.2">
      <c r="K142" s="181"/>
      <c r="L142" s="181"/>
      <c r="M142" s="181"/>
    </row>
    <row r="143" spans="11:13" x14ac:dyDescent="0.2">
      <c r="K143" s="181"/>
      <c r="L143" s="181"/>
      <c r="M143" s="181"/>
    </row>
    <row r="144" spans="11:13" x14ac:dyDescent="0.2">
      <c r="K144" s="181"/>
      <c r="L144" s="181"/>
      <c r="M144" s="181"/>
    </row>
    <row r="145" spans="11:13" x14ac:dyDescent="0.2">
      <c r="K145" s="181"/>
      <c r="L145" s="181"/>
      <c r="M145" s="181"/>
    </row>
    <row r="146" spans="11:13" x14ac:dyDescent="0.2">
      <c r="K146" s="181"/>
      <c r="L146" s="181"/>
      <c r="M146" s="181"/>
    </row>
    <row r="147" spans="11:13" x14ac:dyDescent="0.2">
      <c r="K147" s="181"/>
      <c r="L147" s="181"/>
      <c r="M147" s="181"/>
    </row>
    <row r="148" spans="11:13" x14ac:dyDescent="0.2">
      <c r="K148" s="181"/>
      <c r="L148" s="181"/>
      <c r="M148" s="181"/>
    </row>
    <row r="149" spans="11:13" x14ac:dyDescent="0.2">
      <c r="K149" s="181"/>
      <c r="L149" s="181"/>
      <c r="M149" s="181"/>
    </row>
    <row r="150" spans="11:13" x14ac:dyDescent="0.2">
      <c r="K150" s="181"/>
      <c r="L150" s="181"/>
      <c r="M150" s="181"/>
    </row>
    <row r="151" spans="11:13" x14ac:dyDescent="0.2">
      <c r="K151" s="181"/>
      <c r="L151" s="181"/>
      <c r="M151" s="181"/>
    </row>
    <row r="152" spans="11:13" x14ac:dyDescent="0.2">
      <c r="K152" s="181"/>
      <c r="L152" s="181"/>
      <c r="M152" s="181"/>
    </row>
    <row r="153" spans="11:13" x14ac:dyDescent="0.2">
      <c r="K153" s="181"/>
      <c r="L153" s="181"/>
      <c r="M153" s="181"/>
    </row>
    <row r="154" spans="11:13" x14ac:dyDescent="0.2">
      <c r="K154" s="181"/>
      <c r="L154" s="181"/>
      <c r="M154" s="181"/>
    </row>
    <row r="155" spans="11:13" x14ac:dyDescent="0.2">
      <c r="K155" s="181"/>
      <c r="L155" s="181"/>
      <c r="M155" s="181"/>
    </row>
    <row r="156" spans="11:13" x14ac:dyDescent="0.2">
      <c r="K156" s="181"/>
      <c r="L156" s="181"/>
      <c r="M156" s="181"/>
    </row>
    <row r="157" spans="11:13" x14ac:dyDescent="0.2">
      <c r="K157" s="181"/>
      <c r="L157" s="181"/>
      <c r="M157" s="181"/>
    </row>
    <row r="158" spans="11:13" x14ac:dyDescent="0.2">
      <c r="K158" s="181"/>
      <c r="L158" s="181"/>
      <c r="M158" s="181"/>
    </row>
    <row r="159" spans="11:13" x14ac:dyDescent="0.2">
      <c r="K159" s="181"/>
      <c r="L159" s="181"/>
      <c r="M159" s="181"/>
    </row>
    <row r="160" spans="11:13" x14ac:dyDescent="0.2">
      <c r="K160" s="181"/>
      <c r="L160" s="181"/>
      <c r="M160" s="181"/>
    </row>
    <row r="161" spans="11:13" x14ac:dyDescent="0.2">
      <c r="K161" s="181"/>
      <c r="L161" s="181"/>
      <c r="M161" s="181"/>
    </row>
    <row r="162" spans="11:13" x14ac:dyDescent="0.2">
      <c r="K162" s="181"/>
      <c r="L162" s="181"/>
      <c r="M162" s="181"/>
    </row>
    <row r="163" spans="11:13" x14ac:dyDescent="0.2">
      <c r="K163" s="181"/>
      <c r="L163" s="181"/>
      <c r="M163" s="181"/>
    </row>
    <row r="164" spans="11:13" x14ac:dyDescent="0.2">
      <c r="K164" s="181"/>
      <c r="L164" s="181"/>
      <c r="M164" s="181"/>
    </row>
    <row r="165" spans="11:13" x14ac:dyDescent="0.2">
      <c r="K165" s="181"/>
      <c r="L165" s="181"/>
      <c r="M165" s="181"/>
    </row>
    <row r="166" spans="11:13" x14ac:dyDescent="0.2">
      <c r="K166" s="181"/>
      <c r="L166" s="181"/>
      <c r="M166" s="181"/>
    </row>
    <row r="167" spans="11:13" x14ac:dyDescent="0.2">
      <c r="K167" s="181"/>
      <c r="L167" s="181"/>
      <c r="M167" s="181"/>
    </row>
    <row r="168" spans="11:13" x14ac:dyDescent="0.2">
      <c r="K168" s="181"/>
      <c r="L168" s="181"/>
      <c r="M168" s="181"/>
    </row>
    <row r="169" spans="11:13" x14ac:dyDescent="0.2">
      <c r="K169" s="181"/>
      <c r="L169" s="181"/>
      <c r="M169" s="181"/>
    </row>
    <row r="170" spans="11:13" x14ac:dyDescent="0.2">
      <c r="K170" s="181"/>
      <c r="L170" s="181"/>
      <c r="M170" s="181"/>
    </row>
    <row r="171" spans="11:13" x14ac:dyDescent="0.2">
      <c r="K171" s="181"/>
      <c r="L171" s="181"/>
      <c r="M171" s="181"/>
    </row>
    <row r="172" spans="11:13" x14ac:dyDescent="0.2">
      <c r="K172" s="181"/>
      <c r="L172" s="181"/>
      <c r="M172" s="181"/>
    </row>
    <row r="173" spans="11:13" x14ac:dyDescent="0.2">
      <c r="K173" s="181"/>
      <c r="L173" s="181"/>
      <c r="M173" s="181"/>
    </row>
    <row r="174" spans="11:13" x14ac:dyDescent="0.2">
      <c r="K174" s="181"/>
      <c r="L174" s="181"/>
      <c r="M174" s="181"/>
    </row>
    <row r="175" spans="11:13" x14ac:dyDescent="0.2">
      <c r="K175" s="181"/>
      <c r="L175" s="181"/>
      <c r="M175" s="181"/>
    </row>
    <row r="176" spans="11:13" x14ac:dyDescent="0.2">
      <c r="K176" s="181"/>
      <c r="L176" s="181"/>
      <c r="M176" s="181"/>
    </row>
    <row r="177" spans="11:13" x14ac:dyDescent="0.2">
      <c r="K177" s="181"/>
      <c r="L177" s="181"/>
      <c r="M177" s="181"/>
    </row>
    <row r="178" spans="11:13" x14ac:dyDescent="0.2">
      <c r="K178" s="181"/>
      <c r="L178" s="181"/>
      <c r="M178" s="181"/>
    </row>
    <row r="179" spans="11:13" x14ac:dyDescent="0.2">
      <c r="K179" s="181"/>
      <c r="L179" s="181"/>
      <c r="M179" s="181"/>
    </row>
    <row r="180" spans="11:13" x14ac:dyDescent="0.2">
      <c r="K180" s="181"/>
      <c r="L180" s="181"/>
      <c r="M180" s="181"/>
    </row>
    <row r="181" spans="11:13" x14ac:dyDescent="0.2">
      <c r="K181" s="181"/>
      <c r="L181" s="181"/>
      <c r="M181" s="181"/>
    </row>
    <row r="182" spans="11:13" x14ac:dyDescent="0.2">
      <c r="K182" s="181"/>
      <c r="L182" s="181"/>
      <c r="M182" s="181"/>
    </row>
    <row r="183" spans="11:13" x14ac:dyDescent="0.2">
      <c r="K183" s="181"/>
      <c r="L183" s="181"/>
      <c r="M183" s="181"/>
    </row>
    <row r="184" spans="11:13" x14ac:dyDescent="0.2">
      <c r="K184" s="181"/>
      <c r="L184" s="181"/>
      <c r="M184" s="181"/>
    </row>
    <row r="185" spans="11:13" x14ac:dyDescent="0.2">
      <c r="K185" s="181"/>
      <c r="L185" s="181"/>
      <c r="M185" s="181"/>
    </row>
    <row r="186" spans="11:13" x14ac:dyDescent="0.2">
      <c r="K186" s="181"/>
      <c r="L186" s="181"/>
      <c r="M186" s="181"/>
    </row>
    <row r="187" spans="11:13" x14ac:dyDescent="0.2">
      <c r="K187" s="181"/>
      <c r="L187" s="181"/>
      <c r="M187" s="181"/>
    </row>
    <row r="188" spans="11:13" x14ac:dyDescent="0.2">
      <c r="K188" s="181"/>
      <c r="L188" s="181"/>
      <c r="M188" s="181"/>
    </row>
    <row r="189" spans="11:13" x14ac:dyDescent="0.2">
      <c r="K189" s="181"/>
      <c r="L189" s="181"/>
      <c r="M189" s="181"/>
    </row>
    <row r="190" spans="11:13" x14ac:dyDescent="0.2">
      <c r="K190" s="181"/>
      <c r="L190" s="181"/>
      <c r="M190" s="181"/>
    </row>
    <row r="191" spans="11:13" x14ac:dyDescent="0.2">
      <c r="K191" s="181"/>
      <c r="L191" s="181"/>
      <c r="M191" s="181"/>
    </row>
    <row r="192" spans="11:13" x14ac:dyDescent="0.2">
      <c r="K192" s="181"/>
      <c r="L192" s="181"/>
      <c r="M192" s="181"/>
    </row>
    <row r="193" spans="11:13" x14ac:dyDescent="0.2">
      <c r="K193" s="181"/>
      <c r="L193" s="181"/>
      <c r="M193" s="181"/>
    </row>
    <row r="194" spans="11:13" x14ac:dyDescent="0.2">
      <c r="K194" s="181"/>
      <c r="L194" s="181"/>
      <c r="M194" s="181"/>
    </row>
    <row r="195" spans="11:13" x14ac:dyDescent="0.2">
      <c r="K195" s="181"/>
      <c r="L195" s="181"/>
      <c r="M195" s="181"/>
    </row>
    <row r="196" spans="11:13" x14ac:dyDescent="0.2">
      <c r="K196" s="181"/>
      <c r="L196" s="181"/>
      <c r="M196" s="181"/>
    </row>
    <row r="197" spans="11:13" x14ac:dyDescent="0.2">
      <c r="K197" s="181"/>
      <c r="L197" s="181"/>
      <c r="M197" s="181"/>
    </row>
    <row r="198" spans="11:13" x14ac:dyDescent="0.2">
      <c r="K198" s="181"/>
      <c r="L198" s="181"/>
      <c r="M198" s="181"/>
    </row>
    <row r="199" spans="11:13" x14ac:dyDescent="0.2">
      <c r="K199" s="181"/>
      <c r="L199" s="181"/>
      <c r="M199" s="181"/>
    </row>
    <row r="200" spans="11:13" x14ac:dyDescent="0.2">
      <c r="K200" s="181"/>
      <c r="L200" s="181"/>
      <c r="M200" s="181"/>
    </row>
    <row r="201" spans="11:13" x14ac:dyDescent="0.2">
      <c r="K201" s="181"/>
      <c r="L201" s="181"/>
      <c r="M201" s="181"/>
    </row>
    <row r="202" spans="11:13" x14ac:dyDescent="0.2">
      <c r="K202" s="181"/>
      <c r="L202" s="181"/>
      <c r="M202" s="181"/>
    </row>
    <row r="203" spans="11:13" x14ac:dyDescent="0.2">
      <c r="K203" s="181"/>
      <c r="L203" s="181"/>
      <c r="M203" s="181"/>
    </row>
    <row r="204" spans="11:13" x14ac:dyDescent="0.2">
      <c r="K204" s="181"/>
      <c r="L204" s="181"/>
      <c r="M204" s="181"/>
    </row>
    <row r="205" spans="11:13" x14ac:dyDescent="0.2">
      <c r="K205" s="181"/>
      <c r="L205" s="181"/>
      <c r="M205" s="181"/>
    </row>
    <row r="206" spans="11:13" x14ac:dyDescent="0.2">
      <c r="K206" s="181"/>
      <c r="L206" s="181"/>
      <c r="M206" s="181"/>
    </row>
    <row r="207" spans="11:13" x14ac:dyDescent="0.2">
      <c r="K207" s="181"/>
      <c r="L207" s="181"/>
      <c r="M207" s="181"/>
    </row>
    <row r="208" spans="11:13" x14ac:dyDescent="0.2">
      <c r="K208" s="181"/>
      <c r="L208" s="181"/>
      <c r="M208" s="181"/>
    </row>
    <row r="209" spans="11:13" x14ac:dyDescent="0.2">
      <c r="K209" s="181"/>
      <c r="L209" s="181"/>
      <c r="M209" s="181"/>
    </row>
    <row r="210" spans="11:13" x14ac:dyDescent="0.2">
      <c r="K210" s="181"/>
      <c r="L210" s="181"/>
      <c r="M210" s="181"/>
    </row>
    <row r="211" spans="11:13" x14ac:dyDescent="0.2">
      <c r="K211" s="181"/>
      <c r="L211" s="181"/>
      <c r="M211" s="181"/>
    </row>
    <row r="212" spans="11:13" x14ac:dyDescent="0.2">
      <c r="K212" s="181"/>
      <c r="L212" s="181"/>
      <c r="M212" s="181"/>
    </row>
    <row r="213" spans="11:13" x14ac:dyDescent="0.2">
      <c r="K213" s="181"/>
      <c r="L213" s="181"/>
      <c r="M213" s="181"/>
    </row>
    <row r="214" spans="11:13" x14ac:dyDescent="0.2">
      <c r="K214" s="181"/>
      <c r="L214" s="181"/>
      <c r="M214" s="181"/>
    </row>
    <row r="215" spans="11:13" x14ac:dyDescent="0.2">
      <c r="K215" s="181"/>
      <c r="L215" s="181"/>
      <c r="M215" s="181"/>
    </row>
    <row r="216" spans="11:13" x14ac:dyDescent="0.2">
      <c r="K216" s="181"/>
      <c r="L216" s="181"/>
      <c r="M216" s="181"/>
    </row>
    <row r="217" spans="11:13" x14ac:dyDescent="0.2">
      <c r="K217" s="181"/>
      <c r="L217" s="181"/>
      <c r="M217" s="181"/>
    </row>
    <row r="218" spans="11:13" x14ac:dyDescent="0.2">
      <c r="K218" s="181"/>
      <c r="L218" s="181"/>
      <c r="M218" s="181"/>
    </row>
    <row r="219" spans="11:13" x14ac:dyDescent="0.2">
      <c r="K219" s="181"/>
      <c r="L219" s="181"/>
      <c r="M219" s="181"/>
    </row>
    <row r="220" spans="11:13" x14ac:dyDescent="0.2">
      <c r="K220" s="181"/>
      <c r="L220" s="181"/>
      <c r="M220" s="181"/>
    </row>
    <row r="221" spans="11:13" x14ac:dyDescent="0.2">
      <c r="K221" s="181"/>
      <c r="L221" s="181"/>
      <c r="M221" s="181"/>
    </row>
    <row r="222" spans="11:13" x14ac:dyDescent="0.2">
      <c r="K222" s="181"/>
      <c r="L222" s="181"/>
      <c r="M222" s="181"/>
    </row>
    <row r="223" spans="11:13" x14ac:dyDescent="0.2">
      <c r="K223" s="181"/>
      <c r="L223" s="181"/>
      <c r="M223" s="181"/>
    </row>
    <row r="224" spans="11:13" x14ac:dyDescent="0.2">
      <c r="K224" s="181"/>
      <c r="L224" s="181"/>
      <c r="M224" s="181"/>
    </row>
    <row r="225" spans="11:13" x14ac:dyDescent="0.2">
      <c r="K225" s="181"/>
      <c r="L225" s="181"/>
      <c r="M225" s="181"/>
    </row>
    <row r="226" spans="11:13" x14ac:dyDescent="0.2">
      <c r="K226" s="181"/>
      <c r="L226" s="181"/>
      <c r="M226" s="181"/>
    </row>
    <row r="227" spans="11:13" x14ac:dyDescent="0.2">
      <c r="K227" s="181"/>
      <c r="L227" s="181"/>
      <c r="M227" s="181"/>
    </row>
    <row r="228" spans="11:13" x14ac:dyDescent="0.2">
      <c r="K228" s="181"/>
      <c r="L228" s="181"/>
      <c r="M228" s="181"/>
    </row>
    <row r="229" spans="11:13" x14ac:dyDescent="0.2">
      <c r="K229" s="181"/>
      <c r="L229" s="181"/>
      <c r="M229" s="181"/>
    </row>
    <row r="230" spans="11:13" x14ac:dyDescent="0.2">
      <c r="K230" s="181"/>
      <c r="L230" s="181"/>
      <c r="M230" s="181"/>
    </row>
    <row r="231" spans="11:13" x14ac:dyDescent="0.2">
      <c r="K231" s="181"/>
      <c r="L231" s="181"/>
      <c r="M231" s="181"/>
    </row>
    <row r="232" spans="11:13" x14ac:dyDescent="0.2">
      <c r="K232" s="181"/>
      <c r="L232" s="181"/>
      <c r="M232" s="181"/>
    </row>
    <row r="233" spans="11:13" x14ac:dyDescent="0.2">
      <c r="K233" s="181"/>
      <c r="L233" s="181"/>
      <c r="M233" s="181"/>
    </row>
    <row r="234" spans="11:13" x14ac:dyDescent="0.2">
      <c r="K234" s="181"/>
      <c r="L234" s="181"/>
      <c r="M234" s="181"/>
    </row>
    <row r="235" spans="11:13" x14ac:dyDescent="0.2">
      <c r="K235" s="181"/>
      <c r="L235" s="181"/>
      <c r="M235" s="181"/>
    </row>
    <row r="236" spans="11:13" x14ac:dyDescent="0.2">
      <c r="K236" s="181"/>
      <c r="L236" s="181"/>
      <c r="M236" s="181"/>
    </row>
    <row r="237" spans="11:13" x14ac:dyDescent="0.2">
      <c r="K237" s="181"/>
      <c r="L237" s="181"/>
      <c r="M237" s="181"/>
    </row>
    <row r="238" spans="11:13" x14ac:dyDescent="0.2">
      <c r="K238" s="181"/>
      <c r="L238" s="181"/>
      <c r="M238" s="181"/>
    </row>
    <row r="239" spans="11:13" x14ac:dyDescent="0.2">
      <c r="K239" s="181"/>
      <c r="L239" s="181"/>
      <c r="M239" s="181"/>
    </row>
    <row r="240" spans="11:13" x14ac:dyDescent="0.2">
      <c r="K240" s="181"/>
      <c r="L240" s="181"/>
      <c r="M240" s="181"/>
    </row>
    <row r="241" spans="11:13" x14ac:dyDescent="0.2">
      <c r="K241" s="181"/>
      <c r="L241" s="181"/>
      <c r="M241" s="181"/>
    </row>
    <row r="242" spans="11:13" x14ac:dyDescent="0.2">
      <c r="K242" s="181"/>
      <c r="L242" s="181"/>
      <c r="M242" s="181"/>
    </row>
    <row r="243" spans="11:13" x14ac:dyDescent="0.2">
      <c r="K243" s="181"/>
      <c r="L243" s="181"/>
      <c r="M243" s="181"/>
    </row>
    <row r="244" spans="11:13" x14ac:dyDescent="0.2">
      <c r="K244" s="181"/>
      <c r="L244" s="181"/>
      <c r="M244" s="181"/>
    </row>
    <row r="245" spans="11:13" x14ac:dyDescent="0.2">
      <c r="K245" s="181"/>
      <c r="L245" s="181"/>
      <c r="M245" s="181"/>
    </row>
    <row r="246" spans="11:13" x14ac:dyDescent="0.2">
      <c r="K246" s="181"/>
      <c r="L246" s="181"/>
      <c r="M246" s="181"/>
    </row>
    <row r="247" spans="11:13" x14ac:dyDescent="0.2">
      <c r="K247" s="181"/>
      <c r="L247" s="181"/>
      <c r="M247" s="181"/>
    </row>
    <row r="248" spans="11:13" x14ac:dyDescent="0.2">
      <c r="K248" s="181"/>
      <c r="L248" s="181"/>
      <c r="M248" s="181"/>
    </row>
    <row r="249" spans="11:13" x14ac:dyDescent="0.2">
      <c r="K249" s="181"/>
      <c r="L249" s="181"/>
      <c r="M249" s="181"/>
    </row>
    <row r="250" spans="11:13" x14ac:dyDescent="0.2">
      <c r="K250" s="181"/>
      <c r="L250" s="181"/>
      <c r="M250" s="181"/>
    </row>
    <row r="251" spans="11:13" x14ac:dyDescent="0.2">
      <c r="K251" s="181"/>
      <c r="L251" s="181"/>
      <c r="M251" s="181"/>
    </row>
    <row r="252" spans="11:13" x14ac:dyDescent="0.2">
      <c r="K252" s="181"/>
      <c r="L252" s="181"/>
      <c r="M252" s="181"/>
    </row>
    <row r="253" spans="11:13" x14ac:dyDescent="0.2">
      <c r="K253" s="181"/>
      <c r="L253" s="181"/>
      <c r="M253" s="181"/>
    </row>
    <row r="254" spans="11:13" x14ac:dyDescent="0.2">
      <c r="K254" s="181"/>
      <c r="L254" s="181"/>
      <c r="M254" s="181"/>
    </row>
    <row r="255" spans="11:13" x14ac:dyDescent="0.2">
      <c r="K255" s="181"/>
      <c r="L255" s="181"/>
      <c r="M255" s="181"/>
    </row>
    <row r="256" spans="11:13" x14ac:dyDescent="0.2">
      <c r="K256" s="181"/>
      <c r="L256" s="181"/>
      <c r="M256" s="181"/>
    </row>
    <row r="257" spans="11:13" x14ac:dyDescent="0.2">
      <c r="K257" s="181"/>
      <c r="L257" s="181"/>
      <c r="M257" s="181"/>
    </row>
    <row r="258" spans="11:13" x14ac:dyDescent="0.2">
      <c r="K258" s="181"/>
      <c r="L258" s="181"/>
      <c r="M258" s="181"/>
    </row>
    <row r="259" spans="11:13" x14ac:dyDescent="0.2">
      <c r="K259" s="181"/>
      <c r="L259" s="181"/>
      <c r="M259" s="181"/>
    </row>
    <row r="260" spans="11:13" x14ac:dyDescent="0.2">
      <c r="K260" s="181"/>
      <c r="L260" s="181"/>
      <c r="M260" s="181"/>
    </row>
    <row r="261" spans="11:13" x14ac:dyDescent="0.2">
      <c r="K261" s="181"/>
      <c r="L261" s="181"/>
      <c r="M261" s="181"/>
    </row>
    <row r="262" spans="11:13" x14ac:dyDescent="0.2">
      <c r="K262" s="181"/>
      <c r="L262" s="181"/>
      <c r="M262" s="181"/>
    </row>
    <row r="263" spans="11:13" x14ac:dyDescent="0.2">
      <c r="K263" s="181"/>
      <c r="L263" s="181"/>
      <c r="M263" s="181"/>
    </row>
    <row r="264" spans="11:13" x14ac:dyDescent="0.2">
      <c r="K264" s="181"/>
      <c r="L264" s="181"/>
      <c r="M264" s="181"/>
    </row>
    <row r="265" spans="11:13" x14ac:dyDescent="0.2">
      <c r="K265" s="181"/>
      <c r="L265" s="181"/>
      <c r="M265" s="181"/>
    </row>
    <row r="266" spans="11:13" x14ac:dyDescent="0.2">
      <c r="K266" s="181"/>
      <c r="L266" s="181"/>
      <c r="M266" s="181"/>
    </row>
    <row r="267" spans="11:13" x14ac:dyDescent="0.2">
      <c r="K267" s="181"/>
      <c r="L267" s="181"/>
      <c r="M267" s="181"/>
    </row>
    <row r="268" spans="11:13" x14ac:dyDescent="0.2">
      <c r="K268" s="181"/>
      <c r="L268" s="181"/>
      <c r="M268" s="181"/>
    </row>
    <row r="269" spans="11:13" x14ac:dyDescent="0.2">
      <c r="K269" s="181"/>
      <c r="L269" s="181"/>
      <c r="M269" s="181"/>
    </row>
    <row r="270" spans="11:13" x14ac:dyDescent="0.2">
      <c r="K270" s="181"/>
      <c r="L270" s="181"/>
      <c r="M270" s="181"/>
    </row>
    <row r="271" spans="11:13" x14ac:dyDescent="0.2">
      <c r="K271" s="181"/>
      <c r="L271" s="181"/>
      <c r="M271" s="181"/>
    </row>
    <row r="272" spans="11:13" x14ac:dyDescent="0.2">
      <c r="K272" s="181"/>
      <c r="L272" s="181"/>
      <c r="M272" s="181"/>
    </row>
    <row r="273" spans="11:13" x14ac:dyDescent="0.2">
      <c r="K273" s="181"/>
      <c r="L273" s="181"/>
      <c r="M273" s="181"/>
    </row>
    <row r="274" spans="11:13" x14ac:dyDescent="0.2">
      <c r="K274" s="181"/>
      <c r="L274" s="181"/>
      <c r="M274" s="181"/>
    </row>
    <row r="275" spans="11:13" x14ac:dyDescent="0.2">
      <c r="K275" s="181"/>
      <c r="L275" s="181"/>
      <c r="M275" s="181"/>
    </row>
    <row r="276" spans="11:13" x14ac:dyDescent="0.2">
      <c r="K276" s="181"/>
      <c r="L276" s="181"/>
      <c r="M276" s="181"/>
    </row>
    <row r="277" spans="11:13" x14ac:dyDescent="0.2">
      <c r="K277" s="181"/>
      <c r="L277" s="181"/>
      <c r="M277" s="181"/>
    </row>
    <row r="278" spans="11:13" x14ac:dyDescent="0.2">
      <c r="K278" s="181"/>
      <c r="L278" s="181"/>
      <c r="M278" s="181"/>
    </row>
    <row r="279" spans="11:13" x14ac:dyDescent="0.2">
      <c r="K279" s="181"/>
      <c r="L279" s="181"/>
      <c r="M279" s="181"/>
    </row>
    <row r="280" spans="11:13" x14ac:dyDescent="0.2">
      <c r="K280" s="181"/>
      <c r="L280" s="181"/>
      <c r="M280" s="181"/>
    </row>
    <row r="281" spans="11:13" x14ac:dyDescent="0.2">
      <c r="K281" s="181"/>
      <c r="L281" s="181"/>
      <c r="M281" s="181"/>
    </row>
    <row r="282" spans="11:13" x14ac:dyDescent="0.2">
      <c r="K282" s="181"/>
      <c r="L282" s="181"/>
      <c r="M282" s="181"/>
    </row>
    <row r="283" spans="11:13" x14ac:dyDescent="0.2">
      <c r="K283" s="181"/>
      <c r="L283" s="181"/>
      <c r="M283" s="181"/>
    </row>
    <row r="284" spans="11:13" x14ac:dyDescent="0.2">
      <c r="K284" s="181"/>
      <c r="L284" s="181"/>
      <c r="M284" s="181"/>
    </row>
    <row r="285" spans="11:13" x14ac:dyDescent="0.2">
      <c r="K285" s="181"/>
      <c r="L285" s="181"/>
      <c r="M285" s="181"/>
    </row>
    <row r="286" spans="11:13" x14ac:dyDescent="0.2">
      <c r="K286" s="181"/>
      <c r="L286" s="181"/>
      <c r="M286" s="181"/>
    </row>
    <row r="287" spans="11:13" x14ac:dyDescent="0.2">
      <c r="K287" s="181"/>
      <c r="L287" s="181"/>
      <c r="M287" s="181"/>
    </row>
    <row r="288" spans="11:13" x14ac:dyDescent="0.2">
      <c r="K288" s="181"/>
      <c r="L288" s="181"/>
      <c r="M288" s="181"/>
    </row>
    <row r="289" spans="11:13" x14ac:dyDescent="0.2">
      <c r="K289" s="181"/>
      <c r="L289" s="181"/>
      <c r="M289" s="181"/>
    </row>
    <row r="290" spans="11:13" x14ac:dyDescent="0.2">
      <c r="K290" s="181"/>
      <c r="L290" s="181"/>
      <c r="M290" s="181"/>
    </row>
    <row r="291" spans="11:13" x14ac:dyDescent="0.2">
      <c r="K291" s="181"/>
      <c r="L291" s="181"/>
      <c r="M291" s="181"/>
    </row>
    <row r="292" spans="11:13" x14ac:dyDescent="0.2">
      <c r="K292" s="181"/>
      <c r="L292" s="181"/>
      <c r="M292" s="181"/>
    </row>
    <row r="293" spans="11:13" x14ac:dyDescent="0.2">
      <c r="K293" s="181"/>
      <c r="L293" s="181"/>
      <c r="M293" s="181"/>
    </row>
    <row r="294" spans="11:13" x14ac:dyDescent="0.2">
      <c r="K294" s="181"/>
      <c r="L294" s="181"/>
      <c r="M294" s="181"/>
    </row>
    <row r="295" spans="11:13" x14ac:dyDescent="0.2">
      <c r="K295" s="181"/>
      <c r="L295" s="181"/>
      <c r="M295" s="181"/>
    </row>
    <row r="296" spans="11:13" x14ac:dyDescent="0.2">
      <c r="K296" s="181"/>
      <c r="L296" s="181"/>
      <c r="M296" s="181"/>
    </row>
    <row r="297" spans="11:13" x14ac:dyDescent="0.2">
      <c r="K297" s="181"/>
      <c r="L297" s="181"/>
      <c r="M297" s="181"/>
    </row>
    <row r="298" spans="11:13" x14ac:dyDescent="0.2">
      <c r="K298" s="181"/>
      <c r="L298" s="181"/>
      <c r="M298" s="181"/>
    </row>
    <row r="299" spans="11:13" x14ac:dyDescent="0.2">
      <c r="K299" s="181"/>
      <c r="L299" s="181"/>
      <c r="M299" s="181"/>
    </row>
    <row r="300" spans="11:13" x14ac:dyDescent="0.2">
      <c r="K300" s="181"/>
      <c r="L300" s="181"/>
      <c r="M300" s="181"/>
    </row>
    <row r="301" spans="11:13" x14ac:dyDescent="0.2">
      <c r="K301" s="181"/>
      <c r="L301" s="181"/>
      <c r="M301" s="181"/>
    </row>
    <row r="302" spans="11:13" x14ac:dyDescent="0.2">
      <c r="K302" s="181"/>
      <c r="L302" s="181"/>
      <c r="M302" s="181"/>
    </row>
    <row r="303" spans="11:13" x14ac:dyDescent="0.2">
      <c r="K303" s="181"/>
      <c r="L303" s="181"/>
      <c r="M303" s="181"/>
    </row>
    <row r="304" spans="11:13" x14ac:dyDescent="0.2">
      <c r="K304" s="181"/>
      <c r="L304" s="181"/>
      <c r="M304" s="181"/>
    </row>
    <row r="305" spans="11:13" x14ac:dyDescent="0.2">
      <c r="K305" s="181"/>
      <c r="L305" s="181"/>
      <c r="M305" s="181"/>
    </row>
    <row r="306" spans="11:13" x14ac:dyDescent="0.2">
      <c r="K306" s="181"/>
      <c r="L306" s="181"/>
      <c r="M306" s="181"/>
    </row>
    <row r="307" spans="11:13" x14ac:dyDescent="0.2">
      <c r="K307" s="181"/>
      <c r="L307" s="181"/>
      <c r="M307" s="181"/>
    </row>
    <row r="308" spans="11:13" x14ac:dyDescent="0.2">
      <c r="K308" s="181"/>
      <c r="L308" s="181"/>
      <c r="M308" s="181"/>
    </row>
    <row r="309" spans="11:13" x14ac:dyDescent="0.2">
      <c r="K309" s="181"/>
      <c r="L309" s="181"/>
      <c r="M309" s="181"/>
    </row>
    <row r="310" spans="11:13" x14ac:dyDescent="0.2">
      <c r="K310" s="181"/>
      <c r="L310" s="181"/>
      <c r="M310" s="181"/>
    </row>
    <row r="311" spans="11:13" x14ac:dyDescent="0.2">
      <c r="K311" s="181"/>
      <c r="L311" s="181"/>
      <c r="M311" s="181"/>
    </row>
    <row r="312" spans="11:13" x14ac:dyDescent="0.2">
      <c r="K312" s="181"/>
      <c r="L312" s="181"/>
      <c r="M312" s="181"/>
    </row>
    <row r="313" spans="11:13" x14ac:dyDescent="0.2">
      <c r="K313" s="181"/>
      <c r="L313" s="181"/>
      <c r="M313" s="181"/>
    </row>
    <row r="314" spans="11:13" x14ac:dyDescent="0.2">
      <c r="K314" s="181"/>
      <c r="L314" s="181"/>
      <c r="M314" s="181"/>
    </row>
    <row r="315" spans="11:13" x14ac:dyDescent="0.2">
      <c r="K315" s="181"/>
      <c r="L315" s="181"/>
      <c r="M315" s="181"/>
    </row>
    <row r="316" spans="11:13" x14ac:dyDescent="0.2">
      <c r="K316" s="181"/>
      <c r="L316" s="181"/>
      <c r="M316" s="181"/>
    </row>
    <row r="317" spans="11:13" x14ac:dyDescent="0.2">
      <c r="K317" s="181"/>
      <c r="L317" s="181"/>
      <c r="M317" s="181"/>
    </row>
    <row r="318" spans="11:13" x14ac:dyDescent="0.2">
      <c r="K318" s="181"/>
      <c r="L318" s="181"/>
      <c r="M318" s="181"/>
    </row>
    <row r="319" spans="11:13" x14ac:dyDescent="0.2">
      <c r="K319" s="181"/>
      <c r="L319" s="181"/>
      <c r="M319" s="181"/>
    </row>
    <row r="320" spans="11:13" x14ac:dyDescent="0.2">
      <c r="K320" s="181"/>
      <c r="L320" s="181"/>
      <c r="M320" s="181"/>
    </row>
    <row r="321" spans="11:13" x14ac:dyDescent="0.2">
      <c r="K321" s="181"/>
      <c r="L321" s="181"/>
      <c r="M321" s="181"/>
    </row>
    <row r="322" spans="11:13" x14ac:dyDescent="0.2">
      <c r="K322" s="181"/>
      <c r="L322" s="181"/>
      <c r="M322" s="181"/>
    </row>
    <row r="323" spans="11:13" x14ac:dyDescent="0.2">
      <c r="K323" s="181"/>
      <c r="L323" s="181"/>
      <c r="M323" s="181"/>
    </row>
    <row r="324" spans="11:13" x14ac:dyDescent="0.2">
      <c r="K324" s="181"/>
      <c r="L324" s="181"/>
      <c r="M324" s="181"/>
    </row>
    <row r="325" spans="11:13" x14ac:dyDescent="0.2">
      <c r="K325" s="181"/>
      <c r="L325" s="181"/>
      <c r="M325" s="181"/>
    </row>
    <row r="326" spans="11:13" x14ac:dyDescent="0.2">
      <c r="K326" s="181"/>
      <c r="L326" s="181"/>
      <c r="M326" s="181"/>
    </row>
    <row r="327" spans="11:13" x14ac:dyDescent="0.2">
      <c r="K327" s="181"/>
      <c r="L327" s="181"/>
      <c r="M327" s="181"/>
    </row>
    <row r="328" spans="11:13" x14ac:dyDescent="0.2">
      <c r="K328" s="181"/>
      <c r="L328" s="181"/>
      <c r="M328" s="181"/>
    </row>
    <row r="329" spans="11:13" x14ac:dyDescent="0.2">
      <c r="K329" s="181"/>
      <c r="L329" s="181"/>
      <c r="M329" s="181"/>
    </row>
    <row r="330" spans="11:13" x14ac:dyDescent="0.2">
      <c r="K330" s="181"/>
      <c r="L330" s="181"/>
      <c r="M330" s="181"/>
    </row>
    <row r="331" spans="11:13" x14ac:dyDescent="0.2">
      <c r="K331" s="181"/>
      <c r="L331" s="181"/>
      <c r="M331" s="181"/>
    </row>
    <row r="332" spans="11:13" x14ac:dyDescent="0.2">
      <c r="K332" s="181"/>
      <c r="L332" s="181"/>
      <c r="M332" s="181"/>
    </row>
    <row r="333" spans="11:13" x14ac:dyDescent="0.2">
      <c r="K333" s="181"/>
      <c r="L333" s="181"/>
      <c r="M333" s="181"/>
    </row>
    <row r="334" spans="11:13" x14ac:dyDescent="0.2">
      <c r="K334" s="181"/>
      <c r="L334" s="181"/>
      <c r="M334" s="181"/>
    </row>
    <row r="335" spans="11:13" x14ac:dyDescent="0.2">
      <c r="K335" s="181"/>
      <c r="L335" s="181"/>
      <c r="M335" s="181"/>
    </row>
    <row r="336" spans="11:13" x14ac:dyDescent="0.2">
      <c r="K336" s="181"/>
      <c r="L336" s="181"/>
      <c r="M336" s="181"/>
    </row>
    <row r="337" spans="11:13" x14ac:dyDescent="0.2">
      <c r="K337" s="181"/>
      <c r="L337" s="181"/>
      <c r="M337" s="181"/>
    </row>
    <row r="338" spans="11:13" x14ac:dyDescent="0.2">
      <c r="K338" s="181"/>
      <c r="L338" s="181"/>
      <c r="M338" s="181"/>
    </row>
    <row r="339" spans="11:13" x14ac:dyDescent="0.2">
      <c r="K339" s="181"/>
      <c r="L339" s="181"/>
      <c r="M339" s="181"/>
    </row>
    <row r="340" spans="11:13" x14ac:dyDescent="0.2">
      <c r="K340" s="181"/>
      <c r="L340" s="181"/>
      <c r="M340" s="181"/>
    </row>
    <row r="341" spans="11:13" x14ac:dyDescent="0.2">
      <c r="K341" s="181"/>
      <c r="L341" s="181"/>
      <c r="M341" s="181"/>
    </row>
    <row r="342" spans="11:13" x14ac:dyDescent="0.2">
      <c r="K342" s="181"/>
      <c r="L342" s="181"/>
      <c r="M342" s="181"/>
    </row>
    <row r="343" spans="11:13" x14ac:dyDescent="0.2">
      <c r="K343" s="181"/>
      <c r="L343" s="181"/>
      <c r="M343" s="181"/>
    </row>
    <row r="344" spans="11:13" x14ac:dyDescent="0.2">
      <c r="K344" s="181"/>
      <c r="L344" s="181"/>
      <c r="M344" s="181"/>
    </row>
    <row r="345" spans="11:13" x14ac:dyDescent="0.2">
      <c r="K345" s="181"/>
      <c r="L345" s="181"/>
      <c r="M345" s="181"/>
    </row>
    <row r="346" spans="11:13" x14ac:dyDescent="0.2">
      <c r="K346" s="181"/>
      <c r="L346" s="181"/>
      <c r="M346" s="181"/>
    </row>
    <row r="347" spans="11:13" x14ac:dyDescent="0.2">
      <c r="K347" s="181"/>
      <c r="L347" s="181"/>
      <c r="M347" s="181"/>
    </row>
    <row r="348" spans="11:13" x14ac:dyDescent="0.2">
      <c r="K348" s="181"/>
      <c r="L348" s="181"/>
      <c r="M348" s="181"/>
    </row>
    <row r="349" spans="11:13" x14ac:dyDescent="0.2">
      <c r="K349" s="181"/>
      <c r="L349" s="181"/>
      <c r="M349" s="181"/>
    </row>
    <row r="350" spans="11:13" x14ac:dyDescent="0.2">
      <c r="K350" s="181"/>
      <c r="L350" s="181"/>
      <c r="M350" s="181"/>
    </row>
    <row r="351" spans="11:13" x14ac:dyDescent="0.2">
      <c r="K351" s="181"/>
      <c r="L351" s="181"/>
      <c r="M351" s="181"/>
    </row>
    <row r="352" spans="11:13" x14ac:dyDescent="0.2">
      <c r="K352" s="181"/>
      <c r="L352" s="181"/>
      <c r="M352" s="181"/>
    </row>
    <row r="353" spans="11:13" x14ac:dyDescent="0.2">
      <c r="K353" s="181"/>
      <c r="L353" s="181"/>
      <c r="M353" s="181"/>
    </row>
    <row r="354" spans="11:13" x14ac:dyDescent="0.2">
      <c r="K354" s="181"/>
      <c r="L354" s="181"/>
      <c r="M354" s="181"/>
    </row>
    <row r="355" spans="11:13" x14ac:dyDescent="0.2">
      <c r="K355" s="181"/>
      <c r="L355" s="181"/>
      <c r="M355" s="181"/>
    </row>
    <row r="356" spans="11:13" x14ac:dyDescent="0.2">
      <c r="K356" s="181"/>
      <c r="L356" s="181"/>
      <c r="M356" s="181"/>
    </row>
    <row r="357" spans="11:13" x14ac:dyDescent="0.2">
      <c r="K357" s="181"/>
      <c r="L357" s="181"/>
      <c r="M357" s="181"/>
    </row>
    <row r="358" spans="11:13" x14ac:dyDescent="0.2">
      <c r="K358" s="181"/>
      <c r="L358" s="181"/>
      <c r="M358" s="181"/>
    </row>
    <row r="359" spans="11:13" x14ac:dyDescent="0.2">
      <c r="K359" s="181"/>
      <c r="L359" s="181"/>
      <c r="M359" s="181"/>
    </row>
    <row r="360" spans="11:13" x14ac:dyDescent="0.2">
      <c r="K360" s="181"/>
      <c r="L360" s="181"/>
      <c r="M360" s="181"/>
    </row>
    <row r="361" spans="11:13" x14ac:dyDescent="0.2">
      <c r="K361" s="181"/>
      <c r="L361" s="181"/>
      <c r="M361" s="181"/>
    </row>
    <row r="362" spans="11:13" x14ac:dyDescent="0.2">
      <c r="K362" s="181"/>
      <c r="L362" s="181"/>
      <c r="M362" s="181"/>
    </row>
    <row r="363" spans="11:13" x14ac:dyDescent="0.2">
      <c r="K363" s="181"/>
      <c r="L363" s="181"/>
      <c r="M363" s="181"/>
    </row>
    <row r="364" spans="11:13" x14ac:dyDescent="0.2">
      <c r="K364" s="181"/>
      <c r="L364" s="181"/>
      <c r="M364" s="181"/>
    </row>
    <row r="365" spans="11:13" x14ac:dyDescent="0.2">
      <c r="K365" s="181"/>
      <c r="L365" s="181"/>
      <c r="M365" s="181"/>
    </row>
    <row r="366" spans="11:13" x14ac:dyDescent="0.2">
      <c r="K366" s="181"/>
      <c r="L366" s="181"/>
      <c r="M366" s="181"/>
    </row>
    <row r="367" spans="11:13" x14ac:dyDescent="0.2">
      <c r="K367" s="181"/>
      <c r="L367" s="181"/>
      <c r="M367" s="181"/>
    </row>
    <row r="368" spans="11:13" x14ac:dyDescent="0.2">
      <c r="K368" s="181"/>
      <c r="L368" s="181"/>
      <c r="M368" s="181"/>
    </row>
    <row r="369" spans="11:13" x14ac:dyDescent="0.2">
      <c r="K369" s="181"/>
      <c r="L369" s="181"/>
      <c r="M369" s="181"/>
    </row>
    <row r="370" spans="11:13" x14ac:dyDescent="0.2">
      <c r="K370" s="181"/>
      <c r="L370" s="181"/>
      <c r="M370" s="181"/>
    </row>
    <row r="371" spans="11:13" x14ac:dyDescent="0.2">
      <c r="K371" s="181"/>
      <c r="L371" s="181"/>
      <c r="M371" s="181"/>
    </row>
    <row r="372" spans="11:13" x14ac:dyDescent="0.2">
      <c r="K372" s="181"/>
      <c r="L372" s="181"/>
      <c r="M372" s="181"/>
    </row>
    <row r="373" spans="11:13" x14ac:dyDescent="0.2">
      <c r="K373" s="181"/>
      <c r="L373" s="181"/>
      <c r="M373" s="181"/>
    </row>
    <row r="374" spans="11:13" x14ac:dyDescent="0.2">
      <c r="K374" s="181"/>
      <c r="L374" s="181"/>
      <c r="M374" s="181"/>
    </row>
    <row r="375" spans="11:13" x14ac:dyDescent="0.2">
      <c r="K375" s="181"/>
      <c r="L375" s="181"/>
      <c r="M375" s="181"/>
    </row>
    <row r="376" spans="11:13" x14ac:dyDescent="0.2">
      <c r="K376" s="181"/>
      <c r="L376" s="181"/>
      <c r="M376" s="181"/>
    </row>
    <row r="377" spans="11:13" x14ac:dyDescent="0.2">
      <c r="K377" s="181"/>
      <c r="L377" s="181"/>
      <c r="M377" s="181"/>
    </row>
    <row r="378" spans="11:13" x14ac:dyDescent="0.2">
      <c r="K378" s="181"/>
      <c r="L378" s="181"/>
      <c r="M378" s="181"/>
    </row>
    <row r="379" spans="11:13" x14ac:dyDescent="0.2">
      <c r="K379" s="181"/>
      <c r="L379" s="181"/>
      <c r="M379" s="181"/>
    </row>
    <row r="380" spans="11:13" x14ac:dyDescent="0.2">
      <c r="K380" s="181"/>
      <c r="L380" s="181"/>
      <c r="M380" s="181"/>
    </row>
    <row r="381" spans="11:13" x14ac:dyDescent="0.2">
      <c r="K381" s="181"/>
      <c r="L381" s="181"/>
      <c r="M381" s="181"/>
    </row>
    <row r="382" spans="11:13" x14ac:dyDescent="0.2">
      <c r="K382" s="181"/>
      <c r="L382" s="181"/>
      <c r="M382" s="181"/>
    </row>
    <row r="383" spans="11:13" x14ac:dyDescent="0.2">
      <c r="K383" s="181"/>
      <c r="L383" s="181"/>
      <c r="M383" s="181"/>
    </row>
    <row r="384" spans="11:13" x14ac:dyDescent="0.2">
      <c r="K384" s="181"/>
      <c r="L384" s="181"/>
      <c r="M384" s="181"/>
    </row>
    <row r="385" spans="11:13" x14ac:dyDescent="0.2">
      <c r="K385" s="181"/>
      <c r="L385" s="181"/>
      <c r="M385" s="181"/>
    </row>
    <row r="386" spans="11:13" x14ac:dyDescent="0.2">
      <c r="K386" s="181"/>
      <c r="L386" s="181"/>
      <c r="M386" s="181"/>
    </row>
    <row r="387" spans="11:13" x14ac:dyDescent="0.2">
      <c r="K387" s="181"/>
      <c r="L387" s="181"/>
      <c r="M387" s="181"/>
    </row>
    <row r="388" spans="11:13" x14ac:dyDescent="0.2">
      <c r="K388" s="181"/>
      <c r="L388" s="181"/>
      <c r="M388" s="181"/>
    </row>
    <row r="389" spans="11:13" x14ac:dyDescent="0.2">
      <c r="K389" s="181"/>
      <c r="L389" s="181"/>
      <c r="M389" s="181"/>
    </row>
    <row r="390" spans="11:13" x14ac:dyDescent="0.2">
      <c r="K390" s="181"/>
      <c r="L390" s="181"/>
      <c r="M390" s="181"/>
    </row>
    <row r="391" spans="11:13" x14ac:dyDescent="0.2">
      <c r="K391" s="181"/>
      <c r="L391" s="181"/>
      <c r="M391" s="181"/>
    </row>
    <row r="392" spans="11:13" x14ac:dyDescent="0.2">
      <c r="K392" s="181"/>
      <c r="L392" s="181"/>
      <c r="M392" s="181"/>
    </row>
    <row r="393" spans="11:13" x14ac:dyDescent="0.2">
      <c r="K393" s="181"/>
      <c r="L393" s="181"/>
      <c r="M393" s="181"/>
    </row>
    <row r="394" spans="11:13" x14ac:dyDescent="0.2">
      <c r="K394" s="181"/>
      <c r="L394" s="181"/>
      <c r="M394" s="181"/>
    </row>
    <row r="395" spans="11:13" x14ac:dyDescent="0.2">
      <c r="K395" s="181"/>
      <c r="L395" s="181"/>
      <c r="M395" s="181"/>
    </row>
    <row r="396" spans="11:13" x14ac:dyDescent="0.2">
      <c r="K396" s="181"/>
      <c r="L396" s="181"/>
      <c r="M396" s="181"/>
    </row>
    <row r="397" spans="11:13" x14ac:dyDescent="0.2">
      <c r="K397" s="181"/>
      <c r="L397" s="181"/>
      <c r="M397" s="181"/>
    </row>
    <row r="398" spans="11:13" x14ac:dyDescent="0.2">
      <c r="K398" s="181"/>
      <c r="L398" s="181"/>
      <c r="M398" s="181"/>
    </row>
    <row r="399" spans="11:13" x14ac:dyDescent="0.2">
      <c r="K399" s="181"/>
      <c r="L399" s="181"/>
      <c r="M399" s="181"/>
    </row>
    <row r="400" spans="11:13" x14ac:dyDescent="0.2">
      <c r="K400" s="181"/>
      <c r="L400" s="181"/>
      <c r="M400" s="181"/>
    </row>
    <row r="401" spans="11:13" x14ac:dyDescent="0.2">
      <c r="K401" s="181"/>
      <c r="L401" s="181"/>
      <c r="M401" s="181"/>
    </row>
    <row r="402" spans="11:13" x14ac:dyDescent="0.2">
      <c r="K402" s="181"/>
      <c r="L402" s="181"/>
      <c r="M402" s="181"/>
    </row>
    <row r="403" spans="11:13" x14ac:dyDescent="0.2">
      <c r="K403" s="181"/>
      <c r="L403" s="181"/>
      <c r="M403" s="181"/>
    </row>
    <row r="404" spans="11:13" x14ac:dyDescent="0.2">
      <c r="K404" s="181"/>
      <c r="L404" s="181"/>
      <c r="M404" s="181"/>
    </row>
    <row r="405" spans="11:13" x14ac:dyDescent="0.2">
      <c r="K405" s="181"/>
      <c r="L405" s="181"/>
      <c r="M405" s="181"/>
    </row>
    <row r="406" spans="11:13" x14ac:dyDescent="0.2">
      <c r="K406" s="181"/>
      <c r="L406" s="181"/>
      <c r="M406" s="181"/>
    </row>
    <row r="407" spans="11:13" x14ac:dyDescent="0.2">
      <c r="K407" s="181"/>
      <c r="L407" s="181"/>
      <c r="M407" s="181"/>
    </row>
    <row r="408" spans="11:13" x14ac:dyDescent="0.2">
      <c r="K408" s="181"/>
      <c r="L408" s="181"/>
      <c r="M408" s="181"/>
    </row>
    <row r="409" spans="11:13" x14ac:dyDescent="0.2">
      <c r="K409" s="181"/>
      <c r="L409" s="181"/>
      <c r="M409" s="181"/>
    </row>
    <row r="410" spans="11:13" x14ac:dyDescent="0.2">
      <c r="K410" s="181"/>
      <c r="L410" s="181"/>
      <c r="M410" s="181"/>
    </row>
    <row r="411" spans="11:13" x14ac:dyDescent="0.2">
      <c r="K411" s="181"/>
      <c r="L411" s="181"/>
      <c r="M411" s="181"/>
    </row>
    <row r="412" spans="11:13" x14ac:dyDescent="0.2">
      <c r="K412" s="181"/>
      <c r="L412" s="181"/>
      <c r="M412" s="181"/>
    </row>
    <row r="413" spans="11:13" x14ac:dyDescent="0.2">
      <c r="K413" s="181"/>
      <c r="L413" s="181"/>
      <c r="M413" s="181"/>
    </row>
    <row r="414" spans="11:13" x14ac:dyDescent="0.2">
      <c r="K414" s="181"/>
      <c r="L414" s="181"/>
      <c r="M414" s="181"/>
    </row>
    <row r="415" spans="11:13" x14ac:dyDescent="0.2">
      <c r="K415" s="181"/>
      <c r="L415" s="181"/>
      <c r="M415" s="181"/>
    </row>
    <row r="416" spans="11:13" x14ac:dyDescent="0.2">
      <c r="K416" s="181"/>
      <c r="L416" s="181"/>
      <c r="M416" s="181"/>
    </row>
    <row r="417" spans="11:13" x14ac:dyDescent="0.2">
      <c r="K417" s="181"/>
      <c r="L417" s="181"/>
      <c r="M417" s="181"/>
    </row>
    <row r="418" spans="11:13" x14ac:dyDescent="0.2">
      <c r="K418" s="181"/>
      <c r="L418" s="181"/>
      <c r="M418" s="181"/>
    </row>
    <row r="419" spans="11:13" x14ac:dyDescent="0.2">
      <c r="K419" s="181"/>
      <c r="L419" s="181"/>
      <c r="M419" s="181"/>
    </row>
    <row r="420" spans="11:13" x14ac:dyDescent="0.2">
      <c r="K420" s="181"/>
      <c r="L420" s="181"/>
      <c r="M420" s="181"/>
    </row>
    <row r="421" spans="11:13" x14ac:dyDescent="0.2">
      <c r="K421" s="181"/>
      <c r="L421" s="181"/>
      <c r="M421" s="181"/>
    </row>
    <row r="422" spans="11:13" x14ac:dyDescent="0.2">
      <c r="K422" s="181"/>
      <c r="L422" s="181"/>
      <c r="M422" s="181"/>
    </row>
    <row r="423" spans="11:13" x14ac:dyDescent="0.2">
      <c r="K423" s="181"/>
      <c r="L423" s="181"/>
      <c r="M423" s="181"/>
    </row>
    <row r="424" spans="11:13" x14ac:dyDescent="0.2">
      <c r="K424" s="181"/>
      <c r="L424" s="181"/>
      <c r="M424" s="181"/>
    </row>
    <row r="425" spans="11:13" x14ac:dyDescent="0.2">
      <c r="K425" s="181"/>
      <c r="L425" s="181"/>
      <c r="M425" s="181"/>
    </row>
    <row r="426" spans="11:13" x14ac:dyDescent="0.2">
      <c r="K426" s="181"/>
      <c r="L426" s="181"/>
      <c r="M426" s="181"/>
    </row>
    <row r="427" spans="11:13" x14ac:dyDescent="0.2">
      <c r="K427" s="181"/>
      <c r="L427" s="181"/>
      <c r="M427" s="181"/>
    </row>
    <row r="428" spans="11:13" x14ac:dyDescent="0.2">
      <c r="K428" s="181"/>
      <c r="L428" s="181"/>
      <c r="M428" s="181"/>
    </row>
    <row r="429" spans="11:13" x14ac:dyDescent="0.2">
      <c r="K429" s="181"/>
      <c r="L429" s="181"/>
      <c r="M429" s="181"/>
    </row>
    <row r="430" spans="11:13" x14ac:dyDescent="0.2">
      <c r="K430" s="181"/>
      <c r="L430" s="181"/>
      <c r="M430" s="181"/>
    </row>
    <row r="431" spans="11:13" x14ac:dyDescent="0.2">
      <c r="K431" s="181"/>
      <c r="L431" s="181"/>
      <c r="M431" s="181"/>
    </row>
    <row r="432" spans="11:13" x14ac:dyDescent="0.2">
      <c r="K432" s="181"/>
      <c r="L432" s="181"/>
      <c r="M432" s="181"/>
    </row>
    <row r="433" spans="11:13" x14ac:dyDescent="0.2">
      <c r="K433" s="181"/>
      <c r="L433" s="181"/>
      <c r="M433" s="181"/>
    </row>
    <row r="434" spans="11:13" x14ac:dyDescent="0.2">
      <c r="K434" s="181"/>
      <c r="L434" s="181"/>
      <c r="M434" s="181"/>
    </row>
    <row r="435" spans="11:13" x14ac:dyDescent="0.2">
      <c r="K435" s="181"/>
      <c r="L435" s="181"/>
      <c r="M435" s="181"/>
    </row>
    <row r="436" spans="11:13" x14ac:dyDescent="0.2">
      <c r="K436" s="181"/>
      <c r="L436" s="181"/>
      <c r="M436" s="181"/>
    </row>
    <row r="437" spans="11:13" x14ac:dyDescent="0.2">
      <c r="K437" s="181"/>
      <c r="L437" s="181"/>
      <c r="M437" s="181"/>
    </row>
    <row r="438" spans="11:13" x14ac:dyDescent="0.2">
      <c r="K438" s="181"/>
      <c r="L438" s="181"/>
      <c r="M438" s="181"/>
    </row>
    <row r="439" spans="11:13" x14ac:dyDescent="0.2">
      <c r="K439" s="181"/>
      <c r="L439" s="181"/>
      <c r="M439" s="181"/>
    </row>
    <row r="440" spans="11:13" x14ac:dyDescent="0.2">
      <c r="K440" s="181"/>
      <c r="L440" s="181"/>
      <c r="M440" s="181"/>
    </row>
    <row r="441" spans="11:13" x14ac:dyDescent="0.2">
      <c r="K441" s="181"/>
      <c r="L441" s="181"/>
      <c r="M441" s="181"/>
    </row>
    <row r="442" spans="11:13" x14ac:dyDescent="0.2">
      <c r="K442" s="181"/>
      <c r="L442" s="181"/>
      <c r="M442" s="181"/>
    </row>
    <row r="443" spans="11:13" x14ac:dyDescent="0.2">
      <c r="K443" s="181"/>
      <c r="L443" s="181"/>
      <c r="M443" s="181"/>
    </row>
    <row r="444" spans="11:13" x14ac:dyDescent="0.2">
      <c r="K444" s="181"/>
      <c r="L444" s="181"/>
      <c r="M444" s="181"/>
    </row>
    <row r="445" spans="11:13" x14ac:dyDescent="0.2">
      <c r="K445" s="181"/>
      <c r="L445" s="181"/>
      <c r="M445" s="181"/>
    </row>
    <row r="446" spans="11:13" x14ac:dyDescent="0.2">
      <c r="K446" s="181"/>
      <c r="L446" s="181"/>
      <c r="M446" s="181"/>
    </row>
    <row r="447" spans="11:13" x14ac:dyDescent="0.2">
      <c r="K447" s="181"/>
      <c r="L447" s="181"/>
      <c r="M447" s="181"/>
    </row>
    <row r="448" spans="11:13" x14ac:dyDescent="0.2">
      <c r="K448" s="181"/>
      <c r="L448" s="181"/>
      <c r="M448" s="181"/>
    </row>
    <row r="449" spans="11:13" x14ac:dyDescent="0.2">
      <c r="K449" s="181"/>
      <c r="L449" s="181"/>
      <c r="M449" s="181"/>
    </row>
    <row r="450" spans="11:13" x14ac:dyDescent="0.2">
      <c r="K450" s="181"/>
      <c r="L450" s="181"/>
      <c r="M450" s="181"/>
    </row>
    <row r="451" spans="11:13" x14ac:dyDescent="0.2">
      <c r="K451" s="181"/>
      <c r="L451" s="181"/>
      <c r="M451" s="181"/>
    </row>
    <row r="452" spans="11:13" x14ac:dyDescent="0.2">
      <c r="K452" s="181"/>
      <c r="L452" s="181"/>
      <c r="M452" s="181"/>
    </row>
    <row r="453" spans="11:13" x14ac:dyDescent="0.2">
      <c r="K453" s="181"/>
      <c r="L453" s="181"/>
      <c r="M453" s="181"/>
    </row>
    <row r="454" spans="11:13" x14ac:dyDescent="0.2">
      <c r="K454" s="181"/>
      <c r="L454" s="181"/>
      <c r="M454" s="181"/>
    </row>
    <row r="455" spans="11:13" x14ac:dyDescent="0.2">
      <c r="K455" s="181"/>
      <c r="L455" s="181"/>
      <c r="M455" s="181"/>
    </row>
    <row r="456" spans="11:13" x14ac:dyDescent="0.2">
      <c r="K456" s="181"/>
      <c r="L456" s="181"/>
      <c r="M456" s="181"/>
    </row>
    <row r="457" spans="11:13" x14ac:dyDescent="0.2">
      <c r="K457" s="181"/>
      <c r="L457" s="181"/>
      <c r="M457" s="181"/>
    </row>
    <row r="458" spans="11:13" x14ac:dyDescent="0.2">
      <c r="K458" s="181"/>
      <c r="L458" s="181"/>
      <c r="M458" s="181"/>
    </row>
    <row r="459" spans="11:13" x14ac:dyDescent="0.2">
      <c r="K459" s="181"/>
      <c r="L459" s="181"/>
      <c r="M459" s="181"/>
    </row>
    <row r="460" spans="11:13" x14ac:dyDescent="0.2">
      <c r="K460" s="181"/>
      <c r="L460" s="181"/>
      <c r="M460" s="181"/>
    </row>
    <row r="461" spans="11:13" x14ac:dyDescent="0.2">
      <c r="K461" s="181"/>
      <c r="L461" s="181"/>
      <c r="M461" s="181"/>
    </row>
    <row r="462" spans="11:13" x14ac:dyDescent="0.2">
      <c r="K462" s="181"/>
      <c r="L462" s="181"/>
      <c r="M462" s="181"/>
    </row>
    <row r="463" spans="11:13" x14ac:dyDescent="0.2">
      <c r="K463" s="181"/>
      <c r="L463" s="181"/>
      <c r="M463" s="181"/>
    </row>
  </sheetData>
  <mergeCells count="7">
    <mergeCell ref="A50:M50"/>
    <mergeCell ref="A2:M2"/>
    <mergeCell ref="A3:M3"/>
    <mergeCell ref="A4:M4"/>
    <mergeCell ref="A6:B6"/>
    <mergeCell ref="C8:G8"/>
    <mergeCell ref="I8:M8"/>
  </mergeCells>
  <printOptions horizontalCentered="1"/>
  <pageMargins left="1" right="0.25" top="1" bottom="0.5" header="0.5" footer="0.5"/>
  <pageSetup scale="72" orientation="portrait" useFirstPageNumber="1" horizontalDpi="2400" verticalDpi="2400" r:id="rId1"/>
  <headerFooter alignWithMargins="0"/>
  <rowBreaks count="1" manualBreakCount="1">
    <brk id="1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E656AD9B-7D09-4053-B7F8-E4CDCC34B5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32E3632-4824-4407-A41E-C20074E7855C}"/>
</file>

<file path=customXml/itemProps3.xml><?xml version="1.0" encoding="utf-8"?>
<ds:datastoreItem xmlns:ds="http://schemas.openxmlformats.org/officeDocument/2006/customXml" ds:itemID="{80A38299-2C23-49D5-9F3C-B046AC1ED474}"/>
</file>

<file path=customXml/itemProps4.xml><?xml version="1.0" encoding="utf-8"?>
<ds:datastoreItem xmlns:ds="http://schemas.openxmlformats.org/officeDocument/2006/customXml" ds:itemID="{3557FAE1-15C2-4E25-9252-1A287F2CF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DRR-Page 1</vt:lpstr>
      <vt:lpstr>DRR-Page 2</vt:lpstr>
      <vt:lpstr>Rev Req</vt:lpstr>
      <vt:lpstr>DRR Projects</vt:lpstr>
      <vt:lpstr>Cost of Capital</vt:lpstr>
      <vt:lpstr>Customer Count</vt:lpstr>
      <vt:lpstr>Revenue</vt:lpstr>
      <vt:lpstr>12 Mos BA</vt:lpstr>
      <vt:lpstr>Depreciation</vt:lpstr>
      <vt:lpstr>'DRR-Page 1'!Print_Area</vt:lpstr>
      <vt:lpstr>'DRR-Page 2'!Print_Area</vt:lpstr>
      <vt:lpstr>Revenue!Print_Area</vt:lpstr>
      <vt:lpstr>TOC_1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s265762</dc:creator>
  <cp:keywords/>
  <cp:lastModifiedBy>s251635</cp:lastModifiedBy>
  <dcterms:created xsi:type="dcterms:W3CDTF">2019-08-15T11:27:13Z</dcterms:created>
  <dcterms:modified xsi:type="dcterms:W3CDTF">2023-08-28T19:16:03Z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3d049ae6-168f-4563-9233-e09f76837ca0</vt:lpwstr>
  </property>
  <property fmtid="{D5CDD505-2E9C-101B-9397-08002B2CF9AE}" pid="3" name="bjSaver">
    <vt:lpwstr>NFTqhSsaBIw7YLsWBUsOql49H5MGk+cK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{A44787D4-0540-4523-9961-78E4036D8C6D}">
    <vt:lpwstr>{0824B5F3-BD91-47CB-AF82-6D5F07160DF2}</vt:lpwstr>
  </property>
  <property fmtid="{D5CDD505-2E9C-101B-9397-08002B2CF9AE}" pid="8" name="ContentTypeId">
    <vt:lpwstr>0x01010001136CE24ED5F449BD16740FFC7FAF6F</vt:lpwstr>
  </property>
</Properties>
</file>