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2 Studies &amp; Adjustments/Workpapers/Spaeth/"/>
    </mc:Choice>
  </mc:AlternateContent>
  <xr:revisionPtr revIDLastSave="0" documentId="8_{AF5BFE73-887E-4AB2-A36E-9428A5506757}" xr6:coauthVersionLast="47" xr6:coauthVersionMax="47" xr10:uidLastSave="{00000000-0000-0000-0000-000000000000}"/>
  <bookViews>
    <workbookView xWindow="28680" yWindow="960" windowWidth="29040" windowHeight="15720" xr2:uid="{00000000-000D-0000-FFFF-FFFF00000000}"/>
  </bookViews>
  <sheets>
    <sheet name="Allocation &amp; Rates" sheetId="1" r:id="rId1"/>
    <sheet name="GRCF" sheetId="3" r:id="rId2"/>
    <sheet name="kWh &amp; Revenue" sheetId="4" r:id="rId3"/>
    <sheet name="Adj TY Revenue" sheetId="5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'Allocation &amp; Rates'!$A$1:$C$36</definedName>
    <definedName name="_xlnm.Print_Area" localSheetId="1">GRCF!$A$1:$G$27</definedName>
    <definedName name="_xlnm.Print_Area" localSheetId="2">'kWh &amp; Revenue'!$A$1:$N$11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S6" i="5"/>
  <c r="S5" i="5"/>
  <c r="R6" i="5"/>
  <c r="R5" i="5"/>
  <c r="T10" i="5"/>
  <c r="R42" i="5"/>
  <c r="T42" i="5" s="1"/>
  <c r="R40" i="5"/>
  <c r="T40" i="5" s="1"/>
  <c r="R39" i="5"/>
  <c r="T39" i="5" s="1"/>
  <c r="R36" i="5"/>
  <c r="T36" i="5" s="1"/>
  <c r="R35" i="5"/>
  <c r="T35" i="5" s="1"/>
  <c r="R34" i="5"/>
  <c r="T34" i="5" s="1"/>
  <c r="R33" i="5"/>
  <c r="T33" i="5" s="1"/>
  <c r="R30" i="5"/>
  <c r="T30" i="5" s="1"/>
  <c r="R29" i="5"/>
  <c r="T29" i="5" s="1"/>
  <c r="R26" i="5"/>
  <c r="T26" i="5" s="1"/>
  <c r="R25" i="5"/>
  <c r="T25" i="5" s="1"/>
  <c r="R24" i="5"/>
  <c r="T24" i="5" s="1"/>
  <c r="R23" i="5"/>
  <c r="T23" i="5" s="1"/>
  <c r="R22" i="5"/>
  <c r="T22" i="5" s="1"/>
  <c r="R21" i="5"/>
  <c r="T21" i="5" s="1"/>
  <c r="R20" i="5"/>
  <c r="T20" i="5" s="1"/>
  <c r="R17" i="5"/>
  <c r="T17" i="5" s="1"/>
  <c r="R16" i="5"/>
  <c r="T16" i="5" s="1"/>
  <c r="R15" i="5"/>
  <c r="T15" i="5" s="1"/>
  <c r="R14" i="5"/>
  <c r="T14" i="5" s="1"/>
  <c r="R13" i="5"/>
  <c r="T13" i="5" s="1"/>
  <c r="R12" i="5"/>
  <c r="T12" i="5" s="1"/>
  <c r="R11" i="5"/>
  <c r="T11" i="5" s="1"/>
  <c r="P6" i="5"/>
  <c r="P5" i="5"/>
  <c r="P4" i="5"/>
  <c r="O6" i="5"/>
  <c r="O5" i="5"/>
  <c r="O4" i="5"/>
  <c r="N5" i="5"/>
  <c r="N4" i="5"/>
  <c r="N6" i="5"/>
  <c r="T4" i="5" l="1"/>
  <c r="N44" i="5"/>
  <c r="T6" i="5"/>
  <c r="T5" i="5"/>
  <c r="T44" i="5" l="1"/>
  <c r="C5" i="4"/>
  <c r="D5" i="4"/>
  <c r="E5" i="4"/>
  <c r="F5" i="4"/>
  <c r="G5" i="4"/>
  <c r="H5" i="4"/>
  <c r="I5" i="4"/>
  <c r="J5" i="4"/>
  <c r="K5" i="4"/>
  <c r="L5" i="4"/>
  <c r="M5" i="4"/>
  <c r="B5" i="4"/>
  <c r="C11" i="4" l="1"/>
  <c r="D11" i="4"/>
  <c r="E11" i="4"/>
  <c r="F11" i="4"/>
  <c r="G11" i="4"/>
  <c r="H11" i="4"/>
  <c r="I11" i="4"/>
  <c r="J11" i="4"/>
  <c r="K11" i="4"/>
  <c r="L11" i="4"/>
  <c r="M11" i="4"/>
  <c r="B11" i="4"/>
  <c r="N5" i="4" l="1"/>
  <c r="B25" i="1" s="1"/>
  <c r="N7" i="4"/>
  <c r="N2" i="4"/>
  <c r="B24" i="1" s="1"/>
  <c r="N9" i="4"/>
  <c r="B14" i="1" s="1"/>
  <c r="N11" i="4"/>
  <c r="N10" i="4" l="1"/>
  <c r="B15" i="1" s="1"/>
  <c r="B16" i="1" s="1"/>
  <c r="G14" i="3" l="1"/>
  <c r="G16" i="3" s="1"/>
  <c r="A11" i="3"/>
  <c r="A12" i="3" s="1"/>
  <c r="A14" i="3" s="1"/>
  <c r="A16" i="3" s="1"/>
  <c r="A19" i="3" s="1"/>
  <c r="A21" i="3" s="1"/>
  <c r="A23" i="3" s="1"/>
  <c r="A25" i="3" s="1"/>
  <c r="C7" i="3"/>
  <c r="G7" i="3" s="1"/>
  <c r="G19" i="3" l="1"/>
  <c r="G21" i="3" s="1"/>
  <c r="G23" i="3" l="1"/>
  <c r="G25" i="3" s="1"/>
  <c r="B8" i="1" s="1"/>
  <c r="B9" i="1" s="1"/>
  <c r="B11" i="1" s="1"/>
  <c r="B26" i="1"/>
  <c r="B19" i="1" l="1"/>
  <c r="B20" i="1" s="1"/>
  <c r="B29" i="1" l="1"/>
  <c r="V4" i="5" s="1"/>
  <c r="V5" i="5" s="1"/>
  <c r="B30" i="1"/>
  <c r="V10" i="5" s="1"/>
  <c r="W4" i="5" l="1"/>
  <c r="Y4" i="5" s="1"/>
  <c r="V6" i="5"/>
  <c r="W6" i="5" s="1"/>
  <c r="Y6" i="5" s="1"/>
  <c r="W5" i="5"/>
  <c r="Y5" i="5" s="1"/>
  <c r="V39" i="5"/>
  <c r="W39" i="5" s="1"/>
  <c r="Y39" i="5" s="1"/>
  <c r="V40" i="5"/>
  <c r="W40" i="5" s="1"/>
  <c r="Y40" i="5" s="1"/>
  <c r="V22" i="5"/>
  <c r="W22" i="5" s="1"/>
  <c r="Y22" i="5" s="1"/>
  <c r="V36" i="5"/>
  <c r="W36" i="5" s="1"/>
  <c r="Y36" i="5" s="1"/>
  <c r="V21" i="5"/>
  <c r="W21" i="5" s="1"/>
  <c r="Y21" i="5" s="1"/>
  <c r="V33" i="5"/>
  <c r="W33" i="5" s="1"/>
  <c r="Y33" i="5" s="1"/>
  <c r="V26" i="5"/>
  <c r="W26" i="5" s="1"/>
  <c r="Y26" i="5" s="1"/>
  <c r="V20" i="5"/>
  <c r="W20" i="5" s="1"/>
  <c r="Y20" i="5" s="1"/>
  <c r="V34" i="5"/>
  <c r="W34" i="5" s="1"/>
  <c r="Y34" i="5" s="1"/>
  <c r="V15" i="5"/>
  <c r="W15" i="5" s="1"/>
  <c r="Y15" i="5" s="1"/>
  <c r="V23" i="5"/>
  <c r="W23" i="5" s="1"/>
  <c r="Y23" i="5" s="1"/>
  <c r="V29" i="5"/>
  <c r="W29" i="5" s="1"/>
  <c r="Y29" i="5" s="1"/>
  <c r="V35" i="5"/>
  <c r="W35" i="5" s="1"/>
  <c r="Y35" i="5" s="1"/>
  <c r="V16" i="5"/>
  <c r="W16" i="5" s="1"/>
  <c r="Y16" i="5" s="1"/>
  <c r="V14" i="5"/>
  <c r="W14" i="5" s="1"/>
  <c r="Y14" i="5" s="1"/>
  <c r="V24" i="5"/>
  <c r="W24" i="5" s="1"/>
  <c r="Y24" i="5" s="1"/>
  <c r="V30" i="5"/>
  <c r="W30" i="5" s="1"/>
  <c r="Y30" i="5" s="1"/>
  <c r="V13" i="5"/>
  <c r="W13" i="5" s="1"/>
  <c r="Y13" i="5" s="1"/>
  <c r="V25" i="5"/>
  <c r="W25" i="5" s="1"/>
  <c r="Y25" i="5" s="1"/>
  <c r="V11" i="5"/>
  <c r="W11" i="5" s="1"/>
  <c r="Y11" i="5" s="1"/>
  <c r="W10" i="5"/>
  <c r="Y10" i="5" s="1"/>
  <c r="V17" i="5"/>
  <c r="W17" i="5" s="1"/>
  <c r="Y17" i="5" s="1"/>
  <c r="V12" i="5"/>
  <c r="W12" i="5" s="1"/>
  <c r="Y12" i="5" s="1"/>
  <c r="V42" i="5"/>
  <c r="W42" i="5" s="1"/>
  <c r="Y42" i="5" s="1"/>
  <c r="B21" i="1"/>
  <c r="Y44" i="5" l="1"/>
  <c r="W44" i="5"/>
</calcChain>
</file>

<file path=xl/sharedStrings.xml><?xml version="1.0" encoding="utf-8"?>
<sst xmlns="http://schemas.openxmlformats.org/spreadsheetml/2006/main" count="128" uniqueCount="110">
  <si>
    <t>KENTUCKY POWER COMPANY</t>
  </si>
  <si>
    <t>COMPUTATION OF THE GROSS REVENUE</t>
  </si>
  <si>
    <t>CONVERSION FACTOR</t>
  </si>
  <si>
    <t>Line       No.</t>
  </si>
  <si>
    <t>Description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</si>
  <si>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</si>
  <si>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</si>
  <si>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</si>
  <si>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</si>
  <si>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</si>
  <si>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</si>
  <si>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Income Before Federal Income Taxes</t>
  </si>
  <si>
    <t>Operating Income Percentage</t>
  </si>
  <si>
    <t>Gross Revenue Conversion Factor (100% / L8)</t>
  </si>
  <si>
    <t>===========</t>
  </si>
  <si>
    <t>Total</t>
  </si>
  <si>
    <t>Applicable GRCF</t>
  </si>
  <si>
    <t>Kentucky Power Company</t>
  </si>
  <si>
    <t>Current Revenue</t>
  </si>
  <si>
    <t>Residential Class</t>
  </si>
  <si>
    <t>All Other</t>
  </si>
  <si>
    <t>All Other kWh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</si>
  <si>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</si>
  <si>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</si>
  <si>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</si>
  <si>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</si>
  <si>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</si>
  <si>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</si>
  <si>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</si>
  <si>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</si>
  <si>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</si>
  <si>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</si>
  <si>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</si>
  <si>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</si>
  <si>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Residential Monthly kWh</t>
  </si>
  <si>
    <t>All Other Classes</t>
  </si>
  <si>
    <t>Annual kWh</t>
  </si>
  <si>
    <t>Total kWh</t>
  </si>
  <si>
    <t>RES Rev</t>
  </si>
  <si>
    <t>C&amp;I Rev</t>
  </si>
  <si>
    <t>Total Rev</t>
  </si>
  <si>
    <t xml:space="preserve"> Tariff Summary</t>
  </si>
  <si>
    <t>Tariff Summary</t>
  </si>
  <si>
    <t>a</t>
  </si>
  <si>
    <t>b</t>
  </si>
  <si>
    <t>c = a*b</t>
  </si>
  <si>
    <t>e</t>
  </si>
  <si>
    <t>g</t>
  </si>
  <si>
    <t>Less: Federal income Taxes (L6 X 21.00%)</t>
  </si>
  <si>
    <t>Less: State Income Taxes (L4 X 5.0065%)   2/</t>
  </si>
  <si>
    <t>j</t>
  </si>
  <si>
    <t>k</t>
  </si>
  <si>
    <t>Apr - Nov</t>
  </si>
  <si>
    <t>Dec - Mar</t>
  </si>
  <si>
    <t>OL</t>
  </si>
  <si>
    <t>GS-NM</t>
  </si>
  <si>
    <t>GS-SEC</t>
  </si>
  <si>
    <t>GS-AF</t>
  </si>
  <si>
    <t>GS-PRI</t>
  </si>
  <si>
    <t>GSLMTOD</t>
  </si>
  <si>
    <t>SGS TOD</t>
  </si>
  <si>
    <t>MGSTOD</t>
  </si>
  <si>
    <t>GS-SUB</t>
  </si>
  <si>
    <t>LGS-SEC</t>
  </si>
  <si>
    <t>LGS-PRI</t>
  </si>
  <si>
    <t>LGS-SUB</t>
  </si>
  <si>
    <t>LGS-TRAN</t>
  </si>
  <si>
    <t>LGSLMTOD</t>
  </si>
  <si>
    <t>LGS-SEC TOD</t>
  </si>
  <si>
    <t>LGS-PRI TOD</t>
  </si>
  <si>
    <t>PS-SEC</t>
  </si>
  <si>
    <t>PS-PRI</t>
  </si>
  <si>
    <t>IGS-PRI</t>
  </si>
  <si>
    <t>IGS-SUB</t>
  </si>
  <si>
    <t>IGS-TRAN</t>
  </si>
  <si>
    <t>IGS-SEC</t>
  </si>
  <si>
    <t>SL</t>
  </si>
  <si>
    <t>MW</t>
  </si>
  <si>
    <t>Current</t>
  </si>
  <si>
    <t>Rates</t>
  </si>
  <si>
    <t>$</t>
  </si>
  <si>
    <t>Proposed</t>
  </si>
  <si>
    <t>Current Rates</t>
  </si>
  <si>
    <t>RS</t>
  </si>
  <si>
    <t>RS LMTOD</t>
  </si>
  <si>
    <t>RS TOD</t>
  </si>
  <si>
    <t>Increase</t>
  </si>
  <si>
    <t>d = a+b+c</t>
  </si>
  <si>
    <t>f = d*e</t>
  </si>
  <si>
    <t>Revenue (Credit)/Charge</t>
  </si>
  <si>
    <t>i</t>
  </si>
  <si>
    <t>Class Revenue Requirement</t>
  </si>
  <si>
    <t>Class Annual kWh</t>
  </si>
  <si>
    <t>Residential kWh</t>
  </si>
  <si>
    <t>Tariff Rates</t>
  </si>
  <si>
    <t>Residential Rate</t>
  </si>
  <si>
    <t>All Other Rate</t>
  </si>
  <si>
    <t>Federal Tax Change Tariff</t>
  </si>
  <si>
    <t>September (Over)/Under Recovery Balance</t>
  </si>
  <si>
    <t>h = f+g</t>
  </si>
  <si>
    <t>o</t>
  </si>
  <si>
    <t>p = n+o</t>
  </si>
  <si>
    <t>n</t>
  </si>
  <si>
    <t>q = l/n</t>
  </si>
  <si>
    <t>r = m/o</t>
  </si>
  <si>
    <t>l = h*(i/k)</t>
  </si>
  <si>
    <t>m = h*(j/k)</t>
  </si>
  <si>
    <t>KY Retail Protected Excess G&amp;D ADIT Amortization</t>
  </si>
  <si>
    <t>KY Retail Protected Excess Amortization Reduction for NOLC</t>
  </si>
  <si>
    <t>KY Retail Corporate Alternative Minimum Tax - Prior calendar year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</si>
</sst>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0000000"/>
    <numFmt numFmtId="172" formatCode="[$-409]mm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37" fontId="2" fillId="0" borderId="0" xfId="0" applyNumberFormat="1" applyFont="1" applyFill="1" applyAlignment="1">
      <alignment horizontal="center" wrapText="1"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5" fontId="2" fillId="0" borderId="0" xfId="0" applyNumberFormat="1" applyFont="1" applyFill="1"/>
    <xf numFmtId="10" fontId="2" fillId="0" borderId="0" xfId="0" applyNumberFormat="1" applyFont="1" applyFill="1"/>
    <xf numFmtId="164" fontId="2" fillId="0" borderId="0" xfId="0" applyNumberFormat="1" applyFont="1" applyFill="1"/>
    <xf numFmtId="1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6" fontId="0" fillId="0" borderId="0" xfId="2" applyNumberFormat="1" applyFont="1"/>
    <xf numFmtId="167" fontId="0" fillId="0" borderId="0" xfId="1" applyNumberFormat="1" applyFont="1"/>
    <xf numFmtId="0" fontId="4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1" xfId="2" applyNumberFormat="1" applyFont="1" applyBorder="1"/>
    <xf numFmtId="166" fontId="0" fillId="0" borderId="1" xfId="0" applyNumberFormat="1" applyBorder="1"/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0" fillId="0" borderId="1" xfId="1" applyNumberFormat="1" applyFont="1" applyBorder="1" applyAlignment="1">
      <alignment vertical="center"/>
    </xf>
    <xf numFmtId="168" fontId="0" fillId="0" borderId="0" xfId="3" applyNumberFormat="1" applyFont="1" applyAlignment="1">
      <alignment horizontal="center"/>
    </xf>
    <xf numFmtId="166" fontId="1" fillId="0" borderId="0" xfId="2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2" applyNumberFormat="1" applyFont="1" applyBorder="1"/>
    <xf numFmtId="165" fontId="0" fillId="0" borderId="0" xfId="0" applyNumberFormat="1" applyBorder="1"/>
    <xf numFmtId="171" fontId="3" fillId="0" borderId="0" xfId="0" applyNumberFormat="1" applyFont="1" applyFill="1"/>
    <xf numFmtId="38" fontId="0" fillId="0" borderId="0" xfId="0" applyNumberFormat="1"/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0" fillId="0" borderId="0" xfId="0" applyNumberFormat="1"/>
    <xf numFmtId="167" fontId="0" fillId="0" borderId="0" xfId="0" applyNumberFormat="1" applyAlignment="1"/>
    <xf numFmtId="6" fontId="0" fillId="0" borderId="0" xfId="0" applyNumberFormat="1"/>
    <xf numFmtId="0" fontId="0" fillId="0" borderId="0" xfId="0" applyFont="1"/>
    <xf numFmtId="0" fontId="8" fillId="0" borderId="0" xfId="0" applyFont="1"/>
    <xf numFmtId="0" fontId="8" fillId="0" borderId="0" xfId="4" applyFont="1"/>
    <xf numFmtId="0" fontId="8" fillId="0" borderId="0" xfId="4" applyFont="1" applyFill="1"/>
    <xf numFmtId="0" fontId="8" fillId="0" borderId="0" xfId="4" applyFont="1" applyBorder="1"/>
    <xf numFmtId="0" fontId="8" fillId="0" borderId="0" xfId="0" applyFont="1" applyBorder="1"/>
    <xf numFmtId="0" fontId="6" fillId="0" borderId="0" xfId="0" applyFont="1" applyAlignment="1">
      <alignment horizontal="center"/>
    </xf>
    <xf numFmtId="167" fontId="0" fillId="0" borderId="1" xfId="1" applyNumberFormat="1" applyFont="1" applyBorder="1"/>
    <xf numFmtId="0" fontId="10" fillId="0" borderId="0" xfId="0" applyFont="1"/>
    <xf numFmtId="0" fontId="9" fillId="0" borderId="0" xfId="0" applyFont="1" applyBorder="1" applyAlignment="1"/>
    <xf numFmtId="170" fontId="0" fillId="0" borderId="0" xfId="2" applyNumberFormat="1" applyFont="1" applyFill="1" applyBorder="1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1" applyNumberFormat="1" applyFont="1" applyFill="1"/>
    <xf numFmtId="169" fontId="0" fillId="0" borderId="0" xfId="0" applyNumberFormat="1" applyFill="1"/>
    <xf numFmtId="165" fontId="0" fillId="0" borderId="0" xfId="0" applyNumberFormat="1" applyFill="1"/>
    <xf numFmtId="3" fontId="0" fillId="0" borderId="0" xfId="0" applyNumberFormat="1" applyFill="1"/>
    <xf numFmtId="3" fontId="0" fillId="0" borderId="1" xfId="0" applyNumberFormat="1" applyFill="1" applyBorder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6" fillId="0" borderId="1" xfId="0" applyFont="1" applyBorder="1" applyAlignment="1">
      <alignment horizontal="center"/>
    </xf>
  </cellXfs>
  <cellStyles count="6">
    <cellStyle name="Comma" xfId="1" builtinId="3"/>
    <cellStyle name="Comma 2" xfId="5" xr:uid="{3178F433-2DD2-4BBB-8187-EA0B23596A38}"/>
    <cellStyle name="Currency" xfId="2" builtinId="4"/>
    <cellStyle name="Normal" xfId="0" builtinId="0"/>
    <cellStyle name="Normal 2" xfId="4" xr:uid="{D05AC72C-0ED3-42F0-AB03-DA1191D59D6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7"/>
  <sheetViews>
    <sheetView tabSelected="1" workbookViewId="0">
      <selection activeCell="C26" sqref="C26"/>
    </sheetView>
  </sheetViews>
  <sheetFormatPr defaultRowHeight="14.5" x14ac:dyDescent="0.35"/>
  <cols>
    <col min="1" max="1" width="66.54296875" bestFit="1" customWidth="1"/>
    <col min="2" max="2" width="14.26953125" style="16" bestFit="1" customWidth="1"/>
    <col min="3" max="3" width="15.1796875" style="19" bestFit="1" customWidth="1"/>
  </cols>
  <sheetData>
    <row r="1" spans="1:3" ht="18.5" x14ac:dyDescent="0.45">
      <c r="A1" s="18" t="s">
        <v>17</v>
      </c>
    </row>
    <row r="2" spans="1:3" ht="18.5" x14ac:dyDescent="0.45">
      <c r="A2" s="18" t="s">
        <v>97</v>
      </c>
    </row>
    <row r="4" spans="1:3" x14ac:dyDescent="0.35">
      <c r="A4" t="s">
        <v>107</v>
      </c>
      <c r="B4" s="16">
        <v>-1969031</v>
      </c>
      <c r="C4" s="19" t="s">
        <v>43</v>
      </c>
    </row>
    <row r="5" spans="1:3" x14ac:dyDescent="0.35">
      <c r="A5" t="s">
        <v>108</v>
      </c>
      <c r="B5" s="16">
        <v>290867</v>
      </c>
      <c r="C5" s="19" t="s">
        <v>44</v>
      </c>
    </row>
    <row r="6" spans="1:3" x14ac:dyDescent="0.35">
      <c r="A6" t="s">
        <v>109</v>
      </c>
      <c r="B6" s="21">
        <v>0</v>
      </c>
      <c r="C6" s="19" t="s">
        <v>45</v>
      </c>
    </row>
    <row r="7" spans="1:3" x14ac:dyDescent="0.35">
      <c r="A7" t="s">
        <v>15</v>
      </c>
      <c r="B7" s="16">
        <f>SUM(B4:B6)</f>
        <v>-1678164</v>
      </c>
      <c r="C7" s="19" t="s">
        <v>87</v>
      </c>
    </row>
    <row r="8" spans="1:3" x14ac:dyDescent="0.35">
      <c r="A8" t="s">
        <v>16</v>
      </c>
      <c r="B8" s="47">
        <f>GRCF!G25</f>
        <v>1.33253559</v>
      </c>
      <c r="C8" s="19" t="s">
        <v>46</v>
      </c>
    </row>
    <row r="9" spans="1:3" x14ac:dyDescent="0.35">
      <c r="A9" t="s">
        <v>89</v>
      </c>
      <c r="B9" s="16">
        <f>B7*B8</f>
        <v>-2236213.2558567598</v>
      </c>
      <c r="C9" s="19" t="s">
        <v>88</v>
      </c>
    </row>
    <row r="10" spans="1:3" x14ac:dyDescent="0.35">
      <c r="A10" t="s">
        <v>98</v>
      </c>
      <c r="B10" s="21">
        <v>0</v>
      </c>
      <c r="C10" s="19" t="s">
        <v>47</v>
      </c>
    </row>
    <row r="11" spans="1:3" x14ac:dyDescent="0.35">
      <c r="A11" t="s">
        <v>89</v>
      </c>
      <c r="B11" s="16">
        <f>B9+B10</f>
        <v>-2236213.2558567598</v>
      </c>
      <c r="C11" s="19" t="s">
        <v>99</v>
      </c>
    </row>
    <row r="12" spans="1:3" x14ac:dyDescent="0.35">
      <c r="C12" s="26"/>
    </row>
    <row r="13" spans="1:3" x14ac:dyDescent="0.35">
      <c r="A13" s="48" t="s">
        <v>18</v>
      </c>
    </row>
    <row r="14" spans="1:3" x14ac:dyDescent="0.35">
      <c r="A14" t="s">
        <v>19</v>
      </c>
      <c r="B14" s="16">
        <f>'kWh &amp; Revenue'!N9</f>
        <v>301523010.85000002</v>
      </c>
      <c r="C14" s="28" t="s">
        <v>90</v>
      </c>
    </row>
    <row r="15" spans="1:3" x14ac:dyDescent="0.35">
      <c r="A15" t="s">
        <v>20</v>
      </c>
      <c r="B15" s="21">
        <f>'kWh &amp; Revenue'!N10</f>
        <v>392479515.36999989</v>
      </c>
      <c r="C15" s="19" t="s">
        <v>50</v>
      </c>
    </row>
    <row r="16" spans="1:3" x14ac:dyDescent="0.35">
      <c r="A16" t="s">
        <v>15</v>
      </c>
      <c r="B16" s="16">
        <f>B15+B14</f>
        <v>694002526.21999991</v>
      </c>
      <c r="C16" s="28" t="s">
        <v>51</v>
      </c>
    </row>
    <row r="17" spans="1:3" ht="17.25" customHeight="1" x14ac:dyDescent="0.35">
      <c r="B17" s="49"/>
      <c r="C17" s="30"/>
    </row>
    <row r="18" spans="1:3" ht="17.25" customHeight="1" x14ac:dyDescent="0.35">
      <c r="A18" s="48" t="s">
        <v>91</v>
      </c>
      <c r="B18" s="30"/>
      <c r="C18" s="30"/>
    </row>
    <row r="19" spans="1:3" x14ac:dyDescent="0.35">
      <c r="A19" t="s">
        <v>19</v>
      </c>
      <c r="B19" s="20">
        <f>(B14/B16)*B11</f>
        <v>-971566.71385784994</v>
      </c>
      <c r="C19" s="19" t="s">
        <v>105</v>
      </c>
    </row>
    <row r="20" spans="1:3" x14ac:dyDescent="0.35">
      <c r="A20" t="s">
        <v>20</v>
      </c>
      <c r="B20" s="22">
        <f>B11-B19</f>
        <v>-1264646.5419989098</v>
      </c>
      <c r="C20" s="19" t="s">
        <v>106</v>
      </c>
    </row>
    <row r="21" spans="1:3" x14ac:dyDescent="0.35">
      <c r="A21" t="s">
        <v>15</v>
      </c>
      <c r="B21" s="20">
        <f>B20+B19</f>
        <v>-2236213.2558567598</v>
      </c>
    </row>
    <row r="23" spans="1:3" ht="13.5" customHeight="1" x14ac:dyDescent="0.35">
      <c r="A23" s="48" t="s">
        <v>92</v>
      </c>
      <c r="B23" s="27" t="s">
        <v>36</v>
      </c>
    </row>
    <row r="24" spans="1:3" x14ac:dyDescent="0.35">
      <c r="A24" t="s">
        <v>93</v>
      </c>
      <c r="B24" s="23">
        <f>'kWh &amp; Revenue'!N2</f>
        <v>1842227037</v>
      </c>
      <c r="C24" s="28" t="s">
        <v>102</v>
      </c>
    </row>
    <row r="25" spans="1:3" x14ac:dyDescent="0.35">
      <c r="A25" t="s">
        <v>21</v>
      </c>
      <c r="B25" s="25">
        <f>'kWh &amp; Revenue'!N5</f>
        <v>3458670232</v>
      </c>
      <c r="C25" s="28" t="s">
        <v>100</v>
      </c>
    </row>
    <row r="26" spans="1:3" x14ac:dyDescent="0.35">
      <c r="A26" t="s">
        <v>15</v>
      </c>
      <c r="B26" s="24">
        <f>SUM(B24:B25)</f>
        <v>5300897269</v>
      </c>
      <c r="C26" s="28" t="s">
        <v>101</v>
      </c>
    </row>
    <row r="27" spans="1:3" x14ac:dyDescent="0.35">
      <c r="B27" s="19"/>
      <c r="C27"/>
    </row>
    <row r="28" spans="1:3" x14ac:dyDescent="0.35">
      <c r="A28" s="48" t="s">
        <v>94</v>
      </c>
      <c r="B28" s="19"/>
      <c r="C28"/>
    </row>
    <row r="29" spans="1:3" x14ac:dyDescent="0.35">
      <c r="A29" s="29" t="s">
        <v>95</v>
      </c>
      <c r="B29" s="50">
        <f>ROUND(B19/$B$24,5)</f>
        <v>-5.2999999999999998E-4</v>
      </c>
      <c r="C29" s="19" t="s">
        <v>103</v>
      </c>
    </row>
    <row r="30" spans="1:3" x14ac:dyDescent="0.35">
      <c r="A30" s="29" t="s">
        <v>96</v>
      </c>
      <c r="B30" s="50">
        <f>ROUND(B20/$B$25,5)</f>
        <v>-3.6999999999999999E-4</v>
      </c>
      <c r="C30" s="19" t="s">
        <v>104</v>
      </c>
    </row>
    <row r="31" spans="1:3" x14ac:dyDescent="0.35">
      <c r="B31" s="24"/>
    </row>
    <row r="32" spans="1:3" s="29" customFormat="1" x14ac:dyDescent="0.35"/>
    <row r="33" spans="1:3" s="29" customFormat="1" x14ac:dyDescent="0.35"/>
    <row r="34" spans="1:3" s="29" customFormat="1" x14ac:dyDescent="0.35">
      <c r="A34" s="32"/>
    </row>
    <row r="35" spans="1:3" s="29" customFormat="1" x14ac:dyDescent="0.35">
      <c r="B35" s="23"/>
      <c r="C35" s="30"/>
    </row>
    <row r="36" spans="1:3" s="29" customFormat="1" x14ac:dyDescent="0.35">
      <c r="B36" s="24"/>
      <c r="C36" s="30"/>
    </row>
    <row r="37" spans="1:3" s="29" customFormat="1" x14ac:dyDescent="0.35">
      <c r="B37" s="31"/>
      <c r="C37" s="30"/>
    </row>
  </sheetData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workbookViewId="0">
      <selection activeCell="E16" sqref="E16"/>
    </sheetView>
  </sheetViews>
  <sheetFormatPr defaultColWidth="9.1796875" defaultRowHeight="12.5" x14ac:dyDescent="0.25"/>
  <cols>
    <col min="1" max="1" width="4.453125" style="1" bestFit="1" customWidth="1"/>
    <col min="2" max="2" width="2.26953125" style="2" customWidth="1"/>
    <col min="3" max="3" width="42.54296875" style="2" bestFit="1" customWidth="1"/>
    <col min="4" max="4" width="8.7265625" style="9" customWidth="1"/>
    <col min="5" max="5" width="10.26953125" style="2" bestFit="1" customWidth="1"/>
    <col min="6" max="6" width="2.26953125" style="2" customWidth="1"/>
    <col min="7" max="7" width="20.453125" style="2" bestFit="1" customWidth="1"/>
    <col min="8" max="8" width="2.26953125" style="2" customWidth="1"/>
    <col min="9" max="16384" width="9.1796875" style="2"/>
  </cols>
  <sheetData>
    <row r="1" spans="1:7" x14ac:dyDescent="0.25">
      <c r="C1" s="59" t="s">
        <v>0</v>
      </c>
      <c r="D1" s="60"/>
      <c r="E1" s="60"/>
      <c r="F1" s="3"/>
      <c r="G1" s="4"/>
    </row>
    <row r="2" spans="1:7" x14ac:dyDescent="0.25">
      <c r="C2" s="59" t="s">
        <v>1</v>
      </c>
      <c r="D2" s="60"/>
      <c r="E2" s="60"/>
      <c r="F2" s="3"/>
      <c r="G2" s="4"/>
    </row>
    <row r="3" spans="1:7" x14ac:dyDescent="0.25">
      <c r="C3" s="59" t="s">
        <v>2</v>
      </c>
      <c r="D3" s="60"/>
      <c r="E3" s="60"/>
      <c r="F3" s="3"/>
      <c r="G3" s="4"/>
    </row>
    <row r="4" spans="1:7" x14ac:dyDescent="0.25">
      <c r="C4" s="59"/>
      <c r="D4" s="60"/>
      <c r="E4" s="60"/>
      <c r="F4" s="3"/>
    </row>
    <row r="5" spans="1:7" x14ac:dyDescent="0.25">
      <c r="D5" s="5"/>
    </row>
    <row r="6" spans="1:7" ht="37.5" x14ac:dyDescent="0.25">
      <c r="A6" s="6" t="s">
        <v>3</v>
      </c>
      <c r="C6" s="1" t="s">
        <v>4</v>
      </c>
      <c r="D6" s="5"/>
      <c r="E6" s="6"/>
      <c r="F6" s="6"/>
      <c r="G6" s="6" t="s">
        <v>5</v>
      </c>
    </row>
    <row r="7" spans="1:7" x14ac:dyDescent="0.25">
      <c r="A7" s="7">
        <v>-1</v>
      </c>
      <c r="C7" s="8">
        <f>+A7-1</f>
        <v>-2</v>
      </c>
      <c r="D7" s="5"/>
      <c r="E7" s="8"/>
      <c r="F7" s="8"/>
      <c r="G7" s="8">
        <f>+C7-1</f>
        <v>-3</v>
      </c>
    </row>
    <row r="8" spans="1:7" x14ac:dyDescent="0.25">
      <c r="A8" s="8"/>
    </row>
    <row r="9" spans="1:7" x14ac:dyDescent="0.25">
      <c r="A9" s="8">
        <v>1</v>
      </c>
      <c r="C9" s="2" t="s">
        <v>6</v>
      </c>
      <c r="E9" s="10"/>
      <c r="F9" s="10"/>
      <c r="G9" s="11">
        <v>1</v>
      </c>
    </row>
    <row r="10" spans="1:7" x14ac:dyDescent="0.25">
      <c r="A10" s="8"/>
      <c r="E10" s="10"/>
      <c r="F10" s="10"/>
      <c r="G10" s="11"/>
    </row>
    <row r="11" spans="1:7" x14ac:dyDescent="0.25">
      <c r="A11" s="8">
        <f>+A9+1</f>
        <v>2</v>
      </c>
      <c r="C11" s="2" t="s">
        <v>7</v>
      </c>
      <c r="E11" s="10"/>
      <c r="F11" s="10"/>
      <c r="G11" s="12">
        <v>0</v>
      </c>
    </row>
    <row r="12" spans="1:7" x14ac:dyDescent="0.25">
      <c r="A12" s="8">
        <f>+A11+1</f>
        <v>3</v>
      </c>
      <c r="C12" s="2" t="s">
        <v>8</v>
      </c>
      <c r="E12" s="10"/>
      <c r="F12" s="10"/>
      <c r="G12" s="12">
        <v>0</v>
      </c>
    </row>
    <row r="13" spans="1:7" x14ac:dyDescent="0.25">
      <c r="A13" s="8"/>
      <c r="E13" s="10"/>
      <c r="F13" s="10"/>
      <c r="G13" s="13" t="s">
        <v>9</v>
      </c>
    </row>
    <row r="14" spans="1:7" x14ac:dyDescent="0.25">
      <c r="A14" s="8">
        <f>+A12+1</f>
        <v>4</v>
      </c>
      <c r="C14" s="2" t="s">
        <v>10</v>
      </c>
      <c r="E14" s="10"/>
      <c r="F14" s="10"/>
      <c r="G14" s="12">
        <f>+G9-G11-G12</f>
        <v>1</v>
      </c>
    </row>
    <row r="15" spans="1:7" x14ac:dyDescent="0.25">
      <c r="A15" s="8"/>
      <c r="E15" s="14"/>
      <c r="F15" s="14"/>
      <c r="G15" s="13"/>
    </row>
    <row r="16" spans="1:7" x14ac:dyDescent="0.25">
      <c r="A16" s="8">
        <f>+A14+1</f>
        <v>5</v>
      </c>
      <c r="C16" s="2" t="s">
        <v>49</v>
      </c>
      <c r="E16" s="12">
        <v>5.0065000000000005E-2</v>
      </c>
      <c r="F16" s="12"/>
      <c r="G16" s="12">
        <f>ROUND(G14*E16,6)</f>
        <v>5.0064999999999998E-2</v>
      </c>
    </row>
    <row r="17" spans="1:7" x14ac:dyDescent="0.25">
      <c r="A17" s="8"/>
      <c r="E17" s="14"/>
      <c r="F17" s="14"/>
      <c r="G17" s="13" t="s">
        <v>9</v>
      </c>
    </row>
    <row r="18" spans="1:7" x14ac:dyDescent="0.25">
      <c r="A18" s="8"/>
      <c r="E18" s="14"/>
      <c r="F18" s="14"/>
      <c r="G18" s="13"/>
    </row>
    <row r="19" spans="1:7" x14ac:dyDescent="0.25">
      <c r="A19" s="8">
        <f>+A16+1</f>
        <v>6</v>
      </c>
      <c r="C19" s="2" t="s">
        <v>11</v>
      </c>
      <c r="E19" s="10"/>
      <c r="F19" s="10"/>
      <c r="G19" s="12">
        <f>+G14-G16</f>
        <v>0.94993499999999997</v>
      </c>
    </row>
    <row r="20" spans="1:7" x14ac:dyDescent="0.25">
      <c r="A20" s="8"/>
      <c r="E20" s="14"/>
      <c r="F20" s="14"/>
      <c r="G20" s="13"/>
    </row>
    <row r="21" spans="1:7" x14ac:dyDescent="0.25">
      <c r="A21" s="8">
        <f>+A19+1</f>
        <v>7</v>
      </c>
      <c r="C21" s="2" t="s">
        <v>48</v>
      </c>
      <c r="E21" s="11">
        <v>0.21</v>
      </c>
      <c r="F21" s="11"/>
      <c r="G21" s="12">
        <f>ROUND(G19*E21,6)</f>
        <v>0.199486</v>
      </c>
    </row>
    <row r="22" spans="1:7" x14ac:dyDescent="0.25">
      <c r="A22" s="8"/>
      <c r="E22" s="10"/>
      <c r="F22" s="10"/>
      <c r="G22" s="11"/>
    </row>
    <row r="23" spans="1:7" x14ac:dyDescent="0.25">
      <c r="A23" s="8">
        <f>+A21+1</f>
        <v>8</v>
      </c>
      <c r="C23" s="2" t="s">
        <v>12</v>
      </c>
      <c r="E23" s="10"/>
      <c r="F23" s="10"/>
      <c r="G23" s="12">
        <f>+G19-G21</f>
        <v>0.75044899999999992</v>
      </c>
    </row>
    <row r="24" spans="1:7" x14ac:dyDescent="0.25">
      <c r="A24" s="8"/>
      <c r="E24" s="10"/>
      <c r="F24" s="10"/>
      <c r="G24" s="13" t="s">
        <v>9</v>
      </c>
    </row>
    <row r="25" spans="1:7" ht="13" x14ac:dyDescent="0.3">
      <c r="A25" s="8">
        <f>+A23+1</f>
        <v>9</v>
      </c>
      <c r="C25" s="2" t="s">
        <v>13</v>
      </c>
      <c r="E25" s="10"/>
      <c r="F25" s="10"/>
      <c r="G25" s="33">
        <f>ROUND(100/G23/100,8)</f>
        <v>1.33253559</v>
      </c>
    </row>
    <row r="26" spans="1:7" x14ac:dyDescent="0.25">
      <c r="A26" s="8"/>
      <c r="E26" s="10"/>
      <c r="F26" s="10"/>
      <c r="G26" s="13" t="s">
        <v>14</v>
      </c>
    </row>
    <row r="27" spans="1:7" x14ac:dyDescent="0.25">
      <c r="A27" s="8"/>
      <c r="E27" s="10"/>
      <c r="F27" s="10"/>
    </row>
    <row r="28" spans="1:7" x14ac:dyDescent="0.25">
      <c r="A28" s="8"/>
      <c r="E28" s="10"/>
      <c r="F28" s="10"/>
    </row>
    <row r="29" spans="1:7" ht="13" x14ac:dyDescent="0.3">
      <c r="A29" s="15"/>
      <c r="E29" s="11"/>
      <c r="F29" s="11"/>
      <c r="G29" s="11"/>
    </row>
    <row r="30" spans="1:7" x14ac:dyDescent="0.25">
      <c r="E30" s="11"/>
      <c r="F30" s="11"/>
      <c r="G30" s="11"/>
    </row>
    <row r="31" spans="1:7" x14ac:dyDescent="0.25">
      <c r="E31" s="11"/>
      <c r="F31" s="11"/>
      <c r="G31" s="11"/>
    </row>
    <row r="32" spans="1:7" x14ac:dyDescent="0.25">
      <c r="E32" s="11"/>
      <c r="F32" s="11"/>
      <c r="G32" s="11"/>
    </row>
    <row r="33" spans="5:7" x14ac:dyDescent="0.25">
      <c r="E33" s="11"/>
      <c r="F33" s="11"/>
      <c r="G33" s="11"/>
    </row>
    <row r="34" spans="5:7" x14ac:dyDescent="0.25">
      <c r="E34" s="11"/>
      <c r="F34" s="11"/>
      <c r="G34" s="11"/>
    </row>
    <row r="35" spans="5:7" x14ac:dyDescent="0.25">
      <c r="E35" s="11"/>
      <c r="F35" s="11"/>
      <c r="G35" s="11"/>
    </row>
    <row r="36" spans="5:7" x14ac:dyDescent="0.25">
      <c r="E36" s="11"/>
      <c r="F36" s="11"/>
      <c r="G36" s="11"/>
    </row>
    <row r="37" spans="5:7" x14ac:dyDescent="0.25">
      <c r="E37" s="11"/>
      <c r="F37" s="11"/>
      <c r="G37" s="11"/>
    </row>
    <row r="38" spans="5:7" x14ac:dyDescent="0.25">
      <c r="E38" s="11"/>
      <c r="F38" s="11"/>
      <c r="G38" s="11"/>
    </row>
    <row r="39" spans="5:7" x14ac:dyDescent="0.25">
      <c r="E39" s="11"/>
      <c r="F39" s="11"/>
      <c r="G39" s="11"/>
    </row>
    <row r="40" spans="5:7" x14ac:dyDescent="0.25">
      <c r="E40" s="11"/>
      <c r="F40" s="11"/>
      <c r="G40" s="11"/>
    </row>
  </sheetData>
  <mergeCells count="4">
    <mergeCell ref="C1:E1"/>
    <mergeCell ref="C2:E2"/>
    <mergeCell ref="C3:E3"/>
    <mergeCell ref="C4:E4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"/>
  <sheetViews>
    <sheetView workbookViewId="0">
      <selection sqref="A1:XFD1048576"/>
    </sheetView>
  </sheetViews>
  <sheetFormatPr defaultColWidth="9.1796875" defaultRowHeight="14.5" x14ac:dyDescent="0.35"/>
  <cols>
    <col min="1" max="1" width="25.7265625" style="53" bestFit="1" customWidth="1"/>
    <col min="2" max="13" width="15.1796875" style="53" customWidth="1"/>
    <col min="14" max="14" width="16.81640625" style="53" bestFit="1" customWidth="1"/>
    <col min="15" max="16384" width="9.1796875" style="53"/>
  </cols>
  <sheetData>
    <row r="1" spans="1:15" x14ac:dyDescent="0.35">
      <c r="A1" s="51" t="s">
        <v>34</v>
      </c>
      <c r="B1" s="52" t="s">
        <v>23</v>
      </c>
      <c r="C1" s="52" t="s">
        <v>24</v>
      </c>
      <c r="D1" s="52" t="s">
        <v>25</v>
      </c>
      <c r="E1" s="52" t="s">
        <v>26</v>
      </c>
      <c r="F1" s="52" t="s">
        <v>27</v>
      </c>
      <c r="G1" s="52" t="s">
        <v>28</v>
      </c>
      <c r="H1" s="52" t="s">
        <v>29</v>
      </c>
      <c r="I1" s="52" t="s">
        <v>30</v>
      </c>
      <c r="J1" s="52" t="s">
        <v>31</v>
      </c>
      <c r="K1" s="52" t="s">
        <v>32</v>
      </c>
      <c r="L1" s="52" t="s">
        <v>33</v>
      </c>
      <c r="M1" s="52" t="s">
        <v>22</v>
      </c>
      <c r="N1" s="52" t="s">
        <v>15</v>
      </c>
    </row>
    <row r="2" spans="1:15" x14ac:dyDescent="0.35">
      <c r="A2" s="53" t="s">
        <v>41</v>
      </c>
      <c r="B2" s="54">
        <v>125760934</v>
      </c>
      <c r="C2" s="54">
        <v>113825518</v>
      </c>
      <c r="D2" s="54">
        <v>142973601</v>
      </c>
      <c r="E2" s="54">
        <v>164896474</v>
      </c>
      <c r="F2" s="54">
        <v>161714344</v>
      </c>
      <c r="G2" s="54">
        <v>120730159</v>
      </c>
      <c r="H2" s="54">
        <v>115229168</v>
      </c>
      <c r="I2" s="54">
        <v>146627068</v>
      </c>
      <c r="J2" s="54">
        <v>222110176</v>
      </c>
      <c r="K2" s="54">
        <v>214914625</v>
      </c>
      <c r="L2" s="54">
        <v>160845577</v>
      </c>
      <c r="M2" s="54">
        <v>152599393</v>
      </c>
      <c r="N2" s="54">
        <f>SUM(B2:M2)</f>
        <v>1842227037</v>
      </c>
      <c r="O2" s="55"/>
    </row>
    <row r="3" spans="1:15" x14ac:dyDescent="0.35">
      <c r="N3" s="56"/>
    </row>
    <row r="4" spans="1:15" x14ac:dyDescent="0.35">
      <c r="A4" s="51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 t="s">
        <v>15</v>
      </c>
    </row>
    <row r="5" spans="1:15" x14ac:dyDescent="0.35">
      <c r="A5" s="53" t="s">
        <v>42</v>
      </c>
      <c r="B5" s="54">
        <f>B7-B2</f>
        <v>254991096</v>
      </c>
      <c r="C5" s="54">
        <f t="shared" ref="C5:M5" si="0">C7-C2</f>
        <v>330710074</v>
      </c>
      <c r="D5" s="54">
        <f t="shared" si="0"/>
        <v>257763460</v>
      </c>
      <c r="E5" s="54">
        <f t="shared" si="0"/>
        <v>303174097</v>
      </c>
      <c r="F5" s="54">
        <f t="shared" si="0"/>
        <v>309104651</v>
      </c>
      <c r="G5" s="54">
        <f t="shared" si="0"/>
        <v>275901072</v>
      </c>
      <c r="H5" s="54">
        <f t="shared" si="0"/>
        <v>301992805</v>
      </c>
      <c r="I5" s="54">
        <f t="shared" si="0"/>
        <v>285630020</v>
      </c>
      <c r="J5" s="54">
        <f t="shared" si="0"/>
        <v>300185116</v>
      </c>
      <c r="K5" s="54">
        <f t="shared" si="0"/>
        <v>283667121</v>
      </c>
      <c r="L5" s="54">
        <f t="shared" si="0"/>
        <v>255754789</v>
      </c>
      <c r="M5" s="54">
        <f t="shared" si="0"/>
        <v>299795931</v>
      </c>
      <c r="N5" s="54">
        <f>SUM(B5:M5)</f>
        <v>3458670232</v>
      </c>
      <c r="O5" s="55"/>
    </row>
    <row r="6" spans="1:15" x14ac:dyDescent="0.35">
      <c r="N6" s="56"/>
    </row>
    <row r="7" spans="1:15" x14ac:dyDescent="0.35">
      <c r="A7" s="53" t="s">
        <v>37</v>
      </c>
      <c r="B7" s="57">
        <v>380752030</v>
      </c>
      <c r="C7" s="57">
        <v>444535592</v>
      </c>
      <c r="D7" s="57">
        <v>400737061</v>
      </c>
      <c r="E7" s="57">
        <v>468070571</v>
      </c>
      <c r="F7" s="57">
        <v>470818995</v>
      </c>
      <c r="G7" s="57">
        <v>396631231</v>
      </c>
      <c r="H7" s="57">
        <v>417221973</v>
      </c>
      <c r="I7" s="57">
        <v>432257088</v>
      </c>
      <c r="J7" s="57">
        <v>522295292</v>
      </c>
      <c r="K7" s="57">
        <v>498581746</v>
      </c>
      <c r="L7" s="57">
        <v>416600366</v>
      </c>
      <c r="M7" s="57">
        <v>452395324</v>
      </c>
      <c r="N7" s="54">
        <f>SUM(B7:M7)</f>
        <v>5300897269</v>
      </c>
    </row>
    <row r="8" spans="1:15" x14ac:dyDescent="0.3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x14ac:dyDescent="0.35">
      <c r="A9" s="53" t="s">
        <v>38</v>
      </c>
      <c r="B9" s="57">
        <v>22485634.919999998</v>
      </c>
      <c r="C9" s="57">
        <v>21069577.260000002</v>
      </c>
      <c r="D9" s="57">
        <v>25733392.48</v>
      </c>
      <c r="E9" s="57">
        <v>29911076.960000001</v>
      </c>
      <c r="F9" s="57">
        <v>27791814.84</v>
      </c>
      <c r="G9" s="57">
        <v>20448146.150000002</v>
      </c>
      <c r="H9" s="57">
        <v>22048290.089999996</v>
      </c>
      <c r="I9" s="57">
        <v>28798950.220000003</v>
      </c>
      <c r="J9" s="57">
        <v>32694748.970000003</v>
      </c>
      <c r="K9" s="57">
        <v>32955650.829999998</v>
      </c>
      <c r="L9" s="57">
        <v>21191779.09</v>
      </c>
      <c r="M9" s="57">
        <v>16393949.039999999</v>
      </c>
      <c r="N9" s="57">
        <f t="shared" ref="N9:N10" si="1">SUM(B9:M9)</f>
        <v>301523010.85000002</v>
      </c>
    </row>
    <row r="10" spans="1:15" x14ac:dyDescent="0.35">
      <c r="A10" s="53" t="s">
        <v>39</v>
      </c>
      <c r="B10" s="58">
        <v>26094432.989999998</v>
      </c>
      <c r="C10" s="58">
        <v>34367070.309999995</v>
      </c>
      <c r="D10" s="58">
        <v>33301644.010000002</v>
      </c>
      <c r="E10" s="58">
        <v>35860459.57</v>
      </c>
      <c r="F10" s="58">
        <v>34547555.729999989</v>
      </c>
      <c r="G10" s="58">
        <v>31123078.66</v>
      </c>
      <c r="H10" s="58">
        <v>33312695.809999999</v>
      </c>
      <c r="I10" s="58">
        <v>38112256.07</v>
      </c>
      <c r="J10" s="58">
        <v>39036135.150000006</v>
      </c>
      <c r="K10" s="58">
        <v>34108556.329999998</v>
      </c>
      <c r="L10" s="58">
        <v>30636020.520000003</v>
      </c>
      <c r="M10" s="58">
        <v>21979610.219999999</v>
      </c>
      <c r="N10" s="57">
        <f t="shared" si="1"/>
        <v>392479515.36999989</v>
      </c>
    </row>
    <row r="11" spans="1:15" x14ac:dyDescent="0.35">
      <c r="A11" s="53" t="s">
        <v>40</v>
      </c>
      <c r="B11" s="57">
        <f>B9+B10</f>
        <v>48580067.909999996</v>
      </c>
      <c r="C11" s="57">
        <f t="shared" ref="C11:M11" si="2">C9+C10</f>
        <v>55436647.569999993</v>
      </c>
      <c r="D11" s="57">
        <f t="shared" si="2"/>
        <v>59035036.490000002</v>
      </c>
      <c r="E11" s="57">
        <f t="shared" si="2"/>
        <v>65771536.530000001</v>
      </c>
      <c r="F11" s="57">
        <f t="shared" si="2"/>
        <v>62339370.569999993</v>
      </c>
      <c r="G11" s="57">
        <f t="shared" si="2"/>
        <v>51571224.810000002</v>
      </c>
      <c r="H11" s="57">
        <f t="shared" si="2"/>
        <v>55360985.899999991</v>
      </c>
      <c r="I11" s="57">
        <f t="shared" si="2"/>
        <v>66911206.290000007</v>
      </c>
      <c r="J11" s="57">
        <f t="shared" si="2"/>
        <v>71730884.120000005</v>
      </c>
      <c r="K11" s="57">
        <f t="shared" si="2"/>
        <v>67064207.159999996</v>
      </c>
      <c r="L11" s="57">
        <f t="shared" si="2"/>
        <v>51827799.609999999</v>
      </c>
      <c r="M11" s="57">
        <f t="shared" si="2"/>
        <v>38373559.259999998</v>
      </c>
      <c r="N11" s="57">
        <f>SUM(B11:M11)</f>
        <v>694002526.22000003</v>
      </c>
    </row>
  </sheetData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AAC4-A858-4173-9250-1E28B84A0ADB}">
  <dimension ref="A1:Y44"/>
  <sheetViews>
    <sheetView workbookViewId="0"/>
  </sheetViews>
  <sheetFormatPr defaultRowHeight="14.5" outlineLevelCol="1" x14ac:dyDescent="0.35"/>
  <cols>
    <col min="1" max="1" width="40.54296875" style="40" bestFit="1" customWidth="1"/>
    <col min="2" max="13" width="11.81640625" hidden="1" customWidth="1" outlineLevel="1"/>
    <col min="14" max="14" width="13.54296875" customWidth="1" collapsed="1"/>
    <col min="15" max="15" width="11.81640625" bestFit="1" customWidth="1"/>
    <col min="16" max="16" width="13.54296875" bestFit="1" customWidth="1"/>
    <col min="18" max="19" width="9.7265625" bestFit="1" customWidth="1"/>
    <col min="20" max="20" width="12.54296875" bestFit="1" customWidth="1"/>
    <col min="21" max="21" width="3.7265625" customWidth="1"/>
    <col min="22" max="22" width="9.7265625" bestFit="1" customWidth="1"/>
    <col min="23" max="23" width="11.54296875" bestFit="1" customWidth="1"/>
    <col min="24" max="24" width="3.7265625" customWidth="1"/>
    <col min="25" max="25" width="11.81640625" bestFit="1" customWidth="1"/>
  </cols>
  <sheetData>
    <row r="1" spans="1:25" x14ac:dyDescent="0.35">
      <c r="R1" s="61" t="s">
        <v>82</v>
      </c>
      <c r="S1" s="61"/>
      <c r="T1" s="46" t="s">
        <v>78</v>
      </c>
      <c r="U1" s="46"/>
      <c r="V1" s="46" t="s">
        <v>81</v>
      </c>
      <c r="W1" s="46" t="s">
        <v>81</v>
      </c>
      <c r="Y1" s="46" t="s">
        <v>86</v>
      </c>
    </row>
    <row r="2" spans="1:25" x14ac:dyDescent="0.35">
      <c r="A2" s="40" t="s">
        <v>4</v>
      </c>
      <c r="B2" s="35">
        <v>44927</v>
      </c>
      <c r="C2" s="35">
        <v>44958</v>
      </c>
      <c r="D2" s="35">
        <v>44986</v>
      </c>
      <c r="E2" s="35">
        <v>44652</v>
      </c>
      <c r="F2" s="35">
        <v>44682</v>
      </c>
      <c r="G2" s="35">
        <v>44713</v>
      </c>
      <c r="H2" s="35">
        <v>44743</v>
      </c>
      <c r="I2" s="35">
        <v>44774</v>
      </c>
      <c r="J2" s="35">
        <v>44805</v>
      </c>
      <c r="K2" s="35">
        <v>44835</v>
      </c>
      <c r="L2" s="35">
        <v>44866</v>
      </c>
      <c r="M2" s="35">
        <v>44896</v>
      </c>
      <c r="N2" s="35" t="s">
        <v>15</v>
      </c>
      <c r="O2" s="36" t="s">
        <v>53</v>
      </c>
      <c r="P2" s="36" t="s">
        <v>52</v>
      </c>
      <c r="R2" s="36" t="s">
        <v>53</v>
      </c>
      <c r="S2" s="36" t="s">
        <v>52</v>
      </c>
      <c r="T2" s="36" t="s">
        <v>80</v>
      </c>
      <c r="U2" s="36"/>
      <c r="V2" s="36" t="s">
        <v>79</v>
      </c>
      <c r="W2" s="36" t="s">
        <v>80</v>
      </c>
      <c r="Y2" s="36" t="s">
        <v>80</v>
      </c>
    </row>
    <row r="4" spans="1:25" x14ac:dyDescent="0.35">
      <c r="A4" s="41" t="s">
        <v>83</v>
      </c>
      <c r="B4" s="34">
        <v>285837667.592345</v>
      </c>
      <c r="C4" s="34">
        <v>237161573.77324414</v>
      </c>
      <c r="D4" s="34">
        <v>155990701.66346288</v>
      </c>
      <c r="E4" s="34">
        <v>133826072.64588574</v>
      </c>
      <c r="F4" s="34">
        <v>114720972.78939649</v>
      </c>
      <c r="G4" s="34">
        <v>126818414.48895693</v>
      </c>
      <c r="H4" s="34">
        <v>151971178.07885963</v>
      </c>
      <c r="I4" s="34">
        <v>157093953.65684652</v>
      </c>
      <c r="J4" s="34">
        <v>141812730.45688939</v>
      </c>
      <c r="K4" s="34">
        <v>120218503.40965556</v>
      </c>
      <c r="L4" s="34">
        <v>123672570.34284183</v>
      </c>
      <c r="M4" s="34">
        <v>196431978.03965485</v>
      </c>
      <c r="N4" s="34">
        <f t="shared" ref="N4:N5" si="0">SUM(B4:M4)</f>
        <v>1945556316.9380388</v>
      </c>
      <c r="O4" s="34">
        <f>SUM(B4:D4,M4)</f>
        <v>875421921.06870687</v>
      </c>
      <c r="P4" s="34">
        <f>SUM(E4:L4)</f>
        <v>1070134395.8693321</v>
      </c>
      <c r="R4" s="17">
        <v>-2.1870000000000001E-2</v>
      </c>
      <c r="S4" s="17">
        <v>-1E-4</v>
      </c>
      <c r="T4" s="39">
        <f>O4*R4+P4*S4</f>
        <v>-19252490.853359554</v>
      </c>
      <c r="V4" s="17">
        <f>'Allocation &amp; Rates'!B29</f>
        <v>-5.2999999999999998E-4</v>
      </c>
      <c r="W4" s="39">
        <f>N4*V4</f>
        <v>-1031144.8479771606</v>
      </c>
      <c r="Y4" s="39">
        <f>W4-T4</f>
        <v>18221346.005382393</v>
      </c>
    </row>
    <row r="5" spans="1:25" x14ac:dyDescent="0.35">
      <c r="A5" s="41" t="s">
        <v>84</v>
      </c>
      <c r="B5" s="34">
        <v>480766.09211366362</v>
      </c>
      <c r="C5" s="34">
        <v>368094.78728297714</v>
      </c>
      <c r="D5" s="34">
        <v>228154.10597886195</v>
      </c>
      <c r="E5" s="34">
        <v>195123.30031204096</v>
      </c>
      <c r="F5" s="34">
        <v>162167.59559090424</v>
      </c>
      <c r="G5" s="34">
        <v>170064.44023226399</v>
      </c>
      <c r="H5" s="34">
        <v>217186.96198313203</v>
      </c>
      <c r="I5" s="34">
        <v>219884.51980018214</v>
      </c>
      <c r="J5" s="34">
        <v>205805.10478498519</v>
      </c>
      <c r="K5" s="34">
        <v>169020.95424080759</v>
      </c>
      <c r="L5" s="34">
        <v>163476.30018933391</v>
      </c>
      <c r="M5" s="34">
        <v>296132.68499392481</v>
      </c>
      <c r="N5" s="34">
        <f t="shared" si="0"/>
        <v>2875876.8475030772</v>
      </c>
      <c r="O5" s="34">
        <f>SUM(B5:D5,M5)</f>
        <v>1373147.6703694274</v>
      </c>
      <c r="P5" s="34">
        <f t="shared" ref="P5:P6" si="1">SUM(E5:L5)</f>
        <v>1502729.1771336503</v>
      </c>
      <c r="R5" s="17">
        <f>$R$4</f>
        <v>-2.1870000000000001E-2</v>
      </c>
      <c r="S5" s="17">
        <f>$S$4</f>
        <v>-1E-4</v>
      </c>
      <c r="T5" s="39">
        <f>O5*R5+P5*S5</f>
        <v>-30181.012468692745</v>
      </c>
      <c r="V5" s="37">
        <f>$V$4</f>
        <v>-5.2999999999999998E-4</v>
      </c>
      <c r="W5" s="39">
        <f t="shared" ref="W5:W42" si="2">N5*V5</f>
        <v>-1524.214729176631</v>
      </c>
      <c r="Y5" s="39">
        <f t="shared" ref="Y5:Y42" si="3">W5-T5</f>
        <v>28656.797739516114</v>
      </c>
    </row>
    <row r="6" spans="1:25" x14ac:dyDescent="0.35">
      <c r="A6" s="44" t="s">
        <v>85</v>
      </c>
      <c r="B6" s="34">
        <v>23948.529398080751</v>
      </c>
      <c r="C6" s="34">
        <v>18695.302614892542</v>
      </c>
      <c r="D6" s="34">
        <v>10824.230558276206</v>
      </c>
      <c r="E6" s="34">
        <v>10173.45780992531</v>
      </c>
      <c r="F6" s="34">
        <v>7774.8393048064654</v>
      </c>
      <c r="G6" s="34">
        <v>8875.8698820712689</v>
      </c>
      <c r="H6" s="34">
        <v>11381.928723174735</v>
      </c>
      <c r="I6" s="34">
        <v>12756.332891337142</v>
      </c>
      <c r="J6" s="34">
        <v>10441.307771793205</v>
      </c>
      <c r="K6" s="34">
        <v>9771.2264355126954</v>
      </c>
      <c r="L6" s="34">
        <v>6205.9391071299951</v>
      </c>
      <c r="M6" s="34">
        <v>10725.094261831569</v>
      </c>
      <c r="N6" s="34">
        <f>SUM(B6:M6)</f>
        <v>141574.05875883187</v>
      </c>
      <c r="O6" s="34">
        <f>SUM(B6:D6,M6)</f>
        <v>64193.156833081062</v>
      </c>
      <c r="P6" s="34">
        <f t="shared" si="1"/>
        <v>77380.901925750819</v>
      </c>
      <c r="R6" s="37">
        <f>$R$4</f>
        <v>-2.1870000000000001E-2</v>
      </c>
      <c r="S6" s="17">
        <f>$S$4</f>
        <v>-1E-4</v>
      </c>
      <c r="T6" s="39">
        <f>O6*R6+P6*S6</f>
        <v>-1411.6424301320581</v>
      </c>
      <c r="V6" s="37">
        <f>$V$5</f>
        <v>-5.2999999999999998E-4</v>
      </c>
      <c r="W6" s="39">
        <f t="shared" si="2"/>
        <v>-75.034251142180892</v>
      </c>
      <c r="Y6" s="39">
        <f t="shared" si="3"/>
        <v>1336.6081789898772</v>
      </c>
    </row>
    <row r="7" spans="1:25" x14ac:dyDescent="0.35">
      <c r="A7" s="4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R7" s="37"/>
      <c r="S7" s="17"/>
      <c r="T7" s="39"/>
      <c r="V7" s="37"/>
      <c r="W7" s="39"/>
      <c r="Y7" s="39"/>
    </row>
    <row r="8" spans="1:25" x14ac:dyDescent="0.35">
      <c r="A8" s="4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R8" s="37"/>
      <c r="S8" s="17"/>
      <c r="T8" s="39"/>
      <c r="V8" s="37"/>
      <c r="W8" s="39"/>
      <c r="Y8" s="39"/>
    </row>
    <row r="9" spans="1:25" x14ac:dyDescent="0.35">
      <c r="A9" s="4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R9" s="37"/>
      <c r="S9" s="37"/>
      <c r="W9" s="39"/>
      <c r="Y9" s="39"/>
    </row>
    <row r="10" spans="1:25" x14ac:dyDescent="0.35">
      <c r="A10" s="41" t="s">
        <v>56</v>
      </c>
      <c r="N10" s="34">
        <v>591400173.44258034</v>
      </c>
      <c r="R10" s="38">
        <v>-6.7200000000000003E-3</v>
      </c>
      <c r="S10" s="38"/>
      <c r="T10" s="39">
        <f>N10*R10</f>
        <v>-3974209.1655341401</v>
      </c>
      <c r="V10" s="37">
        <f>'Allocation &amp; Rates'!B30</f>
        <v>-3.6999999999999999E-4</v>
      </c>
      <c r="W10" s="39">
        <f t="shared" si="2"/>
        <v>-218818.06417375471</v>
      </c>
      <c r="Y10" s="39">
        <f t="shared" si="3"/>
        <v>3755391.1013603853</v>
      </c>
    </row>
    <row r="11" spans="1:25" x14ac:dyDescent="0.35">
      <c r="A11" s="41" t="s">
        <v>55</v>
      </c>
      <c r="N11" s="34">
        <v>3136289.2240065546</v>
      </c>
      <c r="O11" s="34"/>
      <c r="P11" s="34"/>
      <c r="R11" s="38">
        <f>$R$10</f>
        <v>-6.7200000000000003E-3</v>
      </c>
      <c r="S11" s="37"/>
      <c r="T11" s="39">
        <f t="shared" ref="T11:T42" si="4">N11*R11</f>
        <v>-21075.863585324048</v>
      </c>
      <c r="V11" s="37">
        <f>$V$10</f>
        <v>-3.6999999999999999E-4</v>
      </c>
      <c r="W11" s="39">
        <f t="shared" si="2"/>
        <v>-1160.4270128824253</v>
      </c>
      <c r="Y11" s="39">
        <f t="shared" si="3"/>
        <v>19915.436572441624</v>
      </c>
    </row>
    <row r="12" spans="1:25" x14ac:dyDescent="0.35">
      <c r="A12" s="41" t="s">
        <v>60</v>
      </c>
      <c r="N12" s="34">
        <v>7995315.8158995816</v>
      </c>
      <c r="R12" s="38">
        <f t="shared" ref="R12:R42" si="5">$R$10</f>
        <v>-6.7200000000000003E-3</v>
      </c>
      <c r="T12" s="39">
        <f t="shared" si="4"/>
        <v>-53728.522282845188</v>
      </c>
      <c r="V12" s="37">
        <f t="shared" ref="V12:V17" si="6">$V$10</f>
        <v>-3.6999999999999999E-4</v>
      </c>
      <c r="W12" s="39">
        <f t="shared" si="2"/>
        <v>-2958.266851882845</v>
      </c>
      <c r="Y12" s="39">
        <f t="shared" si="3"/>
        <v>50770.255430962345</v>
      </c>
    </row>
    <row r="13" spans="1:25" x14ac:dyDescent="0.35">
      <c r="A13" s="41" t="s">
        <v>57</v>
      </c>
      <c r="N13" s="34">
        <v>1415369.1901477831</v>
      </c>
      <c r="R13" s="38">
        <f t="shared" si="5"/>
        <v>-6.7200000000000003E-3</v>
      </c>
      <c r="T13" s="39">
        <f t="shared" si="4"/>
        <v>-9511.2809577931039</v>
      </c>
      <c r="V13" s="37">
        <f t="shared" si="6"/>
        <v>-3.6999999999999999E-4</v>
      </c>
      <c r="W13" s="39">
        <f t="shared" si="2"/>
        <v>-523.68660035467974</v>
      </c>
      <c r="Y13" s="39">
        <f t="shared" si="3"/>
        <v>8987.5943574384237</v>
      </c>
    </row>
    <row r="14" spans="1:25" x14ac:dyDescent="0.35">
      <c r="A14" s="41" t="s">
        <v>59</v>
      </c>
      <c r="N14" s="34">
        <v>1798725.5977885965</v>
      </c>
      <c r="R14" s="38">
        <f t="shared" si="5"/>
        <v>-6.7200000000000003E-3</v>
      </c>
      <c r="T14" s="39">
        <f t="shared" si="4"/>
        <v>-12087.436017139369</v>
      </c>
      <c r="V14" s="37">
        <f t="shared" si="6"/>
        <v>-3.6999999999999999E-4</v>
      </c>
      <c r="W14" s="39">
        <f t="shared" si="2"/>
        <v>-665.52847118178067</v>
      </c>
      <c r="Y14" s="39">
        <f t="shared" si="3"/>
        <v>11421.907545957589</v>
      </c>
    </row>
    <row r="15" spans="1:25" x14ac:dyDescent="0.35">
      <c r="A15" s="41" t="s">
        <v>61</v>
      </c>
      <c r="N15" s="34">
        <v>8519715.6602870822</v>
      </c>
      <c r="R15" s="38">
        <f t="shared" si="5"/>
        <v>-6.7200000000000003E-3</v>
      </c>
      <c r="T15" s="39">
        <f t="shared" si="4"/>
        <v>-57252.489237129193</v>
      </c>
      <c r="V15" s="37">
        <f t="shared" si="6"/>
        <v>-3.6999999999999999E-4</v>
      </c>
      <c r="W15" s="39">
        <f t="shared" si="2"/>
        <v>-3152.2947943062204</v>
      </c>
      <c r="Y15" s="39">
        <f t="shared" si="3"/>
        <v>54100.194442822976</v>
      </c>
    </row>
    <row r="16" spans="1:25" x14ac:dyDescent="0.35">
      <c r="A16" s="41" t="s">
        <v>58</v>
      </c>
      <c r="N16" s="34">
        <v>8054925.0043271501</v>
      </c>
      <c r="R16" s="38">
        <f t="shared" si="5"/>
        <v>-6.7200000000000003E-3</v>
      </c>
      <c r="T16" s="39">
        <f t="shared" si="4"/>
        <v>-54129.09602907845</v>
      </c>
      <c r="V16" s="37">
        <f t="shared" si="6"/>
        <v>-3.6999999999999999E-4</v>
      </c>
      <c r="W16" s="39">
        <f t="shared" si="2"/>
        <v>-2980.3222516010455</v>
      </c>
      <c r="Y16" s="39">
        <f t="shared" si="3"/>
        <v>51148.773777477407</v>
      </c>
    </row>
    <row r="17" spans="1:25" x14ac:dyDescent="0.35">
      <c r="A17" s="45" t="s">
        <v>62</v>
      </c>
      <c r="N17" s="34">
        <v>414194.59459459462</v>
      </c>
      <c r="R17" s="38">
        <f t="shared" si="5"/>
        <v>-6.7200000000000003E-3</v>
      </c>
      <c r="T17" s="39">
        <f t="shared" si="4"/>
        <v>-2783.3876756756758</v>
      </c>
      <c r="V17" s="37">
        <f t="shared" si="6"/>
        <v>-3.6999999999999999E-4</v>
      </c>
      <c r="W17" s="39">
        <f t="shared" si="2"/>
        <v>-153.25200000000001</v>
      </c>
      <c r="Y17" s="39">
        <f t="shared" si="3"/>
        <v>2630.1356756756759</v>
      </c>
    </row>
    <row r="18" spans="1:25" x14ac:dyDescent="0.35">
      <c r="A18" s="45"/>
      <c r="N18" s="34"/>
      <c r="R18" s="38"/>
      <c r="T18" s="39"/>
      <c r="V18" s="37"/>
      <c r="W18" s="39"/>
      <c r="Y18" s="39"/>
    </row>
    <row r="19" spans="1:25" x14ac:dyDescent="0.35">
      <c r="A19" s="41"/>
      <c r="N19" s="34"/>
      <c r="T19" s="39"/>
      <c r="W19" s="39"/>
      <c r="Y19" s="39"/>
    </row>
    <row r="20" spans="1:25" x14ac:dyDescent="0.35">
      <c r="A20" s="41" t="s">
        <v>63</v>
      </c>
      <c r="N20" s="34">
        <v>303151072.29663664</v>
      </c>
      <c r="R20" s="38">
        <f t="shared" si="5"/>
        <v>-6.7200000000000003E-3</v>
      </c>
      <c r="T20" s="39">
        <f t="shared" si="4"/>
        <v>-2037175.2058333983</v>
      </c>
      <c r="V20" s="37">
        <f t="shared" ref="V20:V26" si="7">$V$10</f>
        <v>-3.6999999999999999E-4</v>
      </c>
      <c r="W20" s="39">
        <f t="shared" si="2"/>
        <v>-112165.89674975556</v>
      </c>
      <c r="Y20" s="39">
        <f t="shared" si="3"/>
        <v>1925009.3090836427</v>
      </c>
    </row>
    <row r="21" spans="1:25" x14ac:dyDescent="0.35">
      <c r="A21" s="41" t="s">
        <v>67</v>
      </c>
      <c r="N21" s="34">
        <v>1746972</v>
      </c>
      <c r="R21" s="38">
        <f t="shared" si="5"/>
        <v>-6.7200000000000003E-3</v>
      </c>
      <c r="T21" s="39">
        <f t="shared" si="4"/>
        <v>-11739.65184</v>
      </c>
      <c r="V21" s="37">
        <f t="shared" si="7"/>
        <v>-3.6999999999999999E-4</v>
      </c>
      <c r="W21" s="39">
        <f t="shared" si="2"/>
        <v>-646.37963999999999</v>
      </c>
      <c r="Y21" s="39">
        <f t="shared" si="3"/>
        <v>11093.272200000001</v>
      </c>
    </row>
    <row r="22" spans="1:25" x14ac:dyDescent="0.35">
      <c r="A22" s="41" t="s">
        <v>68</v>
      </c>
      <c r="N22" s="34">
        <v>6013017.5999999996</v>
      </c>
      <c r="R22" s="38">
        <f t="shared" si="5"/>
        <v>-6.7200000000000003E-3</v>
      </c>
      <c r="T22" s="39">
        <f t="shared" si="4"/>
        <v>-40407.478272</v>
      </c>
      <c r="V22" s="37">
        <f t="shared" si="7"/>
        <v>-3.6999999999999999E-4</v>
      </c>
      <c r="W22" s="39">
        <f t="shared" si="2"/>
        <v>-2224.8165119999999</v>
      </c>
      <c r="Y22" s="39">
        <f t="shared" si="3"/>
        <v>38182.661760000003</v>
      </c>
    </row>
    <row r="23" spans="1:25" x14ac:dyDescent="0.35">
      <c r="A23" s="41" t="s">
        <v>69</v>
      </c>
      <c r="N23" s="34">
        <v>2286064</v>
      </c>
      <c r="R23" s="38">
        <f t="shared" si="5"/>
        <v>-6.7200000000000003E-3</v>
      </c>
      <c r="T23" s="39">
        <f t="shared" si="4"/>
        <v>-15362.35008</v>
      </c>
      <c r="V23" s="37">
        <f t="shared" si="7"/>
        <v>-3.6999999999999999E-4</v>
      </c>
      <c r="W23" s="39">
        <f t="shared" si="2"/>
        <v>-845.84367999999995</v>
      </c>
      <c r="Y23" s="39">
        <f t="shared" si="3"/>
        <v>14516.5064</v>
      </c>
    </row>
    <row r="24" spans="1:25" x14ac:dyDescent="0.35">
      <c r="A24" s="41" t="s">
        <v>64</v>
      </c>
      <c r="N24" s="34">
        <v>85895920.531903774</v>
      </c>
      <c r="R24" s="38">
        <f t="shared" si="5"/>
        <v>-6.7200000000000003E-3</v>
      </c>
      <c r="T24" s="39">
        <f t="shared" si="4"/>
        <v>-577220.58597439341</v>
      </c>
      <c r="V24" s="37">
        <f t="shared" si="7"/>
        <v>-3.6999999999999999E-4</v>
      </c>
      <c r="W24" s="39">
        <f t="shared" si="2"/>
        <v>-31781.490596804397</v>
      </c>
      <c r="Y24" s="39">
        <f t="shared" si="3"/>
        <v>545439.09537758899</v>
      </c>
    </row>
    <row r="25" spans="1:25" x14ac:dyDescent="0.35">
      <c r="A25" s="41" t="s">
        <v>65</v>
      </c>
      <c r="N25" s="34">
        <v>13944800.153846154</v>
      </c>
      <c r="R25" s="38">
        <f t="shared" si="5"/>
        <v>-6.7200000000000003E-3</v>
      </c>
      <c r="T25" s="39">
        <f t="shared" si="4"/>
        <v>-93709.057033846155</v>
      </c>
      <c r="V25" s="37">
        <f t="shared" si="7"/>
        <v>-3.6999999999999999E-4</v>
      </c>
      <c r="W25" s="39">
        <f t="shared" si="2"/>
        <v>-5159.576056923077</v>
      </c>
      <c r="Y25" s="39">
        <f t="shared" si="3"/>
        <v>88549.480976923078</v>
      </c>
    </row>
    <row r="26" spans="1:25" x14ac:dyDescent="0.35">
      <c r="A26" s="45" t="s">
        <v>66</v>
      </c>
      <c r="N26" s="34">
        <v>0</v>
      </c>
      <c r="R26" s="38">
        <f t="shared" si="5"/>
        <v>-6.7200000000000003E-3</v>
      </c>
      <c r="T26" s="39">
        <f t="shared" si="4"/>
        <v>0</v>
      </c>
      <c r="V26" s="37">
        <f t="shared" si="7"/>
        <v>-3.6999999999999999E-4</v>
      </c>
      <c r="W26" s="39">
        <f t="shared" si="2"/>
        <v>0</v>
      </c>
      <c r="Y26" s="39">
        <f t="shared" si="3"/>
        <v>0</v>
      </c>
    </row>
    <row r="27" spans="1:25" x14ac:dyDescent="0.35">
      <c r="A27" s="45"/>
      <c r="N27" s="34"/>
      <c r="R27" s="38"/>
      <c r="T27" s="39"/>
      <c r="V27" s="37"/>
      <c r="W27" s="39"/>
      <c r="Y27" s="39"/>
    </row>
    <row r="28" spans="1:25" x14ac:dyDescent="0.35">
      <c r="A28" s="41"/>
      <c r="N28" s="34"/>
      <c r="T28" s="39"/>
      <c r="W28" s="39"/>
      <c r="Y28" s="39"/>
    </row>
    <row r="29" spans="1:25" x14ac:dyDescent="0.35">
      <c r="A29" s="42" t="s">
        <v>70</v>
      </c>
      <c r="N29" s="34">
        <v>87428913.394495726</v>
      </c>
      <c r="R29" s="38">
        <f t="shared" si="5"/>
        <v>-6.7200000000000003E-3</v>
      </c>
      <c r="T29" s="39">
        <f t="shared" si="4"/>
        <v>-587522.29801101133</v>
      </c>
      <c r="V29" s="37">
        <f t="shared" ref="V29:V30" si="8">$V$10</f>
        <v>-3.6999999999999999E-4</v>
      </c>
      <c r="W29" s="39">
        <f t="shared" si="2"/>
        <v>-32348.697955963416</v>
      </c>
      <c r="Y29" s="39">
        <f t="shared" si="3"/>
        <v>555173.60005504789</v>
      </c>
    </row>
    <row r="30" spans="1:25" x14ac:dyDescent="0.35">
      <c r="A30" s="44" t="s">
        <v>71</v>
      </c>
      <c r="N30" s="34">
        <v>1737216.0392989507</v>
      </c>
      <c r="R30" s="38">
        <f t="shared" si="5"/>
        <v>-6.7200000000000003E-3</v>
      </c>
      <c r="T30" s="39">
        <f t="shared" si="4"/>
        <v>-11674.091784088949</v>
      </c>
      <c r="V30" s="37">
        <f t="shared" si="8"/>
        <v>-3.6999999999999999E-4</v>
      </c>
      <c r="W30" s="39">
        <f t="shared" si="2"/>
        <v>-642.76993454061176</v>
      </c>
      <c r="Y30" s="39">
        <f t="shared" si="3"/>
        <v>11031.321849548338</v>
      </c>
    </row>
    <row r="31" spans="1:25" x14ac:dyDescent="0.35">
      <c r="A31" s="44"/>
      <c r="N31" s="34"/>
      <c r="R31" s="38"/>
      <c r="T31" s="39"/>
      <c r="V31" s="37"/>
      <c r="W31" s="39"/>
      <c r="Y31" s="39"/>
    </row>
    <row r="32" spans="1:25" x14ac:dyDescent="0.35">
      <c r="A32" s="41"/>
      <c r="N32" s="34"/>
      <c r="T32" s="39"/>
      <c r="W32" s="39"/>
      <c r="Y32" s="39"/>
    </row>
    <row r="33" spans="1:25" x14ac:dyDescent="0.35">
      <c r="A33" s="42" t="s">
        <v>75</v>
      </c>
      <c r="N33" s="34">
        <v>15643440</v>
      </c>
      <c r="R33" s="38">
        <f t="shared" si="5"/>
        <v>-6.7200000000000003E-3</v>
      </c>
      <c r="T33" s="39">
        <f t="shared" si="4"/>
        <v>-105123.91680000001</v>
      </c>
      <c r="V33" s="37">
        <f t="shared" ref="V33:V36" si="9">$V$10</f>
        <v>-3.6999999999999999E-4</v>
      </c>
      <c r="W33" s="39">
        <f t="shared" si="2"/>
        <v>-5788.0727999999999</v>
      </c>
      <c r="Y33" s="39">
        <f t="shared" si="3"/>
        <v>99335.844000000012</v>
      </c>
    </row>
    <row r="34" spans="1:25" x14ac:dyDescent="0.35">
      <c r="A34" s="42" t="s">
        <v>72</v>
      </c>
      <c r="N34" s="34">
        <v>325487811.81355929</v>
      </c>
      <c r="R34" s="38">
        <f t="shared" si="5"/>
        <v>-6.7200000000000003E-3</v>
      </c>
      <c r="T34" s="39">
        <f t="shared" si="4"/>
        <v>-2187278.0953871184</v>
      </c>
      <c r="V34" s="37">
        <f t="shared" si="9"/>
        <v>-3.6999999999999999E-4</v>
      </c>
      <c r="W34" s="39">
        <f t="shared" si="2"/>
        <v>-120430.49037101693</v>
      </c>
      <c r="Y34" s="39">
        <f t="shared" si="3"/>
        <v>2066847.6050161014</v>
      </c>
    </row>
    <row r="35" spans="1:25" x14ac:dyDescent="0.35">
      <c r="A35" s="42" t="s">
        <v>73</v>
      </c>
      <c r="N35" s="34">
        <v>1600613142.4301887</v>
      </c>
      <c r="R35" s="38">
        <f t="shared" si="5"/>
        <v>-6.7200000000000003E-3</v>
      </c>
      <c r="T35" s="39">
        <f t="shared" si="4"/>
        <v>-10756120.317130867</v>
      </c>
      <c r="V35" s="37">
        <f t="shared" si="9"/>
        <v>-3.6999999999999999E-4</v>
      </c>
      <c r="W35" s="39">
        <f t="shared" si="2"/>
        <v>-592226.86269916978</v>
      </c>
      <c r="Y35" s="39">
        <f t="shared" si="3"/>
        <v>10163893.454431698</v>
      </c>
    </row>
    <row r="36" spans="1:25" x14ac:dyDescent="0.35">
      <c r="A36" s="44" t="s">
        <v>74</v>
      </c>
      <c r="N36" s="34">
        <v>245809083</v>
      </c>
      <c r="R36" s="38">
        <f t="shared" si="5"/>
        <v>-6.7200000000000003E-3</v>
      </c>
      <c r="T36" s="39">
        <f t="shared" si="4"/>
        <v>-1651837.03776</v>
      </c>
      <c r="V36" s="37">
        <f t="shared" si="9"/>
        <v>-3.6999999999999999E-4</v>
      </c>
      <c r="W36" s="39">
        <f t="shared" si="2"/>
        <v>-90949.360709999994</v>
      </c>
      <c r="Y36" s="39">
        <f t="shared" si="3"/>
        <v>1560887.6770500001</v>
      </c>
    </row>
    <row r="37" spans="1:25" x14ac:dyDescent="0.35">
      <c r="A37" s="45"/>
      <c r="N37" s="34"/>
      <c r="R37" s="38"/>
      <c r="T37" s="39"/>
      <c r="V37" s="37"/>
      <c r="W37" s="39"/>
      <c r="Y37" s="39"/>
    </row>
    <row r="38" spans="1:25" x14ac:dyDescent="0.35">
      <c r="A38" s="41"/>
      <c r="T38" s="39"/>
      <c r="W38" s="39"/>
      <c r="Y38" s="39"/>
    </row>
    <row r="39" spans="1:25" x14ac:dyDescent="0.35">
      <c r="A39" s="40" t="s">
        <v>54</v>
      </c>
      <c r="N39" s="34">
        <v>37817168</v>
      </c>
      <c r="R39" s="38">
        <f t="shared" si="5"/>
        <v>-6.7200000000000003E-3</v>
      </c>
      <c r="T39" s="39">
        <f t="shared" si="4"/>
        <v>-254131.36896000002</v>
      </c>
      <c r="V39" s="37">
        <f t="shared" ref="V39:V40" si="10">$V$10</f>
        <v>-3.6999999999999999E-4</v>
      </c>
      <c r="W39" s="39">
        <f t="shared" si="2"/>
        <v>-13992.35216</v>
      </c>
      <c r="Y39" s="39">
        <f t="shared" si="3"/>
        <v>240139.01680000001</v>
      </c>
    </row>
    <row r="40" spans="1:25" x14ac:dyDescent="0.35">
      <c r="A40" s="40" t="s">
        <v>76</v>
      </c>
      <c r="N40" s="34">
        <v>8426444</v>
      </c>
      <c r="R40" s="38">
        <f t="shared" si="5"/>
        <v>-6.7200000000000003E-3</v>
      </c>
      <c r="T40" s="39">
        <f t="shared" si="4"/>
        <v>-56625.703679999999</v>
      </c>
      <c r="V40" s="37">
        <f t="shared" si="10"/>
        <v>-3.6999999999999999E-4</v>
      </c>
      <c r="W40" s="39">
        <f t="shared" si="2"/>
        <v>-3117.7842799999999</v>
      </c>
      <c r="Y40" s="39">
        <f t="shared" si="3"/>
        <v>53507.919399999999</v>
      </c>
    </row>
    <row r="41" spans="1:25" x14ac:dyDescent="0.35">
      <c r="A41" s="41"/>
      <c r="N41" s="34"/>
      <c r="T41" s="39"/>
      <c r="W41" s="39"/>
      <c r="Y41" s="39"/>
    </row>
    <row r="42" spans="1:25" x14ac:dyDescent="0.35">
      <c r="A42" s="41" t="s">
        <v>77</v>
      </c>
      <c r="N42" s="34">
        <v>1646859.495145631</v>
      </c>
      <c r="R42" s="38">
        <f t="shared" si="5"/>
        <v>-6.7200000000000003E-3</v>
      </c>
      <c r="T42" s="39">
        <f t="shared" si="4"/>
        <v>-11066.895807378642</v>
      </c>
      <c r="V42" s="37">
        <f>$V$10</f>
        <v>-3.6999999999999999E-4</v>
      </c>
      <c r="W42" s="39">
        <f t="shared" si="2"/>
        <v>-609.33801320388352</v>
      </c>
      <c r="Y42" s="39">
        <f t="shared" si="3"/>
        <v>10457.557794174758</v>
      </c>
    </row>
    <row r="44" spans="1:25" x14ac:dyDescent="0.35">
      <c r="A44" s="43" t="s">
        <v>15</v>
      </c>
      <c r="N44" s="34">
        <f>SUM(N4:N42)</f>
        <v>5308956401.1290073</v>
      </c>
      <c r="T44" s="39">
        <f>SUM(T4:T42)</f>
        <v>-41865854.803931601</v>
      </c>
      <c r="W44" s="39">
        <f>SUM(W4:W42)</f>
        <v>-2276085.6712728208</v>
      </c>
      <c r="Y44" s="39">
        <f>SUM(Y4:Y42)</f>
        <v>39589769.132658787</v>
      </c>
    </row>
  </sheetData>
  <mergeCells count="1">
    <mergeCell ref="R1:S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jUxNjM1PC9Vc2VyTmFtZT48RGF0ZVRpbWU+Ni82LzIwMjMgNjo1MjowNSBQTTwvRGF0ZVRpbWU+PExhYmVsU3RyaW5nPlVuY2F0ZWdvcml6ZWQ8L0xhYmVsU3RyaW5nPjwvaXRlbT48L2xhYmVsSGlzdG9yeT4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7D5247C5-FEB8-4B7C-B968-743474DD8D2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3FEB2E4-57FE-4CA0-99C7-CAFEC9DB72DE}">
  <ds:schemaRefs>
    <ds:schemaRef ds:uri="http://purl.org/dc/elements/1.1/"/>
    <ds:schemaRef ds:uri="http://schemas.openxmlformats.org/package/2006/metadata/core-properties"/>
    <ds:schemaRef ds:uri="5b640fb8-5a34-41c1-9307-1b790ff29a8b"/>
    <ds:schemaRef ds:uri="a1040523-5304-4b09-b6d4-64a124c994e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51831b8d-857f-44dd-949b-652450d1a5d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56D93B-7961-44B3-A035-46DE33F953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596F9F-10D8-4816-B4F8-90C3B0A67FE3}"/>
</file>

<file path=customXml/itemProps5.xml><?xml version="1.0" encoding="utf-8"?>
<ds:datastoreItem xmlns:ds="http://schemas.openxmlformats.org/officeDocument/2006/customXml" ds:itemID="{763E1A93-606B-439B-B5FD-62A24F3C1D4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Allocation &amp; Rates</vt:lpstr>
      <vt:lpstr>GRCF</vt:lpstr>
      <vt:lpstr>kWh &amp; Revenue</vt:lpstr>
      <vt:lpstr>Adj TY Revenue</vt:lpstr>
      <vt:lpstr>'Allocation &amp; Rates'!Print_Area</vt:lpstr>
      <vt:lpstr>GRCF!Print_Area</vt:lpstr>
      <vt:lpstr>'kWh &amp; Revenue'!Print_Area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s207409</dc:creator>
  <cp:keywords/>
  <cp:lastModifiedBy>Katharine I Walsh</cp:lastModifiedBy>
  <cp:lastPrinted>2018-04-10T18:43:39Z</cp:lastPrinted>
  <dcterms:created xsi:type="dcterms:W3CDTF">2018-04-10T17:17:36Z</dcterms:created>
  <dcterms:modified xsi:type="dcterms:W3CDTF">2023-08-15T18:25:05Z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{8E970CD3-5BAB-46A5-A41B-A2D73538C302}</vt:lpwstr>
  </property>
  <property fmtid="{D5CDD505-2E9C-101B-9397-08002B2CF9AE}" pid="3" name="docIndexRef">
    <vt:lpwstr>4411de46-d5fc-4b01-84ec-c617a4af4a55</vt:lpwstr>
  </property>
  <property fmtid="{D5CDD505-2E9C-101B-9397-08002B2CF9AE}" pid="4" name="bjSaver">
    <vt:lpwstr>N1DSBWDQZIeY/VRw0Xy3fwx0B1BRPR0Y</vt:lpwstr>
  </property>
  <property fmtid="{D5CDD505-2E9C-101B-9397-08002B2CF9AE}" pid="5" name="bjDocumentSecurityLabel">
    <vt:lpwstr>Uncategorized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uid="936e22d5-45a7-4cb7-95ab-1aa8c7c88789" value="" /&gt;&lt;/sisl&gt;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{7D5247C5-FEB8-4B7C-B968-743474DD8D2F}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