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epenergy.sharepoint.com/sites/regsvcs/Regulatory Base Cases/Kentucky Power/2023-00159 Base Case/02 Studies &amp; Adjustments/Workpapers/Spaeth/"/>
    </mc:Choice>
  </mc:AlternateContent>
  <xr:revisionPtr revIDLastSave="2" documentId="8_{9D17E5F2-B4D1-4B8F-97EA-49E562B5C794}" xr6:coauthVersionLast="47" xr6:coauthVersionMax="47" xr10:uidLastSave="{A25C6457-50CA-4E6E-85DE-5385C1DBFB15}"/>
  <bookViews>
    <workbookView xWindow="28680" yWindow="960" windowWidth="29040" windowHeight="15720" tabRatio="911" firstSheet="1" activeTab="5" xr2:uid="{00000000-000D-0000-FFFF-FFFF00000000}"/>
  </bookViews>
  <sheets>
    <sheet name="Fuel + SS Rev (Test)" sheetId="22" state="hidden" r:id="rId1"/>
    <sheet name="SFR-Page 1" sheetId="7" r:id="rId2"/>
    <sheet name="SFR-Page 2" sheetId="6" r:id="rId3"/>
    <sheet name="20 Yr Securitization" sheetId="30" r:id="rId4"/>
    <sheet name="Upfront &amp; Ongoing Costs" sheetId="28" r:id="rId5"/>
    <sheet name="Revenue" sheetId="29" r:id="rId6"/>
  </sheets>
  <externalReferences>
    <externalReference r:id="rId7"/>
    <externalReference r:id="rId8"/>
    <externalReference r:id="rId9"/>
    <externalReference r:id="rId10"/>
  </externalReferences>
  <definedNames>
    <definedName name="AllocFactors">[1]Table!$G$6:$H$13</definedName>
    <definedName name="Begin_Print1">'[2]Big Sandy Detail'!#REF!</definedName>
    <definedName name="Begin_Print2">'[2]Big Sandy Detail'!#REF!</definedName>
    <definedName name="End_of_Report">'[2]Big Sandy Detail'!#REF!</definedName>
    <definedName name="End_Print1">'[2]Big Sandy Detail'!#REF!</definedName>
    <definedName name="End_Print2">'[2]Big Sandy Detail'!#REF!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45097.7714814815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NvsASD">"V2013-03-31"</definedName>
    <definedName name="NvsAutoDrillOk">"VN"</definedName>
    <definedName name="NvsElapsedTime">0.000115740738692693</definedName>
    <definedName name="NvsEndTime">41370.633587963</definedName>
    <definedName name="NvsInstanceHook">"""nvsMacro"""</definedName>
    <definedName name="NvsInstLang">"VENG"</definedName>
    <definedName name="NvsInstSpec">"%,FBUSINESS_UNIT,V117"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CURRENCY_CD">"CURRENCY_CD_TBL"</definedName>
    <definedName name="_xlnm.Print_Area" localSheetId="5">Revenue!$A$1:$E$9</definedName>
    <definedName name="_xlnm.Print_Area" localSheetId="1">'SFR-Page 1'!$A$1:$I$43</definedName>
    <definedName name="_xlnm.Print_Area" localSheetId="2">'SFR-Page 2'!$A$2:$K$51</definedName>
    <definedName name="search_directory_name">"R:\fcm90prd\nvision\rpts\Fin_Reports\"</definedName>
    <definedName name="tim" localSheetId="3">#REF!</definedName>
    <definedName name="tim">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7" i="30" l="1"/>
  <c r="H55" i="30"/>
  <c r="H54" i="30"/>
  <c r="H53" i="30"/>
  <c r="H52" i="30"/>
  <c r="H51" i="30"/>
  <c r="H50" i="30"/>
  <c r="H49" i="30"/>
  <c r="H48" i="30"/>
  <c r="H47" i="30"/>
  <c r="H46" i="30"/>
  <c r="H45" i="30"/>
  <c r="H44" i="30"/>
  <c r="H43" i="30"/>
  <c r="H42" i="30"/>
  <c r="H41" i="30"/>
  <c r="H40" i="30"/>
  <c r="H39" i="30"/>
  <c r="H38" i="30"/>
  <c r="H37" i="30"/>
  <c r="H36" i="30"/>
  <c r="H35" i="30"/>
  <c r="H34" i="30"/>
  <c r="H33" i="30"/>
  <c r="H32" i="30"/>
  <c r="H31" i="30"/>
  <c r="H30" i="30"/>
  <c r="H29" i="30"/>
  <c r="H28" i="30"/>
  <c r="H27" i="30"/>
  <c r="H26" i="30"/>
  <c r="H25" i="30"/>
  <c r="H24" i="30"/>
  <c r="H23" i="30"/>
  <c r="H22" i="30"/>
  <c r="H21" i="30"/>
  <c r="H20" i="30"/>
  <c r="H19" i="30"/>
  <c r="H18" i="30"/>
  <c r="H17" i="30"/>
  <c r="H16" i="30"/>
  <c r="G7" i="30"/>
  <c r="I21" i="30" s="1"/>
  <c r="I22" i="30" l="1"/>
  <c r="I50" i="30"/>
  <c r="I37" i="30"/>
  <c r="I17" i="30"/>
  <c r="I30" i="30"/>
  <c r="I38" i="30"/>
  <c r="I45" i="30"/>
  <c r="I53" i="30"/>
  <c r="I46" i="30"/>
  <c r="I54" i="30"/>
  <c r="I18" i="30"/>
  <c r="I26" i="30"/>
  <c r="I33" i="30"/>
  <c r="I29" i="30"/>
  <c r="I25" i="30"/>
  <c r="I34" i="30"/>
  <c r="I41" i="30"/>
  <c r="I42" i="30"/>
  <c r="I49" i="30"/>
  <c r="I19" i="30"/>
  <c r="I23" i="30"/>
  <c r="I27" i="30"/>
  <c r="I31" i="30"/>
  <c r="I35" i="30"/>
  <c r="I39" i="30"/>
  <c r="I43" i="30"/>
  <c r="I47" i="30"/>
  <c r="I51" i="30"/>
  <c r="I55" i="30"/>
  <c r="I16" i="30"/>
  <c r="I20" i="30"/>
  <c r="I24" i="30"/>
  <c r="I28" i="30"/>
  <c r="I32" i="30"/>
  <c r="I36" i="30"/>
  <c r="I40" i="30"/>
  <c r="I44" i="30"/>
  <c r="I48" i="30"/>
  <c r="I52" i="30"/>
  <c r="J8" i="30" l="1"/>
  <c r="H17" i="6" l="1"/>
  <c r="H44" i="6" l="1"/>
  <c r="E6" i="29" l="1"/>
  <c r="H18" i="6" s="1"/>
  <c r="B16" i="28" l="1"/>
  <c r="B18" i="28" l="1"/>
  <c r="C9" i="30"/>
  <c r="C10" i="30" s="1"/>
  <c r="H39" i="6"/>
  <c r="H38" i="6" s="1"/>
  <c r="B16" i="30" l="1"/>
  <c r="C35" i="30"/>
  <c r="C38" i="30"/>
  <c r="C45" i="30"/>
  <c r="C40" i="30"/>
  <c r="C27" i="30"/>
  <c r="C21" i="30"/>
  <c r="C51" i="30"/>
  <c r="C39" i="30"/>
  <c r="C34" i="30"/>
  <c r="C41" i="30"/>
  <c r="G9" i="30"/>
  <c r="C44" i="30"/>
  <c r="C29" i="30"/>
  <c r="C53" i="30"/>
  <c r="C43" i="30"/>
  <c r="C30" i="30"/>
  <c r="C37" i="30"/>
  <c r="C16" i="30"/>
  <c r="C48" i="30"/>
  <c r="C54" i="30"/>
  <c r="C46" i="30"/>
  <c r="C32" i="30"/>
  <c r="C42" i="30"/>
  <c r="C36" i="30"/>
  <c r="C55" i="30"/>
  <c r="C47" i="30"/>
  <c r="C26" i="30"/>
  <c r="C33" i="30"/>
  <c r="C20" i="30"/>
  <c r="C52" i="30"/>
  <c r="C19" i="30"/>
  <c r="C22" i="30"/>
  <c r="C24" i="30"/>
  <c r="C31" i="30"/>
  <c r="C17" i="30"/>
  <c r="C23" i="30"/>
  <c r="C50" i="30"/>
  <c r="C18" i="30"/>
  <c r="C25" i="30"/>
  <c r="C28" i="30"/>
  <c r="C49" i="30"/>
  <c r="G48" i="30" l="1"/>
  <c r="L48" i="30"/>
  <c r="G22" i="30"/>
  <c r="L22" i="30"/>
  <c r="G30" i="30"/>
  <c r="L30" i="30"/>
  <c r="G25" i="30"/>
  <c r="L25" i="30"/>
  <c r="L19" i="30"/>
  <c r="G19" i="30"/>
  <c r="G42" i="30"/>
  <c r="L42" i="30"/>
  <c r="L43" i="30"/>
  <c r="G43" i="30"/>
  <c r="L51" i="30"/>
  <c r="G51" i="30"/>
  <c r="G26" i="30"/>
  <c r="L26" i="30"/>
  <c r="L28" i="30"/>
  <c r="G28" i="30"/>
  <c r="G36" i="30"/>
  <c r="L36" i="30"/>
  <c r="G18" i="30"/>
  <c r="L18" i="30"/>
  <c r="L52" i="30"/>
  <c r="G52" i="30"/>
  <c r="L32" i="30"/>
  <c r="G32" i="30"/>
  <c r="G53" i="30"/>
  <c r="L53" i="30"/>
  <c r="G21" i="30"/>
  <c r="L21" i="30"/>
  <c r="G20" i="30"/>
  <c r="L20" i="30"/>
  <c r="G46" i="30"/>
  <c r="L46" i="30"/>
  <c r="G29" i="30"/>
  <c r="L29" i="30"/>
  <c r="L27" i="30"/>
  <c r="G27" i="30"/>
  <c r="G50" i="30"/>
  <c r="L50" i="30"/>
  <c r="G23" i="30"/>
  <c r="L23" i="30"/>
  <c r="G33" i="30"/>
  <c r="L33" i="30"/>
  <c r="G54" i="30"/>
  <c r="L54" i="30"/>
  <c r="G44" i="30"/>
  <c r="L44" i="30"/>
  <c r="L40" i="30"/>
  <c r="G40" i="30"/>
  <c r="G45" i="30"/>
  <c r="L45" i="30"/>
  <c r="G17" i="30"/>
  <c r="L17" i="30"/>
  <c r="G47" i="30"/>
  <c r="L47" i="30"/>
  <c r="G41" i="30"/>
  <c r="L41" i="30"/>
  <c r="G38" i="30"/>
  <c r="L38" i="30"/>
  <c r="L31" i="30"/>
  <c r="G31" i="30"/>
  <c r="L16" i="30"/>
  <c r="F17" i="6" s="1"/>
  <c r="K17" i="6" s="1"/>
  <c r="H22" i="6" s="1"/>
  <c r="F15" i="7" s="1"/>
  <c r="G16" i="30"/>
  <c r="G49" i="30"/>
  <c r="L49" i="30"/>
  <c r="G24" i="30"/>
  <c r="L24" i="30"/>
  <c r="L55" i="30"/>
  <c r="G55" i="30"/>
  <c r="G37" i="30"/>
  <c r="L37" i="30"/>
  <c r="G34" i="30"/>
  <c r="L34" i="30"/>
  <c r="L35" i="30"/>
  <c r="G35" i="30"/>
  <c r="L39" i="30"/>
  <c r="G39" i="30"/>
  <c r="D16" i="30"/>
  <c r="E16" i="30" s="1"/>
  <c r="H23" i="6"/>
  <c r="F16" i="7" s="1"/>
  <c r="F20" i="7"/>
  <c r="C23" i="22"/>
  <c r="C13" i="22"/>
  <c r="H24" i="22"/>
  <c r="I24" i="22" s="1"/>
  <c r="G24" i="22"/>
  <c r="H23" i="22"/>
  <c r="G23" i="22"/>
  <c r="J24" i="22" s="1"/>
  <c r="G14" i="22"/>
  <c r="G13" i="22"/>
  <c r="J14" i="22" s="1"/>
  <c r="I8" i="22"/>
  <c r="G8" i="22"/>
  <c r="E8" i="22"/>
  <c r="G7" i="22"/>
  <c r="E7" i="22"/>
  <c r="C7" i="22"/>
  <c r="I7" i="22" s="1"/>
  <c r="K8" i="22" s="1"/>
  <c r="D14" i="22"/>
  <c r="E14" i="22" s="1"/>
  <c r="H13" i="22"/>
  <c r="H14" i="22"/>
  <c r="I14" i="22" s="1"/>
  <c r="D13" i="22"/>
  <c r="D23" i="22" s="1"/>
  <c r="E23" i="22" s="1"/>
  <c r="F16" i="30" l="1"/>
  <c r="B17" i="30" s="1"/>
  <c r="D17" i="30" s="1"/>
  <c r="E17" i="30" s="1"/>
  <c r="J7" i="30"/>
  <c r="J9" i="30" s="1"/>
  <c r="F38" i="6"/>
  <c r="K38" i="6" s="1"/>
  <c r="H43" i="6" s="1"/>
  <c r="K43" i="6" s="1"/>
  <c r="E13" i="22"/>
  <c r="I13" i="22"/>
  <c r="K14" i="22" s="1"/>
  <c r="L14" i="22" s="1"/>
  <c r="H16" i="7"/>
  <c r="K22" i="6"/>
  <c r="I23" i="22"/>
  <c r="K24" i="22" s="1"/>
  <c r="D24" i="22"/>
  <c r="E24" i="22" s="1"/>
  <c r="J8" i="22"/>
  <c r="L8" i="22" s="1"/>
  <c r="L7" i="22"/>
  <c r="F17" i="30" l="1"/>
  <c r="B18" i="30" s="1"/>
  <c r="D18" i="30" s="1"/>
  <c r="E18" i="30" s="1"/>
  <c r="L13" i="22"/>
  <c r="L24" i="22"/>
  <c r="F19" i="7"/>
  <c r="H19" i="7" s="1"/>
  <c r="L23" i="22"/>
  <c r="F18" i="30" l="1"/>
  <c r="B19" i="30" s="1"/>
  <c r="D19" i="30" s="1"/>
  <c r="E19" i="30" s="1"/>
  <c r="F19" i="30" l="1"/>
  <c r="B20" i="30" s="1"/>
  <c r="D20" i="30" s="1"/>
  <c r="E20" i="30" s="1"/>
  <c r="F20" i="30" l="1"/>
  <c r="B21" i="30" s="1"/>
  <c r="D21" i="30" s="1"/>
  <c r="E21" i="30" s="1"/>
  <c r="F21" i="30" l="1"/>
  <c r="B22" i="30" s="1"/>
  <c r="D22" i="30" s="1"/>
  <c r="E22" i="30" s="1"/>
  <c r="F22" i="30" l="1"/>
  <c r="B23" i="30" s="1"/>
  <c r="D23" i="30" s="1"/>
  <c r="E23" i="30" s="1"/>
  <c r="F23" i="30" l="1"/>
  <c r="B24" i="30" s="1"/>
  <c r="D24" i="30" s="1"/>
  <c r="E24" i="30" s="1"/>
  <c r="F24" i="30" l="1"/>
  <c r="B25" i="30" s="1"/>
  <c r="D25" i="30" s="1"/>
  <c r="E25" i="30" l="1"/>
  <c r="F25" i="30"/>
  <c r="B26" i="30" s="1"/>
  <c r="D26" i="30"/>
  <c r="E26" i="30" s="1"/>
  <c r="F26" i="30"/>
  <c r="B27" i="30" s="1"/>
  <c r="D27" i="30" l="1"/>
  <c r="E27" i="30" s="1"/>
  <c r="F27" i="30" l="1"/>
  <c r="B28" i="30" s="1"/>
  <c r="D28" i="30" s="1"/>
  <c r="E28" i="30" s="1"/>
  <c r="F28" i="30" l="1"/>
  <c r="B29" i="30" s="1"/>
  <c r="D29" i="30" s="1"/>
  <c r="E29" i="30" s="1"/>
  <c r="F29" i="30" l="1"/>
  <c r="B30" i="30" s="1"/>
  <c r="D30" i="30"/>
  <c r="E30" i="30" s="1"/>
  <c r="F30" i="30"/>
  <c r="B31" i="30" s="1"/>
  <c r="D31" i="30" l="1"/>
  <c r="E31" i="30" s="1"/>
  <c r="F31" i="30"/>
  <c r="B32" i="30" s="1"/>
  <c r="D32" i="30" l="1"/>
  <c r="E32" i="30" s="1"/>
  <c r="F32" i="30"/>
  <c r="B33" i="30" s="1"/>
  <c r="D33" i="30" l="1"/>
  <c r="E33" i="30" s="1"/>
  <c r="F33" i="30"/>
  <c r="B34" i="30" s="1"/>
  <c r="D34" i="30" l="1"/>
  <c r="E34" i="30" s="1"/>
  <c r="F34" i="30" l="1"/>
  <c r="B35" i="30" s="1"/>
  <c r="D35" i="30" l="1"/>
  <c r="E35" i="30" s="1"/>
  <c r="F35" i="30" l="1"/>
  <c r="B36" i="30" s="1"/>
  <c r="D36" i="30" s="1"/>
  <c r="E36" i="30" s="1"/>
  <c r="F36" i="30" l="1"/>
  <c r="B37" i="30" s="1"/>
  <c r="D37" i="30" s="1"/>
  <c r="E37" i="30" s="1"/>
  <c r="F37" i="30" l="1"/>
  <c r="B38" i="30" s="1"/>
  <c r="D38" i="30" s="1"/>
  <c r="E38" i="30" s="1"/>
  <c r="F38" i="30" l="1"/>
  <c r="B39" i="30" s="1"/>
  <c r="D39" i="30"/>
  <c r="E39" i="30" s="1"/>
  <c r="F39" i="30" l="1"/>
  <c r="B40" i="30" s="1"/>
  <c r="D40" i="30" s="1"/>
  <c r="E40" i="30" s="1"/>
  <c r="F40" i="30" l="1"/>
  <c r="B41" i="30" s="1"/>
  <c r="D41" i="30" s="1"/>
  <c r="E41" i="30" s="1"/>
  <c r="F41" i="30" l="1"/>
  <c r="B42" i="30" s="1"/>
  <c r="D42" i="30" s="1"/>
  <c r="E42" i="30" s="1"/>
  <c r="F42" i="30" l="1"/>
  <c r="B43" i="30" s="1"/>
  <c r="D43" i="30"/>
  <c r="E43" i="30" s="1"/>
  <c r="F43" i="30" l="1"/>
  <c r="B44" i="30" s="1"/>
  <c r="D44" i="30" l="1"/>
  <c r="E44" i="30" s="1"/>
  <c r="F44" i="30" l="1"/>
  <c r="B45" i="30" s="1"/>
  <c r="D45" i="30"/>
  <c r="E45" i="30" s="1"/>
  <c r="F45" i="30"/>
  <c r="B46" i="30" s="1"/>
  <c r="D46" i="30" l="1"/>
  <c r="E46" i="30" s="1"/>
  <c r="F46" i="30"/>
  <c r="B47" i="30" s="1"/>
  <c r="D47" i="30" l="1"/>
  <c r="E47" i="30" s="1"/>
  <c r="F47" i="30"/>
  <c r="B48" i="30" s="1"/>
  <c r="D48" i="30" l="1"/>
  <c r="E48" i="30" s="1"/>
  <c r="F48" i="30" l="1"/>
  <c r="B49" i="30" s="1"/>
  <c r="D49" i="30"/>
  <c r="E49" i="30" s="1"/>
  <c r="F49" i="30" l="1"/>
  <c r="B50" i="30" s="1"/>
  <c r="D50" i="30" s="1"/>
  <c r="E50" i="30" s="1"/>
  <c r="F50" i="30" l="1"/>
  <c r="B51" i="30" s="1"/>
  <c r="D51" i="30" s="1"/>
  <c r="E51" i="30" s="1"/>
  <c r="F51" i="30" l="1"/>
  <c r="B52" i="30" s="1"/>
  <c r="D52" i="30"/>
  <c r="E52" i="30" s="1"/>
  <c r="F52" i="30"/>
  <c r="B53" i="30" s="1"/>
  <c r="D53" i="30" l="1"/>
  <c r="E53" i="30" s="1"/>
  <c r="F53" i="30" l="1"/>
  <c r="B54" i="30" s="1"/>
  <c r="D54" i="30" s="1"/>
  <c r="E54" i="30" s="1"/>
  <c r="F54" i="30" l="1"/>
  <c r="B55" i="30" s="1"/>
  <c r="D55" i="30" s="1"/>
  <c r="E55" i="30" l="1"/>
  <c r="F55" i="3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AEP</author>
  </authors>
  <commentList>
    <comment ref="D6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MCSR0102 IN  
Billed KWH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<sst xmlns="http://schemas.openxmlformats.org/spreadsheetml/2006/main" count="140" uniqueCount="96">
  <si>
    <t>KENTUCKY POWER COMPANY</t>
  </si>
  <si>
    <t>Effective Date for Billing</t>
  </si>
  <si>
    <t>Submitted by:</t>
  </si>
  <si>
    <t>(Signature)</t>
  </si>
  <si>
    <t>Title:</t>
  </si>
  <si>
    <t>Date Submitted:</t>
  </si>
  <si>
    <t>B.</t>
  </si>
  <si>
    <t>=</t>
  </si>
  <si>
    <t xml:space="preserve"> </t>
  </si>
  <si>
    <t>Residential Adjustment Factor</t>
  </si>
  <si>
    <t>Summary</t>
  </si>
  <si>
    <t>x</t>
  </si>
  <si>
    <t xml:space="preserve">Adjustment Factor </t>
  </si>
  <si>
    <t>Residential Retail Revenue</t>
  </si>
  <si>
    <t>All Other Classes, Non-Fuel Retail Revenue</t>
  </si>
  <si>
    <t>All Other Adjustment Factor</t>
  </si>
  <si>
    <t>Kentucky Power Company</t>
  </si>
  <si>
    <t>Date</t>
  </si>
  <si>
    <t>Billed KWH</t>
  </si>
  <si>
    <t>Estimated KWH</t>
  </si>
  <si>
    <t>Unbilled KWH</t>
  </si>
  <si>
    <t>Billed FAC Revenues</t>
  </si>
  <si>
    <t>Total</t>
  </si>
  <si>
    <t>Rev Class 010 &amp; 020</t>
  </si>
  <si>
    <t>Other than Rev class 010 &amp; 020</t>
  </si>
  <si>
    <t>Reverse Prior Month Est Surcharge</t>
  </si>
  <si>
    <t>Reverse Prior Month Unb FAC  Surcharge</t>
  </si>
  <si>
    <t>Unbilled FAC Surcharge</t>
  </si>
  <si>
    <t>Next Month FAC + SS  Rate (Unbilled)</t>
  </si>
  <si>
    <t>Current Month FAC + SS  Rate Billed</t>
  </si>
  <si>
    <t>Estimated FAC + SS Surcharge</t>
  </si>
  <si>
    <t>Billed &amp; Accrued FAC + SS Surcharge</t>
  </si>
  <si>
    <t>Year Ended:</t>
  </si>
  <si>
    <t>*</t>
  </si>
  <si>
    <t>A.</t>
  </si>
  <si>
    <t>NRA (from A above)</t>
  </si>
  <si>
    <t>NOA (from A above)</t>
  </si>
  <si>
    <t>C.</t>
  </si>
  <si>
    <t>D.</t>
  </si>
  <si>
    <t>Page 1 of 2</t>
  </si>
  <si>
    <t>Page 2 of 2</t>
  </si>
  <si>
    <t>/s/ Brian K. West</t>
  </si>
  <si>
    <t>(1st Billing Cycle of October)</t>
  </si>
  <si>
    <t>Vice President Regulatory &amp; Finance</t>
  </si>
  <si>
    <t>Securitization Financing Rider</t>
  </si>
  <si>
    <t>Residential S.F.R. Adjustment Factor</t>
  </si>
  <si>
    <t>All Other Classes S.F.R. Adjustment Factor</t>
  </si>
  <si>
    <t>Month, Day, Year</t>
  </si>
  <si>
    <t>Base Residential Allocation</t>
  </si>
  <si>
    <t>Base All Other Allocation</t>
  </si>
  <si>
    <t>20-Year Securitization</t>
  </si>
  <si>
    <t xml:space="preserve">Tenor </t>
  </si>
  <si>
    <t>Years</t>
  </si>
  <si>
    <t>Payments</t>
  </si>
  <si>
    <t>Upfront Costs</t>
  </si>
  <si>
    <t>P&amp;I</t>
  </si>
  <si>
    <t>Total Securitized</t>
  </si>
  <si>
    <t>Discount Rate</t>
  </si>
  <si>
    <t>Interest</t>
  </si>
  <si>
    <t>Rate</t>
  </si>
  <si>
    <t>Period</t>
  </si>
  <si>
    <t>Beg. Balance</t>
  </si>
  <si>
    <t>Payment</t>
  </si>
  <si>
    <t>Principal</t>
  </si>
  <si>
    <t>End Balance</t>
  </si>
  <si>
    <t>NPV</t>
  </si>
  <si>
    <t>Description of Cost items</t>
  </si>
  <si>
    <t>Based on averages of recent deals for fixed costs</t>
  </si>
  <si>
    <t>Legal Fees/Exp for Company's/Issuer's Counsel</t>
  </si>
  <si>
    <t>Fee for Commission &amp; Company's Financial Advisor</t>
  </si>
  <si>
    <t>Printing/Edgarizing Expenses</t>
  </si>
  <si>
    <t>Miscellaneous Administrative Costs</t>
  </si>
  <si>
    <t>Rating Agency Fees</t>
  </si>
  <si>
    <t>Accountant's Fees</t>
  </si>
  <si>
    <t>Servicer Set-up Costs</t>
  </si>
  <si>
    <t>Trustee's/Trustee's Counsel Fees and Expenses</t>
  </si>
  <si>
    <t xml:space="preserve">Underwriting Fee </t>
  </si>
  <si>
    <t>SEC Fees</t>
  </si>
  <si>
    <t>Total Fixed Qualified Costs</t>
  </si>
  <si>
    <t>Costs as  % of Bonds</t>
  </si>
  <si>
    <t>Kentucky Power Revenue Detail</t>
  </si>
  <si>
    <t>Residential</t>
  </si>
  <si>
    <t>All Other (C&amp;I)</t>
  </si>
  <si>
    <r>
      <rPr>
        <b/>
        <sz val="10"/>
        <rFont val="Arial"/>
        <family val="2"/>
      </rPr>
      <t>Billed &amp; Accrued Revenue 12 Mos. Ended March 2023</t>
    </r>
    <r>
      <rPr>
        <sz val="10"/>
        <rFont val="Arial"/>
        <family val="2"/>
      </rPr>
      <t xml:space="preserve">
excludes Environmental Surcharge and Big Sandy Decommissioning Rider 
includes Fuel</t>
    </r>
  </si>
  <si>
    <r>
      <rPr>
        <b/>
        <sz val="10"/>
        <rFont val="Arial"/>
        <family val="2"/>
      </rPr>
      <t>Billed &amp; Accrued Revenue 12 Mos. Ended March 2023 2022</t>
    </r>
    <r>
      <rPr>
        <sz val="10"/>
        <rFont val="Arial"/>
        <family val="2"/>
      </rPr>
      <t xml:space="preserve">
excludes Environmental Surcharge and Big Sandy Decommissioning Rider 
</t>
    </r>
    <r>
      <rPr>
        <b/>
        <sz val="10"/>
        <rFont val="Arial"/>
        <family val="2"/>
      </rPr>
      <t>excludes Fuel</t>
    </r>
  </si>
  <si>
    <t>Billed &amp; Accrued Revenue 12 Months Ended March 31, 2023</t>
  </si>
  <si>
    <t>Kentucky Power Securitization Analysis</t>
  </si>
  <si>
    <t>Securitization Amount</t>
  </si>
  <si>
    <t>NPV Payments</t>
  </si>
  <si>
    <t>Interest Rate</t>
  </si>
  <si>
    <t>NPV Ongoing</t>
  </si>
  <si>
    <t>Ongoing</t>
  </si>
  <si>
    <t xml:space="preserve">Total Monthly </t>
  </si>
  <si>
    <t>Costs</t>
  </si>
  <si>
    <t>Payment of Debt Service</t>
  </si>
  <si>
    <t>And Ongoing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</si>
</sst>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_);\(#,##0.00000\)"/>
    <numFmt numFmtId="165" formatCode="&quot;$&quot;#,##0"/>
    <numFmt numFmtId="166" formatCode="[$-409]mmmm\ d\,\ yyyy;@"/>
    <numFmt numFmtId="167" formatCode="_(* #,##0_);_(* \(#,##0\);_(* &quot;-&quot;??_);_(@_)"/>
    <numFmt numFmtId="168" formatCode="_(&quot;$&quot;* #,##0_);_(&quot;$&quot;* \(#,##0\);_(&quot;$&quot;* &quot;-&quot;??_);_(@_)"/>
    <numFmt numFmtId="169" formatCode="0.0000%"/>
    <numFmt numFmtId="170" formatCode="_(&quot;$&quot;* #,##0.0000000_);_(&quot;$&quot;* \(#,##0.0000000\);_(&quot;$&quot;* &quot;-&quot;??_);_(@_)"/>
    <numFmt numFmtId="171" formatCode="_(* #,##0.0_);_(* \(#,##0.0\);&quot;&quot;;_(@_)"/>
    <numFmt numFmtId="172" formatCode="[Blue]#,##0,_);[Red]\(#,##0,\)"/>
    <numFmt numFmtId="173" formatCode="General_)"/>
    <numFmt numFmtId="174" formatCode="[$-409]mmm\-yy;@"/>
    <numFmt numFmtId="175" formatCode="0.00000%"/>
    <numFmt numFmtId="176" formatCode="0.000%"/>
    <numFmt numFmtId="177" formatCode="0.0%"/>
  </numFmts>
  <fonts count="9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48"/>
      <name val="Times New Roman"/>
      <family val="1"/>
    </font>
    <font>
      <i/>
      <sz val="9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0"/>
      <color indexed="20"/>
      <name val="Arial"/>
      <family val="2"/>
    </font>
    <font>
      <sz val="10"/>
      <color indexed="20"/>
      <name val="Tahoma"/>
      <family val="2"/>
    </font>
    <font>
      <b/>
      <sz val="10"/>
      <color indexed="52"/>
      <name val="Arial"/>
      <family val="2"/>
    </font>
    <font>
      <b/>
      <sz val="10"/>
      <color indexed="52"/>
      <name val="Tahoma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b/>
      <sz val="10"/>
      <name val="Arial Unicode MS"/>
      <family val="2"/>
    </font>
    <font>
      <sz val="10"/>
      <name val="Arial Unicode MS"/>
      <family val="2"/>
    </font>
    <font>
      <i/>
      <sz val="10"/>
      <color indexed="23"/>
      <name val="Arial"/>
      <family val="2"/>
    </font>
    <font>
      <i/>
      <sz val="10"/>
      <color indexed="23"/>
      <name val="Tahoma"/>
      <family val="2"/>
    </font>
    <font>
      <sz val="10"/>
      <color indexed="17"/>
      <name val="Arial"/>
      <family val="2"/>
    </font>
    <font>
      <sz val="10"/>
      <color indexed="17"/>
      <name val="Tahoma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5"/>
      <color indexed="56"/>
      <name val="Tahoma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3"/>
      <color indexed="56"/>
      <name val="Tahoma"/>
      <family val="2"/>
    </font>
    <font>
      <b/>
      <sz val="13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b/>
      <sz val="11"/>
      <color indexed="56"/>
      <name val="Tahoma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62"/>
      <name val="Tahoma"/>
      <family val="2"/>
    </font>
    <font>
      <b/>
      <sz val="12"/>
      <color indexed="12"/>
      <name val="Arial"/>
      <family val="2"/>
    </font>
    <font>
      <sz val="10"/>
      <color indexed="52"/>
      <name val="Arial"/>
      <family val="2"/>
    </font>
    <font>
      <sz val="10"/>
      <color indexed="52"/>
      <name val="Tahoma"/>
      <family val="2"/>
    </font>
    <font>
      <sz val="10"/>
      <color indexed="60"/>
      <name val="Arial"/>
      <family val="2"/>
    </font>
    <font>
      <sz val="10"/>
      <color indexed="60"/>
      <name val="Tahoma"/>
      <family val="2"/>
    </font>
    <font>
      <sz val="12"/>
      <name val="Arial MT"/>
    </font>
    <font>
      <sz val="10"/>
      <color indexed="64"/>
      <name val="Arial"/>
      <family val="2"/>
    </font>
    <font>
      <sz val="8"/>
      <color indexed="48"/>
      <name val="Arial"/>
      <family val="2"/>
    </font>
    <font>
      <b/>
      <sz val="10"/>
      <color indexed="63"/>
      <name val="Arial"/>
      <family val="2"/>
    </font>
    <font>
      <b/>
      <sz val="10"/>
      <color indexed="63"/>
      <name val="Tahoma"/>
      <family val="2"/>
    </font>
    <font>
      <b/>
      <sz val="10"/>
      <name val="MS Sans Serif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10"/>
      <name val="Arial"/>
      <family val="2"/>
    </font>
    <font>
      <sz val="10"/>
      <color indexed="10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0"/>
      <name val="Arial Unicode MS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0"/>
      <color rgb="FF0000FF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 val="singleAccounting"/>
      <sz val="1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14"/>
      </patternFill>
    </fill>
    <fill>
      <patternFill patternType="solid">
        <fgColor indexed="55"/>
      </patternFill>
    </fill>
    <fill>
      <patternFill patternType="mediumGray">
        <fgColor indexed="22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88">
    <xf numFmtId="0" fontId="0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2" borderId="0" applyNumberFormat="0" applyBorder="0" applyAlignment="0" applyProtection="0"/>
    <xf numFmtId="0" fontId="33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4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4" fillId="5" borderId="0" applyNumberFormat="0" applyBorder="0" applyAlignment="0" applyProtection="0"/>
    <xf numFmtId="0" fontId="33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7" borderId="0" applyNumberFormat="0" applyBorder="0" applyAlignment="0" applyProtection="0"/>
    <xf numFmtId="0" fontId="33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4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4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4" fillId="10" borderId="0" applyNumberFormat="0" applyBorder="0" applyAlignment="0" applyProtection="0"/>
    <xf numFmtId="0" fontId="33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4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4" fillId="13" borderId="0" applyNumberFormat="0" applyBorder="0" applyAlignment="0" applyProtection="0"/>
    <xf numFmtId="0" fontId="33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4" fillId="7" borderId="0" applyNumberFormat="0" applyBorder="0" applyAlignment="0" applyProtection="0"/>
    <xf numFmtId="0" fontId="33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4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4" fillId="15" borderId="0" applyNumberFormat="0" applyBorder="0" applyAlignment="0" applyProtection="0"/>
    <xf numFmtId="0" fontId="33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6" fillId="16" borderId="0" applyNumberFormat="0" applyBorder="0" applyAlignment="0" applyProtection="0"/>
    <xf numFmtId="0" fontId="35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6" fillId="12" borderId="0" applyNumberFormat="0" applyBorder="0" applyAlignment="0" applyProtection="0"/>
    <xf numFmtId="0" fontId="17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6" fillId="13" borderId="0" applyNumberFormat="0" applyBorder="0" applyAlignment="0" applyProtection="0"/>
    <xf numFmtId="0" fontId="35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6" fillId="18" borderId="0" applyNumberFormat="0" applyBorder="0" applyAlignment="0" applyProtection="0"/>
    <xf numFmtId="0" fontId="35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6" fillId="17" borderId="0" applyNumberFormat="0" applyBorder="0" applyAlignment="0" applyProtection="0"/>
    <xf numFmtId="0" fontId="17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6" fillId="19" borderId="0" applyNumberFormat="0" applyBorder="0" applyAlignment="0" applyProtection="0"/>
    <xf numFmtId="0" fontId="35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6" fillId="20" borderId="0" applyNumberFormat="0" applyBorder="0" applyAlignment="0" applyProtection="0"/>
    <xf numFmtId="0" fontId="35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6" fillId="21" borderId="0" applyNumberFormat="0" applyBorder="0" applyAlignment="0" applyProtection="0"/>
    <xf numFmtId="0" fontId="17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6" fillId="22" borderId="0" applyNumberFormat="0" applyBorder="0" applyAlignment="0" applyProtection="0"/>
    <xf numFmtId="0" fontId="17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6" fillId="18" borderId="0" applyNumberFormat="0" applyBorder="0" applyAlignment="0" applyProtection="0"/>
    <xf numFmtId="0" fontId="35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6" fillId="17" borderId="0" applyNumberFormat="0" applyBorder="0" applyAlignment="0" applyProtection="0"/>
    <xf numFmtId="0" fontId="17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6" fillId="24" borderId="0" applyNumberFormat="0" applyBorder="0" applyAlignment="0" applyProtection="0"/>
    <xf numFmtId="0" fontId="18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8" fillId="4" borderId="0" applyNumberFormat="0" applyBorder="0" applyAlignment="0" applyProtection="0"/>
    <xf numFmtId="0" fontId="37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3" borderId="1" applyNumberFormat="0" applyAlignment="0" applyProtection="0"/>
    <xf numFmtId="0" fontId="39" fillId="3" borderId="1" applyNumberFormat="0" applyAlignment="0" applyProtection="0"/>
    <xf numFmtId="0" fontId="39" fillId="3" borderId="1" applyNumberFormat="0" applyAlignment="0" applyProtection="0"/>
    <xf numFmtId="0" fontId="39" fillId="3" borderId="1" applyNumberFormat="0" applyAlignment="0" applyProtection="0"/>
    <xf numFmtId="0" fontId="40" fillId="3" borderId="1" applyNumberFormat="0" applyAlignment="0" applyProtection="0"/>
    <xf numFmtId="0" fontId="20" fillId="11" borderId="2" applyNumberFormat="0" applyAlignment="0" applyProtection="0"/>
    <xf numFmtId="0" fontId="41" fillId="11" borderId="2" applyNumberFormat="0" applyAlignment="0" applyProtection="0"/>
    <xf numFmtId="0" fontId="41" fillId="11" borderId="2" applyNumberFormat="0" applyAlignment="0" applyProtection="0"/>
    <xf numFmtId="0" fontId="41" fillId="11" borderId="2" applyNumberFormat="0" applyAlignment="0" applyProtection="0"/>
    <xf numFmtId="0" fontId="42" fillId="26" borderId="2" applyNumberFormat="0" applyAlignment="0" applyProtection="0"/>
    <xf numFmtId="0" fontId="41" fillId="26" borderId="2" applyNumberFormat="0" applyAlignment="0" applyProtection="0"/>
    <xf numFmtId="0" fontId="20" fillId="26" borderId="2" applyNumberFormat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3" fillId="0" borderId="0" applyFont="0" applyFill="0" applyBorder="0" applyAlignment="0" applyProtection="0"/>
    <xf numFmtId="4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8" fontId="11" fillId="0" borderId="0" applyFont="0" applyFill="0" applyBorder="0" applyAlignment="0" applyProtection="0"/>
    <xf numFmtId="8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8" fillId="5" borderId="0" applyNumberFormat="0" applyBorder="0" applyAlignment="0" applyProtection="0"/>
    <xf numFmtId="0" fontId="49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23" fillId="0" borderId="3" applyNumberFormat="0" applyFill="0" applyAlignment="0" applyProtection="0"/>
    <xf numFmtId="0" fontId="53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5" fillId="0" borderId="5" applyNumberFormat="0" applyFill="0" applyAlignment="0" applyProtection="0"/>
    <xf numFmtId="0" fontId="56" fillId="0" borderId="5" applyNumberFormat="0" applyFill="0" applyAlignment="0" applyProtection="0"/>
    <xf numFmtId="0" fontId="24" fillId="0" borderId="5" applyNumberFormat="0" applyFill="0" applyAlignment="0" applyProtection="0"/>
    <xf numFmtId="0" fontId="57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9" fillId="0" borderId="7" applyNumberFormat="0" applyFill="0" applyAlignment="0" applyProtection="0"/>
    <xf numFmtId="0" fontId="60" fillId="0" borderId="7" applyNumberFormat="0" applyFill="0" applyAlignment="0" applyProtection="0"/>
    <xf numFmtId="0" fontId="25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9" borderId="1" applyNumberFormat="0" applyAlignment="0" applyProtection="0"/>
    <xf numFmtId="0" fontId="61" fillId="9" borderId="1" applyNumberFormat="0" applyAlignment="0" applyProtection="0"/>
    <xf numFmtId="0" fontId="61" fillId="9" borderId="1" applyNumberFormat="0" applyAlignment="0" applyProtection="0"/>
    <xf numFmtId="0" fontId="61" fillId="9" borderId="1" applyNumberFormat="0" applyAlignment="0" applyProtection="0"/>
    <xf numFmtId="0" fontId="62" fillId="9" borderId="1" applyNumberFormat="0" applyAlignment="0" applyProtection="0"/>
    <xf numFmtId="41" fontId="63" fillId="0" borderId="0">
      <alignment horizontal="left"/>
    </xf>
    <xf numFmtId="0" fontId="27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5" fillId="0" borderId="9" applyNumberFormat="0" applyFill="0" applyAlignment="0" applyProtection="0"/>
    <xf numFmtId="0" fontId="28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7" fillId="14" borderId="0" applyNumberFormat="0" applyBorder="0" applyAlignment="0" applyProtection="0"/>
    <xf numFmtId="0" fontId="80" fillId="0" borderId="0"/>
    <xf numFmtId="0" fontId="44" fillId="0" borderId="0"/>
    <xf numFmtId="37" fontId="68" fillId="0" borderId="0"/>
    <xf numFmtId="0" fontId="68" fillId="0" borderId="0"/>
    <xf numFmtId="0" fontId="1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38" fontId="9" fillId="0" borderId="0"/>
    <xf numFmtId="38" fontId="9" fillId="0" borderId="0"/>
    <xf numFmtId="38" fontId="9" fillId="0" borderId="0"/>
    <xf numFmtId="38" fontId="9" fillId="0" borderId="0"/>
    <xf numFmtId="0" fontId="79" fillId="0" borderId="0"/>
    <xf numFmtId="0" fontId="79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38" fontId="9" fillId="0" borderId="0"/>
    <xf numFmtId="38" fontId="9" fillId="0" borderId="0"/>
    <xf numFmtId="38" fontId="9" fillId="0" borderId="0"/>
    <xf numFmtId="38" fontId="9" fillId="0" borderId="0"/>
    <xf numFmtId="38" fontId="9" fillId="0" borderId="0"/>
    <xf numFmtId="38" fontId="9" fillId="0" borderId="0"/>
    <xf numFmtId="38" fontId="9" fillId="0" borderId="0"/>
    <xf numFmtId="38" fontId="9" fillId="0" borderId="0"/>
    <xf numFmtId="38" fontId="9" fillId="0" borderId="0"/>
    <xf numFmtId="38" fontId="9" fillId="0" borderId="0"/>
    <xf numFmtId="0" fontId="9" fillId="0" borderId="0"/>
    <xf numFmtId="0" fontId="69" fillId="0" borderId="0"/>
    <xf numFmtId="0" fontId="69" fillId="0" borderId="0"/>
    <xf numFmtId="0" fontId="44" fillId="0" borderId="0"/>
    <xf numFmtId="0" fontId="11" fillId="0" borderId="0"/>
    <xf numFmtId="0" fontId="44" fillId="0" borderId="0"/>
    <xf numFmtId="0" fontId="44" fillId="0" borderId="0"/>
    <xf numFmtId="0" fontId="9" fillId="0" borderId="0"/>
    <xf numFmtId="0" fontId="69" fillId="0" borderId="0"/>
    <xf numFmtId="38" fontId="9" fillId="0" borderId="0"/>
    <xf numFmtId="38" fontId="9" fillId="0" borderId="0"/>
    <xf numFmtId="38" fontId="9" fillId="0" borderId="0"/>
    <xf numFmtId="38" fontId="9" fillId="0" borderId="0"/>
    <xf numFmtId="38" fontId="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44" fillId="0" borderId="0"/>
    <xf numFmtId="0" fontId="44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9" fillId="6" borderId="10" applyNumberFormat="0" applyFont="0" applyAlignment="0" applyProtection="0"/>
    <xf numFmtId="0" fontId="9" fillId="6" borderId="1" applyNumberFormat="0" applyFont="0" applyAlignment="0" applyProtection="0"/>
    <xf numFmtId="0" fontId="9" fillId="6" borderId="1" applyNumberFormat="0" applyFont="0" applyAlignment="0" applyProtection="0"/>
    <xf numFmtId="0" fontId="9" fillId="6" borderId="1" applyNumberFormat="0" applyFont="0" applyAlignment="0" applyProtection="0"/>
    <xf numFmtId="0" fontId="9" fillId="6" borderId="1" applyNumberFormat="0" applyFont="0" applyAlignment="0" applyProtection="0"/>
    <xf numFmtId="0" fontId="9" fillId="6" borderId="1" applyNumberFormat="0" applyFont="0" applyAlignment="0" applyProtection="0"/>
    <xf numFmtId="0" fontId="9" fillId="6" borderId="1" applyNumberFormat="0" applyFont="0" applyAlignment="0" applyProtection="0"/>
    <xf numFmtId="0" fontId="9" fillId="6" borderId="1" applyNumberFormat="0" applyFont="0" applyAlignment="0" applyProtection="0"/>
    <xf numFmtId="0" fontId="9" fillId="6" borderId="1" applyNumberFormat="0" applyFont="0" applyAlignment="0" applyProtection="0"/>
    <xf numFmtId="0" fontId="9" fillId="6" borderId="1" applyNumberFormat="0" applyFont="0" applyAlignment="0" applyProtection="0"/>
    <xf numFmtId="0" fontId="9" fillId="6" borderId="1" applyNumberFormat="0" applyFont="0" applyAlignment="0" applyProtection="0"/>
    <xf numFmtId="0" fontId="9" fillId="6" borderId="1" applyNumberFormat="0" applyFont="0" applyAlignment="0" applyProtection="0"/>
    <xf numFmtId="0" fontId="9" fillId="6" borderId="1" applyNumberFormat="0" applyFont="0" applyAlignment="0" applyProtection="0"/>
    <xf numFmtId="0" fontId="9" fillId="6" borderId="1" applyNumberFormat="0" applyFont="0" applyAlignment="0" applyProtection="0"/>
    <xf numFmtId="0" fontId="9" fillId="6" borderId="1" applyNumberFormat="0" applyFont="0" applyAlignment="0" applyProtection="0"/>
    <xf numFmtId="0" fontId="9" fillId="6" borderId="1" applyNumberFormat="0" applyFont="0" applyAlignment="0" applyProtection="0"/>
    <xf numFmtId="0" fontId="9" fillId="6" borderId="1" applyNumberFormat="0" applyFont="0" applyAlignment="0" applyProtection="0"/>
    <xf numFmtId="0" fontId="9" fillId="6" borderId="1" applyNumberFormat="0" applyFont="0" applyAlignment="0" applyProtection="0"/>
    <xf numFmtId="0" fontId="9" fillId="6" borderId="1" applyNumberFormat="0" applyFont="0" applyAlignment="0" applyProtection="0"/>
    <xf numFmtId="0" fontId="9" fillId="6" borderId="1" applyNumberFormat="0" applyFont="0" applyAlignment="0" applyProtection="0"/>
    <xf numFmtId="43" fontId="61" fillId="0" borderId="0"/>
    <xf numFmtId="172" fontId="70" fillId="0" borderId="0"/>
    <xf numFmtId="0" fontId="29" fillId="3" borderId="11" applyNumberFormat="0" applyAlignment="0" applyProtection="0"/>
    <xf numFmtId="0" fontId="71" fillId="3" borderId="11" applyNumberFormat="0" applyAlignment="0" applyProtection="0"/>
    <xf numFmtId="0" fontId="71" fillId="3" borderId="11" applyNumberFormat="0" applyAlignment="0" applyProtection="0"/>
    <xf numFmtId="0" fontId="71" fillId="3" borderId="11" applyNumberFormat="0" applyAlignment="0" applyProtection="0"/>
    <xf numFmtId="0" fontId="72" fillId="3" borderId="11" applyNumberFormat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0" fontId="73" fillId="0" borderId="12">
      <alignment horizontal="center"/>
    </xf>
    <xf numFmtId="0" fontId="73" fillId="0" borderId="12">
      <alignment horizontal="center"/>
    </xf>
    <xf numFmtId="0" fontId="73" fillId="0" borderId="12">
      <alignment horizontal="center"/>
    </xf>
    <xf numFmtId="0" fontId="73" fillId="0" borderId="12">
      <alignment horizontal="center"/>
    </xf>
    <xf numFmtId="0" fontId="73" fillId="0" borderId="12">
      <alignment horizontal="center"/>
    </xf>
    <xf numFmtId="0" fontId="73" fillId="0" borderId="12">
      <alignment horizontal="center"/>
    </xf>
    <xf numFmtId="0" fontId="73" fillId="0" borderId="12">
      <alignment horizontal="center"/>
    </xf>
    <xf numFmtId="0" fontId="73" fillId="0" borderId="12">
      <alignment horizontal="center"/>
    </xf>
    <xf numFmtId="0" fontId="73" fillId="0" borderId="12">
      <alignment horizontal="center"/>
    </xf>
    <xf numFmtId="0" fontId="73" fillId="0" borderId="12">
      <alignment horizontal="center"/>
    </xf>
    <xf numFmtId="0" fontId="73" fillId="0" borderId="12">
      <alignment horizontal="center"/>
    </xf>
    <xf numFmtId="0" fontId="73" fillId="0" borderId="12">
      <alignment horizontal="center"/>
    </xf>
    <xf numFmtId="0" fontId="73" fillId="0" borderId="12">
      <alignment horizontal="center"/>
    </xf>
    <xf numFmtId="0" fontId="73" fillId="0" borderId="12">
      <alignment horizontal="center"/>
    </xf>
    <xf numFmtId="0" fontId="73" fillId="0" borderId="12">
      <alignment horizontal="center"/>
    </xf>
    <xf numFmtId="0" fontId="73" fillId="0" borderId="12">
      <alignment horizontal="center"/>
    </xf>
    <xf numFmtId="0" fontId="73" fillId="0" borderId="12">
      <alignment horizontal="center"/>
    </xf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11" fillId="27" borderId="0" applyNumberFormat="0" applyFont="0" applyBorder="0" applyAlignment="0" applyProtection="0"/>
    <xf numFmtId="0" fontId="11" fillId="27" borderId="0" applyNumberFormat="0" applyFont="0" applyBorder="0" applyAlignment="0" applyProtection="0"/>
    <xf numFmtId="0" fontId="11" fillId="27" borderId="0" applyNumberFormat="0" applyFont="0" applyBorder="0" applyAlignment="0" applyProtection="0"/>
    <xf numFmtId="0" fontId="11" fillId="27" borderId="0" applyNumberFormat="0" applyFont="0" applyBorder="0" applyAlignment="0" applyProtection="0"/>
    <xf numFmtId="0" fontId="11" fillId="27" borderId="0" applyNumberFormat="0" applyFont="0" applyBorder="0" applyAlignment="0" applyProtection="0"/>
    <xf numFmtId="0" fontId="11" fillId="27" borderId="0" applyNumberFormat="0" applyFont="0" applyBorder="0" applyAlignment="0" applyProtection="0"/>
    <xf numFmtId="0" fontId="11" fillId="27" borderId="0" applyNumberFormat="0" applyFont="0" applyBorder="0" applyAlignment="0" applyProtection="0"/>
    <xf numFmtId="0" fontId="11" fillId="27" borderId="0" applyNumberFormat="0" applyFont="0" applyBorder="0" applyAlignment="0" applyProtection="0"/>
    <xf numFmtId="0" fontId="11" fillId="27" borderId="0" applyNumberFormat="0" applyFont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75" fillId="0" borderId="14" applyNumberFormat="0" applyFill="0" applyAlignment="0" applyProtection="0"/>
    <xf numFmtId="0" fontId="75" fillId="0" borderId="14" applyNumberFormat="0" applyFill="0" applyAlignment="0" applyProtection="0"/>
    <xf numFmtId="0" fontId="75" fillId="0" borderId="14" applyNumberFormat="0" applyFill="0" applyAlignment="0" applyProtection="0"/>
    <xf numFmtId="0" fontId="76" fillId="0" borderId="13" applyNumberFormat="0" applyFill="0" applyAlignment="0" applyProtection="0"/>
    <xf numFmtId="0" fontId="75" fillId="0" borderId="13" applyNumberFormat="0" applyFill="0" applyAlignment="0" applyProtection="0"/>
    <xf numFmtId="0" fontId="31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2" fillId="0" borderId="0"/>
    <xf numFmtId="0" fontId="44" fillId="0" borderId="0"/>
    <xf numFmtId="0" fontId="4" fillId="0" borderId="0"/>
    <xf numFmtId="43" fontId="4" fillId="0" borderId="0" applyFont="0" applyFill="0" applyBorder="0" applyAlignment="0" applyProtection="0"/>
    <xf numFmtId="0" fontId="2" fillId="0" borderId="0"/>
    <xf numFmtId="0" fontId="83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5">
    <xf numFmtId="0" fontId="0" fillId="0" borderId="0" xfId="0"/>
    <xf numFmtId="0" fontId="9" fillId="0" borderId="0" xfId="0" applyFont="1"/>
    <xf numFmtId="0" fontId="10" fillId="0" borderId="0" xfId="0" applyFont="1"/>
    <xf numFmtId="167" fontId="0" fillId="0" borderId="0" xfId="0" applyNumberFormat="1"/>
    <xf numFmtId="0" fontId="10" fillId="0" borderId="15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16" fontId="10" fillId="0" borderId="0" xfId="0" applyNumberFormat="1" applyFont="1" applyBorder="1" applyAlignment="1">
      <alignment horizontal="center" wrapText="1"/>
    </xf>
    <xf numFmtId="16" fontId="10" fillId="0" borderId="0" xfId="0" applyNumberFormat="1" applyFont="1" applyAlignment="1">
      <alignment horizontal="center"/>
    </xf>
    <xf numFmtId="167" fontId="0" fillId="0" borderId="0" xfId="200" applyNumberFormat="1" applyFont="1"/>
    <xf numFmtId="167" fontId="9" fillId="0" borderId="0" xfId="200" applyNumberFormat="1" applyFont="1" applyBorder="1" applyAlignment="1">
      <alignment horizontal="center" wrapText="1"/>
    </xf>
    <xf numFmtId="43" fontId="9" fillId="0" borderId="0" xfId="200" applyNumberFormat="1" applyFont="1" applyBorder="1" applyAlignment="1">
      <alignment horizontal="center" wrapText="1"/>
    </xf>
    <xf numFmtId="170" fontId="9" fillId="0" borderId="0" xfId="342" applyNumberFormat="1" applyFont="1" applyBorder="1" applyAlignment="1">
      <alignment horizontal="center" wrapText="1"/>
    </xf>
    <xf numFmtId="170" fontId="9" fillId="0" borderId="0" xfId="342" applyNumberFormat="1" applyFont="1"/>
    <xf numFmtId="44" fontId="0" fillId="0" borderId="0" xfId="342" applyNumberFormat="1" applyFont="1"/>
    <xf numFmtId="5" fontId="5" fillId="0" borderId="0" xfId="0" applyNumberFormat="1" applyFont="1" applyFill="1" applyBorder="1" applyAlignment="1">
      <alignment horizontal="left" vertical="top"/>
    </xf>
    <xf numFmtId="37" fontId="5" fillId="0" borderId="0" xfId="0" applyNumberFormat="1" applyFont="1" applyFill="1" applyAlignment="1">
      <alignment horizontal="center"/>
    </xf>
    <xf numFmtId="0" fontId="5" fillId="0" borderId="0" xfId="0" applyFont="1" applyFill="1"/>
    <xf numFmtId="165" fontId="5" fillId="0" borderId="0" xfId="328" applyNumberFormat="1" applyFont="1" applyFill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Alignment="1">
      <alignment horizontal="center"/>
    </xf>
    <xf numFmtId="0" fontId="9" fillId="0" borderId="0" xfId="0" applyFont="1" applyFill="1"/>
    <xf numFmtId="37" fontId="5" fillId="0" borderId="0" xfId="0" applyNumberFormat="1" applyFont="1" applyFill="1" applyBorder="1"/>
    <xf numFmtId="0" fontId="5" fillId="0" borderId="0" xfId="0" quotePrefix="1" applyFont="1" applyFill="1" applyAlignment="1">
      <alignment horizontal="center"/>
    </xf>
    <xf numFmtId="2" fontId="5" fillId="0" borderId="0" xfId="0" applyNumberFormat="1" applyFont="1" applyFill="1" applyBorder="1"/>
    <xf numFmtId="0" fontId="0" fillId="0" borderId="0" xfId="0" applyFill="1"/>
    <xf numFmtId="9" fontId="5" fillId="0" borderId="0" xfId="608" applyFont="1" applyFill="1" applyBorder="1" applyAlignment="1">
      <alignment horizontal="center"/>
    </xf>
    <xf numFmtId="168" fontId="5" fillId="0" borderId="0" xfId="328" applyNumberFormat="1" applyFont="1" applyFill="1" applyAlignment="1">
      <alignment horizontal="center" vertical="center"/>
    </xf>
    <xf numFmtId="9" fontId="5" fillId="0" borderId="0" xfId="608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/>
    <xf numFmtId="0" fontId="7" fillId="0" borderId="0" xfId="0" applyFont="1" applyFill="1" applyAlignment="1">
      <alignment horizontal="center"/>
    </xf>
    <xf numFmtId="0" fontId="0" fillId="0" borderId="0" xfId="0" applyFill="1" applyAlignment="1"/>
    <xf numFmtId="0" fontId="6" fillId="0" borderId="0" xfId="0" applyFont="1" applyFill="1" applyAlignment="1">
      <alignment horizontal="left"/>
    </xf>
    <xf numFmtId="0" fontId="10" fillId="0" borderId="0" xfId="0" applyFont="1" applyFill="1" applyAlignment="1"/>
    <xf numFmtId="0" fontId="6" fillId="0" borderId="0" xfId="0" applyFont="1" applyFill="1" applyAlignment="1"/>
    <xf numFmtId="0" fontId="0" fillId="0" borderId="0" xfId="0" applyFill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49" fontId="5" fillId="0" borderId="0" xfId="0" applyNumberFormat="1" applyFont="1" applyFill="1"/>
    <xf numFmtId="0" fontId="9" fillId="0" borderId="0" xfId="0" applyFont="1" applyFill="1" applyAlignment="1">
      <alignment horizontal="center"/>
    </xf>
    <xf numFmtId="7" fontId="0" fillId="0" borderId="0" xfId="0" applyNumberFormat="1" applyFill="1"/>
    <xf numFmtId="0" fontId="12" fillId="0" borderId="0" xfId="0" applyFont="1" applyFill="1"/>
    <xf numFmtId="0" fontId="5" fillId="0" borderId="0" xfId="0" quotePrefix="1" applyFont="1" applyFill="1"/>
    <xf numFmtId="0" fontId="0" fillId="0" borderId="16" xfId="0" applyFill="1" applyBorder="1"/>
    <xf numFmtId="0" fontId="5" fillId="0" borderId="15" xfId="0" applyFont="1" applyFill="1" applyBorder="1"/>
    <xf numFmtId="165" fontId="5" fillId="0" borderId="0" xfId="0" applyNumberFormat="1" applyFont="1" applyFill="1" applyBorder="1" applyAlignment="1">
      <alignment vertical="center"/>
    </xf>
    <xf numFmtId="169" fontId="5" fillId="0" borderId="0" xfId="608" applyNumberFormat="1" applyFont="1" applyFill="1" applyBorder="1" applyAlignment="1">
      <alignment vertical="center"/>
    </xf>
    <xf numFmtId="169" fontId="5" fillId="0" borderId="0" xfId="608" applyNumberFormat="1" applyFont="1" applyFill="1" applyBorder="1"/>
    <xf numFmtId="165" fontId="5" fillId="0" borderId="0" xfId="0" applyNumberFormat="1" applyFont="1" applyFill="1" applyBorder="1"/>
    <xf numFmtId="169" fontId="5" fillId="0" borderId="0" xfId="608" applyNumberFormat="1" applyFont="1" applyFill="1" applyBorder="1" applyAlignment="1">
      <alignment horizontal="right"/>
    </xf>
    <xf numFmtId="176" fontId="86" fillId="0" borderId="19" xfId="982" applyNumberFormat="1" applyFont="1" applyFill="1" applyBorder="1" applyAlignment="1">
      <alignment horizontal="center"/>
    </xf>
    <xf numFmtId="168" fontId="0" fillId="0" borderId="20" xfId="328" applyNumberFormat="1" applyFont="1" applyFill="1" applyBorder="1"/>
    <xf numFmtId="0" fontId="5" fillId="0" borderId="15" xfId="0" applyFont="1" applyFill="1" applyBorder="1" applyAlignment="1">
      <alignment horizontal="center"/>
    </xf>
    <xf numFmtId="5" fontId="5" fillId="0" borderId="0" xfId="0" applyNumberFormat="1" applyFont="1" applyFill="1" applyBorder="1" applyAlignment="1">
      <alignment horizontal="center"/>
    </xf>
    <xf numFmtId="168" fontId="5" fillId="0" borderId="0" xfId="328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/>
    </xf>
    <xf numFmtId="166" fontId="6" fillId="0" borderId="0" xfId="452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right"/>
    </xf>
    <xf numFmtId="168" fontId="12" fillId="0" borderId="0" xfId="328" applyNumberFormat="1" applyFont="1" applyFill="1"/>
    <xf numFmtId="165" fontId="5" fillId="0" borderId="15" xfId="0" applyNumberFormat="1" applyFont="1" applyFill="1" applyBorder="1" applyAlignment="1">
      <alignment vertical="center"/>
    </xf>
    <xf numFmtId="169" fontId="5" fillId="0" borderId="0" xfId="608" applyNumberFormat="1" applyFont="1" applyFill="1"/>
    <xf numFmtId="169" fontId="0" fillId="0" borderId="0" xfId="608" applyNumberFormat="1" applyFont="1" applyFill="1"/>
    <xf numFmtId="165" fontId="5" fillId="0" borderId="0" xfId="0" applyNumberFormat="1" applyFont="1" applyFill="1"/>
    <xf numFmtId="165" fontId="5" fillId="0" borderId="15" xfId="0" applyNumberFormat="1" applyFont="1" applyFill="1" applyBorder="1"/>
    <xf numFmtId="164" fontId="5" fillId="0" borderId="0" xfId="0" applyNumberFormat="1" applyFont="1" applyFill="1" applyBorder="1"/>
    <xf numFmtId="49" fontId="5" fillId="0" borderId="0" xfId="0" applyNumberFormat="1" applyFont="1" applyFill="1" applyBorder="1" applyAlignment="1">
      <alignment horizontal="center"/>
    </xf>
    <xf numFmtId="3" fontId="0" fillId="0" borderId="0" xfId="0" applyNumberFormat="1" applyFill="1"/>
    <xf numFmtId="0" fontId="10" fillId="0" borderId="0" xfId="0" applyFont="1" applyFill="1"/>
    <xf numFmtId="0" fontId="10" fillId="0" borderId="20" xfId="0" applyFont="1" applyFill="1" applyBorder="1"/>
    <xf numFmtId="0" fontId="4" fillId="0" borderId="20" xfId="0" applyFont="1" applyFill="1" applyBorder="1" applyAlignment="1">
      <alignment wrapText="1"/>
    </xf>
    <xf numFmtId="168" fontId="0" fillId="0" borderId="21" xfId="328" applyNumberFormat="1" applyFont="1" applyFill="1" applyBorder="1"/>
    <xf numFmtId="167" fontId="0" fillId="0" borderId="0" xfId="178" applyNumberFormat="1" applyFont="1" applyFill="1"/>
    <xf numFmtId="43" fontId="0" fillId="0" borderId="0" xfId="178" applyFont="1" applyFill="1"/>
    <xf numFmtId="173" fontId="91" fillId="0" borderId="0" xfId="978" applyNumberFormat="1" applyFont="1" applyAlignment="1">
      <alignment horizontal="centerContinuous"/>
    </xf>
    <xf numFmtId="0" fontId="91" fillId="0" borderId="0" xfId="978" applyFont="1" applyAlignment="1">
      <alignment horizontal="centerContinuous"/>
    </xf>
    <xf numFmtId="167" fontId="91" fillId="0" borderId="0" xfId="979" applyNumberFormat="1" applyFont="1" applyFill="1" applyAlignment="1">
      <alignment horizontal="centerContinuous"/>
    </xf>
    <xf numFmtId="43" fontId="91" fillId="0" borderId="0" xfId="979" applyFont="1" applyFill="1" applyAlignment="1" applyProtection="1">
      <alignment horizontal="centerContinuous"/>
    </xf>
    <xf numFmtId="43" fontId="91" fillId="0" borderId="0" xfId="979" applyFont="1" applyFill="1" applyAlignment="1">
      <alignment horizontal="centerContinuous"/>
    </xf>
    <xf numFmtId="0" fontId="1" fillId="0" borderId="0" xfId="985"/>
    <xf numFmtId="0" fontId="92" fillId="0" borderId="0" xfId="981" applyFont="1"/>
    <xf numFmtId="0" fontId="1" fillId="0" borderId="0" xfId="985" applyAlignment="1">
      <alignment horizontal="center"/>
    </xf>
    <xf numFmtId="173" fontId="91" fillId="0" borderId="0" xfId="978" applyNumberFormat="1" applyFont="1" applyAlignment="1">
      <alignment horizontal="center"/>
    </xf>
    <xf numFmtId="0" fontId="91" fillId="0" borderId="0" xfId="978" applyFont="1" applyAlignment="1">
      <alignment horizontal="center"/>
    </xf>
    <xf numFmtId="167" fontId="91" fillId="0" borderId="0" xfId="979" applyNumberFormat="1" applyFont="1" applyFill="1" applyAlignment="1">
      <alignment horizontal="center"/>
    </xf>
    <xf numFmtId="0" fontId="91" fillId="0" borderId="0" xfId="978" applyFont="1"/>
    <xf numFmtId="167" fontId="91" fillId="0" borderId="0" xfId="979" applyNumberFormat="1" applyFont="1" applyFill="1"/>
    <xf numFmtId="0" fontId="90" fillId="0" borderId="0" xfId="985" applyFont="1"/>
    <xf numFmtId="0" fontId="81" fillId="0" borderId="0" xfId="978" applyFont="1"/>
    <xf numFmtId="42" fontId="90" fillId="0" borderId="0" xfId="985" applyNumberFormat="1" applyFont="1"/>
    <xf numFmtId="167" fontId="91" fillId="0" borderId="0" xfId="986" applyNumberFormat="1" applyFont="1" applyFill="1"/>
    <xf numFmtId="9" fontId="81" fillId="0" borderId="0" xfId="987" applyFont="1" applyFill="1" applyAlignment="1" applyProtection="1">
      <alignment horizontal="center"/>
    </xf>
    <xf numFmtId="42" fontId="90" fillId="0" borderId="15" xfId="985" applyNumberFormat="1" applyFont="1" applyBorder="1"/>
    <xf numFmtId="42" fontId="93" fillId="0" borderId="0" xfId="978" applyNumberFormat="1" applyFont="1"/>
    <xf numFmtId="43" fontId="91" fillId="0" borderId="0" xfId="979" applyFont="1" applyFill="1" applyAlignment="1" applyProtection="1">
      <alignment horizontal="center"/>
    </xf>
    <xf numFmtId="167" fontId="90" fillId="0" borderId="0" xfId="985" applyNumberFormat="1" applyFont="1"/>
    <xf numFmtId="169" fontId="91" fillId="0" borderId="0" xfId="987" applyNumberFormat="1" applyFont="1" applyFill="1" applyAlignment="1" applyProtection="1">
      <alignment horizontal="right"/>
    </xf>
    <xf numFmtId="167" fontId="81" fillId="0" borderId="0" xfId="978" applyNumberFormat="1" applyFont="1"/>
    <xf numFmtId="43" fontId="81" fillId="0" borderId="0" xfId="979" applyFont="1" applyFill="1" applyAlignment="1" applyProtection="1">
      <alignment horizontal="center"/>
    </xf>
    <xf numFmtId="173" fontId="81" fillId="0" borderId="0" xfId="978" applyNumberFormat="1" applyFont="1" applyAlignment="1">
      <alignment horizontal="center"/>
    </xf>
    <xf numFmtId="0" fontId="81" fillId="0" borderId="0" xfId="978" applyFont="1" applyAlignment="1">
      <alignment horizontal="center"/>
    </xf>
    <xf numFmtId="167" fontId="81" fillId="0" borderId="0" xfId="979" applyNumberFormat="1" applyFont="1" applyFill="1" applyAlignment="1">
      <alignment horizontal="center"/>
    </xf>
    <xf numFmtId="0" fontId="90" fillId="0" borderId="0" xfId="985" applyFont="1" applyAlignment="1">
      <alignment horizontal="center"/>
    </xf>
    <xf numFmtId="0" fontId="90" fillId="0" borderId="15" xfId="985" applyFont="1" applyBorder="1" applyAlignment="1">
      <alignment horizontal="center"/>
    </xf>
    <xf numFmtId="0" fontId="90" fillId="0" borderId="15" xfId="985" applyFont="1" applyBorder="1"/>
    <xf numFmtId="167" fontId="1" fillId="0" borderId="0" xfId="986" applyNumberFormat="1" applyFont="1" applyFill="1"/>
    <xf numFmtId="167" fontId="1" fillId="0" borderId="0" xfId="985" applyNumberFormat="1"/>
    <xf numFmtId="42" fontId="81" fillId="0" borderId="0" xfId="986" applyNumberFormat="1" applyFont="1" applyFill="1" applyProtection="1"/>
    <xf numFmtId="168" fontId="1" fillId="0" borderId="0" xfId="985" applyNumberFormat="1"/>
    <xf numFmtId="43" fontId="1" fillId="0" borderId="0" xfId="986" applyFont="1" applyFill="1"/>
    <xf numFmtId="6" fontId="1" fillId="0" borderId="0" xfId="986" applyNumberFormat="1" applyFont="1" applyFill="1"/>
    <xf numFmtId="43" fontId="1" fillId="0" borderId="0" xfId="985" applyNumberFormat="1"/>
    <xf numFmtId="174" fontId="1" fillId="0" borderId="0" xfId="985" applyNumberFormat="1"/>
    <xf numFmtId="176" fontId="91" fillId="0" borderId="0" xfId="987" applyNumberFormat="1" applyFont="1" applyFill="1"/>
    <xf numFmtId="0" fontId="85" fillId="0" borderId="15" xfId="980" applyFont="1" applyFill="1" applyBorder="1" applyAlignment="1">
      <alignment vertical="top" wrapText="1"/>
    </xf>
    <xf numFmtId="0" fontId="85" fillId="0" borderId="15" xfId="980" applyFont="1" applyFill="1" applyBorder="1" applyAlignment="1">
      <alignment horizontal="center"/>
    </xf>
    <xf numFmtId="0" fontId="84" fillId="0" borderId="0" xfId="980" applyFont="1" applyFill="1" applyAlignment="1">
      <alignment vertical="top" wrapText="1"/>
    </xf>
    <xf numFmtId="0" fontId="2" fillId="0" borderId="0" xfId="980" applyFill="1"/>
    <xf numFmtId="167" fontId="2" fillId="0" borderId="0" xfId="178" applyNumberFormat="1" applyFont="1" applyFill="1"/>
    <xf numFmtId="0" fontId="2" fillId="0" borderId="0" xfId="980" applyFill="1" applyAlignment="1">
      <alignment vertical="top" wrapText="1"/>
    </xf>
    <xf numFmtId="0" fontId="4" fillId="0" borderId="0" xfId="980" applyFont="1" applyFill="1" applyAlignment="1">
      <alignment horizontal="center"/>
    </xf>
    <xf numFmtId="0" fontId="86" fillId="0" borderId="0" xfId="980" applyFont="1" applyFill="1" applyAlignment="1">
      <alignment horizontal="left"/>
    </xf>
    <xf numFmtId="42" fontId="87" fillId="0" borderId="0" xfId="982" applyNumberFormat="1" applyFont="1" applyFill="1"/>
    <xf numFmtId="0" fontId="88" fillId="0" borderId="0" xfId="980" quotePrefix="1" applyFont="1" applyFill="1"/>
    <xf numFmtId="0" fontId="4" fillId="0" borderId="0" xfId="980" applyFont="1" applyFill="1" applyAlignment="1">
      <alignment horizontal="left"/>
    </xf>
    <xf numFmtId="42" fontId="89" fillId="0" borderId="0" xfId="982" applyNumberFormat="1" applyFont="1" applyFill="1"/>
    <xf numFmtId="0" fontId="88" fillId="0" borderId="0" xfId="980" quotePrefix="1" applyFont="1" applyFill="1" applyAlignment="1">
      <alignment horizontal="center"/>
    </xf>
    <xf numFmtId="175" fontId="2" fillId="0" borderId="0" xfId="980" applyNumberFormat="1" applyFill="1"/>
    <xf numFmtId="167" fontId="0" fillId="0" borderId="0" xfId="982" applyNumberFormat="1" applyFont="1" applyFill="1"/>
    <xf numFmtId="43" fontId="0" fillId="0" borderId="0" xfId="982" applyFont="1" applyFill="1"/>
    <xf numFmtId="42" fontId="89" fillId="0" borderId="0" xfId="982" applyNumberFormat="1" applyFont="1" applyFill="1" applyBorder="1"/>
    <xf numFmtId="43" fontId="88" fillId="0" borderId="0" xfId="980" quotePrefix="1" applyNumberFormat="1" applyFont="1" applyFill="1"/>
    <xf numFmtId="176" fontId="89" fillId="0" borderId="19" xfId="980" applyNumberFormat="1" applyFont="1" applyFill="1" applyBorder="1" applyAlignment="1">
      <alignment horizontal="center"/>
    </xf>
    <xf numFmtId="43" fontId="2" fillId="0" borderId="0" xfId="980" applyNumberFormat="1" applyFill="1"/>
    <xf numFmtId="42" fontId="89" fillId="0" borderId="15" xfId="982" applyNumberFormat="1" applyFont="1" applyFill="1" applyBorder="1"/>
    <xf numFmtId="0" fontId="10" fillId="0" borderId="0" xfId="980" applyFont="1" applyFill="1" applyAlignment="1">
      <alignment horizontal="left"/>
    </xf>
    <xf numFmtId="42" fontId="10" fillId="0" borderId="16" xfId="980" applyNumberFormat="1" applyFont="1" applyFill="1" applyBorder="1" applyAlignment="1">
      <alignment vertical="top" wrapText="1"/>
    </xf>
    <xf numFmtId="177" fontId="0" fillId="0" borderId="0" xfId="983" applyNumberFormat="1" applyFont="1" applyFill="1"/>
    <xf numFmtId="0" fontId="6" fillId="0" borderId="0" xfId="0" quotePrefix="1" applyFont="1" applyFill="1" applyAlignment="1">
      <alignment horizontal="right"/>
    </xf>
    <xf numFmtId="5" fontId="5" fillId="0" borderId="15" xfId="0" applyNumberFormat="1" applyFont="1" applyFill="1" applyBorder="1" applyAlignment="1">
      <alignment horizontal="center"/>
    </xf>
    <xf numFmtId="44" fontId="5" fillId="0" borderId="15" xfId="0" applyNumberFormat="1" applyFont="1" applyFill="1" applyBorder="1" applyAlignment="1">
      <alignment horizontal="center"/>
    </xf>
    <xf numFmtId="44" fontId="5" fillId="0" borderId="0" xfId="0" applyNumberFormat="1" applyFont="1" applyFill="1" applyBorder="1" applyAlignment="1">
      <alignment horizontal="center"/>
    </xf>
    <xf numFmtId="165" fontId="5" fillId="0" borderId="15" xfId="328" applyNumberFormat="1" applyFont="1" applyFill="1" applyBorder="1" applyAlignment="1">
      <alignment horizontal="center"/>
    </xf>
    <xf numFmtId="169" fontId="5" fillId="0" borderId="17" xfId="608" applyNumberFormat="1" applyFont="1" applyFill="1" applyBorder="1" applyAlignment="1">
      <alignment horizontal="right"/>
    </xf>
    <xf numFmtId="0" fontId="2" fillId="0" borderId="0" xfId="980" applyFill="1" applyBorder="1"/>
    <xf numFmtId="0" fontId="85" fillId="0" borderId="0" xfId="980" applyFont="1" applyFill="1" applyBorder="1" applyAlignment="1">
      <alignment horizontal="center"/>
    </xf>
    <xf numFmtId="0" fontId="10" fillId="0" borderId="0" xfId="980" applyFont="1" applyFill="1" applyBorder="1" applyAlignment="1">
      <alignment horizontal="center"/>
    </xf>
    <xf numFmtId="0" fontId="4" fillId="0" borderId="0" xfId="984" applyFill="1" applyBorder="1"/>
    <xf numFmtId="42" fontId="4" fillId="0" borderId="0" xfId="984" applyNumberFormat="1" applyFill="1" applyBorder="1"/>
    <xf numFmtId="10" fontId="2" fillId="0" borderId="0" xfId="980" applyNumberFormat="1" applyFill="1" applyBorder="1"/>
    <xf numFmtId="42" fontId="89" fillId="0" borderId="0" xfId="984" applyNumberFormat="1" applyFont="1" applyFill="1" applyBorder="1"/>
    <xf numFmtId="3" fontId="4" fillId="0" borderId="0" xfId="984" applyNumberFormat="1" applyFill="1" applyBorder="1"/>
    <xf numFmtId="0" fontId="10" fillId="0" borderId="0" xfId="984" applyFont="1" applyFill="1" applyBorder="1"/>
    <xf numFmtId="42" fontId="10" fillId="0" borderId="0" xfId="984" applyNumberFormat="1" applyFont="1" applyFill="1" applyBorder="1"/>
    <xf numFmtId="3" fontId="10" fillId="0" borderId="0" xfId="984" applyNumberFormat="1" applyFont="1" applyFill="1" applyBorder="1"/>
    <xf numFmtId="6" fontId="10" fillId="0" borderId="0" xfId="984" applyNumberFormat="1" applyFont="1" applyFill="1" applyBorder="1"/>
    <xf numFmtId="0" fontId="10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5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6" fontId="6" fillId="0" borderId="0" xfId="452" applyNumberFormat="1" applyFont="1" applyFill="1" applyBorder="1" applyAlignment="1">
      <alignment horizontal="center" wrapText="1"/>
    </xf>
    <xf numFmtId="37" fontId="5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8" fillId="0" borderId="0" xfId="0" applyFont="1" applyFill="1" applyAlignment="1"/>
    <xf numFmtId="0" fontId="6" fillId="0" borderId="0" xfId="0" quotePrefix="1" applyFont="1" applyFill="1" applyAlignment="1"/>
    <xf numFmtId="0" fontId="6" fillId="0" borderId="0" xfId="0" applyFont="1" applyFill="1" applyAlignment="1"/>
    <xf numFmtId="166" fontId="5" fillId="0" borderId="15" xfId="0" quotePrefix="1" applyNumberFormat="1" applyFont="1" applyFill="1" applyBorder="1" applyAlignment="1">
      <alignment horizontal="center"/>
    </xf>
    <xf numFmtId="166" fontId="9" fillId="0" borderId="15" xfId="0" applyNumberFormat="1" applyFont="1" applyFill="1" applyBorder="1" applyAlignment="1"/>
    <xf numFmtId="166" fontId="5" fillId="0" borderId="15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5" fillId="0" borderId="18" xfId="0" applyFont="1" applyFill="1" applyBorder="1" applyAlignment="1">
      <alignment horizontal="center"/>
    </xf>
    <xf numFmtId="168" fontId="5" fillId="0" borderId="0" xfId="328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68" fontId="5" fillId="0" borderId="0" xfId="328" applyNumberFormat="1" applyFont="1" applyFill="1" applyAlignment="1">
      <alignment horizontal="center" vertical="center"/>
    </xf>
    <xf numFmtId="173" fontId="91" fillId="0" borderId="0" xfId="978" applyNumberFormat="1" applyFont="1" applyAlignment="1">
      <alignment horizontal="center"/>
    </xf>
  </cellXfs>
  <cellStyles count="988">
    <cellStyle name="20% - Accent1 2" xfId="1" xr:uid="{00000000-0005-0000-0000-000000000000}"/>
    <cellStyle name="20% - Accent1 2 2" xfId="2" xr:uid="{00000000-0005-0000-0000-000001000000}"/>
    <cellStyle name="20% - Accent1 3" xfId="3" xr:uid="{00000000-0005-0000-0000-000002000000}"/>
    <cellStyle name="20% - Accent1 4" xfId="4" xr:uid="{00000000-0005-0000-0000-000003000000}"/>
    <cellStyle name="20% - Accent1 5" xfId="5" xr:uid="{00000000-0005-0000-0000-000004000000}"/>
    <cellStyle name="20% - Accent1 6" xfId="6" xr:uid="{00000000-0005-0000-0000-000005000000}"/>
    <cellStyle name="20% - Accent1 7" xfId="7" xr:uid="{00000000-0005-0000-0000-000006000000}"/>
    <cellStyle name="20% - Accent1 8" xfId="8" xr:uid="{00000000-0005-0000-0000-000007000000}"/>
    <cellStyle name="20% - Accent2 2" xfId="9" xr:uid="{00000000-0005-0000-0000-000008000000}"/>
    <cellStyle name="20% - Accent2 2 2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2 5" xfId="13" xr:uid="{00000000-0005-0000-0000-00000C000000}"/>
    <cellStyle name="20% - Accent2 6" xfId="14" xr:uid="{00000000-0005-0000-0000-00000D000000}"/>
    <cellStyle name="20% - Accent3 2" xfId="15" xr:uid="{00000000-0005-0000-0000-00000E000000}"/>
    <cellStyle name="20% - Accent3 2 2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3 5" xfId="19" xr:uid="{00000000-0005-0000-0000-000012000000}"/>
    <cellStyle name="20% - Accent3 6" xfId="20" xr:uid="{00000000-0005-0000-0000-000013000000}"/>
    <cellStyle name="20% - Accent3 7" xfId="21" xr:uid="{00000000-0005-0000-0000-000014000000}"/>
    <cellStyle name="20% - Accent3 8" xfId="22" xr:uid="{00000000-0005-0000-0000-000015000000}"/>
    <cellStyle name="20% - Accent4 2" xfId="23" xr:uid="{00000000-0005-0000-0000-000016000000}"/>
    <cellStyle name="20% - Accent4 2 2" xfId="24" xr:uid="{00000000-0005-0000-0000-000017000000}"/>
    <cellStyle name="20% - Accent4 3" xfId="25" xr:uid="{00000000-0005-0000-0000-000018000000}"/>
    <cellStyle name="20% - Accent4 4" xfId="26" xr:uid="{00000000-0005-0000-0000-000019000000}"/>
    <cellStyle name="20% - Accent4 5" xfId="27" xr:uid="{00000000-0005-0000-0000-00001A000000}"/>
    <cellStyle name="20% - Accent4 6" xfId="28" xr:uid="{00000000-0005-0000-0000-00001B000000}"/>
    <cellStyle name="20% - Accent4 7" xfId="29" xr:uid="{00000000-0005-0000-0000-00001C000000}"/>
    <cellStyle name="20% - Accent4 8" xfId="30" xr:uid="{00000000-0005-0000-0000-00001D000000}"/>
    <cellStyle name="20% - Accent5 2" xfId="31" xr:uid="{00000000-0005-0000-0000-00001E000000}"/>
    <cellStyle name="20% - Accent5 2 2" xfId="32" xr:uid="{00000000-0005-0000-0000-00001F000000}"/>
    <cellStyle name="20% - Accent5 3" xfId="33" xr:uid="{00000000-0005-0000-0000-000020000000}"/>
    <cellStyle name="20% - Accent5 4" xfId="34" xr:uid="{00000000-0005-0000-0000-000021000000}"/>
    <cellStyle name="20% - Accent5 5" xfId="35" xr:uid="{00000000-0005-0000-0000-000022000000}"/>
    <cellStyle name="20% - Accent5 6" xfId="36" xr:uid="{00000000-0005-0000-0000-000023000000}"/>
    <cellStyle name="20% - Accent6 2" xfId="37" xr:uid="{00000000-0005-0000-0000-000024000000}"/>
    <cellStyle name="20% - Accent6 2 2" xfId="38" xr:uid="{00000000-0005-0000-0000-000025000000}"/>
    <cellStyle name="20% - Accent6 3" xfId="39" xr:uid="{00000000-0005-0000-0000-000026000000}"/>
    <cellStyle name="20% - Accent6 4" xfId="40" xr:uid="{00000000-0005-0000-0000-000027000000}"/>
    <cellStyle name="20% - Accent6 5" xfId="41" xr:uid="{00000000-0005-0000-0000-000028000000}"/>
    <cellStyle name="20% - Accent6 6" xfId="42" xr:uid="{00000000-0005-0000-0000-000029000000}"/>
    <cellStyle name="40% - Accent1 2" xfId="43" xr:uid="{00000000-0005-0000-0000-00002A000000}"/>
    <cellStyle name="40% - Accent1 2 2" xfId="44" xr:uid="{00000000-0005-0000-0000-00002B000000}"/>
    <cellStyle name="40% - Accent1 3" xfId="45" xr:uid="{00000000-0005-0000-0000-00002C000000}"/>
    <cellStyle name="40% - Accent1 4" xfId="46" xr:uid="{00000000-0005-0000-0000-00002D000000}"/>
    <cellStyle name="40% - Accent1 5" xfId="47" xr:uid="{00000000-0005-0000-0000-00002E000000}"/>
    <cellStyle name="40% - Accent1 6" xfId="48" xr:uid="{00000000-0005-0000-0000-00002F000000}"/>
    <cellStyle name="40% - Accent1 7" xfId="49" xr:uid="{00000000-0005-0000-0000-000030000000}"/>
    <cellStyle name="40% - Accent1 8" xfId="50" xr:uid="{00000000-0005-0000-0000-000031000000}"/>
    <cellStyle name="40% - Accent2 2" xfId="51" xr:uid="{00000000-0005-0000-0000-000032000000}"/>
    <cellStyle name="40% - Accent2 2 2" xfId="52" xr:uid="{00000000-0005-0000-0000-000033000000}"/>
    <cellStyle name="40% - Accent2 3" xfId="53" xr:uid="{00000000-0005-0000-0000-000034000000}"/>
    <cellStyle name="40% - Accent2 4" xfId="54" xr:uid="{00000000-0005-0000-0000-000035000000}"/>
    <cellStyle name="40% - Accent2 5" xfId="55" xr:uid="{00000000-0005-0000-0000-000036000000}"/>
    <cellStyle name="40% - Accent2 6" xfId="56" xr:uid="{00000000-0005-0000-0000-000037000000}"/>
    <cellStyle name="40% - Accent3 2" xfId="57" xr:uid="{00000000-0005-0000-0000-000038000000}"/>
    <cellStyle name="40% - Accent3 2 2" xfId="58" xr:uid="{00000000-0005-0000-0000-000039000000}"/>
    <cellStyle name="40% - Accent3 3" xfId="59" xr:uid="{00000000-0005-0000-0000-00003A000000}"/>
    <cellStyle name="40% - Accent3 4" xfId="60" xr:uid="{00000000-0005-0000-0000-00003B000000}"/>
    <cellStyle name="40% - Accent3 5" xfId="61" xr:uid="{00000000-0005-0000-0000-00003C000000}"/>
    <cellStyle name="40% - Accent3 6" xfId="62" xr:uid="{00000000-0005-0000-0000-00003D000000}"/>
    <cellStyle name="40% - Accent3 7" xfId="63" xr:uid="{00000000-0005-0000-0000-00003E000000}"/>
    <cellStyle name="40% - Accent3 8" xfId="64" xr:uid="{00000000-0005-0000-0000-00003F000000}"/>
    <cellStyle name="40% - Accent4 2" xfId="65" xr:uid="{00000000-0005-0000-0000-000040000000}"/>
    <cellStyle name="40% - Accent4 2 2" xfId="66" xr:uid="{00000000-0005-0000-0000-000041000000}"/>
    <cellStyle name="40% - Accent4 3" xfId="67" xr:uid="{00000000-0005-0000-0000-000042000000}"/>
    <cellStyle name="40% - Accent4 4" xfId="68" xr:uid="{00000000-0005-0000-0000-000043000000}"/>
    <cellStyle name="40% - Accent4 5" xfId="69" xr:uid="{00000000-0005-0000-0000-000044000000}"/>
    <cellStyle name="40% - Accent4 6" xfId="70" xr:uid="{00000000-0005-0000-0000-000045000000}"/>
    <cellStyle name="40% - Accent4 7" xfId="71" xr:uid="{00000000-0005-0000-0000-000046000000}"/>
    <cellStyle name="40% - Accent4 8" xfId="72" xr:uid="{00000000-0005-0000-0000-000047000000}"/>
    <cellStyle name="40% - Accent5 2" xfId="73" xr:uid="{00000000-0005-0000-0000-000048000000}"/>
    <cellStyle name="40% - Accent5 2 2" xfId="74" xr:uid="{00000000-0005-0000-0000-000049000000}"/>
    <cellStyle name="40% - Accent5 3" xfId="75" xr:uid="{00000000-0005-0000-0000-00004A000000}"/>
    <cellStyle name="40% - Accent5 4" xfId="76" xr:uid="{00000000-0005-0000-0000-00004B000000}"/>
    <cellStyle name="40% - Accent5 5" xfId="77" xr:uid="{00000000-0005-0000-0000-00004C000000}"/>
    <cellStyle name="40% - Accent5 6" xfId="78" xr:uid="{00000000-0005-0000-0000-00004D000000}"/>
    <cellStyle name="40% - Accent6 2" xfId="79" xr:uid="{00000000-0005-0000-0000-00004E000000}"/>
    <cellStyle name="40% - Accent6 2 2" xfId="80" xr:uid="{00000000-0005-0000-0000-00004F000000}"/>
    <cellStyle name="40% - Accent6 3" xfId="81" xr:uid="{00000000-0005-0000-0000-000050000000}"/>
    <cellStyle name="40% - Accent6 4" xfId="82" xr:uid="{00000000-0005-0000-0000-000051000000}"/>
    <cellStyle name="40% - Accent6 5" xfId="83" xr:uid="{00000000-0005-0000-0000-000052000000}"/>
    <cellStyle name="40% - Accent6 6" xfId="84" xr:uid="{00000000-0005-0000-0000-000053000000}"/>
    <cellStyle name="40% - Accent6 7" xfId="85" xr:uid="{00000000-0005-0000-0000-000054000000}"/>
    <cellStyle name="40% - Accent6 8" xfId="86" xr:uid="{00000000-0005-0000-0000-000055000000}"/>
    <cellStyle name="60% - Accent1 2" xfId="87" xr:uid="{00000000-0005-0000-0000-000056000000}"/>
    <cellStyle name="60% - Accent1 3" xfId="88" xr:uid="{00000000-0005-0000-0000-000057000000}"/>
    <cellStyle name="60% - Accent1 4" xfId="89" xr:uid="{00000000-0005-0000-0000-000058000000}"/>
    <cellStyle name="60% - Accent1 5" xfId="90" xr:uid="{00000000-0005-0000-0000-000059000000}"/>
    <cellStyle name="60% - Accent1 6" xfId="91" xr:uid="{00000000-0005-0000-0000-00005A000000}"/>
    <cellStyle name="60% - Accent1 7" xfId="92" xr:uid="{00000000-0005-0000-0000-00005B000000}"/>
    <cellStyle name="60% - Accent1 8" xfId="93" xr:uid="{00000000-0005-0000-0000-00005C000000}"/>
    <cellStyle name="60% - Accent2 2" xfId="94" xr:uid="{00000000-0005-0000-0000-00005D000000}"/>
    <cellStyle name="60% - Accent2 3" xfId="95" xr:uid="{00000000-0005-0000-0000-00005E000000}"/>
    <cellStyle name="60% - Accent2 4" xfId="96" xr:uid="{00000000-0005-0000-0000-00005F000000}"/>
    <cellStyle name="60% - Accent2 5" xfId="97" xr:uid="{00000000-0005-0000-0000-000060000000}"/>
    <cellStyle name="60% - Accent2 6" xfId="98" xr:uid="{00000000-0005-0000-0000-000061000000}"/>
    <cellStyle name="60% - Accent3 2" xfId="99" xr:uid="{00000000-0005-0000-0000-000062000000}"/>
    <cellStyle name="60% - Accent3 3" xfId="100" xr:uid="{00000000-0005-0000-0000-000063000000}"/>
    <cellStyle name="60% - Accent3 4" xfId="101" xr:uid="{00000000-0005-0000-0000-000064000000}"/>
    <cellStyle name="60% - Accent3 5" xfId="102" xr:uid="{00000000-0005-0000-0000-000065000000}"/>
    <cellStyle name="60% - Accent3 6" xfId="103" xr:uid="{00000000-0005-0000-0000-000066000000}"/>
    <cellStyle name="60% - Accent3 7" xfId="104" xr:uid="{00000000-0005-0000-0000-000067000000}"/>
    <cellStyle name="60% - Accent3 8" xfId="105" xr:uid="{00000000-0005-0000-0000-000068000000}"/>
    <cellStyle name="60% - Accent4 2" xfId="106" xr:uid="{00000000-0005-0000-0000-000069000000}"/>
    <cellStyle name="60% - Accent4 3" xfId="107" xr:uid="{00000000-0005-0000-0000-00006A000000}"/>
    <cellStyle name="60% - Accent4 4" xfId="108" xr:uid="{00000000-0005-0000-0000-00006B000000}"/>
    <cellStyle name="60% - Accent4 5" xfId="109" xr:uid="{00000000-0005-0000-0000-00006C000000}"/>
    <cellStyle name="60% - Accent4 6" xfId="110" xr:uid="{00000000-0005-0000-0000-00006D000000}"/>
    <cellStyle name="60% - Accent4 7" xfId="111" xr:uid="{00000000-0005-0000-0000-00006E000000}"/>
    <cellStyle name="60% - Accent4 8" xfId="112" xr:uid="{00000000-0005-0000-0000-00006F000000}"/>
    <cellStyle name="60% - Accent5 2" xfId="113" xr:uid="{00000000-0005-0000-0000-000070000000}"/>
    <cellStyle name="60% - Accent5 3" xfId="114" xr:uid="{00000000-0005-0000-0000-000071000000}"/>
    <cellStyle name="60% - Accent5 4" xfId="115" xr:uid="{00000000-0005-0000-0000-000072000000}"/>
    <cellStyle name="60% - Accent5 5" xfId="116" xr:uid="{00000000-0005-0000-0000-000073000000}"/>
    <cellStyle name="60% - Accent5 6" xfId="117" xr:uid="{00000000-0005-0000-0000-000074000000}"/>
    <cellStyle name="60% - Accent6 2" xfId="118" xr:uid="{00000000-0005-0000-0000-000075000000}"/>
    <cellStyle name="60% - Accent6 3" xfId="119" xr:uid="{00000000-0005-0000-0000-000076000000}"/>
    <cellStyle name="60% - Accent6 4" xfId="120" xr:uid="{00000000-0005-0000-0000-000077000000}"/>
    <cellStyle name="60% - Accent6 5" xfId="121" xr:uid="{00000000-0005-0000-0000-000078000000}"/>
    <cellStyle name="60% - Accent6 6" xfId="122" xr:uid="{00000000-0005-0000-0000-000079000000}"/>
    <cellStyle name="60% - Accent6 7" xfId="123" xr:uid="{00000000-0005-0000-0000-00007A000000}"/>
    <cellStyle name="60% - Accent6 8" xfId="124" xr:uid="{00000000-0005-0000-0000-00007B000000}"/>
    <cellStyle name="Accent1 2" xfId="125" xr:uid="{00000000-0005-0000-0000-00007C000000}"/>
    <cellStyle name="Accent1 3" xfId="126" xr:uid="{00000000-0005-0000-0000-00007D000000}"/>
    <cellStyle name="Accent1 4" xfId="127" xr:uid="{00000000-0005-0000-0000-00007E000000}"/>
    <cellStyle name="Accent1 5" xfId="128" xr:uid="{00000000-0005-0000-0000-00007F000000}"/>
    <cellStyle name="Accent1 6" xfId="129" xr:uid="{00000000-0005-0000-0000-000080000000}"/>
    <cellStyle name="Accent1 7" xfId="130" xr:uid="{00000000-0005-0000-0000-000081000000}"/>
    <cellStyle name="Accent1 8" xfId="131" xr:uid="{00000000-0005-0000-0000-000082000000}"/>
    <cellStyle name="Accent2 2" xfId="132" xr:uid="{00000000-0005-0000-0000-000083000000}"/>
    <cellStyle name="Accent2 3" xfId="133" xr:uid="{00000000-0005-0000-0000-000084000000}"/>
    <cellStyle name="Accent2 4" xfId="134" xr:uid="{00000000-0005-0000-0000-000085000000}"/>
    <cellStyle name="Accent2 5" xfId="135" xr:uid="{00000000-0005-0000-0000-000086000000}"/>
    <cellStyle name="Accent2 6" xfId="136" xr:uid="{00000000-0005-0000-0000-000087000000}"/>
    <cellStyle name="Accent3 2" xfId="137" xr:uid="{00000000-0005-0000-0000-000088000000}"/>
    <cellStyle name="Accent3 3" xfId="138" xr:uid="{00000000-0005-0000-0000-000089000000}"/>
    <cellStyle name="Accent3 4" xfId="139" xr:uid="{00000000-0005-0000-0000-00008A000000}"/>
    <cellStyle name="Accent3 5" xfId="140" xr:uid="{00000000-0005-0000-0000-00008B000000}"/>
    <cellStyle name="Accent3 6" xfId="141" xr:uid="{00000000-0005-0000-0000-00008C000000}"/>
    <cellStyle name="Accent4 2" xfId="142" xr:uid="{00000000-0005-0000-0000-00008D000000}"/>
    <cellStyle name="Accent4 3" xfId="143" xr:uid="{00000000-0005-0000-0000-00008E000000}"/>
    <cellStyle name="Accent4 4" xfId="144" xr:uid="{00000000-0005-0000-0000-00008F000000}"/>
    <cellStyle name="Accent4 5" xfId="145" xr:uid="{00000000-0005-0000-0000-000090000000}"/>
    <cellStyle name="Accent4 6" xfId="146" xr:uid="{00000000-0005-0000-0000-000091000000}"/>
    <cellStyle name="Accent4 7" xfId="147" xr:uid="{00000000-0005-0000-0000-000092000000}"/>
    <cellStyle name="Accent4 8" xfId="148" xr:uid="{00000000-0005-0000-0000-000093000000}"/>
    <cellStyle name="Accent5 2" xfId="149" xr:uid="{00000000-0005-0000-0000-000094000000}"/>
    <cellStyle name="Accent5 3" xfId="150" xr:uid="{00000000-0005-0000-0000-000095000000}"/>
    <cellStyle name="Accent5 4" xfId="151" xr:uid="{00000000-0005-0000-0000-000096000000}"/>
    <cellStyle name="Accent5 5" xfId="152" xr:uid="{00000000-0005-0000-0000-000097000000}"/>
    <cellStyle name="Accent5 6" xfId="153" xr:uid="{00000000-0005-0000-0000-000098000000}"/>
    <cellStyle name="Accent6 2" xfId="154" xr:uid="{00000000-0005-0000-0000-000099000000}"/>
    <cellStyle name="Accent6 3" xfId="155" xr:uid="{00000000-0005-0000-0000-00009A000000}"/>
    <cellStyle name="Accent6 4" xfId="156" xr:uid="{00000000-0005-0000-0000-00009B000000}"/>
    <cellStyle name="Accent6 5" xfId="157" xr:uid="{00000000-0005-0000-0000-00009C000000}"/>
    <cellStyle name="Accent6 6" xfId="158" xr:uid="{00000000-0005-0000-0000-00009D000000}"/>
    <cellStyle name="Bad 2" xfId="159" xr:uid="{00000000-0005-0000-0000-00009E000000}"/>
    <cellStyle name="Bad 3" xfId="160" xr:uid="{00000000-0005-0000-0000-00009F000000}"/>
    <cellStyle name="Bad 4" xfId="161" xr:uid="{00000000-0005-0000-0000-0000A0000000}"/>
    <cellStyle name="Bad 5" xfId="162" xr:uid="{00000000-0005-0000-0000-0000A1000000}"/>
    <cellStyle name="Bad 6" xfId="163" xr:uid="{00000000-0005-0000-0000-0000A2000000}"/>
    <cellStyle name="Bad 7" xfId="164" xr:uid="{00000000-0005-0000-0000-0000A3000000}"/>
    <cellStyle name="Bad 8" xfId="165" xr:uid="{00000000-0005-0000-0000-0000A4000000}"/>
    <cellStyle name="Calculation 2" xfId="166" xr:uid="{00000000-0005-0000-0000-0000A5000000}"/>
    <cellStyle name="Calculation 3" xfId="167" xr:uid="{00000000-0005-0000-0000-0000A6000000}"/>
    <cellStyle name="Calculation 4" xfId="168" xr:uid="{00000000-0005-0000-0000-0000A7000000}"/>
    <cellStyle name="Calculation 5" xfId="169" xr:uid="{00000000-0005-0000-0000-0000A8000000}"/>
    <cellStyle name="Calculation 6" xfId="170" xr:uid="{00000000-0005-0000-0000-0000A9000000}"/>
    <cellStyle name="Check Cell 2" xfId="171" xr:uid="{00000000-0005-0000-0000-0000AA000000}"/>
    <cellStyle name="Check Cell 3" xfId="172" xr:uid="{00000000-0005-0000-0000-0000AB000000}"/>
    <cellStyle name="Check Cell 4" xfId="173" xr:uid="{00000000-0005-0000-0000-0000AC000000}"/>
    <cellStyle name="Check Cell 5" xfId="174" xr:uid="{00000000-0005-0000-0000-0000AD000000}"/>
    <cellStyle name="Check Cell 6" xfId="175" xr:uid="{00000000-0005-0000-0000-0000AE000000}"/>
    <cellStyle name="Check Cell 7" xfId="176" xr:uid="{00000000-0005-0000-0000-0000AF000000}"/>
    <cellStyle name="Check Cell 8" xfId="177" xr:uid="{00000000-0005-0000-0000-0000B0000000}"/>
    <cellStyle name="Comma" xfId="178" builtinId="3"/>
    <cellStyle name="Comma 10" xfId="179" xr:uid="{00000000-0005-0000-0000-0000B2000000}"/>
    <cellStyle name="Comma 11" xfId="180" xr:uid="{00000000-0005-0000-0000-0000B3000000}"/>
    <cellStyle name="Comma 12" xfId="181" xr:uid="{00000000-0005-0000-0000-0000B4000000}"/>
    <cellStyle name="Comma 13" xfId="182" xr:uid="{00000000-0005-0000-0000-0000B5000000}"/>
    <cellStyle name="Comma 14" xfId="183" xr:uid="{00000000-0005-0000-0000-0000B6000000}"/>
    <cellStyle name="Comma 15" xfId="184" xr:uid="{00000000-0005-0000-0000-0000B7000000}"/>
    <cellStyle name="Comma 16" xfId="185" xr:uid="{00000000-0005-0000-0000-0000B8000000}"/>
    <cellStyle name="Comma 17" xfId="186" xr:uid="{00000000-0005-0000-0000-0000B9000000}"/>
    <cellStyle name="Comma 17 2" xfId="187" xr:uid="{00000000-0005-0000-0000-0000BA000000}"/>
    <cellStyle name="Comma 17 2 2" xfId="188" xr:uid="{00000000-0005-0000-0000-0000BB000000}"/>
    <cellStyle name="Comma 17 2 2 2" xfId="189" xr:uid="{00000000-0005-0000-0000-0000BC000000}"/>
    <cellStyle name="Comma 17 2 2 2 2" xfId="728" xr:uid="{00000000-0005-0000-0000-0000BD000000}"/>
    <cellStyle name="Comma 17 2 2 3" xfId="727" xr:uid="{00000000-0005-0000-0000-0000BE000000}"/>
    <cellStyle name="Comma 17 2 3" xfId="190" xr:uid="{00000000-0005-0000-0000-0000BF000000}"/>
    <cellStyle name="Comma 17 2 3 2" xfId="729" xr:uid="{00000000-0005-0000-0000-0000C0000000}"/>
    <cellStyle name="Comma 17 2 4" xfId="726" xr:uid="{00000000-0005-0000-0000-0000C1000000}"/>
    <cellStyle name="Comma 17 3" xfId="191" xr:uid="{00000000-0005-0000-0000-0000C2000000}"/>
    <cellStyle name="Comma 17 3 2" xfId="192" xr:uid="{00000000-0005-0000-0000-0000C3000000}"/>
    <cellStyle name="Comma 17 3 2 2" xfId="193" xr:uid="{00000000-0005-0000-0000-0000C4000000}"/>
    <cellStyle name="Comma 17 3 2 2 2" xfId="732" xr:uid="{00000000-0005-0000-0000-0000C5000000}"/>
    <cellStyle name="Comma 17 3 2 3" xfId="731" xr:uid="{00000000-0005-0000-0000-0000C6000000}"/>
    <cellStyle name="Comma 17 3 3" xfId="194" xr:uid="{00000000-0005-0000-0000-0000C7000000}"/>
    <cellStyle name="Comma 17 3 3 2" xfId="733" xr:uid="{00000000-0005-0000-0000-0000C8000000}"/>
    <cellStyle name="Comma 17 3 4" xfId="730" xr:uid="{00000000-0005-0000-0000-0000C9000000}"/>
    <cellStyle name="Comma 17 4" xfId="195" xr:uid="{00000000-0005-0000-0000-0000CA000000}"/>
    <cellStyle name="Comma 17 4 2" xfId="196" xr:uid="{00000000-0005-0000-0000-0000CB000000}"/>
    <cellStyle name="Comma 17 4 2 2" xfId="735" xr:uid="{00000000-0005-0000-0000-0000CC000000}"/>
    <cellStyle name="Comma 17 4 3" xfId="734" xr:uid="{00000000-0005-0000-0000-0000CD000000}"/>
    <cellStyle name="Comma 17 5" xfId="197" xr:uid="{00000000-0005-0000-0000-0000CE000000}"/>
    <cellStyle name="Comma 17 5 2" xfId="736" xr:uid="{00000000-0005-0000-0000-0000CF000000}"/>
    <cellStyle name="Comma 17 6" xfId="725" xr:uid="{00000000-0005-0000-0000-0000D0000000}"/>
    <cellStyle name="Comma 18" xfId="198" xr:uid="{00000000-0005-0000-0000-0000D1000000}"/>
    <cellStyle name="Comma 19" xfId="199" xr:uid="{00000000-0005-0000-0000-0000D2000000}"/>
    <cellStyle name="Comma 2" xfId="200" xr:uid="{00000000-0005-0000-0000-0000D3000000}"/>
    <cellStyle name="Comma 2 2" xfId="201" xr:uid="{00000000-0005-0000-0000-0000D4000000}"/>
    <cellStyle name="Comma 2 2 2" xfId="202" xr:uid="{00000000-0005-0000-0000-0000D5000000}"/>
    <cellStyle name="Comma 2 2 3" xfId="203" xr:uid="{00000000-0005-0000-0000-0000D6000000}"/>
    <cellStyle name="Comma 2 3" xfId="204" xr:uid="{00000000-0005-0000-0000-0000D7000000}"/>
    <cellStyle name="Comma 2 4" xfId="205" xr:uid="{00000000-0005-0000-0000-0000D8000000}"/>
    <cellStyle name="Comma 2 5" xfId="206" xr:uid="{00000000-0005-0000-0000-0000D9000000}"/>
    <cellStyle name="Comma 2_Allocators" xfId="207" xr:uid="{00000000-0005-0000-0000-0000DA000000}"/>
    <cellStyle name="Comma 20" xfId="208" xr:uid="{00000000-0005-0000-0000-0000DB000000}"/>
    <cellStyle name="Comma 20 2" xfId="209" xr:uid="{00000000-0005-0000-0000-0000DC000000}"/>
    <cellStyle name="Comma 20 2 2" xfId="210" xr:uid="{00000000-0005-0000-0000-0000DD000000}"/>
    <cellStyle name="Comma 20 2 2 2" xfId="211" xr:uid="{00000000-0005-0000-0000-0000DE000000}"/>
    <cellStyle name="Comma 20 2 2 2 2" xfId="740" xr:uid="{00000000-0005-0000-0000-0000DF000000}"/>
    <cellStyle name="Comma 20 2 2 3" xfId="739" xr:uid="{00000000-0005-0000-0000-0000E0000000}"/>
    <cellStyle name="Comma 20 2 3" xfId="212" xr:uid="{00000000-0005-0000-0000-0000E1000000}"/>
    <cellStyle name="Comma 20 2 3 2" xfId="741" xr:uid="{00000000-0005-0000-0000-0000E2000000}"/>
    <cellStyle name="Comma 20 2 4" xfId="738" xr:uid="{00000000-0005-0000-0000-0000E3000000}"/>
    <cellStyle name="Comma 20 3" xfId="213" xr:uid="{00000000-0005-0000-0000-0000E4000000}"/>
    <cellStyle name="Comma 20 3 2" xfId="214" xr:uid="{00000000-0005-0000-0000-0000E5000000}"/>
    <cellStyle name="Comma 20 3 2 2" xfId="215" xr:uid="{00000000-0005-0000-0000-0000E6000000}"/>
    <cellStyle name="Comma 20 3 2 2 2" xfId="744" xr:uid="{00000000-0005-0000-0000-0000E7000000}"/>
    <cellStyle name="Comma 20 3 2 3" xfId="743" xr:uid="{00000000-0005-0000-0000-0000E8000000}"/>
    <cellStyle name="Comma 20 3 3" xfId="216" xr:uid="{00000000-0005-0000-0000-0000E9000000}"/>
    <cellStyle name="Comma 20 3 3 2" xfId="745" xr:uid="{00000000-0005-0000-0000-0000EA000000}"/>
    <cellStyle name="Comma 20 3 4" xfId="742" xr:uid="{00000000-0005-0000-0000-0000EB000000}"/>
    <cellStyle name="Comma 20 4" xfId="217" xr:uid="{00000000-0005-0000-0000-0000EC000000}"/>
    <cellStyle name="Comma 20 4 2" xfId="218" xr:uid="{00000000-0005-0000-0000-0000ED000000}"/>
    <cellStyle name="Comma 20 4 2 2" xfId="747" xr:uid="{00000000-0005-0000-0000-0000EE000000}"/>
    <cellStyle name="Comma 20 4 3" xfId="746" xr:uid="{00000000-0005-0000-0000-0000EF000000}"/>
    <cellStyle name="Comma 20 5" xfId="219" xr:uid="{00000000-0005-0000-0000-0000F0000000}"/>
    <cellStyle name="Comma 20 5 2" xfId="748" xr:uid="{00000000-0005-0000-0000-0000F1000000}"/>
    <cellStyle name="Comma 20 6" xfId="737" xr:uid="{00000000-0005-0000-0000-0000F2000000}"/>
    <cellStyle name="Comma 21" xfId="220" xr:uid="{00000000-0005-0000-0000-0000F3000000}"/>
    <cellStyle name="Comma 22" xfId="724" xr:uid="{00000000-0005-0000-0000-0000F4000000}"/>
    <cellStyle name="Comma 23" xfId="982" xr:uid="{C76B8493-5055-4AD3-A4B0-583A25DDDC22}"/>
    <cellStyle name="Comma 24" xfId="986" xr:uid="{E5887D4C-293A-4984-94CC-4897BFCD7742}"/>
    <cellStyle name="Comma 3" xfId="221" xr:uid="{00000000-0005-0000-0000-0000F5000000}"/>
    <cellStyle name="Comma 3 10" xfId="222" xr:uid="{00000000-0005-0000-0000-0000F6000000}"/>
    <cellStyle name="Comma 3 10 2" xfId="223" xr:uid="{00000000-0005-0000-0000-0000F7000000}"/>
    <cellStyle name="Comma 3 10 2 2" xfId="224" xr:uid="{00000000-0005-0000-0000-0000F8000000}"/>
    <cellStyle name="Comma 3 10 2 2 2" xfId="225" xr:uid="{00000000-0005-0000-0000-0000F9000000}"/>
    <cellStyle name="Comma 3 10 2 2 2 2" xfId="752" xr:uid="{00000000-0005-0000-0000-0000FA000000}"/>
    <cellStyle name="Comma 3 10 2 2 3" xfId="751" xr:uid="{00000000-0005-0000-0000-0000FB000000}"/>
    <cellStyle name="Comma 3 10 2 3" xfId="226" xr:uid="{00000000-0005-0000-0000-0000FC000000}"/>
    <cellStyle name="Comma 3 10 2 3 2" xfId="753" xr:uid="{00000000-0005-0000-0000-0000FD000000}"/>
    <cellStyle name="Comma 3 10 2 4" xfId="750" xr:uid="{00000000-0005-0000-0000-0000FE000000}"/>
    <cellStyle name="Comma 3 10 3" xfId="227" xr:uid="{00000000-0005-0000-0000-0000FF000000}"/>
    <cellStyle name="Comma 3 10 3 2" xfId="228" xr:uid="{00000000-0005-0000-0000-000000010000}"/>
    <cellStyle name="Comma 3 10 3 2 2" xfId="229" xr:uid="{00000000-0005-0000-0000-000001010000}"/>
    <cellStyle name="Comma 3 10 3 2 2 2" xfId="756" xr:uid="{00000000-0005-0000-0000-000002010000}"/>
    <cellStyle name="Comma 3 10 3 2 3" xfId="755" xr:uid="{00000000-0005-0000-0000-000003010000}"/>
    <cellStyle name="Comma 3 10 3 3" xfId="230" xr:uid="{00000000-0005-0000-0000-000004010000}"/>
    <cellStyle name="Comma 3 10 3 3 2" xfId="757" xr:uid="{00000000-0005-0000-0000-000005010000}"/>
    <cellStyle name="Comma 3 10 3 4" xfId="754" xr:uid="{00000000-0005-0000-0000-000006010000}"/>
    <cellStyle name="Comma 3 10 4" xfId="231" xr:uid="{00000000-0005-0000-0000-000007010000}"/>
    <cellStyle name="Comma 3 10 4 2" xfId="232" xr:uid="{00000000-0005-0000-0000-000008010000}"/>
    <cellStyle name="Comma 3 10 4 2 2" xfId="759" xr:uid="{00000000-0005-0000-0000-000009010000}"/>
    <cellStyle name="Comma 3 10 4 3" xfId="758" xr:uid="{00000000-0005-0000-0000-00000A010000}"/>
    <cellStyle name="Comma 3 10 5" xfId="233" xr:uid="{00000000-0005-0000-0000-00000B010000}"/>
    <cellStyle name="Comma 3 10 5 2" xfId="760" xr:uid="{00000000-0005-0000-0000-00000C010000}"/>
    <cellStyle name="Comma 3 10 6" xfId="749" xr:uid="{00000000-0005-0000-0000-00000D010000}"/>
    <cellStyle name="Comma 3 11" xfId="234" xr:uid="{00000000-0005-0000-0000-00000E010000}"/>
    <cellStyle name="Comma 3 12" xfId="235" xr:uid="{00000000-0005-0000-0000-00000F010000}"/>
    <cellStyle name="Comma 3 12 2" xfId="236" xr:uid="{00000000-0005-0000-0000-000010010000}"/>
    <cellStyle name="Comma 3 12 2 2" xfId="237" xr:uid="{00000000-0005-0000-0000-000011010000}"/>
    <cellStyle name="Comma 3 12 2 2 2" xfId="763" xr:uid="{00000000-0005-0000-0000-000012010000}"/>
    <cellStyle name="Comma 3 12 2 3" xfId="762" xr:uid="{00000000-0005-0000-0000-000013010000}"/>
    <cellStyle name="Comma 3 12 3" xfId="238" xr:uid="{00000000-0005-0000-0000-000014010000}"/>
    <cellStyle name="Comma 3 12 3 2" xfId="764" xr:uid="{00000000-0005-0000-0000-000015010000}"/>
    <cellStyle name="Comma 3 12 4" xfId="761" xr:uid="{00000000-0005-0000-0000-000016010000}"/>
    <cellStyle name="Comma 3 13" xfId="239" xr:uid="{00000000-0005-0000-0000-000017010000}"/>
    <cellStyle name="Comma 3 2" xfId="240" xr:uid="{00000000-0005-0000-0000-000018010000}"/>
    <cellStyle name="Comma 3 3" xfId="241" xr:uid="{00000000-0005-0000-0000-000019010000}"/>
    <cellStyle name="Comma 3 4" xfId="242" xr:uid="{00000000-0005-0000-0000-00001A010000}"/>
    <cellStyle name="Comma 3 4 2" xfId="243" xr:uid="{00000000-0005-0000-0000-00001B010000}"/>
    <cellStyle name="Comma 3 4 2 2" xfId="244" xr:uid="{00000000-0005-0000-0000-00001C010000}"/>
    <cellStyle name="Comma 3 4 2 2 2" xfId="245" xr:uid="{00000000-0005-0000-0000-00001D010000}"/>
    <cellStyle name="Comma 3 4 2 2 2 2" xfId="768" xr:uid="{00000000-0005-0000-0000-00001E010000}"/>
    <cellStyle name="Comma 3 4 2 2 3" xfId="767" xr:uid="{00000000-0005-0000-0000-00001F010000}"/>
    <cellStyle name="Comma 3 4 2 3" xfId="246" xr:uid="{00000000-0005-0000-0000-000020010000}"/>
    <cellStyle name="Comma 3 4 2 3 2" xfId="769" xr:uid="{00000000-0005-0000-0000-000021010000}"/>
    <cellStyle name="Comma 3 4 2 4" xfId="766" xr:uid="{00000000-0005-0000-0000-000022010000}"/>
    <cellStyle name="Comma 3 4 3" xfId="247" xr:uid="{00000000-0005-0000-0000-000023010000}"/>
    <cellStyle name="Comma 3 4 3 2" xfId="248" xr:uid="{00000000-0005-0000-0000-000024010000}"/>
    <cellStyle name="Comma 3 4 3 2 2" xfId="249" xr:uid="{00000000-0005-0000-0000-000025010000}"/>
    <cellStyle name="Comma 3 4 3 2 2 2" xfId="772" xr:uid="{00000000-0005-0000-0000-000026010000}"/>
    <cellStyle name="Comma 3 4 3 2 3" xfId="771" xr:uid="{00000000-0005-0000-0000-000027010000}"/>
    <cellStyle name="Comma 3 4 3 3" xfId="250" xr:uid="{00000000-0005-0000-0000-000028010000}"/>
    <cellStyle name="Comma 3 4 3 3 2" xfId="773" xr:uid="{00000000-0005-0000-0000-000029010000}"/>
    <cellStyle name="Comma 3 4 3 4" xfId="770" xr:uid="{00000000-0005-0000-0000-00002A010000}"/>
    <cellStyle name="Comma 3 4 4" xfId="251" xr:uid="{00000000-0005-0000-0000-00002B010000}"/>
    <cellStyle name="Comma 3 4 4 2" xfId="252" xr:uid="{00000000-0005-0000-0000-00002C010000}"/>
    <cellStyle name="Comma 3 4 4 2 2" xfId="775" xr:uid="{00000000-0005-0000-0000-00002D010000}"/>
    <cellStyle name="Comma 3 4 4 3" xfId="774" xr:uid="{00000000-0005-0000-0000-00002E010000}"/>
    <cellStyle name="Comma 3 4 5" xfId="253" xr:uid="{00000000-0005-0000-0000-00002F010000}"/>
    <cellStyle name="Comma 3 4 5 2" xfId="776" xr:uid="{00000000-0005-0000-0000-000030010000}"/>
    <cellStyle name="Comma 3 4 6" xfId="765" xr:uid="{00000000-0005-0000-0000-000031010000}"/>
    <cellStyle name="Comma 3 5" xfId="254" xr:uid="{00000000-0005-0000-0000-000032010000}"/>
    <cellStyle name="Comma 3 5 2" xfId="255" xr:uid="{00000000-0005-0000-0000-000033010000}"/>
    <cellStyle name="Comma 3 5 2 2" xfId="256" xr:uid="{00000000-0005-0000-0000-000034010000}"/>
    <cellStyle name="Comma 3 5 2 2 2" xfId="257" xr:uid="{00000000-0005-0000-0000-000035010000}"/>
    <cellStyle name="Comma 3 5 2 2 2 2" xfId="780" xr:uid="{00000000-0005-0000-0000-000036010000}"/>
    <cellStyle name="Comma 3 5 2 2 3" xfId="779" xr:uid="{00000000-0005-0000-0000-000037010000}"/>
    <cellStyle name="Comma 3 5 2 3" xfId="258" xr:uid="{00000000-0005-0000-0000-000038010000}"/>
    <cellStyle name="Comma 3 5 2 3 2" xfId="781" xr:uid="{00000000-0005-0000-0000-000039010000}"/>
    <cellStyle name="Comma 3 5 2 4" xfId="778" xr:uid="{00000000-0005-0000-0000-00003A010000}"/>
    <cellStyle name="Comma 3 5 3" xfId="259" xr:uid="{00000000-0005-0000-0000-00003B010000}"/>
    <cellStyle name="Comma 3 5 3 2" xfId="260" xr:uid="{00000000-0005-0000-0000-00003C010000}"/>
    <cellStyle name="Comma 3 5 3 2 2" xfId="261" xr:uid="{00000000-0005-0000-0000-00003D010000}"/>
    <cellStyle name="Comma 3 5 3 2 2 2" xfId="784" xr:uid="{00000000-0005-0000-0000-00003E010000}"/>
    <cellStyle name="Comma 3 5 3 2 3" xfId="783" xr:uid="{00000000-0005-0000-0000-00003F010000}"/>
    <cellStyle name="Comma 3 5 3 3" xfId="262" xr:uid="{00000000-0005-0000-0000-000040010000}"/>
    <cellStyle name="Comma 3 5 3 3 2" xfId="785" xr:uid="{00000000-0005-0000-0000-000041010000}"/>
    <cellStyle name="Comma 3 5 3 4" xfId="782" xr:uid="{00000000-0005-0000-0000-000042010000}"/>
    <cellStyle name="Comma 3 5 4" xfId="263" xr:uid="{00000000-0005-0000-0000-000043010000}"/>
    <cellStyle name="Comma 3 5 4 2" xfId="264" xr:uid="{00000000-0005-0000-0000-000044010000}"/>
    <cellStyle name="Comma 3 5 4 2 2" xfId="787" xr:uid="{00000000-0005-0000-0000-000045010000}"/>
    <cellStyle name="Comma 3 5 4 3" xfId="786" xr:uid="{00000000-0005-0000-0000-000046010000}"/>
    <cellStyle name="Comma 3 5 5" xfId="265" xr:uid="{00000000-0005-0000-0000-000047010000}"/>
    <cellStyle name="Comma 3 5 5 2" xfId="788" xr:uid="{00000000-0005-0000-0000-000048010000}"/>
    <cellStyle name="Comma 3 5 6" xfId="777" xr:uid="{00000000-0005-0000-0000-000049010000}"/>
    <cellStyle name="Comma 3 6" xfId="266" xr:uid="{00000000-0005-0000-0000-00004A010000}"/>
    <cellStyle name="Comma 3 6 2" xfId="267" xr:uid="{00000000-0005-0000-0000-00004B010000}"/>
    <cellStyle name="Comma 3 6 2 2" xfId="268" xr:uid="{00000000-0005-0000-0000-00004C010000}"/>
    <cellStyle name="Comma 3 6 2 2 2" xfId="269" xr:uid="{00000000-0005-0000-0000-00004D010000}"/>
    <cellStyle name="Comma 3 6 2 2 2 2" xfId="792" xr:uid="{00000000-0005-0000-0000-00004E010000}"/>
    <cellStyle name="Comma 3 6 2 2 3" xfId="791" xr:uid="{00000000-0005-0000-0000-00004F010000}"/>
    <cellStyle name="Comma 3 6 2 3" xfId="270" xr:uid="{00000000-0005-0000-0000-000050010000}"/>
    <cellStyle name="Comma 3 6 2 3 2" xfId="793" xr:uid="{00000000-0005-0000-0000-000051010000}"/>
    <cellStyle name="Comma 3 6 2 4" xfId="790" xr:uid="{00000000-0005-0000-0000-000052010000}"/>
    <cellStyle name="Comma 3 6 3" xfId="271" xr:uid="{00000000-0005-0000-0000-000053010000}"/>
    <cellStyle name="Comma 3 6 3 2" xfId="272" xr:uid="{00000000-0005-0000-0000-000054010000}"/>
    <cellStyle name="Comma 3 6 3 2 2" xfId="273" xr:uid="{00000000-0005-0000-0000-000055010000}"/>
    <cellStyle name="Comma 3 6 3 2 2 2" xfId="796" xr:uid="{00000000-0005-0000-0000-000056010000}"/>
    <cellStyle name="Comma 3 6 3 2 3" xfId="795" xr:uid="{00000000-0005-0000-0000-000057010000}"/>
    <cellStyle name="Comma 3 6 3 3" xfId="274" xr:uid="{00000000-0005-0000-0000-000058010000}"/>
    <cellStyle name="Comma 3 6 3 3 2" xfId="797" xr:uid="{00000000-0005-0000-0000-000059010000}"/>
    <cellStyle name="Comma 3 6 3 4" xfId="794" xr:uid="{00000000-0005-0000-0000-00005A010000}"/>
    <cellStyle name="Comma 3 6 4" xfId="275" xr:uid="{00000000-0005-0000-0000-00005B010000}"/>
    <cellStyle name="Comma 3 6 4 2" xfId="276" xr:uid="{00000000-0005-0000-0000-00005C010000}"/>
    <cellStyle name="Comma 3 6 4 2 2" xfId="799" xr:uid="{00000000-0005-0000-0000-00005D010000}"/>
    <cellStyle name="Comma 3 6 4 3" xfId="798" xr:uid="{00000000-0005-0000-0000-00005E010000}"/>
    <cellStyle name="Comma 3 6 5" xfId="277" xr:uid="{00000000-0005-0000-0000-00005F010000}"/>
    <cellStyle name="Comma 3 6 5 2" xfId="800" xr:uid="{00000000-0005-0000-0000-000060010000}"/>
    <cellStyle name="Comma 3 6 6" xfId="789" xr:uid="{00000000-0005-0000-0000-000061010000}"/>
    <cellStyle name="Comma 3 7" xfId="278" xr:uid="{00000000-0005-0000-0000-000062010000}"/>
    <cellStyle name="Comma 3 7 2" xfId="279" xr:uid="{00000000-0005-0000-0000-000063010000}"/>
    <cellStyle name="Comma 3 7 2 2" xfId="280" xr:uid="{00000000-0005-0000-0000-000064010000}"/>
    <cellStyle name="Comma 3 7 2 2 2" xfId="281" xr:uid="{00000000-0005-0000-0000-000065010000}"/>
    <cellStyle name="Comma 3 7 2 2 2 2" xfId="804" xr:uid="{00000000-0005-0000-0000-000066010000}"/>
    <cellStyle name="Comma 3 7 2 2 3" xfId="803" xr:uid="{00000000-0005-0000-0000-000067010000}"/>
    <cellStyle name="Comma 3 7 2 3" xfId="282" xr:uid="{00000000-0005-0000-0000-000068010000}"/>
    <cellStyle name="Comma 3 7 2 3 2" xfId="805" xr:uid="{00000000-0005-0000-0000-000069010000}"/>
    <cellStyle name="Comma 3 7 2 4" xfId="802" xr:uid="{00000000-0005-0000-0000-00006A010000}"/>
    <cellStyle name="Comma 3 7 3" xfId="283" xr:uid="{00000000-0005-0000-0000-00006B010000}"/>
    <cellStyle name="Comma 3 7 3 2" xfId="284" xr:uid="{00000000-0005-0000-0000-00006C010000}"/>
    <cellStyle name="Comma 3 7 3 2 2" xfId="285" xr:uid="{00000000-0005-0000-0000-00006D010000}"/>
    <cellStyle name="Comma 3 7 3 2 2 2" xfId="808" xr:uid="{00000000-0005-0000-0000-00006E010000}"/>
    <cellStyle name="Comma 3 7 3 2 3" xfId="807" xr:uid="{00000000-0005-0000-0000-00006F010000}"/>
    <cellStyle name="Comma 3 7 3 3" xfId="286" xr:uid="{00000000-0005-0000-0000-000070010000}"/>
    <cellStyle name="Comma 3 7 3 3 2" xfId="809" xr:uid="{00000000-0005-0000-0000-000071010000}"/>
    <cellStyle name="Comma 3 7 3 4" xfId="806" xr:uid="{00000000-0005-0000-0000-000072010000}"/>
    <cellStyle name="Comma 3 7 4" xfId="287" xr:uid="{00000000-0005-0000-0000-000073010000}"/>
    <cellStyle name="Comma 3 7 4 2" xfId="288" xr:uid="{00000000-0005-0000-0000-000074010000}"/>
    <cellStyle name="Comma 3 7 4 2 2" xfId="811" xr:uid="{00000000-0005-0000-0000-000075010000}"/>
    <cellStyle name="Comma 3 7 4 3" xfId="810" xr:uid="{00000000-0005-0000-0000-000076010000}"/>
    <cellStyle name="Comma 3 7 5" xfId="289" xr:uid="{00000000-0005-0000-0000-000077010000}"/>
    <cellStyle name="Comma 3 7 5 2" xfId="812" xr:uid="{00000000-0005-0000-0000-000078010000}"/>
    <cellStyle name="Comma 3 7 6" xfId="801" xr:uid="{00000000-0005-0000-0000-000079010000}"/>
    <cellStyle name="Comma 3 8" xfId="290" xr:uid="{00000000-0005-0000-0000-00007A010000}"/>
    <cellStyle name="Comma 3 8 2" xfId="291" xr:uid="{00000000-0005-0000-0000-00007B010000}"/>
    <cellStyle name="Comma 3 8 2 2" xfId="292" xr:uid="{00000000-0005-0000-0000-00007C010000}"/>
    <cellStyle name="Comma 3 8 2 2 2" xfId="293" xr:uid="{00000000-0005-0000-0000-00007D010000}"/>
    <cellStyle name="Comma 3 8 2 2 2 2" xfId="816" xr:uid="{00000000-0005-0000-0000-00007E010000}"/>
    <cellStyle name="Comma 3 8 2 2 3" xfId="815" xr:uid="{00000000-0005-0000-0000-00007F010000}"/>
    <cellStyle name="Comma 3 8 2 3" xfId="294" xr:uid="{00000000-0005-0000-0000-000080010000}"/>
    <cellStyle name="Comma 3 8 2 3 2" xfId="817" xr:uid="{00000000-0005-0000-0000-000081010000}"/>
    <cellStyle name="Comma 3 8 2 4" xfId="814" xr:uid="{00000000-0005-0000-0000-000082010000}"/>
    <cellStyle name="Comma 3 8 3" xfId="295" xr:uid="{00000000-0005-0000-0000-000083010000}"/>
    <cellStyle name="Comma 3 8 3 2" xfId="296" xr:uid="{00000000-0005-0000-0000-000084010000}"/>
    <cellStyle name="Comma 3 8 3 2 2" xfId="297" xr:uid="{00000000-0005-0000-0000-000085010000}"/>
    <cellStyle name="Comma 3 8 3 2 2 2" xfId="820" xr:uid="{00000000-0005-0000-0000-000086010000}"/>
    <cellStyle name="Comma 3 8 3 2 3" xfId="819" xr:uid="{00000000-0005-0000-0000-000087010000}"/>
    <cellStyle name="Comma 3 8 3 3" xfId="298" xr:uid="{00000000-0005-0000-0000-000088010000}"/>
    <cellStyle name="Comma 3 8 3 3 2" xfId="821" xr:uid="{00000000-0005-0000-0000-000089010000}"/>
    <cellStyle name="Comma 3 8 3 4" xfId="818" xr:uid="{00000000-0005-0000-0000-00008A010000}"/>
    <cellStyle name="Comma 3 8 4" xfId="299" xr:uid="{00000000-0005-0000-0000-00008B010000}"/>
    <cellStyle name="Comma 3 8 4 2" xfId="300" xr:uid="{00000000-0005-0000-0000-00008C010000}"/>
    <cellStyle name="Comma 3 8 4 2 2" xfId="823" xr:uid="{00000000-0005-0000-0000-00008D010000}"/>
    <cellStyle name="Comma 3 8 4 3" xfId="822" xr:uid="{00000000-0005-0000-0000-00008E010000}"/>
    <cellStyle name="Comma 3 8 5" xfId="301" xr:uid="{00000000-0005-0000-0000-00008F010000}"/>
    <cellStyle name="Comma 3 8 5 2" xfId="824" xr:uid="{00000000-0005-0000-0000-000090010000}"/>
    <cellStyle name="Comma 3 8 6" xfId="813" xr:uid="{00000000-0005-0000-0000-000091010000}"/>
    <cellStyle name="Comma 3 9" xfId="302" xr:uid="{00000000-0005-0000-0000-000092010000}"/>
    <cellStyle name="Comma 3 9 2" xfId="303" xr:uid="{00000000-0005-0000-0000-000093010000}"/>
    <cellStyle name="Comma 3 9 2 2" xfId="304" xr:uid="{00000000-0005-0000-0000-000094010000}"/>
    <cellStyle name="Comma 3 9 2 2 2" xfId="305" xr:uid="{00000000-0005-0000-0000-000095010000}"/>
    <cellStyle name="Comma 3 9 2 2 2 2" xfId="828" xr:uid="{00000000-0005-0000-0000-000096010000}"/>
    <cellStyle name="Comma 3 9 2 2 3" xfId="827" xr:uid="{00000000-0005-0000-0000-000097010000}"/>
    <cellStyle name="Comma 3 9 2 3" xfId="306" xr:uid="{00000000-0005-0000-0000-000098010000}"/>
    <cellStyle name="Comma 3 9 2 3 2" xfId="829" xr:uid="{00000000-0005-0000-0000-000099010000}"/>
    <cellStyle name="Comma 3 9 2 4" xfId="826" xr:uid="{00000000-0005-0000-0000-00009A010000}"/>
    <cellStyle name="Comma 3 9 3" xfId="307" xr:uid="{00000000-0005-0000-0000-00009B010000}"/>
    <cellStyle name="Comma 3 9 3 2" xfId="308" xr:uid="{00000000-0005-0000-0000-00009C010000}"/>
    <cellStyle name="Comma 3 9 3 2 2" xfId="309" xr:uid="{00000000-0005-0000-0000-00009D010000}"/>
    <cellStyle name="Comma 3 9 3 2 2 2" xfId="832" xr:uid="{00000000-0005-0000-0000-00009E010000}"/>
    <cellStyle name="Comma 3 9 3 2 3" xfId="831" xr:uid="{00000000-0005-0000-0000-00009F010000}"/>
    <cellStyle name="Comma 3 9 3 3" xfId="310" xr:uid="{00000000-0005-0000-0000-0000A0010000}"/>
    <cellStyle name="Comma 3 9 3 3 2" xfId="833" xr:uid="{00000000-0005-0000-0000-0000A1010000}"/>
    <cellStyle name="Comma 3 9 3 4" xfId="830" xr:uid="{00000000-0005-0000-0000-0000A2010000}"/>
    <cellStyle name="Comma 3 9 4" xfId="311" xr:uid="{00000000-0005-0000-0000-0000A3010000}"/>
    <cellStyle name="Comma 3 9 4 2" xfId="312" xr:uid="{00000000-0005-0000-0000-0000A4010000}"/>
    <cellStyle name="Comma 3 9 4 2 2" xfId="835" xr:uid="{00000000-0005-0000-0000-0000A5010000}"/>
    <cellStyle name="Comma 3 9 4 3" xfId="834" xr:uid="{00000000-0005-0000-0000-0000A6010000}"/>
    <cellStyle name="Comma 3 9 5" xfId="313" xr:uid="{00000000-0005-0000-0000-0000A7010000}"/>
    <cellStyle name="Comma 3 9 5 2" xfId="836" xr:uid="{00000000-0005-0000-0000-0000A8010000}"/>
    <cellStyle name="Comma 3 9 6" xfId="825" xr:uid="{00000000-0005-0000-0000-0000A9010000}"/>
    <cellStyle name="Comma 37" xfId="979" xr:uid="{4E2A266C-485A-42E6-BA65-6767012B5E14}"/>
    <cellStyle name="Comma 4" xfId="314" xr:uid="{00000000-0005-0000-0000-0000AA010000}"/>
    <cellStyle name="Comma 4 2" xfId="315" xr:uid="{00000000-0005-0000-0000-0000AB010000}"/>
    <cellStyle name="Comma 4 3" xfId="316" xr:uid="{00000000-0005-0000-0000-0000AC010000}"/>
    <cellStyle name="Comma 4 4" xfId="317" xr:uid="{00000000-0005-0000-0000-0000AD010000}"/>
    <cellStyle name="Comma 5" xfId="318" xr:uid="{00000000-0005-0000-0000-0000AE010000}"/>
    <cellStyle name="Comma 6" xfId="319" xr:uid="{00000000-0005-0000-0000-0000AF010000}"/>
    <cellStyle name="Comma 6 2" xfId="320" xr:uid="{00000000-0005-0000-0000-0000B0010000}"/>
    <cellStyle name="Comma 7" xfId="321" xr:uid="{00000000-0005-0000-0000-0000B1010000}"/>
    <cellStyle name="Comma 7 2" xfId="322" xr:uid="{00000000-0005-0000-0000-0000B2010000}"/>
    <cellStyle name="Comma 8" xfId="323" xr:uid="{00000000-0005-0000-0000-0000B3010000}"/>
    <cellStyle name="Comma 8 2" xfId="324" xr:uid="{00000000-0005-0000-0000-0000B4010000}"/>
    <cellStyle name="Comma 9" xfId="325" xr:uid="{00000000-0005-0000-0000-0000B5010000}"/>
    <cellStyle name="CommaBlank" xfId="326" xr:uid="{00000000-0005-0000-0000-0000B6010000}"/>
    <cellStyle name="CommaBlank 2" xfId="327" xr:uid="{00000000-0005-0000-0000-0000B7010000}"/>
    <cellStyle name="Currency" xfId="328" builtinId="4"/>
    <cellStyle name="Currency 10" xfId="329" xr:uid="{00000000-0005-0000-0000-0000B9010000}"/>
    <cellStyle name="Currency 10 2" xfId="330" xr:uid="{00000000-0005-0000-0000-0000BA010000}"/>
    <cellStyle name="Currency 10 2 2" xfId="331" xr:uid="{00000000-0005-0000-0000-0000BB010000}"/>
    <cellStyle name="Currency 10 2 2 2" xfId="332" xr:uid="{00000000-0005-0000-0000-0000BC010000}"/>
    <cellStyle name="Currency 10 2 2 2 2" xfId="841" xr:uid="{00000000-0005-0000-0000-0000BD010000}"/>
    <cellStyle name="Currency 10 2 2 3" xfId="840" xr:uid="{00000000-0005-0000-0000-0000BE010000}"/>
    <cellStyle name="Currency 10 2 3" xfId="333" xr:uid="{00000000-0005-0000-0000-0000BF010000}"/>
    <cellStyle name="Currency 10 2 3 2" xfId="842" xr:uid="{00000000-0005-0000-0000-0000C0010000}"/>
    <cellStyle name="Currency 10 2 4" xfId="839" xr:uid="{00000000-0005-0000-0000-0000C1010000}"/>
    <cellStyle name="Currency 10 3" xfId="334" xr:uid="{00000000-0005-0000-0000-0000C2010000}"/>
    <cellStyle name="Currency 10 3 2" xfId="335" xr:uid="{00000000-0005-0000-0000-0000C3010000}"/>
    <cellStyle name="Currency 10 3 2 2" xfId="336" xr:uid="{00000000-0005-0000-0000-0000C4010000}"/>
    <cellStyle name="Currency 10 3 2 2 2" xfId="845" xr:uid="{00000000-0005-0000-0000-0000C5010000}"/>
    <cellStyle name="Currency 10 3 2 3" xfId="844" xr:uid="{00000000-0005-0000-0000-0000C6010000}"/>
    <cellStyle name="Currency 10 3 3" xfId="337" xr:uid="{00000000-0005-0000-0000-0000C7010000}"/>
    <cellStyle name="Currency 10 3 3 2" xfId="846" xr:uid="{00000000-0005-0000-0000-0000C8010000}"/>
    <cellStyle name="Currency 10 3 4" xfId="843" xr:uid="{00000000-0005-0000-0000-0000C9010000}"/>
    <cellStyle name="Currency 10 4" xfId="338" xr:uid="{00000000-0005-0000-0000-0000CA010000}"/>
    <cellStyle name="Currency 10 4 2" xfId="339" xr:uid="{00000000-0005-0000-0000-0000CB010000}"/>
    <cellStyle name="Currency 10 4 2 2" xfId="848" xr:uid="{00000000-0005-0000-0000-0000CC010000}"/>
    <cellStyle name="Currency 10 4 3" xfId="847" xr:uid="{00000000-0005-0000-0000-0000CD010000}"/>
    <cellStyle name="Currency 10 5" xfId="340" xr:uid="{00000000-0005-0000-0000-0000CE010000}"/>
    <cellStyle name="Currency 10 5 2" xfId="849" xr:uid="{00000000-0005-0000-0000-0000CF010000}"/>
    <cellStyle name="Currency 10 6" xfId="838" xr:uid="{00000000-0005-0000-0000-0000D0010000}"/>
    <cellStyle name="Currency 11" xfId="341" xr:uid="{00000000-0005-0000-0000-0000D1010000}"/>
    <cellStyle name="Currency 12" xfId="837" xr:uid="{00000000-0005-0000-0000-0000D2010000}"/>
    <cellStyle name="Currency 2" xfId="342" xr:uid="{00000000-0005-0000-0000-0000D3010000}"/>
    <cellStyle name="Currency 2 2" xfId="343" xr:uid="{00000000-0005-0000-0000-0000D4010000}"/>
    <cellStyle name="Currency 2 3" xfId="344" xr:uid="{00000000-0005-0000-0000-0000D5010000}"/>
    <cellStyle name="Currency 2 4" xfId="345" xr:uid="{00000000-0005-0000-0000-0000D6010000}"/>
    <cellStyle name="Currency 3" xfId="346" xr:uid="{00000000-0005-0000-0000-0000D7010000}"/>
    <cellStyle name="Currency 3 2" xfId="347" xr:uid="{00000000-0005-0000-0000-0000D8010000}"/>
    <cellStyle name="Currency 3 3" xfId="348" xr:uid="{00000000-0005-0000-0000-0000D9010000}"/>
    <cellStyle name="Currency 3 4" xfId="349" xr:uid="{00000000-0005-0000-0000-0000DA010000}"/>
    <cellStyle name="Currency 3 5" xfId="350" xr:uid="{00000000-0005-0000-0000-0000DB010000}"/>
    <cellStyle name="Currency 4" xfId="351" xr:uid="{00000000-0005-0000-0000-0000DC010000}"/>
    <cellStyle name="Currency 4 2" xfId="352" xr:uid="{00000000-0005-0000-0000-0000DD010000}"/>
    <cellStyle name="Currency 4 3" xfId="353" xr:uid="{00000000-0005-0000-0000-0000DE010000}"/>
    <cellStyle name="Currency 4 4" xfId="354" xr:uid="{00000000-0005-0000-0000-0000DF010000}"/>
    <cellStyle name="Currency 5" xfId="355" xr:uid="{00000000-0005-0000-0000-0000E0010000}"/>
    <cellStyle name="Currency 6" xfId="356" xr:uid="{00000000-0005-0000-0000-0000E1010000}"/>
    <cellStyle name="Currency 7" xfId="357" xr:uid="{00000000-0005-0000-0000-0000E2010000}"/>
    <cellStyle name="Currency 8" xfId="358" xr:uid="{00000000-0005-0000-0000-0000E3010000}"/>
    <cellStyle name="Currency 9" xfId="359" xr:uid="{00000000-0005-0000-0000-0000E4010000}"/>
    <cellStyle name="Explanatory Text 2" xfId="360" xr:uid="{00000000-0005-0000-0000-0000E5010000}"/>
    <cellStyle name="Explanatory Text 3" xfId="361" xr:uid="{00000000-0005-0000-0000-0000E6010000}"/>
    <cellStyle name="Explanatory Text 4" xfId="362" xr:uid="{00000000-0005-0000-0000-0000E7010000}"/>
    <cellStyle name="Explanatory Text 5" xfId="363" xr:uid="{00000000-0005-0000-0000-0000E8010000}"/>
    <cellStyle name="Explanatory Text 6" xfId="364" xr:uid="{00000000-0005-0000-0000-0000E9010000}"/>
    <cellStyle name="Good 2" xfId="365" xr:uid="{00000000-0005-0000-0000-0000EA010000}"/>
    <cellStyle name="Good 3" xfId="366" xr:uid="{00000000-0005-0000-0000-0000EB010000}"/>
    <cellStyle name="Good 4" xfId="367" xr:uid="{00000000-0005-0000-0000-0000EC010000}"/>
    <cellStyle name="Good 5" xfId="368" xr:uid="{00000000-0005-0000-0000-0000ED010000}"/>
    <cellStyle name="Good 6" xfId="369" xr:uid="{00000000-0005-0000-0000-0000EE010000}"/>
    <cellStyle name="Heading 1 2" xfId="370" xr:uid="{00000000-0005-0000-0000-0000EF010000}"/>
    <cellStyle name="Heading 1 3" xfId="371" xr:uid="{00000000-0005-0000-0000-0000F0010000}"/>
    <cellStyle name="Heading 1 4" xfId="372" xr:uid="{00000000-0005-0000-0000-0000F1010000}"/>
    <cellStyle name="Heading 1 5" xfId="373" xr:uid="{00000000-0005-0000-0000-0000F2010000}"/>
    <cellStyle name="Heading 1 6" xfId="374" xr:uid="{00000000-0005-0000-0000-0000F3010000}"/>
    <cellStyle name="Heading 1 7" xfId="375" xr:uid="{00000000-0005-0000-0000-0000F4010000}"/>
    <cellStyle name="Heading 1 8" xfId="376" xr:uid="{00000000-0005-0000-0000-0000F5010000}"/>
    <cellStyle name="Heading 2 2" xfId="377" xr:uid="{00000000-0005-0000-0000-0000F6010000}"/>
    <cellStyle name="Heading 2 3" xfId="378" xr:uid="{00000000-0005-0000-0000-0000F7010000}"/>
    <cellStyle name="Heading 2 4" xfId="379" xr:uid="{00000000-0005-0000-0000-0000F8010000}"/>
    <cellStyle name="Heading 2 5" xfId="380" xr:uid="{00000000-0005-0000-0000-0000F9010000}"/>
    <cellStyle name="Heading 2 6" xfId="381" xr:uid="{00000000-0005-0000-0000-0000FA010000}"/>
    <cellStyle name="Heading 2 7" xfId="382" xr:uid="{00000000-0005-0000-0000-0000FB010000}"/>
    <cellStyle name="Heading 2 8" xfId="383" xr:uid="{00000000-0005-0000-0000-0000FC010000}"/>
    <cellStyle name="Heading 3 2" xfId="384" xr:uid="{00000000-0005-0000-0000-0000FD010000}"/>
    <cellStyle name="Heading 3 3" xfId="385" xr:uid="{00000000-0005-0000-0000-0000FE010000}"/>
    <cellStyle name="Heading 3 4" xfId="386" xr:uid="{00000000-0005-0000-0000-0000FF010000}"/>
    <cellStyle name="Heading 3 5" xfId="387" xr:uid="{00000000-0005-0000-0000-000000020000}"/>
    <cellStyle name="Heading 3 6" xfId="388" xr:uid="{00000000-0005-0000-0000-000001020000}"/>
    <cellStyle name="Heading 3 7" xfId="389" xr:uid="{00000000-0005-0000-0000-000002020000}"/>
    <cellStyle name="Heading 3 8" xfId="390" xr:uid="{00000000-0005-0000-0000-000003020000}"/>
    <cellStyle name="Heading 4 2" xfId="391" xr:uid="{00000000-0005-0000-0000-000004020000}"/>
    <cellStyle name="Heading 4 3" xfId="392" xr:uid="{00000000-0005-0000-0000-000005020000}"/>
    <cellStyle name="Heading 4 4" xfId="393" xr:uid="{00000000-0005-0000-0000-000006020000}"/>
    <cellStyle name="Heading 4 5" xfId="394" xr:uid="{00000000-0005-0000-0000-000007020000}"/>
    <cellStyle name="Heading 4 6" xfId="395" xr:uid="{00000000-0005-0000-0000-000008020000}"/>
    <cellStyle name="Heading 4 7" xfId="396" xr:uid="{00000000-0005-0000-0000-000009020000}"/>
    <cellStyle name="Heading 4 8" xfId="397" xr:uid="{00000000-0005-0000-0000-00000A020000}"/>
    <cellStyle name="Input 2" xfId="398" xr:uid="{00000000-0005-0000-0000-00000B020000}"/>
    <cellStyle name="Input 3" xfId="399" xr:uid="{00000000-0005-0000-0000-00000C020000}"/>
    <cellStyle name="Input 4" xfId="400" xr:uid="{00000000-0005-0000-0000-00000D020000}"/>
    <cellStyle name="Input 5" xfId="401" xr:uid="{00000000-0005-0000-0000-00000E020000}"/>
    <cellStyle name="Input 6" xfId="402" xr:uid="{00000000-0005-0000-0000-00000F020000}"/>
    <cellStyle name="kirkdollars" xfId="403" xr:uid="{00000000-0005-0000-0000-000010020000}"/>
    <cellStyle name="Linked Cell 2" xfId="404" xr:uid="{00000000-0005-0000-0000-000011020000}"/>
    <cellStyle name="Linked Cell 3" xfId="405" xr:uid="{00000000-0005-0000-0000-000012020000}"/>
    <cellStyle name="Linked Cell 4" xfId="406" xr:uid="{00000000-0005-0000-0000-000013020000}"/>
    <cellStyle name="Linked Cell 5" xfId="407" xr:uid="{00000000-0005-0000-0000-000014020000}"/>
    <cellStyle name="Linked Cell 6" xfId="408" xr:uid="{00000000-0005-0000-0000-000015020000}"/>
    <cellStyle name="Neutral 2" xfId="409" xr:uid="{00000000-0005-0000-0000-000016020000}"/>
    <cellStyle name="Neutral 3" xfId="410" xr:uid="{00000000-0005-0000-0000-000017020000}"/>
    <cellStyle name="Neutral 4" xfId="411" xr:uid="{00000000-0005-0000-0000-000018020000}"/>
    <cellStyle name="Neutral 5" xfId="412" xr:uid="{00000000-0005-0000-0000-000019020000}"/>
    <cellStyle name="Neutral 6" xfId="413" xr:uid="{00000000-0005-0000-0000-00001A020000}"/>
    <cellStyle name="Normal" xfId="0" builtinId="0"/>
    <cellStyle name="Normal 10" xfId="414" xr:uid="{00000000-0005-0000-0000-00001C020000}"/>
    <cellStyle name="Normal 11" xfId="415" xr:uid="{00000000-0005-0000-0000-00001D020000}"/>
    <cellStyle name="Normal 12" xfId="416" xr:uid="{00000000-0005-0000-0000-00001E020000}"/>
    <cellStyle name="Normal 12 4" xfId="978" xr:uid="{FF39D92B-7DBA-4DC3-8075-82FA7FD5F4B4}"/>
    <cellStyle name="Normal 13" xfId="417" xr:uid="{00000000-0005-0000-0000-00001F020000}"/>
    <cellStyle name="Normal 14" xfId="418" xr:uid="{00000000-0005-0000-0000-000020020000}"/>
    <cellStyle name="Normal 15" xfId="419" xr:uid="{00000000-0005-0000-0000-000021020000}"/>
    <cellStyle name="Normal 15 2" xfId="420" xr:uid="{00000000-0005-0000-0000-000022020000}"/>
    <cellStyle name="Normal 15 2 2" xfId="421" xr:uid="{00000000-0005-0000-0000-000023020000}"/>
    <cellStyle name="Normal 15 2 2 2" xfId="422" xr:uid="{00000000-0005-0000-0000-000024020000}"/>
    <cellStyle name="Normal 15 2 2 2 2" xfId="853" xr:uid="{00000000-0005-0000-0000-000025020000}"/>
    <cellStyle name="Normal 15 2 2 3" xfId="852" xr:uid="{00000000-0005-0000-0000-000026020000}"/>
    <cellStyle name="Normal 15 2 3" xfId="423" xr:uid="{00000000-0005-0000-0000-000027020000}"/>
    <cellStyle name="Normal 15 2 3 2" xfId="854" xr:uid="{00000000-0005-0000-0000-000028020000}"/>
    <cellStyle name="Normal 15 2 4" xfId="851" xr:uid="{00000000-0005-0000-0000-000029020000}"/>
    <cellStyle name="Normal 15 3" xfId="424" xr:uid="{00000000-0005-0000-0000-00002A020000}"/>
    <cellStyle name="Normal 15 3 2" xfId="425" xr:uid="{00000000-0005-0000-0000-00002B020000}"/>
    <cellStyle name="Normal 15 3 2 2" xfId="426" xr:uid="{00000000-0005-0000-0000-00002C020000}"/>
    <cellStyle name="Normal 15 3 2 2 2" xfId="857" xr:uid="{00000000-0005-0000-0000-00002D020000}"/>
    <cellStyle name="Normal 15 3 2 3" xfId="856" xr:uid="{00000000-0005-0000-0000-00002E020000}"/>
    <cellStyle name="Normal 15 3 3" xfId="427" xr:uid="{00000000-0005-0000-0000-00002F020000}"/>
    <cellStyle name="Normal 15 3 3 2" xfId="858" xr:uid="{00000000-0005-0000-0000-000030020000}"/>
    <cellStyle name="Normal 15 3 4" xfId="855" xr:uid="{00000000-0005-0000-0000-000031020000}"/>
    <cellStyle name="Normal 15 4" xfId="428" xr:uid="{00000000-0005-0000-0000-000032020000}"/>
    <cellStyle name="Normal 15 4 2" xfId="429" xr:uid="{00000000-0005-0000-0000-000033020000}"/>
    <cellStyle name="Normal 15 4 2 2" xfId="860" xr:uid="{00000000-0005-0000-0000-000034020000}"/>
    <cellStyle name="Normal 15 4 3" xfId="859" xr:uid="{00000000-0005-0000-0000-000035020000}"/>
    <cellStyle name="Normal 15 5" xfId="430" xr:uid="{00000000-0005-0000-0000-000036020000}"/>
    <cellStyle name="Normal 15 5 2" xfId="861" xr:uid="{00000000-0005-0000-0000-000037020000}"/>
    <cellStyle name="Normal 15 6" xfId="850" xr:uid="{00000000-0005-0000-0000-000038020000}"/>
    <cellStyle name="Normal 16" xfId="431" xr:uid="{00000000-0005-0000-0000-000039020000}"/>
    <cellStyle name="Normal 17" xfId="432" xr:uid="{00000000-0005-0000-0000-00003A020000}"/>
    <cellStyle name="Normal 18" xfId="433" xr:uid="{00000000-0005-0000-0000-00003B020000}"/>
    <cellStyle name="Normal 19" xfId="434" xr:uid="{00000000-0005-0000-0000-00003C020000}"/>
    <cellStyle name="Normal 2" xfId="435" xr:uid="{00000000-0005-0000-0000-00003D020000}"/>
    <cellStyle name="Normal 2 2" xfId="436" xr:uid="{00000000-0005-0000-0000-00003E020000}"/>
    <cellStyle name="Normal 2 2 2" xfId="437" xr:uid="{00000000-0005-0000-0000-00003F020000}"/>
    <cellStyle name="Normal 2 2 3" xfId="862" xr:uid="{00000000-0005-0000-0000-000040020000}"/>
    <cellStyle name="Normal 2 3" xfId="438" xr:uid="{00000000-0005-0000-0000-000041020000}"/>
    <cellStyle name="Normal 2 4" xfId="439" xr:uid="{00000000-0005-0000-0000-000042020000}"/>
    <cellStyle name="Normal 2 5" xfId="440" xr:uid="{00000000-0005-0000-0000-000043020000}"/>
    <cellStyle name="Normal 2_Adjustment WP" xfId="441" xr:uid="{00000000-0005-0000-0000-000044020000}"/>
    <cellStyle name="Normal 20" xfId="442" xr:uid="{00000000-0005-0000-0000-000045020000}"/>
    <cellStyle name="Normal 21" xfId="443" xr:uid="{00000000-0005-0000-0000-000046020000}"/>
    <cellStyle name="Normal 22" xfId="444" xr:uid="{00000000-0005-0000-0000-000047020000}"/>
    <cellStyle name="Normal 22 2" xfId="981" xr:uid="{6345D1B3-E8F5-41F6-ADFF-88C55C8033E6}"/>
    <cellStyle name="Normal 23" xfId="445" xr:uid="{00000000-0005-0000-0000-000048020000}"/>
    <cellStyle name="Normal 24" xfId="446" xr:uid="{00000000-0005-0000-0000-000049020000}"/>
    <cellStyle name="Normal 25" xfId="447" xr:uid="{00000000-0005-0000-0000-00004A020000}"/>
    <cellStyle name="Normal 26" xfId="448" xr:uid="{00000000-0005-0000-0000-00004B020000}"/>
    <cellStyle name="Normal 27" xfId="449" xr:uid="{00000000-0005-0000-0000-00004C020000}"/>
    <cellStyle name="Normal 28" xfId="450" xr:uid="{00000000-0005-0000-0000-00004D020000}"/>
    <cellStyle name="Normal 29" xfId="451" xr:uid="{00000000-0005-0000-0000-00004E020000}"/>
    <cellStyle name="Normal 3" xfId="452" xr:uid="{00000000-0005-0000-0000-00004F020000}"/>
    <cellStyle name="Normal 3 2" xfId="453" xr:uid="{00000000-0005-0000-0000-000050020000}"/>
    <cellStyle name="Normal 3 3" xfId="454" xr:uid="{00000000-0005-0000-0000-000051020000}"/>
    <cellStyle name="Normal 3 4" xfId="455" xr:uid="{00000000-0005-0000-0000-000052020000}"/>
    <cellStyle name="Normal 3 5" xfId="456" xr:uid="{00000000-0005-0000-0000-000053020000}"/>
    <cellStyle name="Normal 3 6" xfId="457" xr:uid="{00000000-0005-0000-0000-000054020000}"/>
    <cellStyle name="Normal 3 7" xfId="458" xr:uid="{00000000-0005-0000-0000-000055020000}"/>
    <cellStyle name="Normal 3 8" xfId="459" xr:uid="{00000000-0005-0000-0000-000056020000}"/>
    <cellStyle name="Normal 3_108 Summary" xfId="460" xr:uid="{00000000-0005-0000-0000-000057020000}"/>
    <cellStyle name="Normal 30" xfId="461" xr:uid="{00000000-0005-0000-0000-000058020000}"/>
    <cellStyle name="Normal 31" xfId="462" xr:uid="{00000000-0005-0000-0000-000059020000}"/>
    <cellStyle name="Normal 32" xfId="463" xr:uid="{00000000-0005-0000-0000-00005A020000}"/>
    <cellStyle name="Normal 33" xfId="464" xr:uid="{00000000-0005-0000-0000-00005B020000}"/>
    <cellStyle name="Normal 34" xfId="465" xr:uid="{00000000-0005-0000-0000-00005C020000}"/>
    <cellStyle name="Normal 35" xfId="466" xr:uid="{00000000-0005-0000-0000-00005D020000}"/>
    <cellStyle name="Normal 35 2" xfId="467" xr:uid="{00000000-0005-0000-0000-00005E020000}"/>
    <cellStyle name="Normal 35 2 2" xfId="468" xr:uid="{00000000-0005-0000-0000-00005F020000}"/>
    <cellStyle name="Normal 35 2 2 2" xfId="469" xr:uid="{00000000-0005-0000-0000-000060020000}"/>
    <cellStyle name="Normal 35 2 2 2 2" xfId="866" xr:uid="{00000000-0005-0000-0000-000061020000}"/>
    <cellStyle name="Normal 35 2 2 3" xfId="865" xr:uid="{00000000-0005-0000-0000-000062020000}"/>
    <cellStyle name="Normal 35 2 3" xfId="470" xr:uid="{00000000-0005-0000-0000-000063020000}"/>
    <cellStyle name="Normal 35 2 3 2" xfId="867" xr:uid="{00000000-0005-0000-0000-000064020000}"/>
    <cellStyle name="Normal 35 2 4" xfId="864" xr:uid="{00000000-0005-0000-0000-000065020000}"/>
    <cellStyle name="Normal 35 3" xfId="471" xr:uid="{00000000-0005-0000-0000-000066020000}"/>
    <cellStyle name="Normal 35 3 2" xfId="472" xr:uid="{00000000-0005-0000-0000-000067020000}"/>
    <cellStyle name="Normal 35 3 2 2" xfId="473" xr:uid="{00000000-0005-0000-0000-000068020000}"/>
    <cellStyle name="Normal 35 3 2 2 2" xfId="870" xr:uid="{00000000-0005-0000-0000-000069020000}"/>
    <cellStyle name="Normal 35 3 2 3" xfId="869" xr:uid="{00000000-0005-0000-0000-00006A020000}"/>
    <cellStyle name="Normal 35 3 3" xfId="474" xr:uid="{00000000-0005-0000-0000-00006B020000}"/>
    <cellStyle name="Normal 35 3 3 2" xfId="871" xr:uid="{00000000-0005-0000-0000-00006C020000}"/>
    <cellStyle name="Normal 35 3 4" xfId="868" xr:uid="{00000000-0005-0000-0000-00006D020000}"/>
    <cellStyle name="Normal 35 4" xfId="475" xr:uid="{00000000-0005-0000-0000-00006E020000}"/>
    <cellStyle name="Normal 35 4 2" xfId="476" xr:uid="{00000000-0005-0000-0000-00006F020000}"/>
    <cellStyle name="Normal 35 4 2 2" xfId="873" xr:uid="{00000000-0005-0000-0000-000070020000}"/>
    <cellStyle name="Normal 35 4 3" xfId="872" xr:uid="{00000000-0005-0000-0000-000071020000}"/>
    <cellStyle name="Normal 35 5" xfId="477" xr:uid="{00000000-0005-0000-0000-000072020000}"/>
    <cellStyle name="Normal 35 5 2" xfId="874" xr:uid="{00000000-0005-0000-0000-000073020000}"/>
    <cellStyle name="Normal 35 6" xfId="863" xr:uid="{00000000-0005-0000-0000-000074020000}"/>
    <cellStyle name="Normal 36" xfId="478" xr:uid="{00000000-0005-0000-0000-000075020000}"/>
    <cellStyle name="Normal 36 2" xfId="479" xr:uid="{00000000-0005-0000-0000-000076020000}"/>
    <cellStyle name="Normal 37" xfId="723" xr:uid="{00000000-0005-0000-0000-000077020000}"/>
    <cellStyle name="Normal 37 2" xfId="976" xr:uid="{00000000-0005-0000-0000-000078020000}"/>
    <cellStyle name="Normal 37 3" xfId="977" xr:uid="{00000000-0005-0000-0000-000079020000}"/>
    <cellStyle name="Normal 38" xfId="980" xr:uid="{B1044D7F-66C8-4F2B-AADE-30C04F2D22A1}"/>
    <cellStyle name="Normal 39" xfId="985" xr:uid="{3B4213BB-ED78-4756-842E-48A8A15CCC22}"/>
    <cellStyle name="Normal 4" xfId="480" xr:uid="{00000000-0005-0000-0000-00007A020000}"/>
    <cellStyle name="Normal 4 2" xfId="481" xr:uid="{00000000-0005-0000-0000-00007B020000}"/>
    <cellStyle name="Normal 4 3" xfId="482" xr:uid="{00000000-0005-0000-0000-00007C020000}"/>
    <cellStyle name="Normal 4 4" xfId="483" xr:uid="{00000000-0005-0000-0000-00007D020000}"/>
    <cellStyle name="Normal 4 5" xfId="484" xr:uid="{00000000-0005-0000-0000-00007E020000}"/>
    <cellStyle name="Normal 5" xfId="485" xr:uid="{00000000-0005-0000-0000-00007F020000}"/>
    <cellStyle name="Normal 5 2" xfId="486" xr:uid="{00000000-0005-0000-0000-000080020000}"/>
    <cellStyle name="Normal 5 3" xfId="487" xr:uid="{00000000-0005-0000-0000-000081020000}"/>
    <cellStyle name="Normal 6" xfId="488" xr:uid="{00000000-0005-0000-0000-000082020000}"/>
    <cellStyle name="Normal 6 10" xfId="489" xr:uid="{00000000-0005-0000-0000-000083020000}"/>
    <cellStyle name="Normal 6 10 2" xfId="490" xr:uid="{00000000-0005-0000-0000-000084020000}"/>
    <cellStyle name="Normal 6 10 2 2" xfId="491" xr:uid="{00000000-0005-0000-0000-000085020000}"/>
    <cellStyle name="Normal 6 10 2 2 2" xfId="877" xr:uid="{00000000-0005-0000-0000-000086020000}"/>
    <cellStyle name="Normal 6 10 2 3" xfId="876" xr:uid="{00000000-0005-0000-0000-000087020000}"/>
    <cellStyle name="Normal 6 10 3" xfId="492" xr:uid="{00000000-0005-0000-0000-000088020000}"/>
    <cellStyle name="Normal 6 10 3 2" xfId="878" xr:uid="{00000000-0005-0000-0000-000089020000}"/>
    <cellStyle name="Normal 6 10 4" xfId="875" xr:uid="{00000000-0005-0000-0000-00008A020000}"/>
    <cellStyle name="Normal 6 2" xfId="493" xr:uid="{00000000-0005-0000-0000-00008B020000}"/>
    <cellStyle name="Normal 6 2 2" xfId="494" xr:uid="{00000000-0005-0000-0000-00008C020000}"/>
    <cellStyle name="Normal 6 2 2 2" xfId="495" xr:uid="{00000000-0005-0000-0000-00008D020000}"/>
    <cellStyle name="Normal 6 2 2 2 2" xfId="496" xr:uid="{00000000-0005-0000-0000-00008E020000}"/>
    <cellStyle name="Normal 6 2 2 2 2 2" xfId="882" xr:uid="{00000000-0005-0000-0000-00008F020000}"/>
    <cellStyle name="Normal 6 2 2 2 3" xfId="881" xr:uid="{00000000-0005-0000-0000-000090020000}"/>
    <cellStyle name="Normal 6 2 2 3" xfId="497" xr:uid="{00000000-0005-0000-0000-000091020000}"/>
    <cellStyle name="Normal 6 2 2 3 2" xfId="883" xr:uid="{00000000-0005-0000-0000-000092020000}"/>
    <cellStyle name="Normal 6 2 2 4" xfId="880" xr:uid="{00000000-0005-0000-0000-000093020000}"/>
    <cellStyle name="Normal 6 2 3" xfId="498" xr:uid="{00000000-0005-0000-0000-000094020000}"/>
    <cellStyle name="Normal 6 2 3 2" xfId="499" xr:uid="{00000000-0005-0000-0000-000095020000}"/>
    <cellStyle name="Normal 6 2 3 2 2" xfId="500" xr:uid="{00000000-0005-0000-0000-000096020000}"/>
    <cellStyle name="Normal 6 2 3 2 2 2" xfId="886" xr:uid="{00000000-0005-0000-0000-000097020000}"/>
    <cellStyle name="Normal 6 2 3 2 3" xfId="885" xr:uid="{00000000-0005-0000-0000-000098020000}"/>
    <cellStyle name="Normal 6 2 3 3" xfId="501" xr:uid="{00000000-0005-0000-0000-000099020000}"/>
    <cellStyle name="Normal 6 2 3 3 2" xfId="887" xr:uid="{00000000-0005-0000-0000-00009A020000}"/>
    <cellStyle name="Normal 6 2 3 4" xfId="884" xr:uid="{00000000-0005-0000-0000-00009B020000}"/>
    <cellStyle name="Normal 6 2 4" xfId="502" xr:uid="{00000000-0005-0000-0000-00009C020000}"/>
    <cellStyle name="Normal 6 2 4 2" xfId="503" xr:uid="{00000000-0005-0000-0000-00009D020000}"/>
    <cellStyle name="Normal 6 2 4 2 2" xfId="889" xr:uid="{00000000-0005-0000-0000-00009E020000}"/>
    <cellStyle name="Normal 6 2 4 3" xfId="888" xr:uid="{00000000-0005-0000-0000-00009F020000}"/>
    <cellStyle name="Normal 6 2 5" xfId="504" xr:uid="{00000000-0005-0000-0000-0000A0020000}"/>
    <cellStyle name="Normal 6 2 5 2" xfId="890" xr:uid="{00000000-0005-0000-0000-0000A1020000}"/>
    <cellStyle name="Normal 6 2 6" xfId="879" xr:uid="{00000000-0005-0000-0000-0000A2020000}"/>
    <cellStyle name="Normal 6 3" xfId="505" xr:uid="{00000000-0005-0000-0000-0000A3020000}"/>
    <cellStyle name="Normal 6 3 2" xfId="506" xr:uid="{00000000-0005-0000-0000-0000A4020000}"/>
    <cellStyle name="Normal 6 3 2 2" xfId="507" xr:uid="{00000000-0005-0000-0000-0000A5020000}"/>
    <cellStyle name="Normal 6 3 2 2 2" xfId="508" xr:uid="{00000000-0005-0000-0000-0000A6020000}"/>
    <cellStyle name="Normal 6 3 2 2 2 2" xfId="894" xr:uid="{00000000-0005-0000-0000-0000A7020000}"/>
    <cellStyle name="Normal 6 3 2 2 3" xfId="893" xr:uid="{00000000-0005-0000-0000-0000A8020000}"/>
    <cellStyle name="Normal 6 3 2 3" xfId="509" xr:uid="{00000000-0005-0000-0000-0000A9020000}"/>
    <cellStyle name="Normal 6 3 2 3 2" xfId="895" xr:uid="{00000000-0005-0000-0000-0000AA020000}"/>
    <cellStyle name="Normal 6 3 2 4" xfId="892" xr:uid="{00000000-0005-0000-0000-0000AB020000}"/>
    <cellStyle name="Normal 6 3 3" xfId="510" xr:uid="{00000000-0005-0000-0000-0000AC020000}"/>
    <cellStyle name="Normal 6 3 3 2" xfId="511" xr:uid="{00000000-0005-0000-0000-0000AD020000}"/>
    <cellStyle name="Normal 6 3 3 2 2" xfId="512" xr:uid="{00000000-0005-0000-0000-0000AE020000}"/>
    <cellStyle name="Normal 6 3 3 2 2 2" xfId="898" xr:uid="{00000000-0005-0000-0000-0000AF020000}"/>
    <cellStyle name="Normal 6 3 3 2 3" xfId="897" xr:uid="{00000000-0005-0000-0000-0000B0020000}"/>
    <cellStyle name="Normal 6 3 3 3" xfId="513" xr:uid="{00000000-0005-0000-0000-0000B1020000}"/>
    <cellStyle name="Normal 6 3 3 3 2" xfId="899" xr:uid="{00000000-0005-0000-0000-0000B2020000}"/>
    <cellStyle name="Normal 6 3 3 4" xfId="896" xr:uid="{00000000-0005-0000-0000-0000B3020000}"/>
    <cellStyle name="Normal 6 3 4" xfId="514" xr:uid="{00000000-0005-0000-0000-0000B4020000}"/>
    <cellStyle name="Normal 6 3 4 2" xfId="515" xr:uid="{00000000-0005-0000-0000-0000B5020000}"/>
    <cellStyle name="Normal 6 3 4 2 2" xfId="901" xr:uid="{00000000-0005-0000-0000-0000B6020000}"/>
    <cellStyle name="Normal 6 3 4 3" xfId="900" xr:uid="{00000000-0005-0000-0000-0000B7020000}"/>
    <cellStyle name="Normal 6 3 5" xfId="516" xr:uid="{00000000-0005-0000-0000-0000B8020000}"/>
    <cellStyle name="Normal 6 3 5 2" xfId="902" xr:uid="{00000000-0005-0000-0000-0000B9020000}"/>
    <cellStyle name="Normal 6 3 6" xfId="891" xr:uid="{00000000-0005-0000-0000-0000BA020000}"/>
    <cellStyle name="Normal 6 4" xfId="517" xr:uid="{00000000-0005-0000-0000-0000BB020000}"/>
    <cellStyle name="Normal 6 4 2" xfId="518" xr:uid="{00000000-0005-0000-0000-0000BC020000}"/>
    <cellStyle name="Normal 6 4 2 2" xfId="519" xr:uid="{00000000-0005-0000-0000-0000BD020000}"/>
    <cellStyle name="Normal 6 4 2 2 2" xfId="520" xr:uid="{00000000-0005-0000-0000-0000BE020000}"/>
    <cellStyle name="Normal 6 4 2 2 2 2" xfId="906" xr:uid="{00000000-0005-0000-0000-0000BF020000}"/>
    <cellStyle name="Normal 6 4 2 2 3" xfId="905" xr:uid="{00000000-0005-0000-0000-0000C0020000}"/>
    <cellStyle name="Normal 6 4 2 3" xfId="521" xr:uid="{00000000-0005-0000-0000-0000C1020000}"/>
    <cellStyle name="Normal 6 4 2 3 2" xfId="907" xr:uid="{00000000-0005-0000-0000-0000C2020000}"/>
    <cellStyle name="Normal 6 4 2 4" xfId="904" xr:uid="{00000000-0005-0000-0000-0000C3020000}"/>
    <cellStyle name="Normal 6 4 3" xfId="522" xr:uid="{00000000-0005-0000-0000-0000C4020000}"/>
    <cellStyle name="Normal 6 4 3 2" xfId="523" xr:uid="{00000000-0005-0000-0000-0000C5020000}"/>
    <cellStyle name="Normal 6 4 3 2 2" xfId="524" xr:uid="{00000000-0005-0000-0000-0000C6020000}"/>
    <cellStyle name="Normal 6 4 3 2 2 2" xfId="910" xr:uid="{00000000-0005-0000-0000-0000C7020000}"/>
    <cellStyle name="Normal 6 4 3 2 3" xfId="909" xr:uid="{00000000-0005-0000-0000-0000C8020000}"/>
    <cellStyle name="Normal 6 4 3 3" xfId="525" xr:uid="{00000000-0005-0000-0000-0000C9020000}"/>
    <cellStyle name="Normal 6 4 3 3 2" xfId="911" xr:uid="{00000000-0005-0000-0000-0000CA020000}"/>
    <cellStyle name="Normal 6 4 3 4" xfId="908" xr:uid="{00000000-0005-0000-0000-0000CB020000}"/>
    <cellStyle name="Normal 6 4 4" xfId="526" xr:uid="{00000000-0005-0000-0000-0000CC020000}"/>
    <cellStyle name="Normal 6 4 4 2" xfId="527" xr:uid="{00000000-0005-0000-0000-0000CD020000}"/>
    <cellStyle name="Normal 6 4 4 2 2" xfId="913" xr:uid="{00000000-0005-0000-0000-0000CE020000}"/>
    <cellStyle name="Normal 6 4 4 3" xfId="912" xr:uid="{00000000-0005-0000-0000-0000CF020000}"/>
    <cellStyle name="Normal 6 4 5" xfId="528" xr:uid="{00000000-0005-0000-0000-0000D0020000}"/>
    <cellStyle name="Normal 6 4 5 2" xfId="914" xr:uid="{00000000-0005-0000-0000-0000D1020000}"/>
    <cellStyle name="Normal 6 4 6" xfId="903" xr:uid="{00000000-0005-0000-0000-0000D2020000}"/>
    <cellStyle name="Normal 6 5" xfId="529" xr:uid="{00000000-0005-0000-0000-0000D3020000}"/>
    <cellStyle name="Normal 6 5 2" xfId="530" xr:uid="{00000000-0005-0000-0000-0000D4020000}"/>
    <cellStyle name="Normal 6 5 2 2" xfId="531" xr:uid="{00000000-0005-0000-0000-0000D5020000}"/>
    <cellStyle name="Normal 6 5 2 2 2" xfId="532" xr:uid="{00000000-0005-0000-0000-0000D6020000}"/>
    <cellStyle name="Normal 6 5 2 2 2 2" xfId="918" xr:uid="{00000000-0005-0000-0000-0000D7020000}"/>
    <cellStyle name="Normal 6 5 2 2 3" xfId="917" xr:uid="{00000000-0005-0000-0000-0000D8020000}"/>
    <cellStyle name="Normal 6 5 2 3" xfId="533" xr:uid="{00000000-0005-0000-0000-0000D9020000}"/>
    <cellStyle name="Normal 6 5 2 3 2" xfId="919" xr:uid="{00000000-0005-0000-0000-0000DA020000}"/>
    <cellStyle name="Normal 6 5 2 4" xfId="916" xr:uid="{00000000-0005-0000-0000-0000DB020000}"/>
    <cellStyle name="Normal 6 5 3" xfId="534" xr:uid="{00000000-0005-0000-0000-0000DC020000}"/>
    <cellStyle name="Normal 6 5 3 2" xfId="535" xr:uid="{00000000-0005-0000-0000-0000DD020000}"/>
    <cellStyle name="Normal 6 5 3 2 2" xfId="536" xr:uid="{00000000-0005-0000-0000-0000DE020000}"/>
    <cellStyle name="Normal 6 5 3 2 2 2" xfId="922" xr:uid="{00000000-0005-0000-0000-0000DF020000}"/>
    <cellStyle name="Normal 6 5 3 2 3" xfId="921" xr:uid="{00000000-0005-0000-0000-0000E0020000}"/>
    <cellStyle name="Normal 6 5 3 3" xfId="537" xr:uid="{00000000-0005-0000-0000-0000E1020000}"/>
    <cellStyle name="Normal 6 5 3 3 2" xfId="923" xr:uid="{00000000-0005-0000-0000-0000E2020000}"/>
    <cellStyle name="Normal 6 5 3 4" xfId="920" xr:uid="{00000000-0005-0000-0000-0000E3020000}"/>
    <cellStyle name="Normal 6 5 4" xfId="538" xr:uid="{00000000-0005-0000-0000-0000E4020000}"/>
    <cellStyle name="Normal 6 5 4 2" xfId="539" xr:uid="{00000000-0005-0000-0000-0000E5020000}"/>
    <cellStyle name="Normal 6 5 4 2 2" xfId="925" xr:uid="{00000000-0005-0000-0000-0000E6020000}"/>
    <cellStyle name="Normal 6 5 4 3" xfId="924" xr:uid="{00000000-0005-0000-0000-0000E7020000}"/>
    <cellStyle name="Normal 6 5 5" xfId="540" xr:uid="{00000000-0005-0000-0000-0000E8020000}"/>
    <cellStyle name="Normal 6 5 5 2" xfId="926" xr:uid="{00000000-0005-0000-0000-0000E9020000}"/>
    <cellStyle name="Normal 6 5 6" xfId="915" xr:uid="{00000000-0005-0000-0000-0000EA020000}"/>
    <cellStyle name="Normal 6 6" xfId="541" xr:uid="{00000000-0005-0000-0000-0000EB020000}"/>
    <cellStyle name="Normal 6 6 2" xfId="542" xr:uid="{00000000-0005-0000-0000-0000EC020000}"/>
    <cellStyle name="Normal 6 6 2 2" xfId="543" xr:uid="{00000000-0005-0000-0000-0000ED020000}"/>
    <cellStyle name="Normal 6 6 2 2 2" xfId="544" xr:uid="{00000000-0005-0000-0000-0000EE020000}"/>
    <cellStyle name="Normal 6 6 2 2 2 2" xfId="930" xr:uid="{00000000-0005-0000-0000-0000EF020000}"/>
    <cellStyle name="Normal 6 6 2 2 3" xfId="929" xr:uid="{00000000-0005-0000-0000-0000F0020000}"/>
    <cellStyle name="Normal 6 6 2 3" xfId="545" xr:uid="{00000000-0005-0000-0000-0000F1020000}"/>
    <cellStyle name="Normal 6 6 2 3 2" xfId="931" xr:uid="{00000000-0005-0000-0000-0000F2020000}"/>
    <cellStyle name="Normal 6 6 2 4" xfId="928" xr:uid="{00000000-0005-0000-0000-0000F3020000}"/>
    <cellStyle name="Normal 6 6 3" xfId="546" xr:uid="{00000000-0005-0000-0000-0000F4020000}"/>
    <cellStyle name="Normal 6 6 3 2" xfId="547" xr:uid="{00000000-0005-0000-0000-0000F5020000}"/>
    <cellStyle name="Normal 6 6 3 2 2" xfId="548" xr:uid="{00000000-0005-0000-0000-0000F6020000}"/>
    <cellStyle name="Normal 6 6 3 2 2 2" xfId="934" xr:uid="{00000000-0005-0000-0000-0000F7020000}"/>
    <cellStyle name="Normal 6 6 3 2 3" xfId="933" xr:uid="{00000000-0005-0000-0000-0000F8020000}"/>
    <cellStyle name="Normal 6 6 3 3" xfId="549" xr:uid="{00000000-0005-0000-0000-0000F9020000}"/>
    <cellStyle name="Normal 6 6 3 3 2" xfId="935" xr:uid="{00000000-0005-0000-0000-0000FA020000}"/>
    <cellStyle name="Normal 6 6 3 4" xfId="932" xr:uid="{00000000-0005-0000-0000-0000FB020000}"/>
    <cellStyle name="Normal 6 6 4" xfId="550" xr:uid="{00000000-0005-0000-0000-0000FC020000}"/>
    <cellStyle name="Normal 6 6 4 2" xfId="551" xr:uid="{00000000-0005-0000-0000-0000FD020000}"/>
    <cellStyle name="Normal 6 6 4 2 2" xfId="937" xr:uid="{00000000-0005-0000-0000-0000FE020000}"/>
    <cellStyle name="Normal 6 6 4 3" xfId="936" xr:uid="{00000000-0005-0000-0000-0000FF020000}"/>
    <cellStyle name="Normal 6 6 5" xfId="552" xr:uid="{00000000-0005-0000-0000-000000030000}"/>
    <cellStyle name="Normal 6 6 5 2" xfId="938" xr:uid="{00000000-0005-0000-0000-000001030000}"/>
    <cellStyle name="Normal 6 6 6" xfId="927" xr:uid="{00000000-0005-0000-0000-000002030000}"/>
    <cellStyle name="Normal 6 7" xfId="553" xr:uid="{00000000-0005-0000-0000-000003030000}"/>
    <cellStyle name="Normal 6 7 2" xfId="554" xr:uid="{00000000-0005-0000-0000-000004030000}"/>
    <cellStyle name="Normal 6 7 2 2" xfId="555" xr:uid="{00000000-0005-0000-0000-000005030000}"/>
    <cellStyle name="Normal 6 7 2 2 2" xfId="556" xr:uid="{00000000-0005-0000-0000-000006030000}"/>
    <cellStyle name="Normal 6 7 2 2 2 2" xfId="942" xr:uid="{00000000-0005-0000-0000-000007030000}"/>
    <cellStyle name="Normal 6 7 2 2 3" xfId="941" xr:uid="{00000000-0005-0000-0000-000008030000}"/>
    <cellStyle name="Normal 6 7 2 3" xfId="557" xr:uid="{00000000-0005-0000-0000-000009030000}"/>
    <cellStyle name="Normal 6 7 2 3 2" xfId="943" xr:uid="{00000000-0005-0000-0000-00000A030000}"/>
    <cellStyle name="Normal 6 7 2 4" xfId="940" xr:uid="{00000000-0005-0000-0000-00000B030000}"/>
    <cellStyle name="Normal 6 7 3" xfId="558" xr:uid="{00000000-0005-0000-0000-00000C030000}"/>
    <cellStyle name="Normal 6 7 3 2" xfId="559" xr:uid="{00000000-0005-0000-0000-00000D030000}"/>
    <cellStyle name="Normal 6 7 3 2 2" xfId="560" xr:uid="{00000000-0005-0000-0000-00000E030000}"/>
    <cellStyle name="Normal 6 7 3 2 2 2" xfId="946" xr:uid="{00000000-0005-0000-0000-00000F030000}"/>
    <cellStyle name="Normal 6 7 3 2 3" xfId="945" xr:uid="{00000000-0005-0000-0000-000010030000}"/>
    <cellStyle name="Normal 6 7 3 3" xfId="561" xr:uid="{00000000-0005-0000-0000-000011030000}"/>
    <cellStyle name="Normal 6 7 3 3 2" xfId="947" xr:uid="{00000000-0005-0000-0000-000012030000}"/>
    <cellStyle name="Normal 6 7 3 4" xfId="944" xr:uid="{00000000-0005-0000-0000-000013030000}"/>
    <cellStyle name="Normal 6 7 4" xfId="562" xr:uid="{00000000-0005-0000-0000-000014030000}"/>
    <cellStyle name="Normal 6 7 4 2" xfId="563" xr:uid="{00000000-0005-0000-0000-000015030000}"/>
    <cellStyle name="Normal 6 7 4 2 2" xfId="949" xr:uid="{00000000-0005-0000-0000-000016030000}"/>
    <cellStyle name="Normal 6 7 4 3" xfId="948" xr:uid="{00000000-0005-0000-0000-000017030000}"/>
    <cellStyle name="Normal 6 7 5" xfId="564" xr:uid="{00000000-0005-0000-0000-000018030000}"/>
    <cellStyle name="Normal 6 7 5 2" xfId="950" xr:uid="{00000000-0005-0000-0000-000019030000}"/>
    <cellStyle name="Normal 6 7 6" xfId="939" xr:uid="{00000000-0005-0000-0000-00001A030000}"/>
    <cellStyle name="Normal 6 8" xfId="565" xr:uid="{00000000-0005-0000-0000-00001B030000}"/>
    <cellStyle name="Normal 6 8 2" xfId="566" xr:uid="{00000000-0005-0000-0000-00001C030000}"/>
    <cellStyle name="Normal 6 8 2 2" xfId="567" xr:uid="{00000000-0005-0000-0000-00001D030000}"/>
    <cellStyle name="Normal 6 8 2 2 2" xfId="568" xr:uid="{00000000-0005-0000-0000-00001E030000}"/>
    <cellStyle name="Normal 6 8 2 2 2 2" xfId="954" xr:uid="{00000000-0005-0000-0000-00001F030000}"/>
    <cellStyle name="Normal 6 8 2 2 3" xfId="953" xr:uid="{00000000-0005-0000-0000-000020030000}"/>
    <cellStyle name="Normal 6 8 2 3" xfId="569" xr:uid="{00000000-0005-0000-0000-000021030000}"/>
    <cellStyle name="Normal 6 8 2 3 2" xfId="955" xr:uid="{00000000-0005-0000-0000-000022030000}"/>
    <cellStyle name="Normal 6 8 2 4" xfId="952" xr:uid="{00000000-0005-0000-0000-000023030000}"/>
    <cellStyle name="Normal 6 8 3" xfId="570" xr:uid="{00000000-0005-0000-0000-000024030000}"/>
    <cellStyle name="Normal 6 8 3 2" xfId="571" xr:uid="{00000000-0005-0000-0000-000025030000}"/>
    <cellStyle name="Normal 6 8 3 2 2" xfId="572" xr:uid="{00000000-0005-0000-0000-000026030000}"/>
    <cellStyle name="Normal 6 8 3 2 2 2" xfId="958" xr:uid="{00000000-0005-0000-0000-000027030000}"/>
    <cellStyle name="Normal 6 8 3 2 3" xfId="957" xr:uid="{00000000-0005-0000-0000-000028030000}"/>
    <cellStyle name="Normal 6 8 3 3" xfId="573" xr:uid="{00000000-0005-0000-0000-000029030000}"/>
    <cellStyle name="Normal 6 8 3 3 2" xfId="959" xr:uid="{00000000-0005-0000-0000-00002A030000}"/>
    <cellStyle name="Normal 6 8 3 4" xfId="956" xr:uid="{00000000-0005-0000-0000-00002B030000}"/>
    <cellStyle name="Normal 6 8 4" xfId="574" xr:uid="{00000000-0005-0000-0000-00002C030000}"/>
    <cellStyle name="Normal 6 8 4 2" xfId="575" xr:uid="{00000000-0005-0000-0000-00002D030000}"/>
    <cellStyle name="Normal 6 8 4 2 2" xfId="961" xr:uid="{00000000-0005-0000-0000-00002E030000}"/>
    <cellStyle name="Normal 6 8 4 3" xfId="960" xr:uid="{00000000-0005-0000-0000-00002F030000}"/>
    <cellStyle name="Normal 6 8 5" xfId="576" xr:uid="{00000000-0005-0000-0000-000030030000}"/>
    <cellStyle name="Normal 6 8 5 2" xfId="962" xr:uid="{00000000-0005-0000-0000-000031030000}"/>
    <cellStyle name="Normal 6 8 6" xfId="951" xr:uid="{00000000-0005-0000-0000-000032030000}"/>
    <cellStyle name="Normal 6 9" xfId="577" xr:uid="{00000000-0005-0000-0000-000033030000}"/>
    <cellStyle name="Normal 7" xfId="578" xr:uid="{00000000-0005-0000-0000-000034030000}"/>
    <cellStyle name="Normal 8" xfId="579" xr:uid="{00000000-0005-0000-0000-000035030000}"/>
    <cellStyle name="Normal 9" xfId="580" xr:uid="{00000000-0005-0000-0000-000036030000}"/>
    <cellStyle name="Normal_~0955761" xfId="984" xr:uid="{D38EC319-A8A4-4587-A335-04C10BCCF405}"/>
    <cellStyle name="Note 10" xfId="581" xr:uid="{00000000-0005-0000-0000-000037030000}"/>
    <cellStyle name="Note 11" xfId="582" xr:uid="{00000000-0005-0000-0000-000038030000}"/>
    <cellStyle name="Note 2" xfId="583" xr:uid="{00000000-0005-0000-0000-000039030000}"/>
    <cellStyle name="Note 2 2" xfId="584" xr:uid="{00000000-0005-0000-0000-00003A030000}"/>
    <cellStyle name="Note 2_Allocators" xfId="585" xr:uid="{00000000-0005-0000-0000-00003B030000}"/>
    <cellStyle name="Note 3" xfId="586" xr:uid="{00000000-0005-0000-0000-00003C030000}"/>
    <cellStyle name="Note 3 2" xfId="587" xr:uid="{00000000-0005-0000-0000-00003D030000}"/>
    <cellStyle name="Note 3 3" xfId="588" xr:uid="{00000000-0005-0000-0000-00003E030000}"/>
    <cellStyle name="Note 3_Allocators" xfId="589" xr:uid="{00000000-0005-0000-0000-00003F030000}"/>
    <cellStyle name="Note 4" xfId="590" xr:uid="{00000000-0005-0000-0000-000040030000}"/>
    <cellStyle name="Note 4 2" xfId="591" xr:uid="{00000000-0005-0000-0000-000041030000}"/>
    <cellStyle name="Note 4_Allocators" xfId="592" xr:uid="{00000000-0005-0000-0000-000042030000}"/>
    <cellStyle name="Note 5" xfId="593" xr:uid="{00000000-0005-0000-0000-000043030000}"/>
    <cellStyle name="Note 6" xfId="594" xr:uid="{00000000-0005-0000-0000-000044030000}"/>
    <cellStyle name="Note 6 2" xfId="595" xr:uid="{00000000-0005-0000-0000-000045030000}"/>
    <cellStyle name="Note 6_Allocators" xfId="596" xr:uid="{00000000-0005-0000-0000-000046030000}"/>
    <cellStyle name="Note 7" xfId="597" xr:uid="{00000000-0005-0000-0000-000047030000}"/>
    <cellStyle name="Note 7 2" xfId="598" xr:uid="{00000000-0005-0000-0000-000048030000}"/>
    <cellStyle name="Note 8" xfId="599" xr:uid="{00000000-0005-0000-0000-000049030000}"/>
    <cellStyle name="Note 9" xfId="600" xr:uid="{00000000-0005-0000-0000-00004A030000}"/>
    <cellStyle name="nPlosion" xfId="601" xr:uid="{00000000-0005-0000-0000-00004B030000}"/>
    <cellStyle name="nvision" xfId="602" xr:uid="{00000000-0005-0000-0000-00004C030000}"/>
    <cellStyle name="Output 2" xfId="603" xr:uid="{00000000-0005-0000-0000-00004D030000}"/>
    <cellStyle name="Output 3" xfId="604" xr:uid="{00000000-0005-0000-0000-00004E030000}"/>
    <cellStyle name="Output 4" xfId="605" xr:uid="{00000000-0005-0000-0000-00004F030000}"/>
    <cellStyle name="Output 5" xfId="606" xr:uid="{00000000-0005-0000-0000-000050030000}"/>
    <cellStyle name="Output 6" xfId="607" xr:uid="{00000000-0005-0000-0000-000051030000}"/>
    <cellStyle name="Percent" xfId="608" builtinId="5"/>
    <cellStyle name="Percent 10" xfId="609" xr:uid="{00000000-0005-0000-0000-000053030000}"/>
    <cellStyle name="Percent 11" xfId="610" xr:uid="{00000000-0005-0000-0000-000054030000}"/>
    <cellStyle name="Percent 12" xfId="611" xr:uid="{00000000-0005-0000-0000-000055030000}"/>
    <cellStyle name="Percent 13" xfId="612" xr:uid="{00000000-0005-0000-0000-000056030000}"/>
    <cellStyle name="Percent 13 2" xfId="613" xr:uid="{00000000-0005-0000-0000-000057030000}"/>
    <cellStyle name="Percent 13 2 2" xfId="614" xr:uid="{00000000-0005-0000-0000-000058030000}"/>
    <cellStyle name="Percent 13 2 2 2" xfId="615" xr:uid="{00000000-0005-0000-0000-000059030000}"/>
    <cellStyle name="Percent 13 2 2 2 2" xfId="967" xr:uid="{00000000-0005-0000-0000-00005A030000}"/>
    <cellStyle name="Percent 13 2 2 3" xfId="966" xr:uid="{00000000-0005-0000-0000-00005B030000}"/>
    <cellStyle name="Percent 13 2 3" xfId="616" xr:uid="{00000000-0005-0000-0000-00005C030000}"/>
    <cellStyle name="Percent 13 2 3 2" xfId="968" xr:uid="{00000000-0005-0000-0000-00005D030000}"/>
    <cellStyle name="Percent 13 2 4" xfId="965" xr:uid="{00000000-0005-0000-0000-00005E030000}"/>
    <cellStyle name="Percent 13 3" xfId="617" xr:uid="{00000000-0005-0000-0000-00005F030000}"/>
    <cellStyle name="Percent 13 3 2" xfId="618" xr:uid="{00000000-0005-0000-0000-000060030000}"/>
    <cellStyle name="Percent 13 3 2 2" xfId="619" xr:uid="{00000000-0005-0000-0000-000061030000}"/>
    <cellStyle name="Percent 13 3 2 2 2" xfId="971" xr:uid="{00000000-0005-0000-0000-000062030000}"/>
    <cellStyle name="Percent 13 3 2 3" xfId="970" xr:uid="{00000000-0005-0000-0000-000063030000}"/>
    <cellStyle name="Percent 13 3 3" xfId="620" xr:uid="{00000000-0005-0000-0000-000064030000}"/>
    <cellStyle name="Percent 13 3 3 2" xfId="972" xr:uid="{00000000-0005-0000-0000-000065030000}"/>
    <cellStyle name="Percent 13 3 4" xfId="969" xr:uid="{00000000-0005-0000-0000-000066030000}"/>
    <cellStyle name="Percent 13 4" xfId="621" xr:uid="{00000000-0005-0000-0000-000067030000}"/>
    <cellStyle name="Percent 13 4 2" xfId="622" xr:uid="{00000000-0005-0000-0000-000068030000}"/>
    <cellStyle name="Percent 13 4 2 2" xfId="974" xr:uid="{00000000-0005-0000-0000-000069030000}"/>
    <cellStyle name="Percent 13 4 3" xfId="973" xr:uid="{00000000-0005-0000-0000-00006A030000}"/>
    <cellStyle name="Percent 13 5" xfId="623" xr:uid="{00000000-0005-0000-0000-00006B030000}"/>
    <cellStyle name="Percent 13 5 2" xfId="975" xr:uid="{00000000-0005-0000-0000-00006C030000}"/>
    <cellStyle name="Percent 13 6" xfId="964" xr:uid="{00000000-0005-0000-0000-00006D030000}"/>
    <cellStyle name="Percent 14" xfId="624" xr:uid="{00000000-0005-0000-0000-00006E030000}"/>
    <cellStyle name="Percent 15" xfId="963" xr:uid="{00000000-0005-0000-0000-00006F030000}"/>
    <cellStyle name="Percent 16" xfId="983" xr:uid="{D473FFA0-207E-4485-AAC7-C9BEA414D196}"/>
    <cellStyle name="Percent 17" xfId="987" xr:uid="{2F2F23DF-F8DF-4ACD-A9D1-287E16710C3A}"/>
    <cellStyle name="Percent 2" xfId="625" xr:uid="{00000000-0005-0000-0000-000070030000}"/>
    <cellStyle name="Percent 2 2" xfId="626" xr:uid="{00000000-0005-0000-0000-000071030000}"/>
    <cellStyle name="Percent 2 3" xfId="627" xr:uid="{00000000-0005-0000-0000-000072030000}"/>
    <cellStyle name="Percent 3" xfId="628" xr:uid="{00000000-0005-0000-0000-000073030000}"/>
    <cellStyle name="Percent 3 2" xfId="629" xr:uid="{00000000-0005-0000-0000-000074030000}"/>
    <cellStyle name="Percent 3 3" xfId="630" xr:uid="{00000000-0005-0000-0000-000075030000}"/>
    <cellStyle name="Percent 3 4" xfId="631" xr:uid="{00000000-0005-0000-0000-000076030000}"/>
    <cellStyle name="Percent 3 5" xfId="632" xr:uid="{00000000-0005-0000-0000-000077030000}"/>
    <cellStyle name="Percent 3 6" xfId="633" xr:uid="{00000000-0005-0000-0000-000078030000}"/>
    <cellStyle name="Percent 4" xfId="634" xr:uid="{00000000-0005-0000-0000-000079030000}"/>
    <cellStyle name="Percent 4 2" xfId="635" xr:uid="{00000000-0005-0000-0000-00007A030000}"/>
    <cellStyle name="Percent 4 3" xfId="636" xr:uid="{00000000-0005-0000-0000-00007B030000}"/>
    <cellStyle name="Percent 4 4" xfId="637" xr:uid="{00000000-0005-0000-0000-00007C030000}"/>
    <cellStyle name="Percent 5" xfId="638" xr:uid="{00000000-0005-0000-0000-00007D030000}"/>
    <cellStyle name="Percent 5 2" xfId="639" xr:uid="{00000000-0005-0000-0000-00007E030000}"/>
    <cellStyle name="Percent 6" xfId="640" xr:uid="{00000000-0005-0000-0000-00007F030000}"/>
    <cellStyle name="Percent 6 2" xfId="641" xr:uid="{00000000-0005-0000-0000-000080030000}"/>
    <cellStyle name="Percent 7" xfId="642" xr:uid="{00000000-0005-0000-0000-000081030000}"/>
    <cellStyle name="Percent 8" xfId="643" xr:uid="{00000000-0005-0000-0000-000082030000}"/>
    <cellStyle name="Percent 9" xfId="644" xr:uid="{00000000-0005-0000-0000-000083030000}"/>
    <cellStyle name="PSChar" xfId="645" xr:uid="{00000000-0005-0000-0000-000084030000}"/>
    <cellStyle name="PSChar 2" xfId="646" xr:uid="{00000000-0005-0000-0000-000085030000}"/>
    <cellStyle name="PSChar 2 2" xfId="647" xr:uid="{00000000-0005-0000-0000-000086030000}"/>
    <cellStyle name="PSChar 2 3" xfId="648" xr:uid="{00000000-0005-0000-0000-000087030000}"/>
    <cellStyle name="PSChar 3" xfId="649" xr:uid="{00000000-0005-0000-0000-000088030000}"/>
    <cellStyle name="PSChar 3 2" xfId="650" xr:uid="{00000000-0005-0000-0000-000089030000}"/>
    <cellStyle name="PSChar 4" xfId="651" xr:uid="{00000000-0005-0000-0000-00008A030000}"/>
    <cellStyle name="PSChar 5" xfId="652" xr:uid="{00000000-0005-0000-0000-00008B030000}"/>
    <cellStyle name="PSChar 6" xfId="653" xr:uid="{00000000-0005-0000-0000-00008C030000}"/>
    <cellStyle name="PSDate" xfId="654" xr:uid="{00000000-0005-0000-0000-00008D030000}"/>
    <cellStyle name="PSDate 2" xfId="655" xr:uid="{00000000-0005-0000-0000-00008E030000}"/>
    <cellStyle name="PSDate 2 2" xfId="656" xr:uid="{00000000-0005-0000-0000-00008F030000}"/>
    <cellStyle name="PSDate 2 3" xfId="657" xr:uid="{00000000-0005-0000-0000-000090030000}"/>
    <cellStyle name="PSDate 3" xfId="658" xr:uid="{00000000-0005-0000-0000-000091030000}"/>
    <cellStyle name="PSDate 3 2" xfId="659" xr:uid="{00000000-0005-0000-0000-000092030000}"/>
    <cellStyle name="PSDate 4" xfId="660" xr:uid="{00000000-0005-0000-0000-000093030000}"/>
    <cellStyle name="PSDate 5" xfId="661" xr:uid="{00000000-0005-0000-0000-000094030000}"/>
    <cellStyle name="PSDate 6" xfId="662" xr:uid="{00000000-0005-0000-0000-000095030000}"/>
    <cellStyle name="PSDec" xfId="663" xr:uid="{00000000-0005-0000-0000-000096030000}"/>
    <cellStyle name="PSDec 2" xfId="664" xr:uid="{00000000-0005-0000-0000-000097030000}"/>
    <cellStyle name="PSDec 2 2" xfId="665" xr:uid="{00000000-0005-0000-0000-000098030000}"/>
    <cellStyle name="PSDec 2 3" xfId="666" xr:uid="{00000000-0005-0000-0000-000099030000}"/>
    <cellStyle name="PSDec 3" xfId="667" xr:uid="{00000000-0005-0000-0000-00009A030000}"/>
    <cellStyle name="PSDec 3 2" xfId="668" xr:uid="{00000000-0005-0000-0000-00009B030000}"/>
    <cellStyle name="PSDec 4" xfId="669" xr:uid="{00000000-0005-0000-0000-00009C030000}"/>
    <cellStyle name="PSDec 5" xfId="670" xr:uid="{00000000-0005-0000-0000-00009D030000}"/>
    <cellStyle name="PSDec 6" xfId="671" xr:uid="{00000000-0005-0000-0000-00009E030000}"/>
    <cellStyle name="PSHeading" xfId="672" xr:uid="{00000000-0005-0000-0000-00009F030000}"/>
    <cellStyle name="PSHeading 10" xfId="673" xr:uid="{00000000-0005-0000-0000-0000A0030000}"/>
    <cellStyle name="PSHeading 11" xfId="674" xr:uid="{00000000-0005-0000-0000-0000A1030000}"/>
    <cellStyle name="PSHeading 2" xfId="675" xr:uid="{00000000-0005-0000-0000-0000A2030000}"/>
    <cellStyle name="PSHeading 2 2" xfId="676" xr:uid="{00000000-0005-0000-0000-0000A3030000}"/>
    <cellStyle name="PSHeading 2 3" xfId="677" xr:uid="{00000000-0005-0000-0000-0000A4030000}"/>
    <cellStyle name="PSHeading 2_108 Summary" xfId="678" xr:uid="{00000000-0005-0000-0000-0000A5030000}"/>
    <cellStyle name="PSHeading 3" xfId="679" xr:uid="{00000000-0005-0000-0000-0000A6030000}"/>
    <cellStyle name="PSHeading 3 2" xfId="680" xr:uid="{00000000-0005-0000-0000-0000A7030000}"/>
    <cellStyle name="PSHeading 3_108 Summary" xfId="681" xr:uid="{00000000-0005-0000-0000-0000A8030000}"/>
    <cellStyle name="PSHeading 4" xfId="682" xr:uid="{00000000-0005-0000-0000-0000A9030000}"/>
    <cellStyle name="PSHeading 5" xfId="683" xr:uid="{00000000-0005-0000-0000-0000AA030000}"/>
    <cellStyle name="PSHeading 6" xfId="684" xr:uid="{00000000-0005-0000-0000-0000AB030000}"/>
    <cellStyle name="PSHeading 7" xfId="685" xr:uid="{00000000-0005-0000-0000-0000AC030000}"/>
    <cellStyle name="PSHeading 8" xfId="686" xr:uid="{00000000-0005-0000-0000-0000AD030000}"/>
    <cellStyle name="PSHeading 9" xfId="687" xr:uid="{00000000-0005-0000-0000-0000AE030000}"/>
    <cellStyle name="PSHeading_101 check" xfId="688" xr:uid="{00000000-0005-0000-0000-0000AF030000}"/>
    <cellStyle name="PSInt" xfId="689" xr:uid="{00000000-0005-0000-0000-0000B0030000}"/>
    <cellStyle name="PSInt 2" xfId="690" xr:uid="{00000000-0005-0000-0000-0000B1030000}"/>
    <cellStyle name="PSInt 2 2" xfId="691" xr:uid="{00000000-0005-0000-0000-0000B2030000}"/>
    <cellStyle name="PSInt 2 3" xfId="692" xr:uid="{00000000-0005-0000-0000-0000B3030000}"/>
    <cellStyle name="PSInt 3" xfId="693" xr:uid="{00000000-0005-0000-0000-0000B4030000}"/>
    <cellStyle name="PSInt 3 2" xfId="694" xr:uid="{00000000-0005-0000-0000-0000B5030000}"/>
    <cellStyle name="PSInt 4" xfId="695" xr:uid="{00000000-0005-0000-0000-0000B6030000}"/>
    <cellStyle name="PSInt 5" xfId="696" xr:uid="{00000000-0005-0000-0000-0000B7030000}"/>
    <cellStyle name="PSInt 6" xfId="697" xr:uid="{00000000-0005-0000-0000-0000B8030000}"/>
    <cellStyle name="PSSpacer" xfId="698" xr:uid="{00000000-0005-0000-0000-0000B9030000}"/>
    <cellStyle name="PSSpacer 2" xfId="699" xr:uid="{00000000-0005-0000-0000-0000BA030000}"/>
    <cellStyle name="PSSpacer 2 2" xfId="700" xr:uid="{00000000-0005-0000-0000-0000BB030000}"/>
    <cellStyle name="PSSpacer 2 3" xfId="701" xr:uid="{00000000-0005-0000-0000-0000BC030000}"/>
    <cellStyle name="PSSpacer 3" xfId="702" xr:uid="{00000000-0005-0000-0000-0000BD030000}"/>
    <cellStyle name="PSSpacer 3 2" xfId="703" xr:uid="{00000000-0005-0000-0000-0000BE030000}"/>
    <cellStyle name="PSSpacer 4" xfId="704" xr:uid="{00000000-0005-0000-0000-0000BF030000}"/>
    <cellStyle name="PSSpacer 5" xfId="705" xr:uid="{00000000-0005-0000-0000-0000C0030000}"/>
    <cellStyle name="PSSpacer 6" xfId="706" xr:uid="{00000000-0005-0000-0000-0000C1030000}"/>
    <cellStyle name="Title 2" xfId="707" xr:uid="{00000000-0005-0000-0000-0000C2030000}"/>
    <cellStyle name="Title 3" xfId="708" xr:uid="{00000000-0005-0000-0000-0000C3030000}"/>
    <cellStyle name="Title 4" xfId="709" xr:uid="{00000000-0005-0000-0000-0000C4030000}"/>
    <cellStyle name="Title 5" xfId="710" xr:uid="{00000000-0005-0000-0000-0000C5030000}"/>
    <cellStyle name="Total 2" xfId="711" xr:uid="{00000000-0005-0000-0000-0000C6030000}"/>
    <cellStyle name="Total 3" xfId="712" xr:uid="{00000000-0005-0000-0000-0000C7030000}"/>
    <cellStyle name="Total 4" xfId="713" xr:uid="{00000000-0005-0000-0000-0000C8030000}"/>
    <cellStyle name="Total 5" xfId="714" xr:uid="{00000000-0005-0000-0000-0000C9030000}"/>
    <cellStyle name="Total 6" xfId="715" xr:uid="{00000000-0005-0000-0000-0000CA030000}"/>
    <cellStyle name="Total 7" xfId="716" xr:uid="{00000000-0005-0000-0000-0000CB030000}"/>
    <cellStyle name="Total 8" xfId="717" xr:uid="{00000000-0005-0000-0000-0000CC030000}"/>
    <cellStyle name="Warning Text 2" xfId="718" xr:uid="{00000000-0005-0000-0000-0000CD030000}"/>
    <cellStyle name="Warning Text 3" xfId="719" xr:uid="{00000000-0005-0000-0000-0000CE030000}"/>
    <cellStyle name="Warning Text 4" xfId="720" xr:uid="{00000000-0005-0000-0000-0000CF030000}"/>
    <cellStyle name="Warning Text 5" xfId="721" xr:uid="{00000000-0005-0000-0000-0000D0030000}"/>
    <cellStyle name="Warning Text 6" xfId="722" xr:uid="{00000000-0005-0000-0000-0000D1030000}"/>
  </cellStyles>
  <dxfs count="0"/>
  <tableStyles count="0" defaultTableStyle="TableStyleMedium2" defaultPivotStyle="PivotStyleLight16"/>
  <colors>
    <mruColors>
      <color rgb="FFCC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4.xml"/><Relationship Id="rId19" Type="http://schemas.openxmlformats.org/officeDocument/2006/relationships/customXml" Target="../customXml/item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%20No%202009%20-%20Potential%20Rate%20Case\Section%20V%20-%20Schedule%2010%20-%20Tax%20Workpapers\KPCo%20Rate%20Case%20-%20Sch%2010%20-%20Internal%20Version%20-%2009-30-2009%20-%20Tom%20Syn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notes7FB054\Remove%20Big%20Sandy%20COS%20from%20Base%20Cas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icing/Rate%20Cases/KPCo/2023%20Base%20Case/Securitization/Tariff%20Rate%20Calculation/Kentucky%20Securitization%20Savings%20Estimate%206.30.23_v062723%20(ties%20to%20GS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203707\AppData\Local\Microsoft\Windows\INetCache\Content.Outlook\042R0CYE\KP%20Securitization%20Savings%20Estimate%20AEM%20Edits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 IV - Taxes"/>
      <sheetName val="Schedule 10"/>
      <sheetName val="Workpaper S-10, Page 1"/>
      <sheetName val="Workpaper S-10, Page 2"/>
      <sheetName val="Workpaper S-10, Page 3"/>
      <sheetName val="Table"/>
      <sheetName val="Rpt 51000 and 51020 Summary"/>
      <sheetName val="Rpt 51020_ 2008-12-31 YTD"/>
      <sheetName val="Rpt 51020_ 2008-09-30 YTD"/>
      <sheetName val="Rpt 51020_ 2009-09-30 YTD"/>
      <sheetName val="Rpt 51020_ 2008 Oct Adj"/>
      <sheetName val="Rpt 51020_ 2008 Nov Adj"/>
      <sheetName val="Workpaper S-10 - Bob Russell"/>
      <sheetName val="Schedule 5 - Bob Russel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G6" t="str">
            <v>EAF</v>
          </cell>
          <cell r="H6">
            <v>0.98699999999999999</v>
          </cell>
        </row>
        <row r="7">
          <cell r="G7" t="str">
            <v>GP-TOT</v>
          </cell>
          <cell r="H7">
            <v>0.99099999999999999</v>
          </cell>
        </row>
        <row r="8">
          <cell r="G8" t="str">
            <v>GP-TRANS</v>
          </cell>
          <cell r="H8">
            <v>0.98599999999999999</v>
          </cell>
        </row>
        <row r="9">
          <cell r="G9" t="str">
            <v>OML</v>
          </cell>
          <cell r="H9">
            <v>0.99399999999999999</v>
          </cell>
        </row>
        <row r="10">
          <cell r="G10" t="str">
            <v>OP-REV</v>
          </cell>
          <cell r="H10">
            <v>0.98699999999999999</v>
          </cell>
        </row>
        <row r="11">
          <cell r="G11" t="str">
            <v>PDAF</v>
          </cell>
          <cell r="H11">
            <v>0.98599999999999999</v>
          </cell>
        </row>
        <row r="12">
          <cell r="G12" t="str">
            <v>WAITING</v>
          </cell>
          <cell r="H12">
            <v>1</v>
          </cell>
        </row>
        <row r="13">
          <cell r="G13" t="str">
            <v>SPECIF.</v>
          </cell>
          <cell r="H13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move BS OM Depr WXX"/>
      <sheetName val="Amortize BS OM Depr"/>
      <sheetName val="Big Sandy Summary"/>
      <sheetName val="Amortization"/>
      <sheetName val="WACC"/>
      <sheetName val="Pivot"/>
      <sheetName val="Big Sandy Detail"/>
      <sheetName val="Modification History"/>
      <sheetName val="Alloc BS Normalization"/>
      <sheetName val="Payroll Adjust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and Inputs"/>
      <sheetName val="Results"/>
      <sheetName val="Conventional Big Sandy"/>
      <sheetName val="Conventional All Other"/>
      <sheetName val="20 Yr Securitization"/>
      <sheetName val="Upfront &amp; Ongoing Costs"/>
      <sheetName val="LDS"/>
      <sheetName val="ADIT Offset -WACC "/>
      <sheetName val="ADIT Offset -Secur"/>
      <sheetName val="Pre-Tax WACC"/>
      <sheetName val="Summary"/>
    </sheetNames>
    <sheetDataSet>
      <sheetData sheetId="0"/>
      <sheetData sheetId="1"/>
      <sheetData sheetId="2">
        <row r="6">
          <cell r="B6">
            <v>8.299999999999999E-2</v>
          </cell>
        </row>
      </sheetData>
      <sheetData sheetId="3"/>
      <sheetData sheetId="4"/>
      <sheetData sheetId="5">
        <row r="34">
          <cell r="B34">
            <v>972543.20993898716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 Summaries"/>
      <sheetName val="Results"/>
      <sheetName val="Conventional BS"/>
      <sheetName val="Conventional BS (2)"/>
      <sheetName val="Conventional Other"/>
      <sheetName val="20 Yr Jan 2024"/>
      <sheetName val="Upfront &amp; Ongoing Costs"/>
    </sheetNames>
    <sheetDataSet>
      <sheetData sheetId="0"/>
      <sheetData sheetId="1"/>
      <sheetData sheetId="2">
        <row r="6">
          <cell r="B6">
            <v>8.3000000000000004E-2</v>
          </cell>
        </row>
      </sheetData>
      <sheetData sheetId="3"/>
      <sheetData sheetId="4"/>
      <sheetData sheetId="5">
        <row r="10">
          <cell r="C10">
            <v>456602876.02462614</v>
          </cell>
        </row>
      </sheetData>
      <sheetData sheetId="6">
        <row r="33">
          <cell r="B33">
            <v>794795.2093333333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5"/>
  <sheetViews>
    <sheetView workbookViewId="0">
      <selection activeCell="B5" sqref="B5"/>
    </sheetView>
  </sheetViews>
  <sheetFormatPr defaultRowHeight="12.5"/>
  <cols>
    <col min="2" max="3" width="18.1796875" customWidth="1"/>
    <col min="4" max="5" width="14.453125" customWidth="1"/>
    <col min="6" max="6" width="12.81640625" bestFit="1" customWidth="1"/>
    <col min="7" max="7" width="12.81640625" customWidth="1"/>
    <col min="8" max="8" width="15" bestFit="1" customWidth="1"/>
    <col min="9" max="9" width="14.453125" bestFit="1" customWidth="1"/>
    <col min="10" max="11" width="14.81640625" customWidth="1"/>
    <col min="12" max="13" width="15.7265625" customWidth="1"/>
    <col min="14" max="14" width="11.54296875" customWidth="1"/>
  </cols>
  <sheetData>
    <row r="1" spans="1:12" ht="13">
      <c r="A1" s="160" t="s">
        <v>16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13">
      <c r="A2" s="160" t="s">
        <v>31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5" spans="1:12" ht="13">
      <c r="A5" s="2" t="s">
        <v>22</v>
      </c>
    </row>
    <row r="6" spans="1:12" ht="38">
      <c r="A6" s="4" t="s">
        <v>17</v>
      </c>
      <c r="B6" s="5" t="s">
        <v>29</v>
      </c>
      <c r="C6" s="5" t="s">
        <v>28</v>
      </c>
      <c r="D6" s="5" t="s">
        <v>18</v>
      </c>
      <c r="E6" s="5" t="s">
        <v>21</v>
      </c>
      <c r="F6" s="5" t="s">
        <v>19</v>
      </c>
      <c r="G6" s="5" t="s">
        <v>30</v>
      </c>
      <c r="H6" s="5" t="s">
        <v>20</v>
      </c>
      <c r="I6" s="5" t="s">
        <v>27</v>
      </c>
      <c r="J6" s="5" t="s">
        <v>25</v>
      </c>
      <c r="K6" s="5" t="s">
        <v>26</v>
      </c>
      <c r="L6" s="5" t="s">
        <v>31</v>
      </c>
    </row>
    <row r="7" spans="1:12" ht="13">
      <c r="A7" s="6">
        <v>41560</v>
      </c>
      <c r="B7" s="11">
        <v>5.7249999999999998E-4</v>
      </c>
      <c r="C7" s="11">
        <f>B8</f>
        <v>-1.7906E-3</v>
      </c>
      <c r="D7" s="8">
        <v>464763211</v>
      </c>
      <c r="E7" s="13">
        <f>D7*B7</f>
        <v>266076.93829750002</v>
      </c>
      <c r="F7" s="9">
        <v>2820380</v>
      </c>
      <c r="G7" s="13">
        <f>+B7*F7</f>
        <v>1614.6675499999999</v>
      </c>
      <c r="H7" s="8">
        <v>158974566</v>
      </c>
      <c r="I7" s="13">
        <f>+C7*H7</f>
        <v>-284659.85787960002</v>
      </c>
      <c r="J7" s="13"/>
      <c r="K7" s="13"/>
      <c r="L7" s="13">
        <f>+E7+G7+I7+J7+K7</f>
        <v>-16968.25203209999</v>
      </c>
    </row>
    <row r="8" spans="1:12" ht="13">
      <c r="A8" s="7">
        <v>41591</v>
      </c>
      <c r="B8" s="12">
        <v>-1.7906E-3</v>
      </c>
      <c r="C8" s="12">
        <v>8.5360000000000004E-4</v>
      </c>
      <c r="D8" s="8">
        <v>494888418</v>
      </c>
      <c r="E8" s="13">
        <f>D8*B8</f>
        <v>-886147.20127079997</v>
      </c>
      <c r="F8" s="8">
        <v>84362</v>
      </c>
      <c r="G8" s="13">
        <f>+B8*F8</f>
        <v>-151.05859720000001</v>
      </c>
      <c r="H8" s="8">
        <v>237363628</v>
      </c>
      <c r="I8" s="13">
        <f>+C8*H8</f>
        <v>202613.59286080001</v>
      </c>
      <c r="J8" s="13">
        <f>-G7</f>
        <v>-1614.6675499999999</v>
      </c>
      <c r="K8" s="13">
        <f>-I7</f>
        <v>284659.85787960002</v>
      </c>
      <c r="L8" s="13">
        <f>+E8+G8+I8+J8+K8</f>
        <v>-400639.47667759995</v>
      </c>
    </row>
    <row r="11" spans="1:12" ht="13">
      <c r="A11" s="2" t="s">
        <v>23</v>
      </c>
    </row>
    <row r="13" spans="1:12" ht="13">
      <c r="A13" s="6">
        <v>41560</v>
      </c>
      <c r="B13" s="11">
        <v>5.7249999999999998E-4</v>
      </c>
      <c r="C13" s="11">
        <f>B14</f>
        <v>-1.7906E-3</v>
      </c>
      <c r="D13" s="8" t="e">
        <f>#REF!</f>
        <v>#REF!</v>
      </c>
      <c r="E13" s="13" t="e">
        <f>D13*B13</f>
        <v>#REF!</v>
      </c>
      <c r="F13">
        <v>0</v>
      </c>
      <c r="G13" s="10">
        <f>+B13*F13</f>
        <v>0</v>
      </c>
      <c r="H13" s="8" t="e">
        <f>#REF!</f>
        <v>#REF!</v>
      </c>
      <c r="I13" s="13" t="e">
        <f>+C13*H13</f>
        <v>#REF!</v>
      </c>
      <c r="J13" s="13"/>
      <c r="K13" s="13"/>
      <c r="L13" s="13" t="e">
        <f>+E13+G13+I13+J13+K13</f>
        <v>#REF!</v>
      </c>
    </row>
    <row r="14" spans="1:12" ht="13">
      <c r="A14" s="7">
        <v>41591</v>
      </c>
      <c r="B14" s="12">
        <v>-1.7906E-3</v>
      </c>
      <c r="C14" s="12">
        <v>8.5360000000000004E-4</v>
      </c>
      <c r="D14" s="8" t="e">
        <f>#REF!</f>
        <v>#REF!</v>
      </c>
      <c r="E14" s="13" t="e">
        <f>D14*B14</f>
        <v>#REF!</v>
      </c>
      <c r="F14">
        <v>0</v>
      </c>
      <c r="G14" s="10">
        <f>+B14*F14</f>
        <v>0</v>
      </c>
      <c r="H14" s="8" t="e">
        <f>#REF!</f>
        <v>#REF!</v>
      </c>
      <c r="I14" s="13" t="e">
        <f>+C14*H14</f>
        <v>#REF!</v>
      </c>
      <c r="J14" s="13">
        <f>-G13</f>
        <v>0</v>
      </c>
      <c r="K14" s="13" t="e">
        <f>-I13</f>
        <v>#REF!</v>
      </c>
      <c r="L14" s="13" t="e">
        <f>+E14+G14+I14+J14+K14</f>
        <v>#REF!</v>
      </c>
    </row>
    <row r="15" spans="1:12">
      <c r="H15" s="8"/>
    </row>
    <row r="16" spans="1:12">
      <c r="H16" s="8"/>
    </row>
    <row r="17" spans="1:12">
      <c r="H17" s="8"/>
    </row>
    <row r="18" spans="1:12">
      <c r="H18" s="8"/>
    </row>
    <row r="19" spans="1:12">
      <c r="H19" s="8"/>
    </row>
    <row r="20" spans="1:12">
      <c r="H20" s="8"/>
    </row>
    <row r="21" spans="1:12" ht="13">
      <c r="A21" s="2" t="s">
        <v>24</v>
      </c>
      <c r="H21" s="8"/>
    </row>
    <row r="22" spans="1:12">
      <c r="H22" s="8"/>
    </row>
    <row r="23" spans="1:12" ht="13">
      <c r="A23" s="6">
        <v>41560</v>
      </c>
      <c r="B23" s="11">
        <v>5.7249999999999998E-4</v>
      </c>
      <c r="C23" s="11">
        <f>B24</f>
        <v>-1.7906E-3</v>
      </c>
      <c r="D23" s="3" t="e">
        <f>D7-D13</f>
        <v>#REF!</v>
      </c>
      <c r="E23" s="13" t="e">
        <f>D23*B23</f>
        <v>#REF!</v>
      </c>
      <c r="F23" s="8">
        <v>2820380</v>
      </c>
      <c r="G23" s="13">
        <f>+B23*F23</f>
        <v>1614.6675499999999</v>
      </c>
      <c r="H23" s="8" t="e">
        <f>+#REF!</f>
        <v>#REF!</v>
      </c>
      <c r="I23" s="13" t="e">
        <f>+C23*H23</f>
        <v>#REF!</v>
      </c>
      <c r="J23" s="13"/>
      <c r="K23" s="13"/>
      <c r="L23" s="13" t="e">
        <f>+E23+G23+I23+J23+K23</f>
        <v>#REF!</v>
      </c>
    </row>
    <row r="24" spans="1:12" ht="13">
      <c r="A24" s="7">
        <v>41591</v>
      </c>
      <c r="B24" s="12">
        <v>-1.7906E-3</v>
      </c>
      <c r="C24" s="12">
        <v>8.5360000000000004E-4</v>
      </c>
      <c r="D24" s="3" t="e">
        <f>D8-D14</f>
        <v>#REF!</v>
      </c>
      <c r="E24" s="13" t="e">
        <f>D24*B24</f>
        <v>#REF!</v>
      </c>
      <c r="F24" s="8">
        <v>84362</v>
      </c>
      <c r="G24" s="13">
        <f>+B24*F24</f>
        <v>-151.05859720000001</v>
      </c>
      <c r="H24" s="8" t="e">
        <f>+#REF!</f>
        <v>#REF!</v>
      </c>
      <c r="I24" s="13" t="e">
        <f>+C24*H24</f>
        <v>#REF!</v>
      </c>
      <c r="J24" s="13">
        <f>-G23</f>
        <v>-1614.6675499999999</v>
      </c>
      <c r="K24" s="13" t="e">
        <f>-I23</f>
        <v>#REF!</v>
      </c>
      <c r="L24" s="13" t="e">
        <f>+E24+G24+I24+J24+K24</f>
        <v>#REF!</v>
      </c>
    </row>
    <row r="25" spans="1:12">
      <c r="H25" s="8"/>
    </row>
    <row r="26" spans="1:12">
      <c r="H26" s="8"/>
    </row>
    <row r="27" spans="1:12">
      <c r="H27" s="8"/>
    </row>
    <row r="28" spans="1:12">
      <c r="H28" s="8"/>
    </row>
    <row r="29" spans="1:12">
      <c r="H29" s="8"/>
    </row>
    <row r="30" spans="1:12">
      <c r="H30" s="8"/>
    </row>
    <row r="31" spans="1:12">
      <c r="A31" s="1"/>
      <c r="H31" s="8"/>
    </row>
    <row r="32" spans="1:12">
      <c r="H32" s="8"/>
    </row>
    <row r="33" spans="8:8">
      <c r="H33" s="8"/>
    </row>
    <row r="34" spans="8:8">
      <c r="H34" s="8"/>
    </row>
    <row r="35" spans="8:8">
      <c r="H35" s="8"/>
    </row>
  </sheetData>
  <mergeCells count="2">
    <mergeCell ref="A2:L2"/>
    <mergeCell ref="A1:L1"/>
  </mergeCells>
  <pageMargins left="0.7" right="0.7" top="0.75" bottom="0.75" header="0.3" footer="0.3"/>
  <pageSetup scale="71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3"/>
  <sheetViews>
    <sheetView showGridLines="0" zoomScaleNormal="100" workbookViewId="0">
      <pane ySplit="12" topLeftCell="A13" activePane="bottomLeft" state="frozen"/>
      <selection activeCell="D37" sqref="D37"/>
      <selection pane="bottomLeft" activeCell="J29" sqref="J29"/>
    </sheetView>
  </sheetViews>
  <sheetFormatPr defaultColWidth="8.7265625" defaultRowHeight="12.5"/>
  <cols>
    <col min="1" max="2" width="8.7265625" style="24"/>
    <col min="3" max="3" width="20.1796875" style="24" customWidth="1"/>
    <col min="4" max="4" width="2.26953125" style="24" customWidth="1"/>
    <col min="5" max="5" width="8.1796875" style="24" customWidth="1"/>
    <col min="6" max="6" width="15.26953125" style="24" customWidth="1"/>
    <col min="7" max="7" width="9.1796875" style="24" customWidth="1"/>
    <col min="8" max="8" width="13.54296875" style="24" customWidth="1"/>
    <col min="9" max="9" width="15" style="24" customWidth="1"/>
    <col min="10" max="10" width="10.81640625" style="24" bestFit="1" customWidth="1"/>
    <col min="11" max="16384" width="8.7265625" style="24"/>
  </cols>
  <sheetData>
    <row r="1" spans="1:12" ht="13">
      <c r="A1" s="164" t="s">
        <v>8</v>
      </c>
      <c r="B1" s="164"/>
      <c r="C1" s="164"/>
      <c r="D1" s="164"/>
      <c r="E1" s="164"/>
      <c r="F1" s="164"/>
      <c r="H1" s="28" t="s">
        <v>39</v>
      </c>
    </row>
    <row r="2" spans="1:12" ht="13">
      <c r="A2" s="61"/>
      <c r="B2" s="61"/>
      <c r="C2" s="61"/>
      <c r="D2" s="61"/>
      <c r="E2" s="61"/>
      <c r="F2" s="61"/>
      <c r="H2" s="28"/>
    </row>
    <row r="3" spans="1:12" ht="13">
      <c r="A3" s="61"/>
      <c r="B3" s="61"/>
      <c r="C3" s="61"/>
      <c r="D3" s="61"/>
      <c r="E3" s="61"/>
      <c r="F3" s="61"/>
      <c r="H3" s="28"/>
    </row>
    <row r="4" spans="1:12" ht="13">
      <c r="C4" s="16"/>
      <c r="D4" s="16"/>
      <c r="E4" s="16"/>
      <c r="F4" s="16"/>
      <c r="G4" s="16"/>
    </row>
    <row r="5" spans="1:12" ht="13">
      <c r="C5" s="16"/>
      <c r="D5" s="16"/>
      <c r="E5" s="29" t="s">
        <v>0</v>
      </c>
      <c r="F5" s="16"/>
      <c r="G5" s="16"/>
    </row>
    <row r="6" spans="1:12" ht="13">
      <c r="C6" s="16"/>
      <c r="D6" s="16"/>
      <c r="E6" s="29"/>
      <c r="F6" s="16"/>
      <c r="G6" s="16"/>
    </row>
    <row r="7" spans="1:12" ht="13">
      <c r="C7" s="16"/>
      <c r="D7" s="16"/>
      <c r="E7" s="29" t="s">
        <v>44</v>
      </c>
      <c r="F7" s="16"/>
      <c r="G7" s="16"/>
    </row>
    <row r="8" spans="1:12" ht="13">
      <c r="C8" s="16"/>
      <c r="D8" s="16"/>
      <c r="E8" s="29"/>
      <c r="F8" s="16"/>
      <c r="G8" s="16"/>
    </row>
    <row r="9" spans="1:12" ht="13">
      <c r="C9" s="16"/>
      <c r="D9" s="16"/>
      <c r="E9" s="29" t="s">
        <v>10</v>
      </c>
      <c r="F9" s="16"/>
      <c r="G9" s="16"/>
    </row>
    <row r="10" spans="1:12" ht="13">
      <c r="C10" s="16"/>
      <c r="D10" s="16"/>
      <c r="E10" s="31"/>
      <c r="F10" s="16"/>
      <c r="G10" s="16"/>
    </row>
    <row r="11" spans="1:12" ht="13">
      <c r="C11" s="62" t="s">
        <v>32</v>
      </c>
      <c r="D11" s="62"/>
      <c r="F11" s="168" t="s">
        <v>47</v>
      </c>
      <c r="G11" s="169"/>
    </row>
    <row r="12" spans="1:12" ht="13">
      <c r="C12" s="16"/>
      <c r="D12" s="16"/>
      <c r="E12" s="16"/>
      <c r="F12" s="16"/>
      <c r="G12" s="16"/>
    </row>
    <row r="13" spans="1:12" ht="13">
      <c r="C13" s="16"/>
      <c r="D13" s="16"/>
      <c r="E13" s="16"/>
      <c r="F13" s="16"/>
      <c r="G13" s="16"/>
    </row>
    <row r="14" spans="1:12" ht="12.75" customHeight="1">
      <c r="C14" s="16" t="s">
        <v>8</v>
      </c>
      <c r="D14" s="16"/>
      <c r="E14" s="55" t="s">
        <v>8</v>
      </c>
      <c r="F14" s="16"/>
      <c r="G14" s="55"/>
      <c r="H14" s="175"/>
      <c r="I14" s="63"/>
      <c r="J14" s="18"/>
      <c r="K14" s="55"/>
      <c r="L14" s="161"/>
    </row>
    <row r="15" spans="1:12" ht="12.75" customHeight="1">
      <c r="C15" s="177" t="s">
        <v>45</v>
      </c>
      <c r="D15" s="177"/>
      <c r="E15" s="165" t="s">
        <v>7</v>
      </c>
      <c r="F15" s="64">
        <f>'SFR-Page 2'!H22</f>
        <v>15892408</v>
      </c>
      <c r="G15" s="162" t="s">
        <v>7</v>
      </c>
      <c r="H15" s="175"/>
      <c r="J15" s="47"/>
      <c r="K15" s="162"/>
      <c r="L15" s="161"/>
    </row>
    <row r="16" spans="1:12" ht="15" customHeight="1">
      <c r="C16" s="177"/>
      <c r="D16" s="177"/>
      <c r="E16" s="165"/>
      <c r="F16" s="47">
        <f>'SFR-Page 2'!H23</f>
        <v>272909708.34999996</v>
      </c>
      <c r="G16" s="162"/>
      <c r="H16" s="65">
        <f>ROUND(F15/F16,6)</f>
        <v>5.8233E-2</v>
      </c>
      <c r="I16" s="66"/>
      <c r="J16" s="48"/>
      <c r="K16" s="162"/>
      <c r="L16" s="49"/>
    </row>
    <row r="17" spans="3:12" ht="15" customHeight="1">
      <c r="C17" s="16"/>
      <c r="D17" s="16"/>
      <c r="E17" s="16"/>
      <c r="F17" s="67"/>
      <c r="G17" s="16"/>
      <c r="H17" s="16"/>
      <c r="I17" s="66"/>
      <c r="J17" s="49"/>
      <c r="K17" s="18"/>
      <c r="L17" s="18"/>
    </row>
    <row r="18" spans="3:12" ht="12.75" customHeight="1">
      <c r="F18" s="67"/>
      <c r="G18" s="16"/>
      <c r="H18" s="16"/>
      <c r="I18" s="66"/>
      <c r="J18" s="49"/>
      <c r="K18" s="18"/>
      <c r="L18" s="18"/>
    </row>
    <row r="19" spans="3:12" ht="12.75" customHeight="1">
      <c r="C19" s="177" t="s">
        <v>46</v>
      </c>
      <c r="D19" s="177"/>
      <c r="E19" s="166" t="s">
        <v>7</v>
      </c>
      <c r="F19" s="68">
        <f>'SFR-Page 2'!H43</f>
        <v>21169089</v>
      </c>
      <c r="G19" s="176" t="s">
        <v>7</v>
      </c>
      <c r="H19" s="65">
        <f>ROUND(F19/F20,6)</f>
        <v>0.1144</v>
      </c>
      <c r="I19" s="66"/>
      <c r="J19" s="49"/>
      <c r="K19" s="163"/>
      <c r="L19" s="49"/>
    </row>
    <row r="20" spans="3:12" ht="13">
      <c r="C20" s="177"/>
      <c r="D20" s="177"/>
      <c r="E20" s="166"/>
      <c r="F20" s="67">
        <f>'SFR-Page 2'!H44</f>
        <v>185044771.60860354</v>
      </c>
      <c r="G20" s="176"/>
      <c r="H20" s="16"/>
      <c r="J20" s="50"/>
      <c r="K20" s="163"/>
      <c r="L20" s="18"/>
    </row>
    <row r="21" spans="3:12" ht="20.149999999999999" customHeight="1">
      <c r="C21" s="16"/>
      <c r="D21" s="16"/>
      <c r="E21" s="16"/>
      <c r="F21" s="67"/>
      <c r="G21" s="69"/>
      <c r="H21" s="70"/>
      <c r="I21" s="39"/>
      <c r="J21" s="39"/>
      <c r="K21" s="39"/>
      <c r="L21" s="39"/>
    </row>
    <row r="22" spans="3:12" ht="13">
      <c r="C22" s="16"/>
      <c r="D22" s="16"/>
      <c r="E22" s="16"/>
      <c r="F22" s="16"/>
      <c r="G22" s="18"/>
      <c r="H22" s="39"/>
      <c r="I22" s="39"/>
    </row>
    <row r="23" spans="3:12" ht="13">
      <c r="C23" s="16"/>
      <c r="D23" s="16"/>
      <c r="E23" s="16"/>
      <c r="F23" s="16"/>
    </row>
    <row r="24" spans="3:12" ht="13">
      <c r="C24" s="16"/>
      <c r="D24" s="16"/>
      <c r="E24" s="16"/>
      <c r="F24" s="16"/>
      <c r="G24" s="16"/>
    </row>
    <row r="25" spans="3:12" ht="13">
      <c r="C25" s="16"/>
      <c r="D25" s="16"/>
      <c r="E25" s="16"/>
      <c r="F25" s="16"/>
      <c r="G25" s="16"/>
    </row>
    <row r="26" spans="3:12" ht="13">
      <c r="C26" s="16"/>
      <c r="D26" s="16"/>
      <c r="E26" s="16"/>
      <c r="F26" s="16"/>
      <c r="G26" s="16"/>
    </row>
    <row r="27" spans="3:12" ht="15" customHeight="1">
      <c r="C27" s="19" t="s">
        <v>1</v>
      </c>
      <c r="D27" s="16"/>
      <c r="E27" s="170" t="s">
        <v>47</v>
      </c>
      <c r="F27" s="171"/>
      <c r="G27" s="171"/>
    </row>
    <row r="28" spans="3:12" ht="13">
      <c r="C28" s="16"/>
      <c r="D28" s="16"/>
      <c r="E28" s="178" t="s">
        <v>42</v>
      </c>
      <c r="F28" s="178"/>
      <c r="G28" s="178"/>
    </row>
    <row r="29" spans="3:12" ht="13">
      <c r="C29" s="16"/>
      <c r="D29" s="16"/>
      <c r="E29" s="16"/>
      <c r="F29" s="16"/>
      <c r="G29" s="16"/>
    </row>
    <row r="30" spans="3:12" ht="13">
      <c r="C30" s="16"/>
      <c r="D30" s="16"/>
      <c r="E30" s="16"/>
      <c r="F30" s="16"/>
      <c r="G30" s="16"/>
    </row>
    <row r="31" spans="3:12" ht="13">
      <c r="C31" s="19" t="s">
        <v>2</v>
      </c>
      <c r="D31" s="16"/>
      <c r="E31" s="46"/>
      <c r="F31" s="46" t="s">
        <v>41</v>
      </c>
      <c r="G31" s="46"/>
    </row>
    <row r="32" spans="3:12" ht="13">
      <c r="C32" s="16"/>
      <c r="D32" s="16"/>
      <c r="E32" s="16"/>
      <c r="F32" s="19" t="s">
        <v>3</v>
      </c>
      <c r="G32" s="16"/>
    </row>
    <row r="33" spans="3:15" ht="13">
      <c r="C33" s="16"/>
      <c r="D33" s="16"/>
      <c r="E33" s="16"/>
      <c r="F33" s="16"/>
      <c r="G33" s="16"/>
      <c r="J33" s="71"/>
    </row>
    <row r="34" spans="3:15" ht="13">
      <c r="C34" s="16"/>
      <c r="D34" s="16"/>
      <c r="E34" s="16"/>
      <c r="F34" s="16"/>
      <c r="G34" s="16"/>
    </row>
    <row r="35" spans="3:15" ht="13">
      <c r="C35" s="19" t="s">
        <v>4</v>
      </c>
      <c r="D35" s="16"/>
      <c r="E35" s="173" t="s">
        <v>43</v>
      </c>
      <c r="F35" s="174"/>
      <c r="G35" s="174"/>
    </row>
    <row r="36" spans="3:15" ht="13">
      <c r="C36" s="16"/>
      <c r="D36" s="16"/>
      <c r="E36" s="16"/>
      <c r="F36" s="16"/>
      <c r="G36" s="16"/>
      <c r="O36" s="43"/>
    </row>
    <row r="37" spans="3:15" ht="13">
      <c r="C37" s="16"/>
      <c r="D37" s="16"/>
      <c r="E37" s="16"/>
      <c r="F37" s="16"/>
      <c r="G37" s="16"/>
    </row>
    <row r="38" spans="3:15" ht="13">
      <c r="C38" s="19" t="s">
        <v>5</v>
      </c>
      <c r="D38" s="16"/>
      <c r="E38" s="172" t="s">
        <v>47</v>
      </c>
      <c r="F38" s="171"/>
      <c r="G38" s="171"/>
    </row>
    <row r="39" spans="3:15" ht="13">
      <c r="C39" s="16"/>
      <c r="D39" s="16"/>
      <c r="E39" s="19"/>
      <c r="F39" s="16"/>
      <c r="G39" s="16"/>
    </row>
    <row r="43" spans="3:15">
      <c r="C43" s="167"/>
      <c r="D43" s="167"/>
      <c r="E43" s="167"/>
      <c r="F43" s="167"/>
      <c r="G43" s="167"/>
      <c r="H43" s="167"/>
    </row>
  </sheetData>
  <mergeCells count="17">
    <mergeCell ref="C43:H43"/>
    <mergeCell ref="F11:G11"/>
    <mergeCell ref="E27:G27"/>
    <mergeCell ref="E38:G38"/>
    <mergeCell ref="E35:G35"/>
    <mergeCell ref="H14:H15"/>
    <mergeCell ref="G15:G16"/>
    <mergeCell ref="G19:G20"/>
    <mergeCell ref="C15:D16"/>
    <mergeCell ref="C19:D20"/>
    <mergeCell ref="E28:G28"/>
    <mergeCell ref="L14:L15"/>
    <mergeCell ref="K15:K16"/>
    <mergeCell ref="K19:K20"/>
    <mergeCell ref="A1:F1"/>
    <mergeCell ref="E15:E16"/>
    <mergeCell ref="E19:E20"/>
  </mergeCells>
  <phoneticPr fontId="0" type="noConversion"/>
  <printOptions horizontalCentered="1" verticalCentered="1"/>
  <pageMargins left="0.5" right="0" top="0.5" bottom="0.5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Q63"/>
  <sheetViews>
    <sheetView showGridLines="0" zoomScale="130" zoomScaleNormal="130" workbookViewId="0">
      <pane ySplit="7" topLeftCell="A31" activePane="bottomLeft" state="frozen"/>
      <selection activeCell="F13" sqref="F13"/>
      <selection pane="bottomLeft" activeCell="O18" sqref="O18"/>
    </sheetView>
  </sheetViews>
  <sheetFormatPr defaultColWidth="8.7265625" defaultRowHeight="12.5"/>
  <cols>
    <col min="1" max="1" width="5.7265625" style="37" customWidth="1"/>
    <col min="2" max="2" width="4.7265625" style="24" customWidth="1"/>
    <col min="3" max="3" width="8.7265625" style="24"/>
    <col min="4" max="4" width="23.26953125" style="24" customWidth="1"/>
    <col min="5" max="5" width="4" style="24" customWidth="1"/>
    <col min="6" max="6" width="17" style="24" customWidth="1"/>
    <col min="7" max="7" width="5.26953125" style="24" customWidth="1"/>
    <col min="8" max="8" width="15.453125" style="24" customWidth="1"/>
    <col min="9" max="9" width="2.7265625" style="24" customWidth="1"/>
    <col min="10" max="10" width="6.453125" style="24" customWidth="1"/>
    <col min="11" max="11" width="14.453125" style="24" customWidth="1"/>
    <col min="12" max="12" width="3.7265625" style="24" customWidth="1"/>
    <col min="13" max="13" width="8.7265625" style="24"/>
    <col min="14" max="14" width="13.54296875" style="24" customWidth="1"/>
    <col min="15" max="15" width="8.7265625" style="24"/>
    <col min="16" max="16" width="13.453125" style="24" bestFit="1" customWidth="1"/>
    <col min="17" max="17" width="14.453125" style="24" bestFit="1" customWidth="1"/>
    <col min="18" max="16384" width="8.7265625" style="24"/>
  </cols>
  <sheetData>
    <row r="2" spans="1:14" ht="13">
      <c r="A2" s="27"/>
      <c r="B2" s="16"/>
      <c r="C2" s="16"/>
      <c r="D2" s="16"/>
      <c r="E2" s="16"/>
      <c r="F2" s="16"/>
      <c r="G2" s="16"/>
      <c r="H2" s="16"/>
      <c r="I2" s="16"/>
      <c r="J2" s="16"/>
      <c r="K2" s="28" t="s">
        <v>40</v>
      </c>
    </row>
    <row r="3" spans="1:14" ht="13">
      <c r="A3" s="28"/>
      <c r="B3" s="16"/>
      <c r="C3" s="16"/>
      <c r="D3" s="16"/>
      <c r="E3" s="16"/>
      <c r="F3" s="29" t="s">
        <v>0</v>
      </c>
      <c r="G3" s="16"/>
      <c r="H3" s="16"/>
      <c r="I3" s="16"/>
      <c r="J3" s="16"/>
      <c r="K3" s="16"/>
    </row>
    <row r="4" spans="1:14" ht="13">
      <c r="A4" s="28"/>
      <c r="B4" s="16"/>
      <c r="C4" s="16"/>
      <c r="D4" s="16"/>
      <c r="E4" s="16"/>
      <c r="F4" s="29"/>
      <c r="G4" s="16"/>
      <c r="H4" s="16"/>
      <c r="I4" s="16"/>
      <c r="J4" s="16"/>
      <c r="K4" s="16"/>
    </row>
    <row r="5" spans="1:14" ht="13">
      <c r="A5" s="28"/>
      <c r="B5" s="16"/>
      <c r="C5" s="16"/>
      <c r="D5" s="16"/>
      <c r="E5" s="30"/>
      <c r="F5" s="29" t="s">
        <v>44</v>
      </c>
      <c r="G5" s="16"/>
      <c r="H5" s="16"/>
      <c r="I5" s="16"/>
      <c r="J5" s="16"/>
      <c r="K5" s="16"/>
    </row>
    <row r="6" spans="1:14" ht="13">
      <c r="A6" s="31"/>
      <c r="B6" s="16"/>
      <c r="C6" s="16"/>
      <c r="D6" s="32"/>
      <c r="E6" s="32"/>
      <c r="F6" s="33"/>
      <c r="G6" s="16"/>
      <c r="H6" s="16"/>
      <c r="I6" s="16"/>
      <c r="J6" s="16"/>
      <c r="K6" s="16"/>
    </row>
    <row r="7" spans="1:14" ht="13">
      <c r="A7" s="28"/>
      <c r="B7" s="16"/>
      <c r="C7" s="16"/>
      <c r="D7" s="31"/>
      <c r="E7" s="34" t="s">
        <v>32</v>
      </c>
      <c r="G7" s="142" t="s">
        <v>47</v>
      </c>
      <c r="H7" s="35"/>
      <c r="I7" s="35"/>
      <c r="J7" s="16"/>
      <c r="K7" s="16"/>
    </row>
    <row r="8" spans="1:14" ht="13">
      <c r="A8" s="28"/>
      <c r="B8" s="16"/>
      <c r="C8" s="16"/>
      <c r="D8" s="31"/>
      <c r="E8" s="31"/>
      <c r="F8" s="34"/>
      <c r="G8" s="36"/>
      <c r="H8" s="35"/>
      <c r="I8" s="35"/>
      <c r="J8" s="16"/>
      <c r="K8" s="16"/>
    </row>
    <row r="9" spans="1:14" ht="13">
      <c r="A9" s="28"/>
      <c r="B9" s="16"/>
      <c r="C9" s="16"/>
      <c r="D9" s="31"/>
      <c r="E9" s="31"/>
      <c r="F9" s="34"/>
      <c r="G9" s="36"/>
      <c r="H9" s="35"/>
      <c r="I9" s="35"/>
      <c r="J9" s="16"/>
      <c r="K9" s="16"/>
    </row>
    <row r="10" spans="1:14" ht="13">
      <c r="A10" s="28"/>
      <c r="B10" s="16"/>
      <c r="C10" s="16"/>
      <c r="D10" s="31"/>
      <c r="E10" s="31"/>
      <c r="F10" s="34"/>
      <c r="G10" s="36"/>
      <c r="H10" s="35"/>
      <c r="I10" s="35"/>
      <c r="J10" s="16"/>
      <c r="K10" s="16"/>
    </row>
    <row r="11" spans="1:14" ht="13">
      <c r="A11" s="28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4" ht="13">
      <c r="A12" s="28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4" ht="12.75" customHeight="1">
      <c r="E13" s="180" t="s">
        <v>9</v>
      </c>
      <c r="F13" s="180"/>
      <c r="G13" s="180"/>
      <c r="J13" s="28" t="s">
        <v>8</v>
      </c>
      <c r="K13" s="21" t="s">
        <v>8</v>
      </c>
    </row>
    <row r="14" spans="1:14" ht="12.75" customHeight="1">
      <c r="E14" s="38"/>
      <c r="F14" s="38"/>
      <c r="G14" s="38"/>
      <c r="J14" s="28"/>
      <c r="K14" s="21"/>
      <c r="N14" s="39"/>
    </row>
    <row r="15" spans="1:14" ht="12.75" customHeight="1">
      <c r="E15" s="39"/>
      <c r="F15" s="38"/>
      <c r="G15" s="39"/>
      <c r="J15" s="28"/>
      <c r="K15" s="21"/>
      <c r="N15" s="39"/>
    </row>
    <row r="16" spans="1:14" ht="12.75" customHeight="1">
      <c r="A16" s="28"/>
      <c r="B16" s="40"/>
      <c r="C16" s="40"/>
      <c r="D16" s="40"/>
      <c r="E16" s="40"/>
      <c r="F16" s="16"/>
      <c r="G16" s="16"/>
      <c r="H16" s="16"/>
      <c r="I16" s="16"/>
      <c r="J16" s="28" t="s">
        <v>8</v>
      </c>
      <c r="K16" s="21" t="s">
        <v>8</v>
      </c>
      <c r="N16" s="39"/>
    </row>
    <row r="17" spans="1:16" ht="12.75" customHeight="1">
      <c r="A17" s="41" t="s">
        <v>34</v>
      </c>
      <c r="B17" s="40"/>
      <c r="C17" s="40" t="s">
        <v>48</v>
      </c>
      <c r="D17" s="16"/>
      <c r="E17" s="60" t="s">
        <v>7</v>
      </c>
      <c r="F17" s="143">
        <f>'20 Yr Securitization'!L16*2</f>
        <v>37061496.942118049</v>
      </c>
      <c r="G17" s="60" t="s">
        <v>11</v>
      </c>
      <c r="H17" s="144">
        <f>Revenue!C6</f>
        <v>272909708.34999996</v>
      </c>
      <c r="I17" s="14" t="s">
        <v>33</v>
      </c>
      <c r="J17" s="57" t="s">
        <v>7</v>
      </c>
      <c r="K17" s="26">
        <f>ROUND(F17*H17/H18,0)</f>
        <v>15892408</v>
      </c>
      <c r="N17" s="56"/>
      <c r="P17" s="42"/>
    </row>
    <row r="18" spans="1:16" ht="12.75" customHeight="1">
      <c r="A18" s="28"/>
      <c r="B18" s="40"/>
      <c r="C18" s="16" t="s">
        <v>8</v>
      </c>
      <c r="D18" s="16"/>
      <c r="E18" s="60"/>
      <c r="F18" s="15"/>
      <c r="G18" s="60"/>
      <c r="H18" s="145">
        <f>Revenue!E6</f>
        <v>636432332.99000001</v>
      </c>
      <c r="I18" s="55" t="s">
        <v>8</v>
      </c>
      <c r="J18" s="58"/>
      <c r="K18" s="26"/>
      <c r="N18" s="56"/>
      <c r="O18" s="43"/>
    </row>
    <row r="19" spans="1:16" ht="12.75" customHeight="1">
      <c r="A19" s="28"/>
      <c r="B19" s="40"/>
      <c r="C19" s="16"/>
      <c r="D19" s="16"/>
      <c r="E19" s="60"/>
      <c r="F19" s="15"/>
      <c r="G19" s="60"/>
      <c r="H19" s="55"/>
      <c r="I19" s="55"/>
      <c r="J19" s="58"/>
      <c r="K19" s="26"/>
      <c r="N19" s="56"/>
      <c r="O19" s="43"/>
    </row>
    <row r="20" spans="1:16" ht="12.75" customHeight="1">
      <c r="A20" s="28"/>
      <c r="B20" s="40"/>
      <c r="C20" s="16"/>
      <c r="D20" s="16"/>
      <c r="E20" s="60"/>
      <c r="F20" s="15"/>
      <c r="G20" s="60"/>
      <c r="H20" s="25"/>
      <c r="I20" s="55"/>
      <c r="J20" s="58"/>
      <c r="K20" s="26"/>
      <c r="N20" s="56"/>
      <c r="O20" s="43"/>
    </row>
    <row r="21" spans="1:16" ht="15" customHeight="1">
      <c r="A21" s="28"/>
      <c r="B21" s="40"/>
      <c r="C21" s="40"/>
      <c r="D21" s="19"/>
      <c r="E21" s="19"/>
      <c r="F21" s="20"/>
      <c r="G21" s="16"/>
      <c r="H21" s="16"/>
      <c r="I21" s="16"/>
      <c r="J21" s="16"/>
      <c r="K21" s="21" t="s">
        <v>8</v>
      </c>
      <c r="N21" s="21"/>
    </row>
    <row r="22" spans="1:16" ht="13.5" thickBot="1">
      <c r="A22" s="28" t="s">
        <v>6</v>
      </c>
      <c r="B22" s="40"/>
      <c r="D22" s="40" t="s">
        <v>12</v>
      </c>
      <c r="E22" s="22" t="s">
        <v>7</v>
      </c>
      <c r="F22" s="54" t="s">
        <v>35</v>
      </c>
      <c r="G22" s="44" t="s">
        <v>7</v>
      </c>
      <c r="H22" s="146">
        <f>K17</f>
        <v>15892408</v>
      </c>
      <c r="I22" s="16" t="s">
        <v>8</v>
      </c>
      <c r="J22" s="16" t="s">
        <v>8</v>
      </c>
      <c r="K22" s="147">
        <f>ROUND(H22/H23, 6)</f>
        <v>5.8233E-2</v>
      </c>
      <c r="N22" s="51"/>
    </row>
    <row r="23" spans="1:16" ht="13.5" thickTop="1">
      <c r="A23" s="28"/>
      <c r="B23" s="40"/>
      <c r="C23" s="40"/>
      <c r="D23" s="19"/>
      <c r="E23" s="19"/>
      <c r="F23" s="19" t="s">
        <v>13</v>
      </c>
      <c r="G23" s="16"/>
      <c r="H23" s="17">
        <f>H17</f>
        <v>272909708.34999996</v>
      </c>
      <c r="I23" s="16"/>
      <c r="J23" s="16"/>
      <c r="K23" s="18"/>
      <c r="N23" s="18"/>
    </row>
    <row r="24" spans="1:16" ht="13">
      <c r="A24" s="28"/>
      <c r="B24" s="40"/>
      <c r="C24" s="40"/>
      <c r="D24" s="19"/>
      <c r="E24" s="19"/>
      <c r="F24" s="19"/>
      <c r="G24" s="16"/>
      <c r="H24" s="17"/>
      <c r="I24" s="16"/>
      <c r="J24" s="16"/>
      <c r="K24" s="18"/>
      <c r="N24" s="18"/>
    </row>
    <row r="25" spans="1:16" ht="13">
      <c r="A25" s="28"/>
      <c r="B25" s="40"/>
      <c r="C25" s="40"/>
      <c r="D25" s="19"/>
      <c r="E25" s="19"/>
      <c r="F25" s="19"/>
      <c r="G25" s="16"/>
      <c r="H25" s="17"/>
      <c r="I25" s="16"/>
      <c r="J25" s="16"/>
      <c r="K25" s="18"/>
      <c r="N25" s="18"/>
    </row>
    <row r="26" spans="1:16" ht="13">
      <c r="A26" s="28"/>
      <c r="B26" s="40"/>
      <c r="C26" s="40"/>
      <c r="D26" s="19"/>
      <c r="E26" s="19"/>
      <c r="F26" s="19"/>
      <c r="G26" s="16"/>
      <c r="H26" s="17"/>
      <c r="I26" s="16"/>
      <c r="J26" s="16"/>
      <c r="K26" s="18"/>
      <c r="N26" s="18"/>
    </row>
    <row r="27" spans="1:16">
      <c r="A27" s="24"/>
      <c r="N27" s="39"/>
    </row>
    <row r="28" spans="1:16">
      <c r="A28" s="24"/>
      <c r="N28" s="39"/>
    </row>
    <row r="29" spans="1:16" ht="13" thickBo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N29" s="39"/>
    </row>
    <row r="30" spans="1:16" ht="13" thickTop="1">
      <c r="A30" s="24"/>
      <c r="N30" s="39"/>
    </row>
    <row r="31" spans="1:16">
      <c r="A31" s="24"/>
      <c r="N31" s="39"/>
    </row>
    <row r="32" spans="1:16">
      <c r="A32" s="24"/>
      <c r="N32" s="39"/>
    </row>
    <row r="33" spans="1:17">
      <c r="A33" s="24"/>
      <c r="N33" s="39"/>
    </row>
    <row r="34" spans="1:17" ht="12.75" customHeight="1">
      <c r="A34" s="24"/>
      <c r="E34" s="180" t="s">
        <v>15</v>
      </c>
      <c r="F34" s="180"/>
      <c r="G34" s="180"/>
      <c r="N34" s="39"/>
    </row>
    <row r="35" spans="1:17" ht="12.75" customHeight="1">
      <c r="A35" s="24"/>
      <c r="E35" s="38"/>
      <c r="F35" s="38"/>
      <c r="G35" s="38"/>
      <c r="N35" s="39"/>
    </row>
    <row r="36" spans="1:17" ht="12.75" customHeight="1">
      <c r="A36" s="24"/>
      <c r="N36" s="39"/>
    </row>
    <row r="37" spans="1:17" ht="15" customHeight="1">
      <c r="A37" s="24"/>
      <c r="N37" s="39"/>
    </row>
    <row r="38" spans="1:17" ht="13">
      <c r="A38" s="41" t="s">
        <v>37</v>
      </c>
      <c r="B38" s="40"/>
      <c r="C38" s="40" t="s">
        <v>49</v>
      </c>
      <c r="D38" s="16"/>
      <c r="E38" s="175" t="s">
        <v>7</v>
      </c>
      <c r="F38" s="143">
        <f>F17</f>
        <v>37061496.942118049</v>
      </c>
      <c r="G38" s="175" t="s">
        <v>11</v>
      </c>
      <c r="H38" s="143">
        <f>H39-'SFR-Page 2'!H17</f>
        <v>363522624.64000005</v>
      </c>
      <c r="I38" s="14" t="s">
        <v>33</v>
      </c>
      <c r="J38" s="181" t="s">
        <v>7</v>
      </c>
      <c r="K38" s="183">
        <f>ROUND(F38*H38/H39,0)</f>
        <v>21169089</v>
      </c>
      <c r="N38" s="179"/>
      <c r="Q38" s="42"/>
    </row>
    <row r="39" spans="1:17" ht="13.5" customHeight="1">
      <c r="A39" s="28"/>
      <c r="B39" s="40"/>
      <c r="C39" s="16" t="s">
        <v>8</v>
      </c>
      <c r="D39" s="16"/>
      <c r="E39" s="175"/>
      <c r="F39" s="15"/>
      <c r="G39" s="175"/>
      <c r="H39" s="55">
        <f>'SFR-Page 2'!H18</f>
        <v>636432332.99000001</v>
      </c>
      <c r="I39" s="55" t="s">
        <v>8</v>
      </c>
      <c r="J39" s="182"/>
      <c r="K39" s="183"/>
      <c r="N39" s="179"/>
    </row>
    <row r="40" spans="1:17" ht="13">
      <c r="A40" s="28"/>
      <c r="B40" s="40"/>
      <c r="C40" s="16"/>
      <c r="D40" s="16"/>
      <c r="E40" s="60"/>
      <c r="F40" s="15"/>
      <c r="G40" s="60"/>
      <c r="H40" s="55"/>
      <c r="I40" s="55"/>
      <c r="J40" s="58"/>
      <c r="K40" s="26"/>
      <c r="N40" s="56"/>
    </row>
    <row r="41" spans="1:17" ht="13">
      <c r="A41" s="28"/>
      <c r="B41" s="40"/>
      <c r="C41" s="16"/>
      <c r="D41" s="16"/>
      <c r="E41" s="60"/>
      <c r="F41" s="15"/>
      <c r="G41" s="60"/>
      <c r="H41" s="25"/>
      <c r="I41" s="55"/>
      <c r="J41" s="58"/>
      <c r="K41" s="26"/>
      <c r="N41" s="56"/>
    </row>
    <row r="42" spans="1:17" ht="13">
      <c r="A42" s="28"/>
      <c r="B42" s="40"/>
      <c r="C42" s="40"/>
      <c r="D42" s="19"/>
      <c r="E42" s="19"/>
      <c r="F42" s="20"/>
      <c r="G42" s="19"/>
      <c r="H42" s="16"/>
      <c r="I42" s="16"/>
      <c r="J42" s="16"/>
      <c r="K42" s="21" t="s">
        <v>8</v>
      </c>
      <c r="N42" s="21"/>
    </row>
    <row r="43" spans="1:17" ht="13.5" thickBot="1">
      <c r="A43" s="28" t="s">
        <v>38</v>
      </c>
      <c r="B43" s="40"/>
      <c r="D43" s="40" t="s">
        <v>12</v>
      </c>
      <c r="E43" s="22" t="s">
        <v>7</v>
      </c>
      <c r="F43" s="54" t="s">
        <v>36</v>
      </c>
      <c r="G43" s="22" t="s">
        <v>7</v>
      </c>
      <c r="H43" s="146">
        <f>K38</f>
        <v>21169089</v>
      </c>
      <c r="I43" s="16" t="s">
        <v>8</v>
      </c>
      <c r="J43" s="16" t="s">
        <v>8</v>
      </c>
      <c r="K43" s="147">
        <f>ROUND(H43/H44, 6)</f>
        <v>0.1144</v>
      </c>
      <c r="N43" s="51"/>
    </row>
    <row r="44" spans="1:17" ht="13.5" thickTop="1">
      <c r="A44" s="28"/>
      <c r="B44" s="40"/>
      <c r="C44" s="40"/>
      <c r="D44" s="19"/>
      <c r="E44" s="177" t="s">
        <v>14</v>
      </c>
      <c r="F44" s="177"/>
      <c r="G44" s="177"/>
      <c r="H44" s="17">
        <f>Revenue!D7</f>
        <v>185044771.60860354</v>
      </c>
      <c r="I44" s="16"/>
      <c r="J44" s="16"/>
      <c r="K44" s="23"/>
      <c r="N44" s="39"/>
    </row>
    <row r="45" spans="1:17">
      <c r="A45" s="24"/>
      <c r="E45" s="177"/>
      <c r="F45" s="177"/>
      <c r="G45" s="177"/>
      <c r="N45" s="39"/>
    </row>
    <row r="46" spans="1:17" ht="13">
      <c r="A46" s="24"/>
      <c r="E46" s="59"/>
      <c r="F46" s="59"/>
      <c r="G46" s="59"/>
      <c r="N46" s="39"/>
    </row>
    <row r="47" spans="1:17" ht="13" thickBo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</row>
    <row r="48" spans="1:17" ht="13" thickTop="1">
      <c r="A48" s="24"/>
    </row>
    <row r="49" s="24" customFormat="1"/>
    <row r="50" s="24" customFormat="1"/>
    <row r="51" s="24" customFormat="1"/>
    <row r="52" s="24" customFormat="1"/>
    <row r="53" s="24" customFormat="1"/>
    <row r="54" s="24" customFormat="1"/>
    <row r="55" s="24" customFormat="1"/>
    <row r="56" s="24" customFormat="1"/>
    <row r="57" s="24" customFormat="1"/>
    <row r="58" s="24" customFormat="1"/>
    <row r="59" s="24" customFormat="1"/>
    <row r="60" s="24" customFormat="1"/>
    <row r="61" s="24" customFormat="1"/>
    <row r="62" s="24" customFormat="1"/>
    <row r="63" s="24" customFormat="1"/>
  </sheetData>
  <mergeCells count="8">
    <mergeCell ref="N38:N39"/>
    <mergeCell ref="E13:G13"/>
    <mergeCell ref="J38:J39"/>
    <mergeCell ref="K38:K39"/>
    <mergeCell ref="E44:G45"/>
    <mergeCell ref="E34:G34"/>
    <mergeCell ref="E38:E39"/>
    <mergeCell ref="G38:G39"/>
  </mergeCells>
  <phoneticPr fontId="0" type="noConversion"/>
  <printOptions horizontalCentered="1"/>
  <pageMargins left="0.5" right="0" top="0.5" bottom="0.5" header="0" footer="0"/>
  <pageSetup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304CB-1D6D-4BB7-84F3-664239D9836F}">
  <sheetPr>
    <pageSetUpPr fitToPage="1"/>
  </sheetPr>
  <dimension ref="A1:T319"/>
  <sheetViews>
    <sheetView topLeftCell="A9" zoomScale="80" zoomScaleNormal="80" workbookViewId="0">
      <selection activeCell="C9" sqref="C9"/>
    </sheetView>
  </sheetViews>
  <sheetFormatPr defaultRowHeight="14.5"/>
  <cols>
    <col min="1" max="1" width="12.54296875" style="83" customWidth="1"/>
    <col min="2" max="3" width="13.453125" style="83" bestFit="1" customWidth="1"/>
    <col min="4" max="4" width="14.54296875" style="83" customWidth="1"/>
    <col min="5" max="5" width="16" style="83" customWidth="1"/>
    <col min="6" max="6" width="16.1796875" style="83" bestFit="1" customWidth="1"/>
    <col min="7" max="7" width="13.1796875" style="83" bestFit="1" customWidth="1"/>
    <col min="8" max="8" width="14.7265625" style="83" customWidth="1"/>
    <col min="9" max="10" width="16.1796875" style="83" bestFit="1" customWidth="1"/>
    <col min="11" max="11" width="1.1796875" style="83" customWidth="1"/>
    <col min="12" max="12" width="23.1796875" style="83" bestFit="1" customWidth="1"/>
    <col min="13" max="13" width="12.54296875" style="83" bestFit="1" customWidth="1"/>
    <col min="14" max="14" width="13.7265625" style="83" bestFit="1" customWidth="1"/>
    <col min="15" max="16" width="11.54296875" style="83" bestFit="1" customWidth="1"/>
    <col min="17" max="17" width="12.54296875" style="83" bestFit="1" customWidth="1"/>
    <col min="18" max="18" width="13.7265625" style="83" bestFit="1" customWidth="1"/>
    <col min="19" max="19" width="1.7265625" style="83" customWidth="1"/>
    <col min="20" max="20" width="10" style="85" bestFit="1" customWidth="1"/>
    <col min="21" max="21" width="13.7265625" style="83" bestFit="1" customWidth="1"/>
    <col min="22" max="242" width="8.7265625" style="83"/>
    <col min="243" max="243" width="16.26953125" style="83" customWidth="1"/>
    <col min="244" max="245" width="0" style="83" hidden="1" customWidth="1"/>
    <col min="246" max="246" width="13.26953125" style="83" bestFit="1" customWidth="1"/>
    <col min="247" max="248" width="16" style="83" bestFit="1" customWidth="1"/>
    <col min="249" max="249" width="8.7265625" style="83"/>
    <col min="250" max="251" width="16" style="83" bestFit="1" customWidth="1"/>
    <col min="252" max="252" width="8.7265625" style="83"/>
    <col min="253" max="253" width="0" style="83" hidden="1" customWidth="1"/>
    <col min="254" max="254" width="11.26953125" style="83" bestFit="1" customWidth="1"/>
    <col min="255" max="261" width="0" style="83" hidden="1" customWidth="1"/>
    <col min="262" max="262" width="11.26953125" style="83" bestFit="1" customWidth="1"/>
    <col min="263" max="264" width="0" style="83" hidden="1" customWidth="1"/>
    <col min="265" max="265" width="11.54296875" style="83" bestFit="1" customWidth="1"/>
    <col min="266" max="266" width="16" style="83" bestFit="1" customWidth="1"/>
    <col min="267" max="267" width="8.7265625" style="83"/>
    <col min="268" max="268" width="15" style="83" bestFit="1" customWidth="1"/>
    <col min="269" max="269" width="14" style="83" bestFit="1" customWidth="1"/>
    <col min="270" max="498" width="8.7265625" style="83"/>
    <col min="499" max="499" width="16.26953125" style="83" customWidth="1"/>
    <col min="500" max="501" width="0" style="83" hidden="1" customWidth="1"/>
    <col min="502" max="502" width="13.26953125" style="83" bestFit="1" customWidth="1"/>
    <col min="503" max="504" width="16" style="83" bestFit="1" customWidth="1"/>
    <col min="505" max="505" width="8.7265625" style="83"/>
    <col min="506" max="507" width="16" style="83" bestFit="1" customWidth="1"/>
    <col min="508" max="508" width="8.7265625" style="83"/>
    <col min="509" max="509" width="0" style="83" hidden="1" customWidth="1"/>
    <col min="510" max="510" width="11.26953125" style="83" bestFit="1" customWidth="1"/>
    <col min="511" max="517" width="0" style="83" hidden="1" customWidth="1"/>
    <col min="518" max="518" width="11.26953125" style="83" bestFit="1" customWidth="1"/>
    <col min="519" max="520" width="0" style="83" hidden="1" customWidth="1"/>
    <col min="521" max="521" width="11.54296875" style="83" bestFit="1" customWidth="1"/>
    <col min="522" max="522" width="16" style="83" bestFit="1" customWidth="1"/>
    <col min="523" max="523" width="8.7265625" style="83"/>
    <col min="524" max="524" width="15" style="83" bestFit="1" customWidth="1"/>
    <col min="525" max="525" width="14" style="83" bestFit="1" customWidth="1"/>
    <col min="526" max="754" width="8.7265625" style="83"/>
    <col min="755" max="755" width="16.26953125" style="83" customWidth="1"/>
    <col min="756" max="757" width="0" style="83" hidden="1" customWidth="1"/>
    <col min="758" max="758" width="13.26953125" style="83" bestFit="1" customWidth="1"/>
    <col min="759" max="760" width="16" style="83" bestFit="1" customWidth="1"/>
    <col min="761" max="761" width="8.7265625" style="83"/>
    <col min="762" max="763" width="16" style="83" bestFit="1" customWidth="1"/>
    <col min="764" max="764" width="8.7265625" style="83"/>
    <col min="765" max="765" width="0" style="83" hidden="1" customWidth="1"/>
    <col min="766" max="766" width="11.26953125" style="83" bestFit="1" customWidth="1"/>
    <col min="767" max="773" width="0" style="83" hidden="1" customWidth="1"/>
    <col min="774" max="774" width="11.26953125" style="83" bestFit="1" customWidth="1"/>
    <col min="775" max="776" width="0" style="83" hidden="1" customWidth="1"/>
    <col min="777" max="777" width="11.54296875" style="83" bestFit="1" customWidth="1"/>
    <col min="778" max="778" width="16" style="83" bestFit="1" customWidth="1"/>
    <col min="779" max="779" width="8.7265625" style="83"/>
    <col min="780" max="780" width="15" style="83" bestFit="1" customWidth="1"/>
    <col min="781" max="781" width="14" style="83" bestFit="1" customWidth="1"/>
    <col min="782" max="1010" width="8.7265625" style="83"/>
    <col min="1011" max="1011" width="16.26953125" style="83" customWidth="1"/>
    <col min="1012" max="1013" width="0" style="83" hidden="1" customWidth="1"/>
    <col min="1014" max="1014" width="13.26953125" style="83" bestFit="1" customWidth="1"/>
    <col min="1015" max="1016" width="16" style="83" bestFit="1" customWidth="1"/>
    <col min="1017" max="1017" width="8.7265625" style="83"/>
    <col min="1018" max="1019" width="16" style="83" bestFit="1" customWidth="1"/>
    <col min="1020" max="1020" width="8.7265625" style="83"/>
    <col min="1021" max="1021" width="0" style="83" hidden="1" customWidth="1"/>
    <col min="1022" max="1022" width="11.26953125" style="83" bestFit="1" customWidth="1"/>
    <col min="1023" max="1029" width="0" style="83" hidden="1" customWidth="1"/>
    <col min="1030" max="1030" width="11.26953125" style="83" bestFit="1" customWidth="1"/>
    <col min="1031" max="1032" width="0" style="83" hidden="1" customWidth="1"/>
    <col min="1033" max="1033" width="11.54296875" style="83" bestFit="1" customWidth="1"/>
    <col min="1034" max="1034" width="16" style="83" bestFit="1" customWidth="1"/>
    <col min="1035" max="1035" width="8.7265625" style="83"/>
    <col min="1036" max="1036" width="15" style="83" bestFit="1" customWidth="1"/>
    <col min="1037" max="1037" width="14" style="83" bestFit="1" customWidth="1"/>
    <col min="1038" max="1266" width="8.7265625" style="83"/>
    <col min="1267" max="1267" width="16.26953125" style="83" customWidth="1"/>
    <col min="1268" max="1269" width="0" style="83" hidden="1" customWidth="1"/>
    <col min="1270" max="1270" width="13.26953125" style="83" bestFit="1" customWidth="1"/>
    <col min="1271" max="1272" width="16" style="83" bestFit="1" customWidth="1"/>
    <col min="1273" max="1273" width="8.7265625" style="83"/>
    <col min="1274" max="1275" width="16" style="83" bestFit="1" customWidth="1"/>
    <col min="1276" max="1276" width="8.7265625" style="83"/>
    <col min="1277" max="1277" width="0" style="83" hidden="1" customWidth="1"/>
    <col min="1278" max="1278" width="11.26953125" style="83" bestFit="1" customWidth="1"/>
    <col min="1279" max="1285" width="0" style="83" hidden="1" customWidth="1"/>
    <col min="1286" max="1286" width="11.26953125" style="83" bestFit="1" customWidth="1"/>
    <col min="1287" max="1288" width="0" style="83" hidden="1" customWidth="1"/>
    <col min="1289" max="1289" width="11.54296875" style="83" bestFit="1" customWidth="1"/>
    <col min="1290" max="1290" width="16" style="83" bestFit="1" customWidth="1"/>
    <col min="1291" max="1291" width="8.7265625" style="83"/>
    <col min="1292" max="1292" width="15" style="83" bestFit="1" customWidth="1"/>
    <col min="1293" max="1293" width="14" style="83" bestFit="1" customWidth="1"/>
    <col min="1294" max="1522" width="8.7265625" style="83"/>
    <col min="1523" max="1523" width="16.26953125" style="83" customWidth="1"/>
    <col min="1524" max="1525" width="0" style="83" hidden="1" customWidth="1"/>
    <col min="1526" max="1526" width="13.26953125" style="83" bestFit="1" customWidth="1"/>
    <col min="1527" max="1528" width="16" style="83" bestFit="1" customWidth="1"/>
    <col min="1529" max="1529" width="8.7265625" style="83"/>
    <col min="1530" max="1531" width="16" style="83" bestFit="1" customWidth="1"/>
    <col min="1532" max="1532" width="8.7265625" style="83"/>
    <col min="1533" max="1533" width="0" style="83" hidden="1" customWidth="1"/>
    <col min="1534" max="1534" width="11.26953125" style="83" bestFit="1" customWidth="1"/>
    <col min="1535" max="1541" width="0" style="83" hidden="1" customWidth="1"/>
    <col min="1542" max="1542" width="11.26953125" style="83" bestFit="1" customWidth="1"/>
    <col min="1543" max="1544" width="0" style="83" hidden="1" customWidth="1"/>
    <col min="1545" max="1545" width="11.54296875" style="83" bestFit="1" customWidth="1"/>
    <col min="1546" max="1546" width="16" style="83" bestFit="1" customWidth="1"/>
    <col min="1547" max="1547" width="8.7265625" style="83"/>
    <col min="1548" max="1548" width="15" style="83" bestFit="1" customWidth="1"/>
    <col min="1549" max="1549" width="14" style="83" bestFit="1" customWidth="1"/>
    <col min="1550" max="1778" width="8.7265625" style="83"/>
    <col min="1779" max="1779" width="16.26953125" style="83" customWidth="1"/>
    <col min="1780" max="1781" width="0" style="83" hidden="1" customWidth="1"/>
    <col min="1782" max="1782" width="13.26953125" style="83" bestFit="1" customWidth="1"/>
    <col min="1783" max="1784" width="16" style="83" bestFit="1" customWidth="1"/>
    <col min="1785" max="1785" width="8.7265625" style="83"/>
    <col min="1786" max="1787" width="16" style="83" bestFit="1" customWidth="1"/>
    <col min="1788" max="1788" width="8.7265625" style="83"/>
    <col min="1789" max="1789" width="0" style="83" hidden="1" customWidth="1"/>
    <col min="1790" max="1790" width="11.26953125" style="83" bestFit="1" customWidth="1"/>
    <col min="1791" max="1797" width="0" style="83" hidden="1" customWidth="1"/>
    <col min="1798" max="1798" width="11.26953125" style="83" bestFit="1" customWidth="1"/>
    <col min="1799" max="1800" width="0" style="83" hidden="1" customWidth="1"/>
    <col min="1801" max="1801" width="11.54296875" style="83" bestFit="1" customWidth="1"/>
    <col min="1802" max="1802" width="16" style="83" bestFit="1" customWidth="1"/>
    <col min="1803" max="1803" width="8.7265625" style="83"/>
    <col min="1804" max="1804" width="15" style="83" bestFit="1" customWidth="1"/>
    <col min="1805" max="1805" width="14" style="83" bestFit="1" customWidth="1"/>
    <col min="1806" max="2034" width="8.7265625" style="83"/>
    <col min="2035" max="2035" width="16.26953125" style="83" customWidth="1"/>
    <col min="2036" max="2037" width="0" style="83" hidden="1" customWidth="1"/>
    <col min="2038" max="2038" width="13.26953125" style="83" bestFit="1" customWidth="1"/>
    <col min="2039" max="2040" width="16" style="83" bestFit="1" customWidth="1"/>
    <col min="2041" max="2041" width="8.7265625" style="83"/>
    <col min="2042" max="2043" width="16" style="83" bestFit="1" customWidth="1"/>
    <col min="2044" max="2044" width="8.7265625" style="83"/>
    <col min="2045" max="2045" width="0" style="83" hidden="1" customWidth="1"/>
    <col min="2046" max="2046" width="11.26953125" style="83" bestFit="1" customWidth="1"/>
    <col min="2047" max="2053" width="0" style="83" hidden="1" customWidth="1"/>
    <col min="2054" max="2054" width="11.26953125" style="83" bestFit="1" customWidth="1"/>
    <col min="2055" max="2056" width="0" style="83" hidden="1" customWidth="1"/>
    <col min="2057" max="2057" width="11.54296875" style="83" bestFit="1" customWidth="1"/>
    <col min="2058" max="2058" width="16" style="83" bestFit="1" customWidth="1"/>
    <col min="2059" max="2059" width="8.7265625" style="83"/>
    <col min="2060" max="2060" width="15" style="83" bestFit="1" customWidth="1"/>
    <col min="2061" max="2061" width="14" style="83" bestFit="1" customWidth="1"/>
    <col min="2062" max="2290" width="8.7265625" style="83"/>
    <col min="2291" max="2291" width="16.26953125" style="83" customWidth="1"/>
    <col min="2292" max="2293" width="0" style="83" hidden="1" customWidth="1"/>
    <col min="2294" max="2294" width="13.26953125" style="83" bestFit="1" customWidth="1"/>
    <col min="2295" max="2296" width="16" style="83" bestFit="1" customWidth="1"/>
    <col min="2297" max="2297" width="8.7265625" style="83"/>
    <col min="2298" max="2299" width="16" style="83" bestFit="1" customWidth="1"/>
    <col min="2300" max="2300" width="8.7265625" style="83"/>
    <col min="2301" max="2301" width="0" style="83" hidden="1" customWidth="1"/>
    <col min="2302" max="2302" width="11.26953125" style="83" bestFit="1" customWidth="1"/>
    <col min="2303" max="2309" width="0" style="83" hidden="1" customWidth="1"/>
    <col min="2310" max="2310" width="11.26953125" style="83" bestFit="1" customWidth="1"/>
    <col min="2311" max="2312" width="0" style="83" hidden="1" customWidth="1"/>
    <col min="2313" max="2313" width="11.54296875" style="83" bestFit="1" customWidth="1"/>
    <col min="2314" max="2314" width="16" style="83" bestFit="1" customWidth="1"/>
    <col min="2315" max="2315" width="8.7265625" style="83"/>
    <col min="2316" max="2316" width="15" style="83" bestFit="1" customWidth="1"/>
    <col min="2317" max="2317" width="14" style="83" bestFit="1" customWidth="1"/>
    <col min="2318" max="2546" width="8.7265625" style="83"/>
    <col min="2547" max="2547" width="16.26953125" style="83" customWidth="1"/>
    <col min="2548" max="2549" width="0" style="83" hidden="1" customWidth="1"/>
    <col min="2550" max="2550" width="13.26953125" style="83" bestFit="1" customWidth="1"/>
    <col min="2551" max="2552" width="16" style="83" bestFit="1" customWidth="1"/>
    <col min="2553" max="2553" width="8.7265625" style="83"/>
    <col min="2554" max="2555" width="16" style="83" bestFit="1" customWidth="1"/>
    <col min="2556" max="2556" width="8.7265625" style="83"/>
    <col min="2557" max="2557" width="0" style="83" hidden="1" customWidth="1"/>
    <col min="2558" max="2558" width="11.26953125" style="83" bestFit="1" customWidth="1"/>
    <col min="2559" max="2565" width="0" style="83" hidden="1" customWidth="1"/>
    <col min="2566" max="2566" width="11.26953125" style="83" bestFit="1" customWidth="1"/>
    <col min="2567" max="2568" width="0" style="83" hidden="1" customWidth="1"/>
    <col min="2569" max="2569" width="11.54296875" style="83" bestFit="1" customWidth="1"/>
    <col min="2570" max="2570" width="16" style="83" bestFit="1" customWidth="1"/>
    <col min="2571" max="2571" width="8.7265625" style="83"/>
    <col min="2572" max="2572" width="15" style="83" bestFit="1" customWidth="1"/>
    <col min="2573" max="2573" width="14" style="83" bestFit="1" customWidth="1"/>
    <col min="2574" max="2802" width="8.7265625" style="83"/>
    <col min="2803" max="2803" width="16.26953125" style="83" customWidth="1"/>
    <col min="2804" max="2805" width="0" style="83" hidden="1" customWidth="1"/>
    <col min="2806" max="2806" width="13.26953125" style="83" bestFit="1" customWidth="1"/>
    <col min="2807" max="2808" width="16" style="83" bestFit="1" customWidth="1"/>
    <col min="2809" max="2809" width="8.7265625" style="83"/>
    <col min="2810" max="2811" width="16" style="83" bestFit="1" customWidth="1"/>
    <col min="2812" max="2812" width="8.7265625" style="83"/>
    <col min="2813" max="2813" width="0" style="83" hidden="1" customWidth="1"/>
    <col min="2814" max="2814" width="11.26953125" style="83" bestFit="1" customWidth="1"/>
    <col min="2815" max="2821" width="0" style="83" hidden="1" customWidth="1"/>
    <col min="2822" max="2822" width="11.26953125" style="83" bestFit="1" customWidth="1"/>
    <col min="2823" max="2824" width="0" style="83" hidden="1" customWidth="1"/>
    <col min="2825" max="2825" width="11.54296875" style="83" bestFit="1" customWidth="1"/>
    <col min="2826" max="2826" width="16" style="83" bestFit="1" customWidth="1"/>
    <col min="2827" max="2827" width="8.7265625" style="83"/>
    <col min="2828" max="2828" width="15" style="83" bestFit="1" customWidth="1"/>
    <col min="2829" max="2829" width="14" style="83" bestFit="1" customWidth="1"/>
    <col min="2830" max="3058" width="8.7265625" style="83"/>
    <col min="3059" max="3059" width="16.26953125" style="83" customWidth="1"/>
    <col min="3060" max="3061" width="0" style="83" hidden="1" customWidth="1"/>
    <col min="3062" max="3062" width="13.26953125" style="83" bestFit="1" customWidth="1"/>
    <col min="3063" max="3064" width="16" style="83" bestFit="1" customWidth="1"/>
    <col min="3065" max="3065" width="8.7265625" style="83"/>
    <col min="3066" max="3067" width="16" style="83" bestFit="1" customWidth="1"/>
    <col min="3068" max="3068" width="8.7265625" style="83"/>
    <col min="3069" max="3069" width="0" style="83" hidden="1" customWidth="1"/>
    <col min="3070" max="3070" width="11.26953125" style="83" bestFit="1" customWidth="1"/>
    <col min="3071" max="3077" width="0" style="83" hidden="1" customWidth="1"/>
    <col min="3078" max="3078" width="11.26953125" style="83" bestFit="1" customWidth="1"/>
    <col min="3079" max="3080" width="0" style="83" hidden="1" customWidth="1"/>
    <col min="3081" max="3081" width="11.54296875" style="83" bestFit="1" customWidth="1"/>
    <col min="3082" max="3082" width="16" style="83" bestFit="1" customWidth="1"/>
    <col min="3083" max="3083" width="8.7265625" style="83"/>
    <col min="3084" max="3084" width="15" style="83" bestFit="1" customWidth="1"/>
    <col min="3085" max="3085" width="14" style="83" bestFit="1" customWidth="1"/>
    <col min="3086" max="3314" width="8.7265625" style="83"/>
    <col min="3315" max="3315" width="16.26953125" style="83" customWidth="1"/>
    <col min="3316" max="3317" width="0" style="83" hidden="1" customWidth="1"/>
    <col min="3318" max="3318" width="13.26953125" style="83" bestFit="1" customWidth="1"/>
    <col min="3319" max="3320" width="16" style="83" bestFit="1" customWidth="1"/>
    <col min="3321" max="3321" width="8.7265625" style="83"/>
    <col min="3322" max="3323" width="16" style="83" bestFit="1" customWidth="1"/>
    <col min="3324" max="3324" width="8.7265625" style="83"/>
    <col min="3325" max="3325" width="0" style="83" hidden="1" customWidth="1"/>
    <col min="3326" max="3326" width="11.26953125" style="83" bestFit="1" customWidth="1"/>
    <col min="3327" max="3333" width="0" style="83" hidden="1" customWidth="1"/>
    <col min="3334" max="3334" width="11.26953125" style="83" bestFit="1" customWidth="1"/>
    <col min="3335" max="3336" width="0" style="83" hidden="1" customWidth="1"/>
    <col min="3337" max="3337" width="11.54296875" style="83" bestFit="1" customWidth="1"/>
    <col min="3338" max="3338" width="16" style="83" bestFit="1" customWidth="1"/>
    <col min="3339" max="3339" width="8.7265625" style="83"/>
    <col min="3340" max="3340" width="15" style="83" bestFit="1" customWidth="1"/>
    <col min="3341" max="3341" width="14" style="83" bestFit="1" customWidth="1"/>
    <col min="3342" max="3570" width="8.7265625" style="83"/>
    <col min="3571" max="3571" width="16.26953125" style="83" customWidth="1"/>
    <col min="3572" max="3573" width="0" style="83" hidden="1" customWidth="1"/>
    <col min="3574" max="3574" width="13.26953125" style="83" bestFit="1" customWidth="1"/>
    <col min="3575" max="3576" width="16" style="83" bestFit="1" customWidth="1"/>
    <col min="3577" max="3577" width="8.7265625" style="83"/>
    <col min="3578" max="3579" width="16" style="83" bestFit="1" customWidth="1"/>
    <col min="3580" max="3580" width="8.7265625" style="83"/>
    <col min="3581" max="3581" width="0" style="83" hidden="1" customWidth="1"/>
    <col min="3582" max="3582" width="11.26953125" style="83" bestFit="1" customWidth="1"/>
    <col min="3583" max="3589" width="0" style="83" hidden="1" customWidth="1"/>
    <col min="3590" max="3590" width="11.26953125" style="83" bestFit="1" customWidth="1"/>
    <col min="3591" max="3592" width="0" style="83" hidden="1" customWidth="1"/>
    <col min="3593" max="3593" width="11.54296875" style="83" bestFit="1" customWidth="1"/>
    <col min="3594" max="3594" width="16" style="83" bestFit="1" customWidth="1"/>
    <col min="3595" max="3595" width="8.7265625" style="83"/>
    <col min="3596" max="3596" width="15" style="83" bestFit="1" customWidth="1"/>
    <col min="3597" max="3597" width="14" style="83" bestFit="1" customWidth="1"/>
    <col min="3598" max="3826" width="8.7265625" style="83"/>
    <col min="3827" max="3827" width="16.26953125" style="83" customWidth="1"/>
    <col min="3828" max="3829" width="0" style="83" hidden="1" customWidth="1"/>
    <col min="3830" max="3830" width="13.26953125" style="83" bestFit="1" customWidth="1"/>
    <col min="3831" max="3832" width="16" style="83" bestFit="1" customWidth="1"/>
    <col min="3833" max="3833" width="8.7265625" style="83"/>
    <col min="3834" max="3835" width="16" style="83" bestFit="1" customWidth="1"/>
    <col min="3836" max="3836" width="8.7265625" style="83"/>
    <col min="3837" max="3837" width="0" style="83" hidden="1" customWidth="1"/>
    <col min="3838" max="3838" width="11.26953125" style="83" bestFit="1" customWidth="1"/>
    <col min="3839" max="3845" width="0" style="83" hidden="1" customWidth="1"/>
    <col min="3846" max="3846" width="11.26953125" style="83" bestFit="1" customWidth="1"/>
    <col min="3847" max="3848" width="0" style="83" hidden="1" customWidth="1"/>
    <col min="3849" max="3849" width="11.54296875" style="83" bestFit="1" customWidth="1"/>
    <col min="3850" max="3850" width="16" style="83" bestFit="1" customWidth="1"/>
    <col min="3851" max="3851" width="8.7265625" style="83"/>
    <col min="3852" max="3852" width="15" style="83" bestFit="1" customWidth="1"/>
    <col min="3853" max="3853" width="14" style="83" bestFit="1" customWidth="1"/>
    <col min="3854" max="4082" width="8.7265625" style="83"/>
    <col min="4083" max="4083" width="16.26953125" style="83" customWidth="1"/>
    <col min="4084" max="4085" width="0" style="83" hidden="1" customWidth="1"/>
    <col min="4086" max="4086" width="13.26953125" style="83" bestFit="1" customWidth="1"/>
    <col min="4087" max="4088" width="16" style="83" bestFit="1" customWidth="1"/>
    <col min="4089" max="4089" width="8.7265625" style="83"/>
    <col min="4090" max="4091" width="16" style="83" bestFit="1" customWidth="1"/>
    <col min="4092" max="4092" width="8.7265625" style="83"/>
    <col min="4093" max="4093" width="0" style="83" hidden="1" customWidth="1"/>
    <col min="4094" max="4094" width="11.26953125" style="83" bestFit="1" customWidth="1"/>
    <col min="4095" max="4101" width="0" style="83" hidden="1" customWidth="1"/>
    <col min="4102" max="4102" width="11.26953125" style="83" bestFit="1" customWidth="1"/>
    <col min="4103" max="4104" width="0" style="83" hidden="1" customWidth="1"/>
    <col min="4105" max="4105" width="11.54296875" style="83" bestFit="1" customWidth="1"/>
    <col min="4106" max="4106" width="16" style="83" bestFit="1" customWidth="1"/>
    <col min="4107" max="4107" width="8.7265625" style="83"/>
    <col min="4108" max="4108" width="15" style="83" bestFit="1" customWidth="1"/>
    <col min="4109" max="4109" width="14" style="83" bestFit="1" customWidth="1"/>
    <col min="4110" max="4338" width="8.7265625" style="83"/>
    <col min="4339" max="4339" width="16.26953125" style="83" customWidth="1"/>
    <col min="4340" max="4341" width="0" style="83" hidden="1" customWidth="1"/>
    <col min="4342" max="4342" width="13.26953125" style="83" bestFit="1" customWidth="1"/>
    <col min="4343" max="4344" width="16" style="83" bestFit="1" customWidth="1"/>
    <col min="4345" max="4345" width="8.7265625" style="83"/>
    <col min="4346" max="4347" width="16" style="83" bestFit="1" customWidth="1"/>
    <col min="4348" max="4348" width="8.7265625" style="83"/>
    <col min="4349" max="4349" width="0" style="83" hidden="1" customWidth="1"/>
    <col min="4350" max="4350" width="11.26953125" style="83" bestFit="1" customWidth="1"/>
    <col min="4351" max="4357" width="0" style="83" hidden="1" customWidth="1"/>
    <col min="4358" max="4358" width="11.26953125" style="83" bestFit="1" customWidth="1"/>
    <col min="4359" max="4360" width="0" style="83" hidden="1" customWidth="1"/>
    <col min="4361" max="4361" width="11.54296875" style="83" bestFit="1" customWidth="1"/>
    <col min="4362" max="4362" width="16" style="83" bestFit="1" customWidth="1"/>
    <col min="4363" max="4363" width="8.7265625" style="83"/>
    <col min="4364" max="4364" width="15" style="83" bestFit="1" customWidth="1"/>
    <col min="4365" max="4365" width="14" style="83" bestFit="1" customWidth="1"/>
    <col min="4366" max="4594" width="8.7265625" style="83"/>
    <col min="4595" max="4595" width="16.26953125" style="83" customWidth="1"/>
    <col min="4596" max="4597" width="0" style="83" hidden="1" customWidth="1"/>
    <col min="4598" max="4598" width="13.26953125" style="83" bestFit="1" customWidth="1"/>
    <col min="4599" max="4600" width="16" style="83" bestFit="1" customWidth="1"/>
    <col min="4601" max="4601" width="8.7265625" style="83"/>
    <col min="4602" max="4603" width="16" style="83" bestFit="1" customWidth="1"/>
    <col min="4604" max="4604" width="8.7265625" style="83"/>
    <col min="4605" max="4605" width="0" style="83" hidden="1" customWidth="1"/>
    <col min="4606" max="4606" width="11.26953125" style="83" bestFit="1" customWidth="1"/>
    <col min="4607" max="4613" width="0" style="83" hidden="1" customWidth="1"/>
    <col min="4614" max="4614" width="11.26953125" style="83" bestFit="1" customWidth="1"/>
    <col min="4615" max="4616" width="0" style="83" hidden="1" customWidth="1"/>
    <col min="4617" max="4617" width="11.54296875" style="83" bestFit="1" customWidth="1"/>
    <col min="4618" max="4618" width="16" style="83" bestFit="1" customWidth="1"/>
    <col min="4619" max="4619" width="8.7265625" style="83"/>
    <col min="4620" max="4620" width="15" style="83" bestFit="1" customWidth="1"/>
    <col min="4621" max="4621" width="14" style="83" bestFit="1" customWidth="1"/>
    <col min="4622" max="4850" width="8.7265625" style="83"/>
    <col min="4851" max="4851" width="16.26953125" style="83" customWidth="1"/>
    <col min="4852" max="4853" width="0" style="83" hidden="1" customWidth="1"/>
    <col min="4854" max="4854" width="13.26953125" style="83" bestFit="1" customWidth="1"/>
    <col min="4855" max="4856" width="16" style="83" bestFit="1" customWidth="1"/>
    <col min="4857" max="4857" width="8.7265625" style="83"/>
    <col min="4858" max="4859" width="16" style="83" bestFit="1" customWidth="1"/>
    <col min="4860" max="4860" width="8.7265625" style="83"/>
    <col min="4861" max="4861" width="0" style="83" hidden="1" customWidth="1"/>
    <col min="4862" max="4862" width="11.26953125" style="83" bestFit="1" customWidth="1"/>
    <col min="4863" max="4869" width="0" style="83" hidden="1" customWidth="1"/>
    <col min="4870" max="4870" width="11.26953125" style="83" bestFit="1" customWidth="1"/>
    <col min="4871" max="4872" width="0" style="83" hidden="1" customWidth="1"/>
    <col min="4873" max="4873" width="11.54296875" style="83" bestFit="1" customWidth="1"/>
    <col min="4874" max="4874" width="16" style="83" bestFit="1" customWidth="1"/>
    <col min="4875" max="4875" width="8.7265625" style="83"/>
    <col min="4876" max="4876" width="15" style="83" bestFit="1" customWidth="1"/>
    <col min="4877" max="4877" width="14" style="83" bestFit="1" customWidth="1"/>
    <col min="4878" max="5106" width="8.7265625" style="83"/>
    <col min="5107" max="5107" width="16.26953125" style="83" customWidth="1"/>
    <col min="5108" max="5109" width="0" style="83" hidden="1" customWidth="1"/>
    <col min="5110" max="5110" width="13.26953125" style="83" bestFit="1" customWidth="1"/>
    <col min="5111" max="5112" width="16" style="83" bestFit="1" customWidth="1"/>
    <col min="5113" max="5113" width="8.7265625" style="83"/>
    <col min="5114" max="5115" width="16" style="83" bestFit="1" customWidth="1"/>
    <col min="5116" max="5116" width="8.7265625" style="83"/>
    <col min="5117" max="5117" width="0" style="83" hidden="1" customWidth="1"/>
    <col min="5118" max="5118" width="11.26953125" style="83" bestFit="1" customWidth="1"/>
    <col min="5119" max="5125" width="0" style="83" hidden="1" customWidth="1"/>
    <col min="5126" max="5126" width="11.26953125" style="83" bestFit="1" customWidth="1"/>
    <col min="5127" max="5128" width="0" style="83" hidden="1" customWidth="1"/>
    <col min="5129" max="5129" width="11.54296875" style="83" bestFit="1" customWidth="1"/>
    <col min="5130" max="5130" width="16" style="83" bestFit="1" customWidth="1"/>
    <col min="5131" max="5131" width="8.7265625" style="83"/>
    <col min="5132" max="5132" width="15" style="83" bestFit="1" customWidth="1"/>
    <col min="5133" max="5133" width="14" style="83" bestFit="1" customWidth="1"/>
    <col min="5134" max="5362" width="8.7265625" style="83"/>
    <col min="5363" max="5363" width="16.26953125" style="83" customWidth="1"/>
    <col min="5364" max="5365" width="0" style="83" hidden="1" customWidth="1"/>
    <col min="5366" max="5366" width="13.26953125" style="83" bestFit="1" customWidth="1"/>
    <col min="5367" max="5368" width="16" style="83" bestFit="1" customWidth="1"/>
    <col min="5369" max="5369" width="8.7265625" style="83"/>
    <col min="5370" max="5371" width="16" style="83" bestFit="1" customWidth="1"/>
    <col min="5372" max="5372" width="8.7265625" style="83"/>
    <col min="5373" max="5373" width="0" style="83" hidden="1" customWidth="1"/>
    <col min="5374" max="5374" width="11.26953125" style="83" bestFit="1" customWidth="1"/>
    <col min="5375" max="5381" width="0" style="83" hidden="1" customWidth="1"/>
    <col min="5382" max="5382" width="11.26953125" style="83" bestFit="1" customWidth="1"/>
    <col min="5383" max="5384" width="0" style="83" hidden="1" customWidth="1"/>
    <col min="5385" max="5385" width="11.54296875" style="83" bestFit="1" customWidth="1"/>
    <col min="5386" max="5386" width="16" style="83" bestFit="1" customWidth="1"/>
    <col min="5387" max="5387" width="8.7265625" style="83"/>
    <col min="5388" max="5388" width="15" style="83" bestFit="1" customWidth="1"/>
    <col min="5389" max="5389" width="14" style="83" bestFit="1" customWidth="1"/>
    <col min="5390" max="5618" width="8.7265625" style="83"/>
    <col min="5619" max="5619" width="16.26953125" style="83" customWidth="1"/>
    <col min="5620" max="5621" width="0" style="83" hidden="1" customWidth="1"/>
    <col min="5622" max="5622" width="13.26953125" style="83" bestFit="1" customWidth="1"/>
    <col min="5623" max="5624" width="16" style="83" bestFit="1" customWidth="1"/>
    <col min="5625" max="5625" width="8.7265625" style="83"/>
    <col min="5626" max="5627" width="16" style="83" bestFit="1" customWidth="1"/>
    <col min="5628" max="5628" width="8.7265625" style="83"/>
    <col min="5629" max="5629" width="0" style="83" hidden="1" customWidth="1"/>
    <col min="5630" max="5630" width="11.26953125" style="83" bestFit="1" customWidth="1"/>
    <col min="5631" max="5637" width="0" style="83" hidden="1" customWidth="1"/>
    <col min="5638" max="5638" width="11.26953125" style="83" bestFit="1" customWidth="1"/>
    <col min="5639" max="5640" width="0" style="83" hidden="1" customWidth="1"/>
    <col min="5641" max="5641" width="11.54296875" style="83" bestFit="1" customWidth="1"/>
    <col min="5642" max="5642" width="16" style="83" bestFit="1" customWidth="1"/>
    <col min="5643" max="5643" width="8.7265625" style="83"/>
    <col min="5644" max="5644" width="15" style="83" bestFit="1" customWidth="1"/>
    <col min="5645" max="5645" width="14" style="83" bestFit="1" customWidth="1"/>
    <col min="5646" max="5874" width="8.7265625" style="83"/>
    <col min="5875" max="5875" width="16.26953125" style="83" customWidth="1"/>
    <col min="5876" max="5877" width="0" style="83" hidden="1" customWidth="1"/>
    <col min="5878" max="5878" width="13.26953125" style="83" bestFit="1" customWidth="1"/>
    <col min="5879" max="5880" width="16" style="83" bestFit="1" customWidth="1"/>
    <col min="5881" max="5881" width="8.7265625" style="83"/>
    <col min="5882" max="5883" width="16" style="83" bestFit="1" customWidth="1"/>
    <col min="5884" max="5884" width="8.7265625" style="83"/>
    <col min="5885" max="5885" width="0" style="83" hidden="1" customWidth="1"/>
    <col min="5886" max="5886" width="11.26953125" style="83" bestFit="1" customWidth="1"/>
    <col min="5887" max="5893" width="0" style="83" hidden="1" customWidth="1"/>
    <col min="5894" max="5894" width="11.26953125" style="83" bestFit="1" customWidth="1"/>
    <col min="5895" max="5896" width="0" style="83" hidden="1" customWidth="1"/>
    <col min="5897" max="5897" width="11.54296875" style="83" bestFit="1" customWidth="1"/>
    <col min="5898" max="5898" width="16" style="83" bestFit="1" customWidth="1"/>
    <col min="5899" max="5899" width="8.7265625" style="83"/>
    <col min="5900" max="5900" width="15" style="83" bestFit="1" customWidth="1"/>
    <col min="5901" max="5901" width="14" style="83" bestFit="1" customWidth="1"/>
    <col min="5902" max="6130" width="8.7265625" style="83"/>
    <col min="6131" max="6131" width="16.26953125" style="83" customWidth="1"/>
    <col min="6132" max="6133" width="0" style="83" hidden="1" customWidth="1"/>
    <col min="6134" max="6134" width="13.26953125" style="83" bestFit="1" customWidth="1"/>
    <col min="6135" max="6136" width="16" style="83" bestFit="1" customWidth="1"/>
    <col min="6137" max="6137" width="8.7265625" style="83"/>
    <col min="6138" max="6139" width="16" style="83" bestFit="1" customWidth="1"/>
    <col min="6140" max="6140" width="8.7265625" style="83"/>
    <col min="6141" max="6141" width="0" style="83" hidden="1" customWidth="1"/>
    <col min="6142" max="6142" width="11.26953125" style="83" bestFit="1" customWidth="1"/>
    <col min="6143" max="6149" width="0" style="83" hidden="1" customWidth="1"/>
    <col min="6150" max="6150" width="11.26953125" style="83" bestFit="1" customWidth="1"/>
    <col min="6151" max="6152" width="0" style="83" hidden="1" customWidth="1"/>
    <col min="6153" max="6153" width="11.54296875" style="83" bestFit="1" customWidth="1"/>
    <col min="6154" max="6154" width="16" style="83" bestFit="1" customWidth="1"/>
    <col min="6155" max="6155" width="8.7265625" style="83"/>
    <col min="6156" max="6156" width="15" style="83" bestFit="1" customWidth="1"/>
    <col min="6157" max="6157" width="14" style="83" bestFit="1" customWidth="1"/>
    <col min="6158" max="6386" width="8.7265625" style="83"/>
    <col min="6387" max="6387" width="16.26953125" style="83" customWidth="1"/>
    <col min="6388" max="6389" width="0" style="83" hidden="1" customWidth="1"/>
    <col min="6390" max="6390" width="13.26953125" style="83" bestFit="1" customWidth="1"/>
    <col min="6391" max="6392" width="16" style="83" bestFit="1" customWidth="1"/>
    <col min="6393" max="6393" width="8.7265625" style="83"/>
    <col min="6394" max="6395" width="16" style="83" bestFit="1" customWidth="1"/>
    <col min="6396" max="6396" width="8.7265625" style="83"/>
    <col min="6397" max="6397" width="0" style="83" hidden="1" customWidth="1"/>
    <col min="6398" max="6398" width="11.26953125" style="83" bestFit="1" customWidth="1"/>
    <col min="6399" max="6405" width="0" style="83" hidden="1" customWidth="1"/>
    <col min="6406" max="6406" width="11.26953125" style="83" bestFit="1" customWidth="1"/>
    <col min="6407" max="6408" width="0" style="83" hidden="1" customWidth="1"/>
    <col min="6409" max="6409" width="11.54296875" style="83" bestFit="1" customWidth="1"/>
    <col min="6410" max="6410" width="16" style="83" bestFit="1" customWidth="1"/>
    <col min="6411" max="6411" width="8.7265625" style="83"/>
    <col min="6412" max="6412" width="15" style="83" bestFit="1" customWidth="1"/>
    <col min="6413" max="6413" width="14" style="83" bestFit="1" customWidth="1"/>
    <col min="6414" max="6642" width="8.7265625" style="83"/>
    <col min="6643" max="6643" width="16.26953125" style="83" customWidth="1"/>
    <col min="6644" max="6645" width="0" style="83" hidden="1" customWidth="1"/>
    <col min="6646" max="6646" width="13.26953125" style="83" bestFit="1" customWidth="1"/>
    <col min="6647" max="6648" width="16" style="83" bestFit="1" customWidth="1"/>
    <col min="6649" max="6649" width="8.7265625" style="83"/>
    <col min="6650" max="6651" width="16" style="83" bestFit="1" customWidth="1"/>
    <col min="6652" max="6652" width="8.7265625" style="83"/>
    <col min="6653" max="6653" width="0" style="83" hidden="1" customWidth="1"/>
    <col min="6654" max="6654" width="11.26953125" style="83" bestFit="1" customWidth="1"/>
    <col min="6655" max="6661" width="0" style="83" hidden="1" customWidth="1"/>
    <col min="6662" max="6662" width="11.26953125" style="83" bestFit="1" customWidth="1"/>
    <col min="6663" max="6664" width="0" style="83" hidden="1" customWidth="1"/>
    <col min="6665" max="6665" width="11.54296875" style="83" bestFit="1" customWidth="1"/>
    <col min="6666" max="6666" width="16" style="83" bestFit="1" customWidth="1"/>
    <col min="6667" max="6667" width="8.7265625" style="83"/>
    <col min="6668" max="6668" width="15" style="83" bestFit="1" customWidth="1"/>
    <col min="6669" max="6669" width="14" style="83" bestFit="1" customWidth="1"/>
    <col min="6670" max="6898" width="8.7265625" style="83"/>
    <col min="6899" max="6899" width="16.26953125" style="83" customWidth="1"/>
    <col min="6900" max="6901" width="0" style="83" hidden="1" customWidth="1"/>
    <col min="6902" max="6902" width="13.26953125" style="83" bestFit="1" customWidth="1"/>
    <col min="6903" max="6904" width="16" style="83" bestFit="1" customWidth="1"/>
    <col min="6905" max="6905" width="8.7265625" style="83"/>
    <col min="6906" max="6907" width="16" style="83" bestFit="1" customWidth="1"/>
    <col min="6908" max="6908" width="8.7265625" style="83"/>
    <col min="6909" max="6909" width="0" style="83" hidden="1" customWidth="1"/>
    <col min="6910" max="6910" width="11.26953125" style="83" bestFit="1" customWidth="1"/>
    <col min="6911" max="6917" width="0" style="83" hidden="1" customWidth="1"/>
    <col min="6918" max="6918" width="11.26953125" style="83" bestFit="1" customWidth="1"/>
    <col min="6919" max="6920" width="0" style="83" hidden="1" customWidth="1"/>
    <col min="6921" max="6921" width="11.54296875" style="83" bestFit="1" customWidth="1"/>
    <col min="6922" max="6922" width="16" style="83" bestFit="1" customWidth="1"/>
    <col min="6923" max="6923" width="8.7265625" style="83"/>
    <col min="6924" max="6924" width="15" style="83" bestFit="1" customWidth="1"/>
    <col min="6925" max="6925" width="14" style="83" bestFit="1" customWidth="1"/>
    <col min="6926" max="7154" width="8.7265625" style="83"/>
    <col min="7155" max="7155" width="16.26953125" style="83" customWidth="1"/>
    <col min="7156" max="7157" width="0" style="83" hidden="1" customWidth="1"/>
    <col min="7158" max="7158" width="13.26953125" style="83" bestFit="1" customWidth="1"/>
    <col min="7159" max="7160" width="16" style="83" bestFit="1" customWidth="1"/>
    <col min="7161" max="7161" width="8.7265625" style="83"/>
    <col min="7162" max="7163" width="16" style="83" bestFit="1" customWidth="1"/>
    <col min="7164" max="7164" width="8.7265625" style="83"/>
    <col min="7165" max="7165" width="0" style="83" hidden="1" customWidth="1"/>
    <col min="7166" max="7166" width="11.26953125" style="83" bestFit="1" customWidth="1"/>
    <col min="7167" max="7173" width="0" style="83" hidden="1" customWidth="1"/>
    <col min="7174" max="7174" width="11.26953125" style="83" bestFit="1" customWidth="1"/>
    <col min="7175" max="7176" width="0" style="83" hidden="1" customWidth="1"/>
    <col min="7177" max="7177" width="11.54296875" style="83" bestFit="1" customWidth="1"/>
    <col min="7178" max="7178" width="16" style="83" bestFit="1" customWidth="1"/>
    <col min="7179" max="7179" width="8.7265625" style="83"/>
    <col min="7180" max="7180" width="15" style="83" bestFit="1" customWidth="1"/>
    <col min="7181" max="7181" width="14" style="83" bestFit="1" customWidth="1"/>
    <col min="7182" max="7410" width="8.7265625" style="83"/>
    <col min="7411" max="7411" width="16.26953125" style="83" customWidth="1"/>
    <col min="7412" max="7413" width="0" style="83" hidden="1" customWidth="1"/>
    <col min="7414" max="7414" width="13.26953125" style="83" bestFit="1" customWidth="1"/>
    <col min="7415" max="7416" width="16" style="83" bestFit="1" customWidth="1"/>
    <col min="7417" max="7417" width="8.7265625" style="83"/>
    <col min="7418" max="7419" width="16" style="83" bestFit="1" customWidth="1"/>
    <col min="7420" max="7420" width="8.7265625" style="83"/>
    <col min="7421" max="7421" width="0" style="83" hidden="1" customWidth="1"/>
    <col min="7422" max="7422" width="11.26953125" style="83" bestFit="1" customWidth="1"/>
    <col min="7423" max="7429" width="0" style="83" hidden="1" customWidth="1"/>
    <col min="7430" max="7430" width="11.26953125" style="83" bestFit="1" customWidth="1"/>
    <col min="7431" max="7432" width="0" style="83" hidden="1" customWidth="1"/>
    <col min="7433" max="7433" width="11.54296875" style="83" bestFit="1" customWidth="1"/>
    <col min="7434" max="7434" width="16" style="83" bestFit="1" customWidth="1"/>
    <col min="7435" max="7435" width="8.7265625" style="83"/>
    <col min="7436" max="7436" width="15" style="83" bestFit="1" customWidth="1"/>
    <col min="7437" max="7437" width="14" style="83" bestFit="1" customWidth="1"/>
    <col min="7438" max="7666" width="8.7265625" style="83"/>
    <col min="7667" max="7667" width="16.26953125" style="83" customWidth="1"/>
    <col min="7668" max="7669" width="0" style="83" hidden="1" customWidth="1"/>
    <col min="7670" max="7670" width="13.26953125" style="83" bestFit="1" customWidth="1"/>
    <col min="7671" max="7672" width="16" style="83" bestFit="1" customWidth="1"/>
    <col min="7673" max="7673" width="8.7265625" style="83"/>
    <col min="7674" max="7675" width="16" style="83" bestFit="1" customWidth="1"/>
    <col min="7676" max="7676" width="8.7265625" style="83"/>
    <col min="7677" max="7677" width="0" style="83" hidden="1" customWidth="1"/>
    <col min="7678" max="7678" width="11.26953125" style="83" bestFit="1" customWidth="1"/>
    <col min="7679" max="7685" width="0" style="83" hidden="1" customWidth="1"/>
    <col min="7686" max="7686" width="11.26953125" style="83" bestFit="1" customWidth="1"/>
    <col min="7687" max="7688" width="0" style="83" hidden="1" customWidth="1"/>
    <col min="7689" max="7689" width="11.54296875" style="83" bestFit="1" customWidth="1"/>
    <col min="7690" max="7690" width="16" style="83" bestFit="1" customWidth="1"/>
    <col min="7691" max="7691" width="8.7265625" style="83"/>
    <col min="7692" max="7692" width="15" style="83" bestFit="1" customWidth="1"/>
    <col min="7693" max="7693" width="14" style="83" bestFit="1" customWidth="1"/>
    <col min="7694" max="7922" width="8.7265625" style="83"/>
    <col min="7923" max="7923" width="16.26953125" style="83" customWidth="1"/>
    <col min="7924" max="7925" width="0" style="83" hidden="1" customWidth="1"/>
    <col min="7926" max="7926" width="13.26953125" style="83" bestFit="1" customWidth="1"/>
    <col min="7927" max="7928" width="16" style="83" bestFit="1" customWidth="1"/>
    <col min="7929" max="7929" width="8.7265625" style="83"/>
    <col min="7930" max="7931" width="16" style="83" bestFit="1" customWidth="1"/>
    <col min="7932" max="7932" width="8.7265625" style="83"/>
    <col min="7933" max="7933" width="0" style="83" hidden="1" customWidth="1"/>
    <col min="7934" max="7934" width="11.26953125" style="83" bestFit="1" customWidth="1"/>
    <col min="7935" max="7941" width="0" style="83" hidden="1" customWidth="1"/>
    <col min="7942" max="7942" width="11.26953125" style="83" bestFit="1" customWidth="1"/>
    <col min="7943" max="7944" width="0" style="83" hidden="1" customWidth="1"/>
    <col min="7945" max="7945" width="11.54296875" style="83" bestFit="1" customWidth="1"/>
    <col min="7946" max="7946" width="16" style="83" bestFit="1" customWidth="1"/>
    <col min="7947" max="7947" width="8.7265625" style="83"/>
    <col min="7948" max="7948" width="15" style="83" bestFit="1" customWidth="1"/>
    <col min="7949" max="7949" width="14" style="83" bestFit="1" customWidth="1"/>
    <col min="7950" max="8178" width="8.7265625" style="83"/>
    <col min="8179" max="8179" width="16.26953125" style="83" customWidth="1"/>
    <col min="8180" max="8181" width="0" style="83" hidden="1" customWidth="1"/>
    <col min="8182" max="8182" width="13.26953125" style="83" bestFit="1" customWidth="1"/>
    <col min="8183" max="8184" width="16" style="83" bestFit="1" customWidth="1"/>
    <col min="8185" max="8185" width="8.7265625" style="83"/>
    <col min="8186" max="8187" width="16" style="83" bestFit="1" customWidth="1"/>
    <col min="8188" max="8188" width="8.7265625" style="83"/>
    <col min="8189" max="8189" width="0" style="83" hidden="1" customWidth="1"/>
    <col min="8190" max="8190" width="11.26953125" style="83" bestFit="1" customWidth="1"/>
    <col min="8191" max="8197" width="0" style="83" hidden="1" customWidth="1"/>
    <col min="8198" max="8198" width="11.26953125" style="83" bestFit="1" customWidth="1"/>
    <col min="8199" max="8200" width="0" style="83" hidden="1" customWidth="1"/>
    <col min="8201" max="8201" width="11.54296875" style="83" bestFit="1" customWidth="1"/>
    <col min="8202" max="8202" width="16" style="83" bestFit="1" customWidth="1"/>
    <col min="8203" max="8203" width="8.7265625" style="83"/>
    <col min="8204" max="8204" width="15" style="83" bestFit="1" customWidth="1"/>
    <col min="8205" max="8205" width="14" style="83" bestFit="1" customWidth="1"/>
    <col min="8206" max="8434" width="8.7265625" style="83"/>
    <col min="8435" max="8435" width="16.26953125" style="83" customWidth="1"/>
    <col min="8436" max="8437" width="0" style="83" hidden="1" customWidth="1"/>
    <col min="8438" max="8438" width="13.26953125" style="83" bestFit="1" customWidth="1"/>
    <col min="8439" max="8440" width="16" style="83" bestFit="1" customWidth="1"/>
    <col min="8441" max="8441" width="8.7265625" style="83"/>
    <col min="8442" max="8443" width="16" style="83" bestFit="1" customWidth="1"/>
    <col min="8444" max="8444" width="8.7265625" style="83"/>
    <col min="8445" max="8445" width="0" style="83" hidden="1" customWidth="1"/>
    <col min="8446" max="8446" width="11.26953125" style="83" bestFit="1" customWidth="1"/>
    <col min="8447" max="8453" width="0" style="83" hidden="1" customWidth="1"/>
    <col min="8454" max="8454" width="11.26953125" style="83" bestFit="1" customWidth="1"/>
    <col min="8455" max="8456" width="0" style="83" hidden="1" customWidth="1"/>
    <col min="8457" max="8457" width="11.54296875" style="83" bestFit="1" customWidth="1"/>
    <col min="8458" max="8458" width="16" style="83" bestFit="1" customWidth="1"/>
    <col min="8459" max="8459" width="8.7265625" style="83"/>
    <col min="8460" max="8460" width="15" style="83" bestFit="1" customWidth="1"/>
    <col min="8461" max="8461" width="14" style="83" bestFit="1" customWidth="1"/>
    <col min="8462" max="8690" width="8.7265625" style="83"/>
    <col min="8691" max="8691" width="16.26953125" style="83" customWidth="1"/>
    <col min="8692" max="8693" width="0" style="83" hidden="1" customWidth="1"/>
    <col min="8694" max="8694" width="13.26953125" style="83" bestFit="1" customWidth="1"/>
    <col min="8695" max="8696" width="16" style="83" bestFit="1" customWidth="1"/>
    <col min="8697" max="8697" width="8.7265625" style="83"/>
    <col min="8698" max="8699" width="16" style="83" bestFit="1" customWidth="1"/>
    <col min="8700" max="8700" width="8.7265625" style="83"/>
    <col min="8701" max="8701" width="0" style="83" hidden="1" customWidth="1"/>
    <col min="8702" max="8702" width="11.26953125" style="83" bestFit="1" customWidth="1"/>
    <col min="8703" max="8709" width="0" style="83" hidden="1" customWidth="1"/>
    <col min="8710" max="8710" width="11.26953125" style="83" bestFit="1" customWidth="1"/>
    <col min="8711" max="8712" width="0" style="83" hidden="1" customWidth="1"/>
    <col min="8713" max="8713" width="11.54296875" style="83" bestFit="1" customWidth="1"/>
    <col min="8714" max="8714" width="16" style="83" bestFit="1" customWidth="1"/>
    <col min="8715" max="8715" width="8.7265625" style="83"/>
    <col min="8716" max="8716" width="15" style="83" bestFit="1" customWidth="1"/>
    <col min="8717" max="8717" width="14" style="83" bestFit="1" customWidth="1"/>
    <col min="8718" max="8946" width="8.7265625" style="83"/>
    <col min="8947" max="8947" width="16.26953125" style="83" customWidth="1"/>
    <col min="8948" max="8949" width="0" style="83" hidden="1" customWidth="1"/>
    <col min="8950" max="8950" width="13.26953125" style="83" bestFit="1" customWidth="1"/>
    <col min="8951" max="8952" width="16" style="83" bestFit="1" customWidth="1"/>
    <col min="8953" max="8953" width="8.7265625" style="83"/>
    <col min="8954" max="8955" width="16" style="83" bestFit="1" customWidth="1"/>
    <col min="8956" max="8956" width="8.7265625" style="83"/>
    <col min="8957" max="8957" width="0" style="83" hidden="1" customWidth="1"/>
    <col min="8958" max="8958" width="11.26953125" style="83" bestFit="1" customWidth="1"/>
    <col min="8959" max="8965" width="0" style="83" hidden="1" customWidth="1"/>
    <col min="8966" max="8966" width="11.26953125" style="83" bestFit="1" customWidth="1"/>
    <col min="8967" max="8968" width="0" style="83" hidden="1" customWidth="1"/>
    <col min="8969" max="8969" width="11.54296875" style="83" bestFit="1" customWidth="1"/>
    <col min="8970" max="8970" width="16" style="83" bestFit="1" customWidth="1"/>
    <col min="8971" max="8971" width="8.7265625" style="83"/>
    <col min="8972" max="8972" width="15" style="83" bestFit="1" customWidth="1"/>
    <col min="8973" max="8973" width="14" style="83" bestFit="1" customWidth="1"/>
    <col min="8974" max="9202" width="8.7265625" style="83"/>
    <col min="9203" max="9203" width="16.26953125" style="83" customWidth="1"/>
    <col min="9204" max="9205" width="0" style="83" hidden="1" customWidth="1"/>
    <col min="9206" max="9206" width="13.26953125" style="83" bestFit="1" customWidth="1"/>
    <col min="9207" max="9208" width="16" style="83" bestFit="1" customWidth="1"/>
    <col min="9209" max="9209" width="8.7265625" style="83"/>
    <col min="9210" max="9211" width="16" style="83" bestFit="1" customWidth="1"/>
    <col min="9212" max="9212" width="8.7265625" style="83"/>
    <col min="9213" max="9213" width="0" style="83" hidden="1" customWidth="1"/>
    <col min="9214" max="9214" width="11.26953125" style="83" bestFit="1" customWidth="1"/>
    <col min="9215" max="9221" width="0" style="83" hidden="1" customWidth="1"/>
    <col min="9222" max="9222" width="11.26953125" style="83" bestFit="1" customWidth="1"/>
    <col min="9223" max="9224" width="0" style="83" hidden="1" customWidth="1"/>
    <col min="9225" max="9225" width="11.54296875" style="83" bestFit="1" customWidth="1"/>
    <col min="9226" max="9226" width="16" style="83" bestFit="1" customWidth="1"/>
    <col min="9227" max="9227" width="8.7265625" style="83"/>
    <col min="9228" max="9228" width="15" style="83" bestFit="1" customWidth="1"/>
    <col min="9229" max="9229" width="14" style="83" bestFit="1" customWidth="1"/>
    <col min="9230" max="9458" width="8.7265625" style="83"/>
    <col min="9459" max="9459" width="16.26953125" style="83" customWidth="1"/>
    <col min="9460" max="9461" width="0" style="83" hidden="1" customWidth="1"/>
    <col min="9462" max="9462" width="13.26953125" style="83" bestFit="1" customWidth="1"/>
    <col min="9463" max="9464" width="16" style="83" bestFit="1" customWidth="1"/>
    <col min="9465" max="9465" width="8.7265625" style="83"/>
    <col min="9466" max="9467" width="16" style="83" bestFit="1" customWidth="1"/>
    <col min="9468" max="9468" width="8.7265625" style="83"/>
    <col min="9469" max="9469" width="0" style="83" hidden="1" customWidth="1"/>
    <col min="9470" max="9470" width="11.26953125" style="83" bestFit="1" customWidth="1"/>
    <col min="9471" max="9477" width="0" style="83" hidden="1" customWidth="1"/>
    <col min="9478" max="9478" width="11.26953125" style="83" bestFit="1" customWidth="1"/>
    <col min="9479" max="9480" width="0" style="83" hidden="1" customWidth="1"/>
    <col min="9481" max="9481" width="11.54296875" style="83" bestFit="1" customWidth="1"/>
    <col min="9482" max="9482" width="16" style="83" bestFit="1" customWidth="1"/>
    <col min="9483" max="9483" width="8.7265625" style="83"/>
    <col min="9484" max="9484" width="15" style="83" bestFit="1" customWidth="1"/>
    <col min="9485" max="9485" width="14" style="83" bestFit="1" customWidth="1"/>
    <col min="9486" max="9714" width="8.7265625" style="83"/>
    <col min="9715" max="9715" width="16.26953125" style="83" customWidth="1"/>
    <col min="9716" max="9717" width="0" style="83" hidden="1" customWidth="1"/>
    <col min="9718" max="9718" width="13.26953125" style="83" bestFit="1" customWidth="1"/>
    <col min="9719" max="9720" width="16" style="83" bestFit="1" customWidth="1"/>
    <col min="9721" max="9721" width="8.7265625" style="83"/>
    <col min="9722" max="9723" width="16" style="83" bestFit="1" customWidth="1"/>
    <col min="9724" max="9724" width="8.7265625" style="83"/>
    <col min="9725" max="9725" width="0" style="83" hidden="1" customWidth="1"/>
    <col min="9726" max="9726" width="11.26953125" style="83" bestFit="1" customWidth="1"/>
    <col min="9727" max="9733" width="0" style="83" hidden="1" customWidth="1"/>
    <col min="9734" max="9734" width="11.26953125" style="83" bestFit="1" customWidth="1"/>
    <col min="9735" max="9736" width="0" style="83" hidden="1" customWidth="1"/>
    <col min="9737" max="9737" width="11.54296875" style="83" bestFit="1" customWidth="1"/>
    <col min="9738" max="9738" width="16" style="83" bestFit="1" customWidth="1"/>
    <col min="9739" max="9739" width="8.7265625" style="83"/>
    <col min="9740" max="9740" width="15" style="83" bestFit="1" customWidth="1"/>
    <col min="9741" max="9741" width="14" style="83" bestFit="1" customWidth="1"/>
    <col min="9742" max="9970" width="8.7265625" style="83"/>
    <col min="9971" max="9971" width="16.26953125" style="83" customWidth="1"/>
    <col min="9972" max="9973" width="0" style="83" hidden="1" customWidth="1"/>
    <col min="9974" max="9974" width="13.26953125" style="83" bestFit="1" customWidth="1"/>
    <col min="9975" max="9976" width="16" style="83" bestFit="1" customWidth="1"/>
    <col min="9977" max="9977" width="8.7265625" style="83"/>
    <col min="9978" max="9979" width="16" style="83" bestFit="1" customWidth="1"/>
    <col min="9980" max="9980" width="8.7265625" style="83"/>
    <col min="9981" max="9981" width="0" style="83" hidden="1" customWidth="1"/>
    <col min="9982" max="9982" width="11.26953125" style="83" bestFit="1" customWidth="1"/>
    <col min="9983" max="9989" width="0" style="83" hidden="1" customWidth="1"/>
    <col min="9990" max="9990" width="11.26953125" style="83" bestFit="1" customWidth="1"/>
    <col min="9991" max="9992" width="0" style="83" hidden="1" customWidth="1"/>
    <col min="9993" max="9993" width="11.54296875" style="83" bestFit="1" customWidth="1"/>
    <col min="9994" max="9994" width="16" style="83" bestFit="1" customWidth="1"/>
    <col min="9995" max="9995" width="8.7265625" style="83"/>
    <col min="9996" max="9996" width="15" style="83" bestFit="1" customWidth="1"/>
    <col min="9997" max="9997" width="14" style="83" bestFit="1" customWidth="1"/>
    <col min="9998" max="10226" width="8.7265625" style="83"/>
    <col min="10227" max="10227" width="16.26953125" style="83" customWidth="1"/>
    <col min="10228" max="10229" width="0" style="83" hidden="1" customWidth="1"/>
    <col min="10230" max="10230" width="13.26953125" style="83" bestFit="1" customWidth="1"/>
    <col min="10231" max="10232" width="16" style="83" bestFit="1" customWidth="1"/>
    <col min="10233" max="10233" width="8.7265625" style="83"/>
    <col min="10234" max="10235" width="16" style="83" bestFit="1" customWidth="1"/>
    <col min="10236" max="10236" width="8.7265625" style="83"/>
    <col min="10237" max="10237" width="0" style="83" hidden="1" customWidth="1"/>
    <col min="10238" max="10238" width="11.26953125" style="83" bestFit="1" customWidth="1"/>
    <col min="10239" max="10245" width="0" style="83" hidden="1" customWidth="1"/>
    <col min="10246" max="10246" width="11.26953125" style="83" bestFit="1" customWidth="1"/>
    <col min="10247" max="10248" width="0" style="83" hidden="1" customWidth="1"/>
    <col min="10249" max="10249" width="11.54296875" style="83" bestFit="1" customWidth="1"/>
    <col min="10250" max="10250" width="16" style="83" bestFit="1" customWidth="1"/>
    <col min="10251" max="10251" width="8.7265625" style="83"/>
    <col min="10252" max="10252" width="15" style="83" bestFit="1" customWidth="1"/>
    <col min="10253" max="10253" width="14" style="83" bestFit="1" customWidth="1"/>
    <col min="10254" max="10482" width="8.7265625" style="83"/>
    <col min="10483" max="10483" width="16.26953125" style="83" customWidth="1"/>
    <col min="10484" max="10485" width="0" style="83" hidden="1" customWidth="1"/>
    <col min="10486" max="10486" width="13.26953125" style="83" bestFit="1" customWidth="1"/>
    <col min="10487" max="10488" width="16" style="83" bestFit="1" customWidth="1"/>
    <col min="10489" max="10489" width="8.7265625" style="83"/>
    <col min="10490" max="10491" width="16" style="83" bestFit="1" customWidth="1"/>
    <col min="10492" max="10492" width="8.7265625" style="83"/>
    <col min="10493" max="10493" width="0" style="83" hidden="1" customWidth="1"/>
    <col min="10494" max="10494" width="11.26953125" style="83" bestFit="1" customWidth="1"/>
    <col min="10495" max="10501" width="0" style="83" hidden="1" customWidth="1"/>
    <col min="10502" max="10502" width="11.26953125" style="83" bestFit="1" customWidth="1"/>
    <col min="10503" max="10504" width="0" style="83" hidden="1" customWidth="1"/>
    <col min="10505" max="10505" width="11.54296875" style="83" bestFit="1" customWidth="1"/>
    <col min="10506" max="10506" width="16" style="83" bestFit="1" customWidth="1"/>
    <col min="10507" max="10507" width="8.7265625" style="83"/>
    <col min="10508" max="10508" width="15" style="83" bestFit="1" customWidth="1"/>
    <col min="10509" max="10509" width="14" style="83" bestFit="1" customWidth="1"/>
    <col min="10510" max="10738" width="8.7265625" style="83"/>
    <col min="10739" max="10739" width="16.26953125" style="83" customWidth="1"/>
    <col min="10740" max="10741" width="0" style="83" hidden="1" customWidth="1"/>
    <col min="10742" max="10742" width="13.26953125" style="83" bestFit="1" customWidth="1"/>
    <col min="10743" max="10744" width="16" style="83" bestFit="1" customWidth="1"/>
    <col min="10745" max="10745" width="8.7265625" style="83"/>
    <col min="10746" max="10747" width="16" style="83" bestFit="1" customWidth="1"/>
    <col min="10748" max="10748" width="8.7265625" style="83"/>
    <col min="10749" max="10749" width="0" style="83" hidden="1" customWidth="1"/>
    <col min="10750" max="10750" width="11.26953125" style="83" bestFit="1" customWidth="1"/>
    <col min="10751" max="10757" width="0" style="83" hidden="1" customWidth="1"/>
    <col min="10758" max="10758" width="11.26953125" style="83" bestFit="1" customWidth="1"/>
    <col min="10759" max="10760" width="0" style="83" hidden="1" customWidth="1"/>
    <col min="10761" max="10761" width="11.54296875" style="83" bestFit="1" customWidth="1"/>
    <col min="10762" max="10762" width="16" style="83" bestFit="1" customWidth="1"/>
    <col min="10763" max="10763" width="8.7265625" style="83"/>
    <col min="10764" max="10764" width="15" style="83" bestFit="1" customWidth="1"/>
    <col min="10765" max="10765" width="14" style="83" bestFit="1" customWidth="1"/>
    <col min="10766" max="10994" width="8.7265625" style="83"/>
    <col min="10995" max="10995" width="16.26953125" style="83" customWidth="1"/>
    <col min="10996" max="10997" width="0" style="83" hidden="1" customWidth="1"/>
    <col min="10998" max="10998" width="13.26953125" style="83" bestFit="1" customWidth="1"/>
    <col min="10999" max="11000" width="16" style="83" bestFit="1" customWidth="1"/>
    <col min="11001" max="11001" width="8.7265625" style="83"/>
    <col min="11002" max="11003" width="16" style="83" bestFit="1" customWidth="1"/>
    <col min="11004" max="11004" width="8.7265625" style="83"/>
    <col min="11005" max="11005" width="0" style="83" hidden="1" customWidth="1"/>
    <col min="11006" max="11006" width="11.26953125" style="83" bestFit="1" customWidth="1"/>
    <col min="11007" max="11013" width="0" style="83" hidden="1" customWidth="1"/>
    <col min="11014" max="11014" width="11.26953125" style="83" bestFit="1" customWidth="1"/>
    <col min="11015" max="11016" width="0" style="83" hidden="1" customWidth="1"/>
    <col min="11017" max="11017" width="11.54296875" style="83" bestFit="1" customWidth="1"/>
    <col min="11018" max="11018" width="16" style="83" bestFit="1" customWidth="1"/>
    <col min="11019" max="11019" width="8.7265625" style="83"/>
    <col min="11020" max="11020" width="15" style="83" bestFit="1" customWidth="1"/>
    <col min="11021" max="11021" width="14" style="83" bestFit="1" customWidth="1"/>
    <col min="11022" max="11250" width="8.7265625" style="83"/>
    <col min="11251" max="11251" width="16.26953125" style="83" customWidth="1"/>
    <col min="11252" max="11253" width="0" style="83" hidden="1" customWidth="1"/>
    <col min="11254" max="11254" width="13.26953125" style="83" bestFit="1" customWidth="1"/>
    <col min="11255" max="11256" width="16" style="83" bestFit="1" customWidth="1"/>
    <col min="11257" max="11257" width="8.7265625" style="83"/>
    <col min="11258" max="11259" width="16" style="83" bestFit="1" customWidth="1"/>
    <col min="11260" max="11260" width="8.7265625" style="83"/>
    <col min="11261" max="11261" width="0" style="83" hidden="1" customWidth="1"/>
    <col min="11262" max="11262" width="11.26953125" style="83" bestFit="1" customWidth="1"/>
    <col min="11263" max="11269" width="0" style="83" hidden="1" customWidth="1"/>
    <col min="11270" max="11270" width="11.26953125" style="83" bestFit="1" customWidth="1"/>
    <col min="11271" max="11272" width="0" style="83" hidden="1" customWidth="1"/>
    <col min="11273" max="11273" width="11.54296875" style="83" bestFit="1" customWidth="1"/>
    <col min="11274" max="11274" width="16" style="83" bestFit="1" customWidth="1"/>
    <col min="11275" max="11275" width="8.7265625" style="83"/>
    <col min="11276" max="11276" width="15" style="83" bestFit="1" customWidth="1"/>
    <col min="11277" max="11277" width="14" style="83" bestFit="1" customWidth="1"/>
    <col min="11278" max="11506" width="8.7265625" style="83"/>
    <col min="11507" max="11507" width="16.26953125" style="83" customWidth="1"/>
    <col min="11508" max="11509" width="0" style="83" hidden="1" customWidth="1"/>
    <col min="11510" max="11510" width="13.26953125" style="83" bestFit="1" customWidth="1"/>
    <col min="11511" max="11512" width="16" style="83" bestFit="1" customWidth="1"/>
    <col min="11513" max="11513" width="8.7265625" style="83"/>
    <col min="11514" max="11515" width="16" style="83" bestFit="1" customWidth="1"/>
    <col min="11516" max="11516" width="8.7265625" style="83"/>
    <col min="11517" max="11517" width="0" style="83" hidden="1" customWidth="1"/>
    <col min="11518" max="11518" width="11.26953125" style="83" bestFit="1" customWidth="1"/>
    <col min="11519" max="11525" width="0" style="83" hidden="1" customWidth="1"/>
    <col min="11526" max="11526" width="11.26953125" style="83" bestFit="1" customWidth="1"/>
    <col min="11527" max="11528" width="0" style="83" hidden="1" customWidth="1"/>
    <col min="11529" max="11529" width="11.54296875" style="83" bestFit="1" customWidth="1"/>
    <col min="11530" max="11530" width="16" style="83" bestFit="1" customWidth="1"/>
    <col min="11531" max="11531" width="8.7265625" style="83"/>
    <col min="11532" max="11532" width="15" style="83" bestFit="1" customWidth="1"/>
    <col min="11533" max="11533" width="14" style="83" bestFit="1" customWidth="1"/>
    <col min="11534" max="11762" width="8.7265625" style="83"/>
    <col min="11763" max="11763" width="16.26953125" style="83" customWidth="1"/>
    <col min="11764" max="11765" width="0" style="83" hidden="1" customWidth="1"/>
    <col min="11766" max="11766" width="13.26953125" style="83" bestFit="1" customWidth="1"/>
    <col min="11767" max="11768" width="16" style="83" bestFit="1" customWidth="1"/>
    <col min="11769" max="11769" width="8.7265625" style="83"/>
    <col min="11770" max="11771" width="16" style="83" bestFit="1" customWidth="1"/>
    <col min="11772" max="11772" width="8.7265625" style="83"/>
    <col min="11773" max="11773" width="0" style="83" hidden="1" customWidth="1"/>
    <col min="11774" max="11774" width="11.26953125" style="83" bestFit="1" customWidth="1"/>
    <col min="11775" max="11781" width="0" style="83" hidden="1" customWidth="1"/>
    <col min="11782" max="11782" width="11.26953125" style="83" bestFit="1" customWidth="1"/>
    <col min="11783" max="11784" width="0" style="83" hidden="1" customWidth="1"/>
    <col min="11785" max="11785" width="11.54296875" style="83" bestFit="1" customWidth="1"/>
    <col min="11786" max="11786" width="16" style="83" bestFit="1" customWidth="1"/>
    <col min="11787" max="11787" width="8.7265625" style="83"/>
    <col min="11788" max="11788" width="15" style="83" bestFit="1" customWidth="1"/>
    <col min="11789" max="11789" width="14" style="83" bestFit="1" customWidth="1"/>
    <col min="11790" max="12018" width="8.7265625" style="83"/>
    <col min="12019" max="12019" width="16.26953125" style="83" customWidth="1"/>
    <col min="12020" max="12021" width="0" style="83" hidden="1" customWidth="1"/>
    <col min="12022" max="12022" width="13.26953125" style="83" bestFit="1" customWidth="1"/>
    <col min="12023" max="12024" width="16" style="83" bestFit="1" customWidth="1"/>
    <col min="12025" max="12025" width="8.7265625" style="83"/>
    <col min="12026" max="12027" width="16" style="83" bestFit="1" customWidth="1"/>
    <col min="12028" max="12028" width="8.7265625" style="83"/>
    <col min="12029" max="12029" width="0" style="83" hidden="1" customWidth="1"/>
    <col min="12030" max="12030" width="11.26953125" style="83" bestFit="1" customWidth="1"/>
    <col min="12031" max="12037" width="0" style="83" hidden="1" customWidth="1"/>
    <col min="12038" max="12038" width="11.26953125" style="83" bestFit="1" customWidth="1"/>
    <col min="12039" max="12040" width="0" style="83" hidden="1" customWidth="1"/>
    <col min="12041" max="12041" width="11.54296875" style="83" bestFit="1" customWidth="1"/>
    <col min="12042" max="12042" width="16" style="83" bestFit="1" customWidth="1"/>
    <col min="12043" max="12043" width="8.7265625" style="83"/>
    <col min="12044" max="12044" width="15" style="83" bestFit="1" customWidth="1"/>
    <col min="12045" max="12045" width="14" style="83" bestFit="1" customWidth="1"/>
    <col min="12046" max="12274" width="8.7265625" style="83"/>
    <col min="12275" max="12275" width="16.26953125" style="83" customWidth="1"/>
    <col min="12276" max="12277" width="0" style="83" hidden="1" customWidth="1"/>
    <col min="12278" max="12278" width="13.26953125" style="83" bestFit="1" customWidth="1"/>
    <col min="12279" max="12280" width="16" style="83" bestFit="1" customWidth="1"/>
    <col min="12281" max="12281" width="8.7265625" style="83"/>
    <col min="12282" max="12283" width="16" style="83" bestFit="1" customWidth="1"/>
    <col min="12284" max="12284" width="8.7265625" style="83"/>
    <col min="12285" max="12285" width="0" style="83" hidden="1" customWidth="1"/>
    <col min="12286" max="12286" width="11.26953125" style="83" bestFit="1" customWidth="1"/>
    <col min="12287" max="12293" width="0" style="83" hidden="1" customWidth="1"/>
    <col min="12294" max="12294" width="11.26953125" style="83" bestFit="1" customWidth="1"/>
    <col min="12295" max="12296" width="0" style="83" hidden="1" customWidth="1"/>
    <col min="12297" max="12297" width="11.54296875" style="83" bestFit="1" customWidth="1"/>
    <col min="12298" max="12298" width="16" style="83" bestFit="1" customWidth="1"/>
    <col min="12299" max="12299" width="8.7265625" style="83"/>
    <col min="12300" max="12300" width="15" style="83" bestFit="1" customWidth="1"/>
    <col min="12301" max="12301" width="14" style="83" bestFit="1" customWidth="1"/>
    <col min="12302" max="12530" width="8.7265625" style="83"/>
    <col min="12531" max="12531" width="16.26953125" style="83" customWidth="1"/>
    <col min="12532" max="12533" width="0" style="83" hidden="1" customWidth="1"/>
    <col min="12534" max="12534" width="13.26953125" style="83" bestFit="1" customWidth="1"/>
    <col min="12535" max="12536" width="16" style="83" bestFit="1" customWidth="1"/>
    <col min="12537" max="12537" width="8.7265625" style="83"/>
    <col min="12538" max="12539" width="16" style="83" bestFit="1" customWidth="1"/>
    <col min="12540" max="12540" width="8.7265625" style="83"/>
    <col min="12541" max="12541" width="0" style="83" hidden="1" customWidth="1"/>
    <col min="12542" max="12542" width="11.26953125" style="83" bestFit="1" customWidth="1"/>
    <col min="12543" max="12549" width="0" style="83" hidden="1" customWidth="1"/>
    <col min="12550" max="12550" width="11.26953125" style="83" bestFit="1" customWidth="1"/>
    <col min="12551" max="12552" width="0" style="83" hidden="1" customWidth="1"/>
    <col min="12553" max="12553" width="11.54296875" style="83" bestFit="1" customWidth="1"/>
    <col min="12554" max="12554" width="16" style="83" bestFit="1" customWidth="1"/>
    <col min="12555" max="12555" width="8.7265625" style="83"/>
    <col min="12556" max="12556" width="15" style="83" bestFit="1" customWidth="1"/>
    <col min="12557" max="12557" width="14" style="83" bestFit="1" customWidth="1"/>
    <col min="12558" max="12786" width="8.7265625" style="83"/>
    <col min="12787" max="12787" width="16.26953125" style="83" customWidth="1"/>
    <col min="12788" max="12789" width="0" style="83" hidden="1" customWidth="1"/>
    <col min="12790" max="12790" width="13.26953125" style="83" bestFit="1" customWidth="1"/>
    <col min="12791" max="12792" width="16" style="83" bestFit="1" customWidth="1"/>
    <col min="12793" max="12793" width="8.7265625" style="83"/>
    <col min="12794" max="12795" width="16" style="83" bestFit="1" customWidth="1"/>
    <col min="12796" max="12796" width="8.7265625" style="83"/>
    <col min="12797" max="12797" width="0" style="83" hidden="1" customWidth="1"/>
    <col min="12798" max="12798" width="11.26953125" style="83" bestFit="1" customWidth="1"/>
    <col min="12799" max="12805" width="0" style="83" hidden="1" customWidth="1"/>
    <col min="12806" max="12806" width="11.26953125" style="83" bestFit="1" customWidth="1"/>
    <col min="12807" max="12808" width="0" style="83" hidden="1" customWidth="1"/>
    <col min="12809" max="12809" width="11.54296875" style="83" bestFit="1" customWidth="1"/>
    <col min="12810" max="12810" width="16" style="83" bestFit="1" customWidth="1"/>
    <col min="12811" max="12811" width="8.7265625" style="83"/>
    <col min="12812" max="12812" width="15" style="83" bestFit="1" customWidth="1"/>
    <col min="12813" max="12813" width="14" style="83" bestFit="1" customWidth="1"/>
    <col min="12814" max="13042" width="8.7265625" style="83"/>
    <col min="13043" max="13043" width="16.26953125" style="83" customWidth="1"/>
    <col min="13044" max="13045" width="0" style="83" hidden="1" customWidth="1"/>
    <col min="13046" max="13046" width="13.26953125" style="83" bestFit="1" customWidth="1"/>
    <col min="13047" max="13048" width="16" style="83" bestFit="1" customWidth="1"/>
    <col min="13049" max="13049" width="8.7265625" style="83"/>
    <col min="13050" max="13051" width="16" style="83" bestFit="1" customWidth="1"/>
    <col min="13052" max="13052" width="8.7265625" style="83"/>
    <col min="13053" max="13053" width="0" style="83" hidden="1" customWidth="1"/>
    <col min="13054" max="13054" width="11.26953125" style="83" bestFit="1" customWidth="1"/>
    <col min="13055" max="13061" width="0" style="83" hidden="1" customWidth="1"/>
    <col min="13062" max="13062" width="11.26953125" style="83" bestFit="1" customWidth="1"/>
    <col min="13063" max="13064" width="0" style="83" hidden="1" customWidth="1"/>
    <col min="13065" max="13065" width="11.54296875" style="83" bestFit="1" customWidth="1"/>
    <col min="13066" max="13066" width="16" style="83" bestFit="1" customWidth="1"/>
    <col min="13067" max="13067" width="8.7265625" style="83"/>
    <col min="13068" max="13068" width="15" style="83" bestFit="1" customWidth="1"/>
    <col min="13069" max="13069" width="14" style="83" bestFit="1" customWidth="1"/>
    <col min="13070" max="13298" width="8.7265625" style="83"/>
    <col min="13299" max="13299" width="16.26953125" style="83" customWidth="1"/>
    <col min="13300" max="13301" width="0" style="83" hidden="1" customWidth="1"/>
    <col min="13302" max="13302" width="13.26953125" style="83" bestFit="1" customWidth="1"/>
    <col min="13303" max="13304" width="16" style="83" bestFit="1" customWidth="1"/>
    <col min="13305" max="13305" width="8.7265625" style="83"/>
    <col min="13306" max="13307" width="16" style="83" bestFit="1" customWidth="1"/>
    <col min="13308" max="13308" width="8.7265625" style="83"/>
    <col min="13309" max="13309" width="0" style="83" hidden="1" customWidth="1"/>
    <col min="13310" max="13310" width="11.26953125" style="83" bestFit="1" customWidth="1"/>
    <col min="13311" max="13317" width="0" style="83" hidden="1" customWidth="1"/>
    <col min="13318" max="13318" width="11.26953125" style="83" bestFit="1" customWidth="1"/>
    <col min="13319" max="13320" width="0" style="83" hidden="1" customWidth="1"/>
    <col min="13321" max="13321" width="11.54296875" style="83" bestFit="1" customWidth="1"/>
    <col min="13322" max="13322" width="16" style="83" bestFit="1" customWidth="1"/>
    <col min="13323" max="13323" width="8.7265625" style="83"/>
    <col min="13324" max="13324" width="15" style="83" bestFit="1" customWidth="1"/>
    <col min="13325" max="13325" width="14" style="83" bestFit="1" customWidth="1"/>
    <col min="13326" max="13554" width="8.7265625" style="83"/>
    <col min="13555" max="13555" width="16.26953125" style="83" customWidth="1"/>
    <col min="13556" max="13557" width="0" style="83" hidden="1" customWidth="1"/>
    <col min="13558" max="13558" width="13.26953125" style="83" bestFit="1" customWidth="1"/>
    <col min="13559" max="13560" width="16" style="83" bestFit="1" customWidth="1"/>
    <col min="13561" max="13561" width="8.7265625" style="83"/>
    <col min="13562" max="13563" width="16" style="83" bestFit="1" customWidth="1"/>
    <col min="13564" max="13564" width="8.7265625" style="83"/>
    <col min="13565" max="13565" width="0" style="83" hidden="1" customWidth="1"/>
    <col min="13566" max="13566" width="11.26953125" style="83" bestFit="1" customWidth="1"/>
    <col min="13567" max="13573" width="0" style="83" hidden="1" customWidth="1"/>
    <col min="13574" max="13574" width="11.26953125" style="83" bestFit="1" customWidth="1"/>
    <col min="13575" max="13576" width="0" style="83" hidden="1" customWidth="1"/>
    <col min="13577" max="13577" width="11.54296875" style="83" bestFit="1" customWidth="1"/>
    <col min="13578" max="13578" width="16" style="83" bestFit="1" customWidth="1"/>
    <col min="13579" max="13579" width="8.7265625" style="83"/>
    <col min="13580" max="13580" width="15" style="83" bestFit="1" customWidth="1"/>
    <col min="13581" max="13581" width="14" style="83" bestFit="1" customWidth="1"/>
    <col min="13582" max="13810" width="8.7265625" style="83"/>
    <col min="13811" max="13811" width="16.26953125" style="83" customWidth="1"/>
    <col min="13812" max="13813" width="0" style="83" hidden="1" customWidth="1"/>
    <col min="13814" max="13814" width="13.26953125" style="83" bestFit="1" customWidth="1"/>
    <col min="13815" max="13816" width="16" style="83" bestFit="1" customWidth="1"/>
    <col min="13817" max="13817" width="8.7265625" style="83"/>
    <col min="13818" max="13819" width="16" style="83" bestFit="1" customWidth="1"/>
    <col min="13820" max="13820" width="8.7265625" style="83"/>
    <col min="13821" max="13821" width="0" style="83" hidden="1" customWidth="1"/>
    <col min="13822" max="13822" width="11.26953125" style="83" bestFit="1" customWidth="1"/>
    <col min="13823" max="13829" width="0" style="83" hidden="1" customWidth="1"/>
    <col min="13830" max="13830" width="11.26953125" style="83" bestFit="1" customWidth="1"/>
    <col min="13831" max="13832" width="0" style="83" hidden="1" customWidth="1"/>
    <col min="13833" max="13833" width="11.54296875" style="83" bestFit="1" customWidth="1"/>
    <col min="13834" max="13834" width="16" style="83" bestFit="1" customWidth="1"/>
    <col min="13835" max="13835" width="8.7265625" style="83"/>
    <col min="13836" max="13836" width="15" style="83" bestFit="1" customWidth="1"/>
    <col min="13837" max="13837" width="14" style="83" bestFit="1" customWidth="1"/>
    <col min="13838" max="14066" width="8.7265625" style="83"/>
    <col min="14067" max="14067" width="16.26953125" style="83" customWidth="1"/>
    <col min="14068" max="14069" width="0" style="83" hidden="1" customWidth="1"/>
    <col min="14070" max="14070" width="13.26953125" style="83" bestFit="1" customWidth="1"/>
    <col min="14071" max="14072" width="16" style="83" bestFit="1" customWidth="1"/>
    <col min="14073" max="14073" width="8.7265625" style="83"/>
    <col min="14074" max="14075" width="16" style="83" bestFit="1" customWidth="1"/>
    <col min="14076" max="14076" width="8.7265625" style="83"/>
    <col min="14077" max="14077" width="0" style="83" hidden="1" customWidth="1"/>
    <col min="14078" max="14078" width="11.26953125" style="83" bestFit="1" customWidth="1"/>
    <col min="14079" max="14085" width="0" style="83" hidden="1" customWidth="1"/>
    <col min="14086" max="14086" width="11.26953125" style="83" bestFit="1" customWidth="1"/>
    <col min="14087" max="14088" width="0" style="83" hidden="1" customWidth="1"/>
    <col min="14089" max="14089" width="11.54296875" style="83" bestFit="1" customWidth="1"/>
    <col min="14090" max="14090" width="16" style="83" bestFit="1" customWidth="1"/>
    <col min="14091" max="14091" width="8.7265625" style="83"/>
    <col min="14092" max="14092" width="15" style="83" bestFit="1" customWidth="1"/>
    <col min="14093" max="14093" width="14" style="83" bestFit="1" customWidth="1"/>
    <col min="14094" max="14322" width="8.7265625" style="83"/>
    <col min="14323" max="14323" width="16.26953125" style="83" customWidth="1"/>
    <col min="14324" max="14325" width="0" style="83" hidden="1" customWidth="1"/>
    <col min="14326" max="14326" width="13.26953125" style="83" bestFit="1" customWidth="1"/>
    <col min="14327" max="14328" width="16" style="83" bestFit="1" customWidth="1"/>
    <col min="14329" max="14329" width="8.7265625" style="83"/>
    <col min="14330" max="14331" width="16" style="83" bestFit="1" customWidth="1"/>
    <col min="14332" max="14332" width="8.7265625" style="83"/>
    <col min="14333" max="14333" width="0" style="83" hidden="1" customWidth="1"/>
    <col min="14334" max="14334" width="11.26953125" style="83" bestFit="1" customWidth="1"/>
    <col min="14335" max="14341" width="0" style="83" hidden="1" customWidth="1"/>
    <col min="14342" max="14342" width="11.26953125" style="83" bestFit="1" customWidth="1"/>
    <col min="14343" max="14344" width="0" style="83" hidden="1" customWidth="1"/>
    <col min="14345" max="14345" width="11.54296875" style="83" bestFit="1" customWidth="1"/>
    <col min="14346" max="14346" width="16" style="83" bestFit="1" customWidth="1"/>
    <col min="14347" max="14347" width="8.7265625" style="83"/>
    <col min="14348" max="14348" width="15" style="83" bestFit="1" customWidth="1"/>
    <col min="14349" max="14349" width="14" style="83" bestFit="1" customWidth="1"/>
    <col min="14350" max="14578" width="8.7265625" style="83"/>
    <col min="14579" max="14579" width="16.26953125" style="83" customWidth="1"/>
    <col min="14580" max="14581" width="0" style="83" hidden="1" customWidth="1"/>
    <col min="14582" max="14582" width="13.26953125" style="83" bestFit="1" customWidth="1"/>
    <col min="14583" max="14584" width="16" style="83" bestFit="1" customWidth="1"/>
    <col min="14585" max="14585" width="8.7265625" style="83"/>
    <col min="14586" max="14587" width="16" style="83" bestFit="1" customWidth="1"/>
    <col min="14588" max="14588" width="8.7265625" style="83"/>
    <col min="14589" max="14589" width="0" style="83" hidden="1" customWidth="1"/>
    <col min="14590" max="14590" width="11.26953125" style="83" bestFit="1" customWidth="1"/>
    <col min="14591" max="14597" width="0" style="83" hidden="1" customWidth="1"/>
    <col min="14598" max="14598" width="11.26953125" style="83" bestFit="1" customWidth="1"/>
    <col min="14599" max="14600" width="0" style="83" hidden="1" customWidth="1"/>
    <col min="14601" max="14601" width="11.54296875" style="83" bestFit="1" customWidth="1"/>
    <col min="14602" max="14602" width="16" style="83" bestFit="1" customWidth="1"/>
    <col min="14603" max="14603" width="8.7265625" style="83"/>
    <col min="14604" max="14604" width="15" style="83" bestFit="1" customWidth="1"/>
    <col min="14605" max="14605" width="14" style="83" bestFit="1" customWidth="1"/>
    <col min="14606" max="14834" width="8.7265625" style="83"/>
    <col min="14835" max="14835" width="16.26953125" style="83" customWidth="1"/>
    <col min="14836" max="14837" width="0" style="83" hidden="1" customWidth="1"/>
    <col min="14838" max="14838" width="13.26953125" style="83" bestFit="1" customWidth="1"/>
    <col min="14839" max="14840" width="16" style="83" bestFit="1" customWidth="1"/>
    <col min="14841" max="14841" width="8.7265625" style="83"/>
    <col min="14842" max="14843" width="16" style="83" bestFit="1" customWidth="1"/>
    <col min="14844" max="14844" width="8.7265625" style="83"/>
    <col min="14845" max="14845" width="0" style="83" hidden="1" customWidth="1"/>
    <col min="14846" max="14846" width="11.26953125" style="83" bestFit="1" customWidth="1"/>
    <col min="14847" max="14853" width="0" style="83" hidden="1" customWidth="1"/>
    <col min="14854" max="14854" width="11.26953125" style="83" bestFit="1" customWidth="1"/>
    <col min="14855" max="14856" width="0" style="83" hidden="1" customWidth="1"/>
    <col min="14857" max="14857" width="11.54296875" style="83" bestFit="1" customWidth="1"/>
    <col min="14858" max="14858" width="16" style="83" bestFit="1" customWidth="1"/>
    <col min="14859" max="14859" width="8.7265625" style="83"/>
    <col min="14860" max="14860" width="15" style="83" bestFit="1" customWidth="1"/>
    <col min="14861" max="14861" width="14" style="83" bestFit="1" customWidth="1"/>
    <col min="14862" max="15090" width="8.7265625" style="83"/>
    <col min="15091" max="15091" width="16.26953125" style="83" customWidth="1"/>
    <col min="15092" max="15093" width="0" style="83" hidden="1" customWidth="1"/>
    <col min="15094" max="15094" width="13.26953125" style="83" bestFit="1" customWidth="1"/>
    <col min="15095" max="15096" width="16" style="83" bestFit="1" customWidth="1"/>
    <col min="15097" max="15097" width="8.7265625" style="83"/>
    <col min="15098" max="15099" width="16" style="83" bestFit="1" customWidth="1"/>
    <col min="15100" max="15100" width="8.7265625" style="83"/>
    <col min="15101" max="15101" width="0" style="83" hidden="1" customWidth="1"/>
    <col min="15102" max="15102" width="11.26953125" style="83" bestFit="1" customWidth="1"/>
    <col min="15103" max="15109" width="0" style="83" hidden="1" customWidth="1"/>
    <col min="15110" max="15110" width="11.26953125" style="83" bestFit="1" customWidth="1"/>
    <col min="15111" max="15112" width="0" style="83" hidden="1" customWidth="1"/>
    <col min="15113" max="15113" width="11.54296875" style="83" bestFit="1" customWidth="1"/>
    <col min="15114" max="15114" width="16" style="83" bestFit="1" customWidth="1"/>
    <col min="15115" max="15115" width="8.7265625" style="83"/>
    <col min="15116" max="15116" width="15" style="83" bestFit="1" customWidth="1"/>
    <col min="15117" max="15117" width="14" style="83" bestFit="1" customWidth="1"/>
    <col min="15118" max="15346" width="8.7265625" style="83"/>
    <col min="15347" max="15347" width="16.26953125" style="83" customWidth="1"/>
    <col min="15348" max="15349" width="0" style="83" hidden="1" customWidth="1"/>
    <col min="15350" max="15350" width="13.26953125" style="83" bestFit="1" customWidth="1"/>
    <col min="15351" max="15352" width="16" style="83" bestFit="1" customWidth="1"/>
    <col min="15353" max="15353" width="8.7265625" style="83"/>
    <col min="15354" max="15355" width="16" style="83" bestFit="1" customWidth="1"/>
    <col min="15356" max="15356" width="8.7265625" style="83"/>
    <col min="15357" max="15357" width="0" style="83" hidden="1" customWidth="1"/>
    <col min="15358" max="15358" width="11.26953125" style="83" bestFit="1" customWidth="1"/>
    <col min="15359" max="15365" width="0" style="83" hidden="1" customWidth="1"/>
    <col min="15366" max="15366" width="11.26953125" style="83" bestFit="1" customWidth="1"/>
    <col min="15367" max="15368" width="0" style="83" hidden="1" customWidth="1"/>
    <col min="15369" max="15369" width="11.54296875" style="83" bestFit="1" customWidth="1"/>
    <col min="15370" max="15370" width="16" style="83" bestFit="1" customWidth="1"/>
    <col min="15371" max="15371" width="8.7265625" style="83"/>
    <col min="15372" max="15372" width="15" style="83" bestFit="1" customWidth="1"/>
    <col min="15373" max="15373" width="14" style="83" bestFit="1" customWidth="1"/>
    <col min="15374" max="15602" width="8.7265625" style="83"/>
    <col min="15603" max="15603" width="16.26953125" style="83" customWidth="1"/>
    <col min="15604" max="15605" width="0" style="83" hidden="1" customWidth="1"/>
    <col min="15606" max="15606" width="13.26953125" style="83" bestFit="1" customWidth="1"/>
    <col min="15607" max="15608" width="16" style="83" bestFit="1" customWidth="1"/>
    <col min="15609" max="15609" width="8.7265625" style="83"/>
    <col min="15610" max="15611" width="16" style="83" bestFit="1" customWidth="1"/>
    <col min="15612" max="15612" width="8.7265625" style="83"/>
    <col min="15613" max="15613" width="0" style="83" hidden="1" customWidth="1"/>
    <col min="15614" max="15614" width="11.26953125" style="83" bestFit="1" customWidth="1"/>
    <col min="15615" max="15621" width="0" style="83" hidden="1" customWidth="1"/>
    <col min="15622" max="15622" width="11.26953125" style="83" bestFit="1" customWidth="1"/>
    <col min="15623" max="15624" width="0" style="83" hidden="1" customWidth="1"/>
    <col min="15625" max="15625" width="11.54296875" style="83" bestFit="1" customWidth="1"/>
    <col min="15626" max="15626" width="16" style="83" bestFit="1" customWidth="1"/>
    <col min="15627" max="15627" width="8.7265625" style="83"/>
    <col min="15628" max="15628" width="15" style="83" bestFit="1" customWidth="1"/>
    <col min="15629" max="15629" width="14" style="83" bestFit="1" customWidth="1"/>
    <col min="15630" max="15858" width="8.7265625" style="83"/>
    <col min="15859" max="15859" width="16.26953125" style="83" customWidth="1"/>
    <col min="15860" max="15861" width="0" style="83" hidden="1" customWidth="1"/>
    <col min="15862" max="15862" width="13.26953125" style="83" bestFit="1" customWidth="1"/>
    <col min="15863" max="15864" width="16" style="83" bestFit="1" customWidth="1"/>
    <col min="15865" max="15865" width="8.7265625" style="83"/>
    <col min="15866" max="15867" width="16" style="83" bestFit="1" customWidth="1"/>
    <col min="15868" max="15868" width="8.7265625" style="83"/>
    <col min="15869" max="15869" width="0" style="83" hidden="1" customWidth="1"/>
    <col min="15870" max="15870" width="11.26953125" style="83" bestFit="1" customWidth="1"/>
    <col min="15871" max="15877" width="0" style="83" hidden="1" customWidth="1"/>
    <col min="15878" max="15878" width="11.26953125" style="83" bestFit="1" customWidth="1"/>
    <col min="15879" max="15880" width="0" style="83" hidden="1" customWidth="1"/>
    <col min="15881" max="15881" width="11.54296875" style="83" bestFit="1" customWidth="1"/>
    <col min="15882" max="15882" width="16" style="83" bestFit="1" customWidth="1"/>
    <col min="15883" max="15883" width="8.7265625" style="83"/>
    <col min="15884" max="15884" width="15" style="83" bestFit="1" customWidth="1"/>
    <col min="15885" max="15885" width="14" style="83" bestFit="1" customWidth="1"/>
    <col min="15886" max="16114" width="8.7265625" style="83"/>
    <col min="16115" max="16115" width="16.26953125" style="83" customWidth="1"/>
    <col min="16116" max="16117" width="0" style="83" hidden="1" customWidth="1"/>
    <col min="16118" max="16118" width="13.26953125" style="83" bestFit="1" customWidth="1"/>
    <col min="16119" max="16120" width="16" style="83" bestFit="1" customWidth="1"/>
    <col min="16121" max="16121" width="8.7265625" style="83"/>
    <col min="16122" max="16123" width="16" style="83" bestFit="1" customWidth="1"/>
    <col min="16124" max="16124" width="8.7265625" style="83"/>
    <col min="16125" max="16125" width="0" style="83" hidden="1" customWidth="1"/>
    <col min="16126" max="16126" width="11.26953125" style="83" bestFit="1" customWidth="1"/>
    <col min="16127" max="16133" width="0" style="83" hidden="1" customWidth="1"/>
    <col min="16134" max="16134" width="11.26953125" style="83" bestFit="1" customWidth="1"/>
    <col min="16135" max="16136" width="0" style="83" hidden="1" customWidth="1"/>
    <col min="16137" max="16137" width="11.54296875" style="83" bestFit="1" customWidth="1"/>
    <col min="16138" max="16138" width="16" style="83" bestFit="1" customWidth="1"/>
    <col min="16139" max="16139" width="8.7265625" style="83"/>
    <col min="16140" max="16140" width="15" style="83" bestFit="1" customWidth="1"/>
    <col min="16141" max="16141" width="14" style="83" bestFit="1" customWidth="1"/>
    <col min="16142" max="16384" width="8.7265625" style="83"/>
  </cols>
  <sheetData>
    <row r="1" spans="1:20">
      <c r="A1" s="78"/>
      <c r="B1" s="79"/>
      <c r="C1" s="79"/>
      <c r="D1" s="80"/>
      <c r="E1" s="80"/>
      <c r="F1" s="81"/>
      <c r="G1" s="78"/>
      <c r="H1" s="79"/>
      <c r="I1" s="82"/>
      <c r="K1" s="84"/>
    </row>
    <row r="2" spans="1:20">
      <c r="A2" s="78" t="s">
        <v>86</v>
      </c>
      <c r="B2" s="79"/>
      <c r="C2" s="79"/>
      <c r="D2" s="80"/>
      <c r="E2" s="80"/>
      <c r="F2" s="81"/>
      <c r="G2" s="78"/>
      <c r="H2" s="79"/>
      <c r="I2" s="82"/>
    </row>
    <row r="3" spans="1:20">
      <c r="A3" s="184" t="s">
        <v>50</v>
      </c>
      <c r="B3" s="184"/>
      <c r="C3" s="184"/>
      <c r="D3" s="184"/>
      <c r="E3" s="184"/>
      <c r="F3" s="184"/>
      <c r="G3" s="184"/>
      <c r="H3" s="184"/>
      <c r="I3" s="184"/>
    </row>
    <row r="4" spans="1:20">
      <c r="A4" s="86"/>
      <c r="B4" s="86"/>
      <c r="C4" s="86"/>
      <c r="D4" s="86"/>
      <c r="E4" s="86"/>
      <c r="F4" s="86"/>
      <c r="G4" s="86"/>
      <c r="H4" s="86"/>
      <c r="I4" s="86"/>
    </row>
    <row r="5" spans="1:20">
      <c r="A5" s="87" t="s">
        <v>51</v>
      </c>
      <c r="B5" s="79"/>
      <c r="C5" s="79">
        <v>20</v>
      </c>
      <c r="D5" s="88" t="s">
        <v>52</v>
      </c>
      <c r="E5" s="88"/>
      <c r="F5" s="88"/>
      <c r="G5" s="88"/>
      <c r="H5" s="79"/>
      <c r="I5" s="82"/>
    </row>
    <row r="6" spans="1:20">
      <c r="A6" s="87"/>
      <c r="B6" s="79"/>
      <c r="C6" s="79"/>
      <c r="D6" s="88"/>
      <c r="E6" s="88"/>
      <c r="F6" s="88"/>
      <c r="G6" s="88"/>
      <c r="H6" s="79"/>
      <c r="I6" s="82"/>
    </row>
    <row r="7" spans="1:20">
      <c r="A7" s="89" t="s">
        <v>87</v>
      </c>
      <c r="B7" s="89"/>
      <c r="C7" s="90">
        <v>440389797.37502015</v>
      </c>
      <c r="D7" s="91"/>
      <c r="E7" s="91"/>
      <c r="F7" s="91" t="s">
        <v>53</v>
      </c>
      <c r="G7" s="91">
        <f>20*2</f>
        <v>40</v>
      </c>
      <c r="H7" s="92"/>
      <c r="I7" s="91" t="s">
        <v>88</v>
      </c>
      <c r="J7" s="93">
        <f>SUM(G16:G55)</f>
        <v>349314720.55878222</v>
      </c>
    </row>
    <row r="8" spans="1:20">
      <c r="A8" s="89"/>
      <c r="B8" s="89"/>
      <c r="C8" s="94"/>
      <c r="D8" s="91"/>
      <c r="E8" s="91"/>
      <c r="F8" s="91" t="s">
        <v>89</v>
      </c>
      <c r="G8" s="117">
        <v>5.1659999999999998E-2</v>
      </c>
      <c r="H8" s="95"/>
      <c r="I8" s="91" t="s">
        <v>90</v>
      </c>
      <c r="J8" s="96">
        <f>SUM(I16:I55)</f>
        <v>9413508.13693057</v>
      </c>
    </row>
    <row r="9" spans="1:20" ht="16">
      <c r="A9" s="89" t="s">
        <v>54</v>
      </c>
      <c r="B9" s="89"/>
      <c r="C9" s="97">
        <f>'Upfront &amp; Ongoing Costs'!B16</f>
        <v>6310202.7204511994</v>
      </c>
      <c r="D9" s="89"/>
      <c r="E9" s="89"/>
      <c r="F9" s="98" t="s">
        <v>55</v>
      </c>
      <c r="G9" s="99">
        <f>PMT($G$8/2,$G$7,-$C$10)</f>
        <v>18044476.86608953</v>
      </c>
      <c r="I9" s="91" t="s">
        <v>22</v>
      </c>
      <c r="J9" s="93">
        <f>+J7+J8</f>
        <v>358728228.6957128</v>
      </c>
    </row>
    <row r="10" spans="1:20">
      <c r="A10" s="89" t="s">
        <v>56</v>
      </c>
      <c r="B10" s="89"/>
      <c r="C10" s="94">
        <f>+C9+C8+C7</f>
        <v>446700000.09547132</v>
      </c>
      <c r="D10" s="89"/>
      <c r="E10" s="89"/>
      <c r="F10" s="98" t="s">
        <v>57</v>
      </c>
      <c r="G10" s="100">
        <v>8.299999999999999E-2</v>
      </c>
      <c r="H10" s="92"/>
      <c r="I10" s="98"/>
      <c r="J10" s="91"/>
    </row>
    <row r="11" spans="1:20">
      <c r="A11" s="92"/>
      <c r="B11" s="92"/>
      <c r="C11" s="92"/>
      <c r="D11" s="101"/>
      <c r="E11" s="92"/>
      <c r="F11" s="102"/>
      <c r="H11" s="102"/>
      <c r="I11" s="102"/>
    </row>
    <row r="12" spans="1:20">
      <c r="A12" s="103"/>
      <c r="B12" s="92"/>
      <c r="C12" s="104"/>
      <c r="D12" s="105"/>
      <c r="E12" s="105"/>
      <c r="F12" s="102"/>
      <c r="G12" s="103"/>
      <c r="H12" s="102"/>
      <c r="I12" s="102"/>
    </row>
    <row r="13" spans="1:20">
      <c r="A13" s="106" t="s">
        <v>60</v>
      </c>
      <c r="B13" s="106" t="s">
        <v>61</v>
      </c>
      <c r="C13" s="106" t="s">
        <v>62</v>
      </c>
      <c r="D13" s="106" t="s">
        <v>58</v>
      </c>
      <c r="E13" s="106" t="s">
        <v>63</v>
      </c>
      <c r="F13" s="106" t="s">
        <v>64</v>
      </c>
      <c r="G13" s="106" t="s">
        <v>65</v>
      </c>
      <c r="H13" s="106" t="s">
        <v>91</v>
      </c>
      <c r="I13" s="106" t="s">
        <v>65</v>
      </c>
      <c r="J13" s="91"/>
      <c r="K13" s="91"/>
      <c r="L13" s="106" t="s">
        <v>92</v>
      </c>
      <c r="T13" s="83"/>
    </row>
    <row r="14" spans="1:20">
      <c r="A14" s="106"/>
      <c r="B14" s="106"/>
      <c r="C14" s="106"/>
      <c r="D14" s="106"/>
      <c r="E14" s="106"/>
      <c r="F14" s="106"/>
      <c r="G14" s="106" t="s">
        <v>53</v>
      </c>
      <c r="H14" s="106" t="s">
        <v>93</v>
      </c>
      <c r="I14" s="106" t="s">
        <v>91</v>
      </c>
      <c r="J14" s="91"/>
      <c r="K14" s="91"/>
      <c r="L14" s="106" t="s">
        <v>94</v>
      </c>
      <c r="T14" s="83"/>
    </row>
    <row r="15" spans="1:20">
      <c r="A15" s="107"/>
      <c r="B15" s="107"/>
      <c r="C15" s="107"/>
      <c r="D15" s="107"/>
      <c r="E15" s="107"/>
      <c r="F15" s="107"/>
      <c r="G15" s="107"/>
      <c r="H15" s="107"/>
      <c r="I15" s="107" t="s">
        <v>93</v>
      </c>
      <c r="J15" s="108"/>
      <c r="K15" s="108"/>
      <c r="L15" s="107" t="s">
        <v>95</v>
      </c>
      <c r="T15" s="83"/>
    </row>
    <row r="16" spans="1:20">
      <c r="A16" s="83">
        <v>1</v>
      </c>
      <c r="B16" s="109">
        <f>+C10</f>
        <v>446700000.09547132</v>
      </c>
      <c r="C16" s="110">
        <f t="shared" ref="C16:C55" si="0">PMT($G$8/2,$G$7,-$C$10)</f>
        <v>18044476.86608953</v>
      </c>
      <c r="D16" s="109">
        <f t="shared" ref="D16:D55" si="1">+B16*$G$8/2</f>
        <v>11538261.002466023</v>
      </c>
      <c r="E16" s="110">
        <f>+C16-D16</f>
        <v>6506215.8636235073</v>
      </c>
      <c r="F16" s="110">
        <f>+B16+D16-C16</f>
        <v>440193784.23184782</v>
      </c>
      <c r="G16" s="111">
        <f t="shared" ref="G16:G55" si="2">IF(A16&gt;$G$7,"",((1/((1+($G$10/2))^A16))*C16))</f>
        <v>17325469.866624609</v>
      </c>
      <c r="H16" s="111">
        <f>+'[3]Upfront &amp; Ongoing Costs'!$B$34/2</f>
        <v>486271.60496949358</v>
      </c>
      <c r="I16" s="111">
        <f t="shared" ref="I16:I55" si="3">IF(A16&gt;$G$7,"",((1/((1+($G$10/2))^A16))*H16))</f>
        <v>466895.44404176046</v>
      </c>
      <c r="L16" s="112">
        <f>+C16+H16</f>
        <v>18530748.471059024</v>
      </c>
      <c r="M16" s="111"/>
      <c r="T16" s="83"/>
    </row>
    <row r="17" spans="1:20">
      <c r="A17" s="83">
        <v>2</v>
      </c>
      <c r="B17" s="109">
        <f t="shared" ref="B17:B55" si="4">+F16</f>
        <v>440193784.23184782</v>
      </c>
      <c r="C17" s="110">
        <f t="shared" si="0"/>
        <v>18044476.86608953</v>
      </c>
      <c r="D17" s="109">
        <f t="shared" si="1"/>
        <v>11370205.446708629</v>
      </c>
      <c r="E17" s="110">
        <f t="shared" ref="E17:E55" si="5">+C17-D17</f>
        <v>6674271.4193809014</v>
      </c>
      <c r="F17" s="110">
        <f t="shared" ref="F17:F55" si="6">+B17+D17-C17</f>
        <v>433519512.81246692</v>
      </c>
      <c r="G17" s="111">
        <f t="shared" si="2"/>
        <v>16635112.689990019</v>
      </c>
      <c r="H17" s="111">
        <f>+'[3]Upfront &amp; Ongoing Costs'!$B$34/2</f>
        <v>486271.60496949358</v>
      </c>
      <c r="I17" s="111">
        <f t="shared" si="3"/>
        <v>448291.35289655346</v>
      </c>
      <c r="L17" s="112">
        <f t="shared" ref="L17:L55" si="7">+C17+H17</f>
        <v>18530748.471059024</v>
      </c>
      <c r="M17" s="111"/>
      <c r="T17" s="83"/>
    </row>
    <row r="18" spans="1:20">
      <c r="A18" s="83">
        <v>3</v>
      </c>
      <c r="B18" s="109">
        <f t="shared" si="4"/>
        <v>433519512.81246692</v>
      </c>
      <c r="C18" s="110">
        <f t="shared" si="0"/>
        <v>18044476.86608953</v>
      </c>
      <c r="D18" s="109">
        <f t="shared" si="1"/>
        <v>11197809.015946019</v>
      </c>
      <c r="E18" s="110">
        <f t="shared" si="5"/>
        <v>6846667.8501435108</v>
      </c>
      <c r="F18" s="110">
        <f t="shared" si="6"/>
        <v>426672844.96232343</v>
      </c>
      <c r="G18" s="111">
        <f t="shared" si="2"/>
        <v>15972263.744589552</v>
      </c>
      <c r="H18" s="111">
        <f>+'[3]Upfront &amp; Ongoing Costs'!$B$34/2</f>
        <v>486271.60496949358</v>
      </c>
      <c r="I18" s="111">
        <f t="shared" si="3"/>
        <v>430428.5673514675</v>
      </c>
      <c r="L18" s="112">
        <f t="shared" si="7"/>
        <v>18530748.471059024</v>
      </c>
      <c r="M18" s="111"/>
      <c r="T18" s="83"/>
    </row>
    <row r="19" spans="1:20">
      <c r="A19" s="83">
        <v>4</v>
      </c>
      <c r="B19" s="109">
        <f t="shared" si="4"/>
        <v>426672844.96232343</v>
      </c>
      <c r="C19" s="110">
        <f t="shared" si="0"/>
        <v>18044476.86608953</v>
      </c>
      <c r="D19" s="109">
        <f t="shared" si="1"/>
        <v>11020959.585376814</v>
      </c>
      <c r="E19" s="110">
        <f t="shared" si="5"/>
        <v>7023517.2807127163</v>
      </c>
      <c r="F19" s="110">
        <f t="shared" si="6"/>
        <v>419649327.6816107</v>
      </c>
      <c r="G19" s="111">
        <f t="shared" si="2"/>
        <v>15335826.927114306</v>
      </c>
      <c r="H19" s="111">
        <f>+'[3]Upfront &amp; Ongoing Costs'!$B$34/2</f>
        <v>486271.60496949358</v>
      </c>
      <c r="I19" s="111">
        <f t="shared" si="3"/>
        <v>413277.54906525923</v>
      </c>
      <c r="L19" s="112">
        <f t="shared" si="7"/>
        <v>18530748.471059024</v>
      </c>
      <c r="M19" s="111"/>
      <c r="T19" s="83"/>
    </row>
    <row r="20" spans="1:20">
      <c r="A20" s="83">
        <v>5</v>
      </c>
      <c r="B20" s="109">
        <f t="shared" si="4"/>
        <v>419649327.6816107</v>
      </c>
      <c r="C20" s="110">
        <f t="shared" si="0"/>
        <v>18044476.86608953</v>
      </c>
      <c r="D20" s="109">
        <f t="shared" si="1"/>
        <v>10839542.134016003</v>
      </c>
      <c r="E20" s="110">
        <f t="shared" si="5"/>
        <v>7204934.7320735268</v>
      </c>
      <c r="F20" s="110">
        <f t="shared" si="6"/>
        <v>412444392.94953716</v>
      </c>
      <c r="G20" s="111">
        <f t="shared" si="2"/>
        <v>14724749.809999336</v>
      </c>
      <c r="H20" s="111">
        <f>+'[3]Upfront &amp; Ongoing Costs'!$B$34/2</f>
        <v>486271.60496949358</v>
      </c>
      <c r="I20" s="111">
        <f t="shared" si="3"/>
        <v>396809.9366925197</v>
      </c>
      <c r="L20" s="112">
        <f t="shared" si="7"/>
        <v>18530748.471059024</v>
      </c>
      <c r="M20" s="111"/>
      <c r="T20" s="83"/>
    </row>
    <row r="21" spans="1:20">
      <c r="A21" s="83">
        <v>6</v>
      </c>
      <c r="B21" s="109">
        <f t="shared" si="4"/>
        <v>412444392.94953716</v>
      </c>
      <c r="C21" s="110">
        <f t="shared" si="0"/>
        <v>18044476.86608953</v>
      </c>
      <c r="D21" s="109">
        <f t="shared" si="1"/>
        <v>10653438.669886544</v>
      </c>
      <c r="E21" s="110">
        <f t="shared" si="5"/>
        <v>7391038.1962029859</v>
      </c>
      <c r="F21" s="110">
        <f t="shared" si="6"/>
        <v>405053354.75333416</v>
      </c>
      <c r="G21" s="111">
        <f t="shared" si="2"/>
        <v>14138021.901103534</v>
      </c>
      <c r="H21" s="111">
        <f>+'[3]Upfront &amp; Ongoing Costs'!$B$34/2</f>
        <v>486271.60496949358</v>
      </c>
      <c r="I21" s="111">
        <f t="shared" si="3"/>
        <v>380998.49898465635</v>
      </c>
      <c r="L21" s="112">
        <f t="shared" si="7"/>
        <v>18530748.471059024</v>
      </c>
      <c r="M21" s="111"/>
      <c r="T21" s="83"/>
    </row>
    <row r="22" spans="1:20">
      <c r="A22" s="83">
        <v>7</v>
      </c>
      <c r="B22" s="109">
        <f t="shared" si="4"/>
        <v>405053354.75333416</v>
      </c>
      <c r="C22" s="110">
        <f t="shared" si="0"/>
        <v>18044476.86608953</v>
      </c>
      <c r="D22" s="109">
        <f t="shared" si="1"/>
        <v>10462528.153278621</v>
      </c>
      <c r="E22" s="110">
        <f t="shared" si="5"/>
        <v>7581948.7128109094</v>
      </c>
      <c r="F22" s="110">
        <f t="shared" si="6"/>
        <v>397471406.04052329</v>
      </c>
      <c r="G22" s="111">
        <f t="shared" si="2"/>
        <v>13574672.972735029</v>
      </c>
      <c r="H22" s="111">
        <f>+'[3]Upfront &amp; Ongoing Costs'!$B$34/2</f>
        <v>486271.60496949358</v>
      </c>
      <c r="I22" s="111">
        <f t="shared" si="3"/>
        <v>365817.08975963161</v>
      </c>
      <c r="L22" s="112">
        <f t="shared" si="7"/>
        <v>18530748.471059024</v>
      </c>
      <c r="M22" s="111"/>
      <c r="T22" s="83"/>
    </row>
    <row r="23" spans="1:20">
      <c r="A23" s="83">
        <v>8</v>
      </c>
      <c r="B23" s="109">
        <f t="shared" si="4"/>
        <v>397471406.04052329</v>
      </c>
      <c r="C23" s="110">
        <f t="shared" si="0"/>
        <v>18044476.86608953</v>
      </c>
      <c r="D23" s="109">
        <f t="shared" si="1"/>
        <v>10266686.418026716</v>
      </c>
      <c r="E23" s="110">
        <f t="shared" si="5"/>
        <v>7777790.4480628148</v>
      </c>
      <c r="F23" s="110">
        <f t="shared" si="6"/>
        <v>389693615.59246045</v>
      </c>
      <c r="G23" s="111">
        <f t="shared" si="2"/>
        <v>13033771.457258791</v>
      </c>
      <c r="H23" s="111">
        <f>+'[3]Upfront &amp; Ongoing Costs'!$B$34/2</f>
        <v>486271.60496949358</v>
      </c>
      <c r="I23" s="111">
        <f t="shared" si="3"/>
        <v>351240.6046659929</v>
      </c>
      <c r="L23" s="112">
        <f t="shared" si="7"/>
        <v>18530748.471059024</v>
      </c>
      <c r="M23" s="111"/>
      <c r="T23" s="83"/>
    </row>
    <row r="24" spans="1:20">
      <c r="A24" s="83">
        <v>9</v>
      </c>
      <c r="B24" s="109">
        <f t="shared" si="4"/>
        <v>389693615.59246045</v>
      </c>
      <c r="C24" s="110">
        <f t="shared" si="0"/>
        <v>18044476.86608953</v>
      </c>
      <c r="D24" s="109">
        <f t="shared" si="1"/>
        <v>10065786.090753254</v>
      </c>
      <c r="E24" s="110">
        <f t="shared" si="5"/>
        <v>7978690.7753362767</v>
      </c>
      <c r="F24" s="110">
        <f t="shared" si="6"/>
        <v>381714924.81712419</v>
      </c>
      <c r="G24" s="111">
        <f t="shared" si="2"/>
        <v>12514422.9066335</v>
      </c>
      <c r="H24" s="111">
        <f>+'[3]Upfront &amp; Ongoing Costs'!$B$34/2</f>
        <v>486271.60496949358</v>
      </c>
      <c r="I24" s="111">
        <f t="shared" si="3"/>
        <v>337244.93966970034</v>
      </c>
      <c r="L24" s="112">
        <f t="shared" si="7"/>
        <v>18530748.471059024</v>
      </c>
      <c r="M24" s="111"/>
      <c r="T24" s="83"/>
    </row>
    <row r="25" spans="1:20">
      <c r="A25" s="83">
        <v>10</v>
      </c>
      <c r="B25" s="109">
        <f t="shared" si="4"/>
        <v>381714924.81712419</v>
      </c>
      <c r="C25" s="110">
        <f t="shared" si="0"/>
        <v>18044476.86608953</v>
      </c>
      <c r="D25" s="109">
        <f t="shared" si="1"/>
        <v>9859696.5080263168</v>
      </c>
      <c r="E25" s="110">
        <f t="shared" si="5"/>
        <v>8184780.3580632135</v>
      </c>
      <c r="F25" s="110">
        <f t="shared" si="6"/>
        <v>373530144.45906097</v>
      </c>
      <c r="G25" s="111">
        <f t="shared" si="2"/>
        <v>12015768.51333029</v>
      </c>
      <c r="H25" s="111">
        <f>+'[3]Upfront &amp; Ongoing Costs'!$B$34/2</f>
        <v>486271.60496949358</v>
      </c>
      <c r="I25" s="111">
        <f t="shared" si="3"/>
        <v>323806.95119510347</v>
      </c>
      <c r="L25" s="112">
        <f t="shared" si="7"/>
        <v>18530748.471059024</v>
      </c>
      <c r="M25" s="111"/>
      <c r="T25" s="83"/>
    </row>
    <row r="26" spans="1:20">
      <c r="A26" s="83">
        <v>11</v>
      </c>
      <c r="B26" s="109">
        <f t="shared" si="4"/>
        <v>373530144.45906097</v>
      </c>
      <c r="C26" s="110">
        <f t="shared" si="0"/>
        <v>18044476.86608953</v>
      </c>
      <c r="D26" s="109">
        <f t="shared" si="1"/>
        <v>9648283.6313775443</v>
      </c>
      <c r="E26" s="110">
        <f t="shared" si="5"/>
        <v>8396193.234711986</v>
      </c>
      <c r="F26" s="110">
        <f t="shared" si="6"/>
        <v>365133951.22434896</v>
      </c>
      <c r="G26" s="111">
        <f t="shared" si="2"/>
        <v>11536983.690187508</v>
      </c>
      <c r="H26" s="111">
        <f>+'[3]Upfront &amp; Ongoing Costs'!$B$34/2</f>
        <v>486271.60496949358</v>
      </c>
      <c r="I26" s="111">
        <f t="shared" si="3"/>
        <v>310904.417854156</v>
      </c>
      <c r="L26" s="112">
        <f t="shared" si="7"/>
        <v>18530748.471059024</v>
      </c>
      <c r="M26" s="111"/>
      <c r="T26" s="83"/>
    </row>
    <row r="27" spans="1:20">
      <c r="A27" s="83">
        <v>12</v>
      </c>
      <c r="B27" s="109">
        <f t="shared" si="4"/>
        <v>365133951.22434896</v>
      </c>
      <c r="C27" s="110">
        <f t="shared" si="0"/>
        <v>18044476.86608953</v>
      </c>
      <c r="D27" s="109">
        <f t="shared" si="1"/>
        <v>9431409.9601249341</v>
      </c>
      <c r="E27" s="110">
        <f t="shared" si="5"/>
        <v>8613066.9059645962</v>
      </c>
      <c r="F27" s="110">
        <f t="shared" si="6"/>
        <v>356520884.31838435</v>
      </c>
      <c r="G27" s="111">
        <f t="shared" si="2"/>
        <v>11077276.706853105</v>
      </c>
      <c r="H27" s="111">
        <f>+'[3]Upfront &amp; Ongoing Costs'!$B$34/2</f>
        <v>486271.60496949358</v>
      </c>
      <c r="I27" s="111">
        <f t="shared" si="3"/>
        <v>298516.00370058184</v>
      </c>
      <c r="L27" s="112">
        <f t="shared" si="7"/>
        <v>18530748.471059024</v>
      </c>
      <c r="M27" s="111"/>
      <c r="T27" s="83"/>
    </row>
    <row r="28" spans="1:20">
      <c r="A28" s="83">
        <v>13</v>
      </c>
      <c r="B28" s="109">
        <f t="shared" si="4"/>
        <v>356520884.31838435</v>
      </c>
      <c r="C28" s="110">
        <f t="shared" si="0"/>
        <v>18044476.86608953</v>
      </c>
      <c r="D28" s="109">
        <f t="shared" si="1"/>
        <v>9208934.4419438671</v>
      </c>
      <c r="E28" s="110">
        <f t="shared" si="5"/>
        <v>8835542.4241456632</v>
      </c>
      <c r="F28" s="110">
        <f t="shared" si="6"/>
        <v>347685341.89423871</v>
      </c>
      <c r="G28" s="111">
        <f t="shared" si="2"/>
        <v>10635887.380559869</v>
      </c>
      <c r="H28" s="111">
        <f>+'[3]Upfront &amp; Ongoing Costs'!$B$34/2</f>
        <v>486271.60496949358</v>
      </c>
      <c r="I28" s="111">
        <f t="shared" si="3"/>
        <v>286621.22294823022</v>
      </c>
      <c r="L28" s="112">
        <f t="shared" si="7"/>
        <v>18530748.471059024</v>
      </c>
      <c r="M28" s="111"/>
      <c r="T28" s="83"/>
    </row>
    <row r="29" spans="1:20">
      <c r="A29" s="83">
        <v>14</v>
      </c>
      <c r="B29" s="109">
        <f t="shared" si="4"/>
        <v>347685341.89423871</v>
      </c>
      <c r="C29" s="110">
        <f t="shared" si="0"/>
        <v>18044476.86608953</v>
      </c>
      <c r="D29" s="109">
        <f t="shared" si="1"/>
        <v>8980712.3811281864</v>
      </c>
      <c r="E29" s="110">
        <f t="shared" si="5"/>
        <v>9063764.4849613439</v>
      </c>
      <c r="F29" s="110">
        <f t="shared" si="6"/>
        <v>338621577.40927738</v>
      </c>
      <c r="G29" s="111">
        <f t="shared" si="2"/>
        <v>10212085.819068523</v>
      </c>
      <c r="H29" s="111">
        <f>+'[3]Upfront &amp; Ongoing Costs'!$B$34/2</f>
        <v>486271.60496949358</v>
      </c>
      <c r="I29" s="111">
        <f t="shared" si="3"/>
        <v>275200.40609527624</v>
      </c>
      <c r="L29" s="112">
        <f t="shared" si="7"/>
        <v>18530748.471059024</v>
      </c>
      <c r="M29" s="111"/>
      <c r="T29" s="83"/>
    </row>
    <row r="30" spans="1:20">
      <c r="A30" s="83">
        <v>15</v>
      </c>
      <c r="B30" s="109">
        <f t="shared" si="4"/>
        <v>338621577.40927738</v>
      </c>
      <c r="C30" s="110">
        <f t="shared" si="0"/>
        <v>18044476.86608953</v>
      </c>
      <c r="D30" s="109">
        <f t="shared" si="1"/>
        <v>8746595.344481634</v>
      </c>
      <c r="E30" s="110">
        <f t="shared" si="5"/>
        <v>9297881.5216078963</v>
      </c>
      <c r="F30" s="110">
        <f t="shared" si="6"/>
        <v>329323695.8876695</v>
      </c>
      <c r="G30" s="111">
        <f t="shared" si="2"/>
        <v>9805171.2136999741</v>
      </c>
      <c r="H30" s="111">
        <f>+'[3]Upfront &amp; Ongoing Costs'!$B$34/2</f>
        <v>486271.60496949358</v>
      </c>
      <c r="I30" s="111">
        <f t="shared" si="3"/>
        <v>264234.66739824892</v>
      </c>
      <c r="L30" s="112">
        <f t="shared" si="7"/>
        <v>18530748.471059024</v>
      </c>
      <c r="M30" s="111"/>
      <c r="T30" s="83"/>
    </row>
    <row r="31" spans="1:20">
      <c r="A31" s="83">
        <v>16</v>
      </c>
      <c r="B31" s="109">
        <f t="shared" si="4"/>
        <v>329323695.8876695</v>
      </c>
      <c r="C31" s="110">
        <f t="shared" si="0"/>
        <v>18044476.86608953</v>
      </c>
      <c r="D31" s="109">
        <f t="shared" si="1"/>
        <v>8506431.064778503</v>
      </c>
      <c r="E31" s="110">
        <f t="shared" si="5"/>
        <v>9538045.8013110273</v>
      </c>
      <c r="F31" s="110">
        <f t="shared" si="6"/>
        <v>319785650.08635849</v>
      </c>
      <c r="G31" s="111">
        <f t="shared" si="2"/>
        <v>9414470.6804608498</v>
      </c>
      <c r="H31" s="111">
        <f>+'[3]Upfront &amp; Ongoing Costs'!$B$34/2</f>
        <v>486271.60496949358</v>
      </c>
      <c r="I31" s="111">
        <f t="shared" si="3"/>
        <v>253705.87364210168</v>
      </c>
      <c r="L31" s="112">
        <f t="shared" si="7"/>
        <v>18530748.471059024</v>
      </c>
      <c r="M31" s="111"/>
      <c r="T31" s="83"/>
    </row>
    <row r="32" spans="1:20">
      <c r="A32" s="83">
        <v>17</v>
      </c>
      <c r="B32" s="109">
        <f t="shared" si="4"/>
        <v>319785650.08635849</v>
      </c>
      <c r="C32" s="110">
        <f t="shared" si="0"/>
        <v>18044476.86608953</v>
      </c>
      <c r="D32" s="109">
        <f t="shared" si="1"/>
        <v>8260063.3417306393</v>
      </c>
      <c r="E32" s="110">
        <f t="shared" si="5"/>
        <v>9784413.524358891</v>
      </c>
      <c r="F32" s="110">
        <f t="shared" si="6"/>
        <v>310001236.56199962</v>
      </c>
      <c r="G32" s="111">
        <f t="shared" si="2"/>
        <v>9039338.1473459881</v>
      </c>
      <c r="H32" s="111">
        <f>+'[3]Upfront &amp; Ongoing Costs'!$B$34/2</f>
        <v>486271.60496949358</v>
      </c>
      <c r="I32" s="111">
        <f t="shared" si="3"/>
        <v>243596.61415468232</v>
      </c>
      <c r="L32" s="112">
        <f t="shared" si="7"/>
        <v>18530748.471059024</v>
      </c>
      <c r="M32" s="111"/>
      <c r="T32" s="83"/>
    </row>
    <row r="33" spans="1:20">
      <c r="A33" s="83">
        <v>18</v>
      </c>
      <c r="B33" s="109">
        <f t="shared" si="4"/>
        <v>310001236.56199962</v>
      </c>
      <c r="C33" s="110">
        <f t="shared" si="0"/>
        <v>18044476.86608953</v>
      </c>
      <c r="D33" s="109">
        <f t="shared" si="1"/>
        <v>8007331.9403964495</v>
      </c>
      <c r="E33" s="110">
        <f t="shared" si="5"/>
        <v>10037144.92569308</v>
      </c>
      <c r="F33" s="110">
        <f t="shared" si="6"/>
        <v>299964091.63630652</v>
      </c>
      <c r="G33" s="111">
        <f t="shared" si="2"/>
        <v>8679153.2859779056</v>
      </c>
      <c r="H33" s="111">
        <f>+'[3]Upfront &amp; Ongoing Costs'!$B$34/2</f>
        <v>486271.60496949358</v>
      </c>
      <c r="I33" s="111">
        <f t="shared" si="3"/>
        <v>233890.17201601758</v>
      </c>
      <c r="L33" s="112">
        <f t="shared" si="7"/>
        <v>18530748.471059024</v>
      </c>
      <c r="M33" s="111"/>
      <c r="T33" s="83"/>
    </row>
    <row r="34" spans="1:20">
      <c r="A34" s="83">
        <v>19</v>
      </c>
      <c r="B34" s="109">
        <f t="shared" si="4"/>
        <v>299964091.63630652</v>
      </c>
      <c r="C34" s="110">
        <f t="shared" si="0"/>
        <v>18044476.86608953</v>
      </c>
      <c r="D34" s="109">
        <f t="shared" si="1"/>
        <v>7748072.4869657969</v>
      </c>
      <c r="E34" s="110">
        <f t="shared" si="5"/>
        <v>10296404.379123732</v>
      </c>
      <c r="F34" s="110">
        <f t="shared" si="6"/>
        <v>289667687.25718278</v>
      </c>
      <c r="G34" s="111">
        <f t="shared" si="2"/>
        <v>8333320.4858165188</v>
      </c>
      <c r="H34" s="111">
        <f>+'[3]Upfront &amp; Ongoing Costs'!$B$34/2</f>
        <v>486271.60496949358</v>
      </c>
      <c r="I34" s="111">
        <f t="shared" si="3"/>
        <v>224570.49641480323</v>
      </c>
      <c r="L34" s="112">
        <f t="shared" si="7"/>
        <v>18530748.471059024</v>
      </c>
      <c r="M34" s="111"/>
      <c r="T34" s="83"/>
    </row>
    <row r="35" spans="1:20">
      <c r="A35" s="83">
        <v>20</v>
      </c>
      <c r="B35" s="109">
        <f t="shared" si="4"/>
        <v>289667687.25718278</v>
      </c>
      <c r="C35" s="110">
        <f t="shared" si="0"/>
        <v>18044476.86608953</v>
      </c>
      <c r="D35" s="109">
        <f t="shared" si="1"/>
        <v>7482116.3618530305</v>
      </c>
      <c r="E35" s="110">
        <f t="shared" si="5"/>
        <v>10562360.504236501</v>
      </c>
      <c r="F35" s="110">
        <f t="shared" si="6"/>
        <v>279105326.75294626</v>
      </c>
      <c r="G35" s="111">
        <f t="shared" si="2"/>
        <v>8001267.8692429364</v>
      </c>
      <c r="H35" s="111">
        <f>+'[3]Upfront &amp; Ongoing Costs'!$B$34/2</f>
        <v>486271.60496949358</v>
      </c>
      <c r="I35" s="111">
        <f t="shared" si="3"/>
        <v>215622.1761063881</v>
      </c>
      <c r="L35" s="112">
        <f t="shared" si="7"/>
        <v>18530748.471059024</v>
      </c>
      <c r="M35" s="111"/>
      <c r="T35" s="83"/>
    </row>
    <row r="36" spans="1:20">
      <c r="A36" s="83">
        <v>21</v>
      </c>
      <c r="B36" s="109">
        <f t="shared" si="4"/>
        <v>279105326.75294626</v>
      </c>
      <c r="C36" s="110">
        <f t="shared" si="0"/>
        <v>18044476.86608953</v>
      </c>
      <c r="D36" s="109">
        <f t="shared" si="1"/>
        <v>7209290.5900286017</v>
      </c>
      <c r="E36" s="110">
        <f t="shared" si="5"/>
        <v>10835186.276060928</v>
      </c>
      <c r="F36" s="110">
        <f t="shared" si="6"/>
        <v>268270140.47688532</v>
      </c>
      <c r="G36" s="111">
        <f t="shared" si="2"/>
        <v>7682446.3458885606</v>
      </c>
      <c r="H36" s="111">
        <f>+'[3]Upfront &amp; Ongoing Costs'!$B$34/2</f>
        <v>486271.60496949358</v>
      </c>
      <c r="I36" s="111">
        <f t="shared" si="3"/>
        <v>207030.41392836111</v>
      </c>
      <c r="L36" s="112">
        <f t="shared" si="7"/>
        <v>18530748.471059024</v>
      </c>
      <c r="M36" s="111"/>
      <c r="T36" s="83"/>
    </row>
    <row r="37" spans="1:20">
      <c r="A37" s="83">
        <v>22</v>
      </c>
      <c r="B37" s="109">
        <f t="shared" si="4"/>
        <v>268270140.47688532</v>
      </c>
      <c r="C37" s="110">
        <f t="shared" si="0"/>
        <v>18044476.86608953</v>
      </c>
      <c r="D37" s="109">
        <f t="shared" si="1"/>
        <v>6929417.7285179477</v>
      </c>
      <c r="E37" s="110">
        <f t="shared" si="5"/>
        <v>11115059.137571583</v>
      </c>
      <c r="F37" s="110">
        <f t="shared" si="6"/>
        <v>257155081.33931375</v>
      </c>
      <c r="G37" s="111">
        <f t="shared" si="2"/>
        <v>7376328.7046457594</v>
      </c>
      <c r="H37" s="111">
        <f>+'[3]Upfront &amp; Ongoing Costs'!$B$34/2</f>
        <v>486271.60496949358</v>
      </c>
      <c r="I37" s="111">
        <f t="shared" si="3"/>
        <v>198781.00233159965</v>
      </c>
      <c r="L37" s="112">
        <f t="shared" si="7"/>
        <v>18530748.471059024</v>
      </c>
      <c r="M37" s="111"/>
      <c r="T37" s="83"/>
    </row>
    <row r="38" spans="1:20">
      <c r="A38" s="83">
        <v>23</v>
      </c>
      <c r="B38" s="109">
        <f t="shared" si="4"/>
        <v>257155081.33931375</v>
      </c>
      <c r="C38" s="110">
        <f t="shared" si="0"/>
        <v>18044476.86608953</v>
      </c>
      <c r="D38" s="109">
        <f t="shared" si="1"/>
        <v>6642315.7509944737</v>
      </c>
      <c r="E38" s="110">
        <f t="shared" si="5"/>
        <v>11402161.115095057</v>
      </c>
      <c r="F38" s="110">
        <f t="shared" si="6"/>
        <v>245752920.2242187</v>
      </c>
      <c r="G38" s="111">
        <f t="shared" si="2"/>
        <v>7082408.7418586276</v>
      </c>
      <c r="H38" s="111">
        <f>+'[3]Upfront &amp; Ongoing Costs'!$B$34/2</f>
        <v>486271.60496949358</v>
      </c>
      <c r="I38" s="111">
        <f t="shared" si="3"/>
        <v>190860.29988631752</v>
      </c>
      <c r="L38" s="112">
        <f t="shared" si="7"/>
        <v>18530748.471059024</v>
      </c>
      <c r="M38" s="111"/>
      <c r="T38" s="83"/>
    </row>
    <row r="39" spans="1:20">
      <c r="A39" s="83">
        <v>24</v>
      </c>
      <c r="B39" s="109">
        <f t="shared" si="4"/>
        <v>245752920.2242187</v>
      </c>
      <c r="C39" s="110">
        <f t="shared" si="0"/>
        <v>18044476.86608953</v>
      </c>
      <c r="D39" s="109">
        <f t="shared" si="1"/>
        <v>6347797.9293915685</v>
      </c>
      <c r="E39" s="110">
        <f t="shared" si="5"/>
        <v>11696678.936697962</v>
      </c>
      <c r="F39" s="110">
        <f t="shared" si="6"/>
        <v>234056241.28752074</v>
      </c>
      <c r="G39" s="111">
        <f t="shared" si="2"/>
        <v>6800200.4242521627</v>
      </c>
      <c r="H39" s="111">
        <f>+'[3]Upfront &amp; Ongoing Costs'!$B$34/2</f>
        <v>486271.60496949358</v>
      </c>
      <c r="I39" s="111">
        <f t="shared" si="3"/>
        <v>183255.20872426071</v>
      </c>
      <c r="L39" s="112">
        <f t="shared" si="7"/>
        <v>18530748.471059024</v>
      </c>
      <c r="M39" s="111"/>
      <c r="T39" s="83"/>
    </row>
    <row r="40" spans="1:20">
      <c r="A40" s="83">
        <v>25</v>
      </c>
      <c r="B40" s="109">
        <f t="shared" si="4"/>
        <v>234056241.28752074</v>
      </c>
      <c r="C40" s="110">
        <f t="shared" si="0"/>
        <v>18044476.86608953</v>
      </c>
      <c r="D40" s="109">
        <f t="shared" si="1"/>
        <v>6045672.7124566603</v>
      </c>
      <c r="E40" s="110">
        <f t="shared" si="5"/>
        <v>11998804.15363287</v>
      </c>
      <c r="F40" s="110">
        <f t="shared" si="6"/>
        <v>222057437.13388789</v>
      </c>
      <c r="G40" s="111">
        <f t="shared" si="2"/>
        <v>6529237.0852157101</v>
      </c>
      <c r="H40" s="111">
        <f>+'[3]Upfront &amp; Ongoing Costs'!$B$34/2</f>
        <v>486271.60496949358</v>
      </c>
      <c r="I40" s="111">
        <f t="shared" si="3"/>
        <v>175953.152879751</v>
      </c>
      <c r="L40" s="112">
        <f t="shared" si="7"/>
        <v>18530748.471059024</v>
      </c>
      <c r="M40" s="111"/>
      <c r="T40" s="83"/>
    </row>
    <row r="41" spans="1:20">
      <c r="A41" s="83">
        <v>26</v>
      </c>
      <c r="B41" s="109">
        <f t="shared" si="4"/>
        <v>222057437.13388789</v>
      </c>
      <c r="C41" s="110">
        <f t="shared" si="0"/>
        <v>18044476.86608953</v>
      </c>
      <c r="D41" s="109">
        <f t="shared" si="1"/>
        <v>5735743.6011683242</v>
      </c>
      <c r="E41" s="110">
        <f t="shared" si="5"/>
        <v>12308733.264921207</v>
      </c>
      <c r="F41" s="110">
        <f t="shared" si="6"/>
        <v>209748703.8689667</v>
      </c>
      <c r="G41" s="111">
        <f t="shared" si="2"/>
        <v>6269070.6531115789</v>
      </c>
      <c r="H41" s="111">
        <f>+'[3]Upfront &amp; Ongoing Costs'!$B$34/2</f>
        <v>486271.60496949358</v>
      </c>
      <c r="I41" s="111">
        <f t="shared" si="3"/>
        <v>168942.05749375996</v>
      </c>
      <c r="L41" s="112">
        <f t="shared" si="7"/>
        <v>18530748.471059024</v>
      </c>
      <c r="M41" s="111"/>
      <c r="T41" s="83"/>
    </row>
    <row r="42" spans="1:20">
      <c r="A42" s="83">
        <v>27</v>
      </c>
      <c r="B42" s="109">
        <f t="shared" si="4"/>
        <v>209748703.8689667</v>
      </c>
      <c r="C42" s="110">
        <f t="shared" si="0"/>
        <v>18044476.86608953</v>
      </c>
      <c r="D42" s="109">
        <f t="shared" si="1"/>
        <v>5417809.0209354097</v>
      </c>
      <c r="E42" s="110">
        <f t="shared" si="5"/>
        <v>12626667.845154122</v>
      </c>
      <c r="F42" s="110">
        <f t="shared" si="6"/>
        <v>197122036.02381259</v>
      </c>
      <c r="G42" s="111">
        <f t="shared" si="2"/>
        <v>6019270.9103327682</v>
      </c>
      <c r="H42" s="111">
        <f>+'[3]Upfront &amp; Ongoing Costs'!$B$34/2</f>
        <v>486271.60496949358</v>
      </c>
      <c r="I42" s="111">
        <f t="shared" si="3"/>
        <v>162210.32884662499</v>
      </c>
      <c r="L42" s="112">
        <f t="shared" si="7"/>
        <v>18530748.471059024</v>
      </c>
      <c r="M42" s="111"/>
      <c r="T42" s="83"/>
    </row>
    <row r="43" spans="1:20">
      <c r="A43" s="83">
        <v>28</v>
      </c>
      <c r="B43" s="109">
        <f t="shared" si="4"/>
        <v>197122036.02381259</v>
      </c>
      <c r="C43" s="110">
        <f t="shared" si="0"/>
        <v>18044476.86608953</v>
      </c>
      <c r="D43" s="109">
        <f t="shared" si="1"/>
        <v>5091662.1904950794</v>
      </c>
      <c r="E43" s="110">
        <f t="shared" si="5"/>
        <v>12952814.675594451</v>
      </c>
      <c r="F43" s="110">
        <f t="shared" si="6"/>
        <v>184169221.34821814</v>
      </c>
      <c r="G43" s="111">
        <f t="shared" si="2"/>
        <v>5779424.7818845585</v>
      </c>
      <c r="H43" s="111">
        <f>+'[3]Upfront &amp; Ongoing Costs'!$B$34/2</f>
        <v>486271.60496949358</v>
      </c>
      <c r="I43" s="111">
        <f t="shared" si="3"/>
        <v>155746.8351863898</v>
      </c>
      <c r="L43" s="112">
        <f t="shared" si="7"/>
        <v>18530748.471059024</v>
      </c>
      <c r="M43" s="111"/>
      <c r="T43" s="83"/>
    </row>
    <row r="44" spans="1:20">
      <c r="A44" s="83">
        <v>29</v>
      </c>
      <c r="B44" s="109">
        <f t="shared" si="4"/>
        <v>184169221.34821814</v>
      </c>
      <c r="C44" s="110">
        <f t="shared" si="0"/>
        <v>18044476.86608953</v>
      </c>
      <c r="D44" s="109">
        <f t="shared" si="1"/>
        <v>4757090.9874244742</v>
      </c>
      <c r="E44" s="110">
        <f t="shared" si="5"/>
        <v>13287385.878665056</v>
      </c>
      <c r="F44" s="110">
        <f t="shared" si="6"/>
        <v>170881835.46955308</v>
      </c>
      <c r="G44" s="111">
        <f t="shared" si="2"/>
        <v>5549135.6523135472</v>
      </c>
      <c r="H44" s="111">
        <f>+'[3]Upfront &amp; Ongoing Costs'!$B$34/2</f>
        <v>486271.60496949358</v>
      </c>
      <c r="I44" s="111">
        <f t="shared" si="3"/>
        <v>149540.88832106561</v>
      </c>
      <c r="L44" s="112">
        <f t="shared" si="7"/>
        <v>18530748.471059024</v>
      </c>
      <c r="M44" s="111"/>
      <c r="T44" s="83"/>
    </row>
    <row r="45" spans="1:20">
      <c r="A45" s="83">
        <v>30</v>
      </c>
      <c r="B45" s="109">
        <f t="shared" si="4"/>
        <v>170881835.46955308</v>
      </c>
      <c r="C45" s="110">
        <f t="shared" si="0"/>
        <v>18044476.86608953</v>
      </c>
      <c r="D45" s="109">
        <f t="shared" si="1"/>
        <v>4413877.8101785555</v>
      </c>
      <c r="E45" s="110">
        <f t="shared" si="5"/>
        <v>13630599.055910975</v>
      </c>
      <c r="F45" s="110">
        <f t="shared" si="6"/>
        <v>157251236.41364211</v>
      </c>
      <c r="G45" s="111">
        <f t="shared" si="2"/>
        <v>5328022.7098545805</v>
      </c>
      <c r="H45" s="111">
        <f>+'[3]Upfront &amp; Ongoing Costs'!$B$34/2</f>
        <v>486271.60496949358</v>
      </c>
      <c r="I45" s="111">
        <f t="shared" si="3"/>
        <v>143582.22594437402</v>
      </c>
      <c r="L45" s="112">
        <f t="shared" si="7"/>
        <v>18530748.471059024</v>
      </c>
      <c r="M45" s="111"/>
      <c r="T45" s="83"/>
    </row>
    <row r="46" spans="1:20">
      <c r="A46" s="83">
        <v>31</v>
      </c>
      <c r="B46" s="109">
        <f t="shared" si="4"/>
        <v>157251236.41364211</v>
      </c>
      <c r="C46" s="110">
        <f t="shared" si="0"/>
        <v>18044476.86608953</v>
      </c>
      <c r="D46" s="109">
        <f t="shared" si="1"/>
        <v>4061799.4365643756</v>
      </c>
      <c r="E46" s="110">
        <f t="shared" si="5"/>
        <v>13982677.429525156</v>
      </c>
      <c r="F46" s="110">
        <f t="shared" si="6"/>
        <v>143268558.98411697</v>
      </c>
      <c r="G46" s="111">
        <f t="shared" si="2"/>
        <v>5115720.3167110709</v>
      </c>
      <c r="H46" s="111">
        <f>+'[3]Upfront &amp; Ongoing Costs'!$B$34/2</f>
        <v>486271.60496949358</v>
      </c>
      <c r="I46" s="111">
        <f t="shared" si="3"/>
        <v>137860.99466574559</v>
      </c>
      <c r="L46" s="112">
        <f t="shared" si="7"/>
        <v>18530748.471059024</v>
      </c>
      <c r="M46" s="111"/>
      <c r="T46" s="83"/>
    </row>
    <row r="47" spans="1:20">
      <c r="A47" s="83">
        <v>32</v>
      </c>
      <c r="B47" s="109">
        <f t="shared" si="4"/>
        <v>143268558.98411697</v>
      </c>
      <c r="C47" s="110">
        <f t="shared" si="0"/>
        <v>18044476.86608953</v>
      </c>
      <c r="D47" s="109">
        <f t="shared" si="1"/>
        <v>3700626.8785597412</v>
      </c>
      <c r="E47" s="110">
        <f t="shared" si="5"/>
        <v>14343849.987529788</v>
      </c>
      <c r="F47" s="110">
        <f t="shared" si="6"/>
        <v>128924708.99658719</v>
      </c>
      <c r="G47" s="111">
        <f t="shared" si="2"/>
        <v>4911877.4044273356</v>
      </c>
      <c r="H47" s="111">
        <f>+'[3]Upfront &amp; Ongoing Costs'!$B$34/2</f>
        <v>486271.60496949358</v>
      </c>
      <c r="I47" s="111">
        <f t="shared" si="3"/>
        <v>132367.73371651038</v>
      </c>
      <c r="L47" s="112">
        <f t="shared" si="7"/>
        <v>18530748.471059024</v>
      </c>
      <c r="M47" s="111"/>
      <c r="T47" s="83"/>
    </row>
    <row r="48" spans="1:20">
      <c r="A48" s="83">
        <v>33</v>
      </c>
      <c r="B48" s="109">
        <f t="shared" si="4"/>
        <v>128924708.99658719</v>
      </c>
      <c r="C48" s="110">
        <f t="shared" si="0"/>
        <v>18044476.86608953</v>
      </c>
      <c r="D48" s="109">
        <f t="shared" si="1"/>
        <v>3330125.2333818469</v>
      </c>
      <c r="E48" s="110">
        <f t="shared" si="5"/>
        <v>14714351.632707683</v>
      </c>
      <c r="F48" s="110">
        <f t="shared" si="6"/>
        <v>114210357.3638795</v>
      </c>
      <c r="G48" s="111">
        <f t="shared" si="2"/>
        <v>4716156.8933531782</v>
      </c>
      <c r="H48" s="111">
        <f>+'[3]Upfront &amp; Ongoing Costs'!$B$34/2</f>
        <v>486271.60496949358</v>
      </c>
      <c r="I48" s="111">
        <f t="shared" si="3"/>
        <v>127093.35930533882</v>
      </c>
      <c r="L48" s="112">
        <f t="shared" si="7"/>
        <v>18530748.471059024</v>
      </c>
      <c r="M48" s="111"/>
      <c r="T48" s="83"/>
    </row>
    <row r="49" spans="1:20">
      <c r="A49" s="83">
        <v>34</v>
      </c>
      <c r="B49" s="109">
        <f t="shared" si="4"/>
        <v>114210357.3638795</v>
      </c>
      <c r="C49" s="110">
        <f t="shared" si="0"/>
        <v>18044476.86608953</v>
      </c>
      <c r="D49" s="109">
        <f t="shared" si="1"/>
        <v>2950053.5307090073</v>
      </c>
      <c r="E49" s="110">
        <f t="shared" si="5"/>
        <v>15094423.335380523</v>
      </c>
      <c r="F49" s="110">
        <f t="shared" si="6"/>
        <v>99115934.028498977</v>
      </c>
      <c r="G49" s="111">
        <f t="shared" si="2"/>
        <v>4528235.1352406889</v>
      </c>
      <c r="H49" s="111">
        <f>+'[3]Upfront &amp; Ongoing Costs'!$B$34/2</f>
        <v>486271.60496949358</v>
      </c>
      <c r="I49" s="111">
        <f t="shared" si="3"/>
        <v>122029.14959706078</v>
      </c>
      <c r="L49" s="112">
        <f t="shared" si="7"/>
        <v>18530748.471059024</v>
      </c>
      <c r="M49" s="111"/>
      <c r="T49" s="83"/>
    </row>
    <row r="50" spans="1:20">
      <c r="A50" s="83">
        <v>35</v>
      </c>
      <c r="B50" s="109">
        <f t="shared" si="4"/>
        <v>99115934.028498977</v>
      </c>
      <c r="C50" s="110">
        <f t="shared" si="0"/>
        <v>18044476.86608953</v>
      </c>
      <c r="D50" s="109">
        <f t="shared" si="1"/>
        <v>2560164.5759561285</v>
      </c>
      <c r="E50" s="110">
        <f t="shared" si="5"/>
        <v>15484312.290133402</v>
      </c>
      <c r="F50" s="110">
        <f t="shared" si="6"/>
        <v>83631621.738365591</v>
      </c>
      <c r="G50" s="111">
        <f t="shared" si="2"/>
        <v>4347801.3780515492</v>
      </c>
      <c r="H50" s="111">
        <f>+'[3]Upfront &amp; Ongoing Costs'!$B$34/2</f>
        <v>486271.60496949358</v>
      </c>
      <c r="I50" s="111">
        <f t="shared" si="3"/>
        <v>117166.73029002475</v>
      </c>
      <c r="L50" s="112">
        <f t="shared" si="7"/>
        <v>18530748.471059024</v>
      </c>
      <c r="M50" s="111"/>
      <c r="T50" s="83"/>
    </row>
    <row r="51" spans="1:20">
      <c r="A51" s="83">
        <v>36</v>
      </c>
      <c r="B51" s="109">
        <f t="shared" si="4"/>
        <v>83631621.738365591</v>
      </c>
      <c r="C51" s="110">
        <f t="shared" si="0"/>
        <v>18044476.86608953</v>
      </c>
      <c r="D51" s="109">
        <f t="shared" si="1"/>
        <v>2160204.7895019832</v>
      </c>
      <c r="E51" s="110">
        <f t="shared" si="5"/>
        <v>15884272.076587547</v>
      </c>
      <c r="F51" s="110">
        <f t="shared" si="6"/>
        <v>67747349.661778033</v>
      </c>
      <c r="G51" s="111">
        <f t="shared" si="2"/>
        <v>4174557.2520898222</v>
      </c>
      <c r="H51" s="111">
        <f>+'[3]Upfront &amp; Ongoing Costs'!$B$34/2</f>
        <v>486271.60496949358</v>
      </c>
      <c r="I51" s="111">
        <f t="shared" si="3"/>
        <v>112498.06076814666</v>
      </c>
      <c r="L51" s="112">
        <f t="shared" si="7"/>
        <v>18530748.471059024</v>
      </c>
      <c r="M51" s="111"/>
      <c r="T51" s="83"/>
    </row>
    <row r="52" spans="1:20">
      <c r="A52" s="83">
        <v>37</v>
      </c>
      <c r="B52" s="109">
        <f t="shared" si="4"/>
        <v>67747349.661778033</v>
      </c>
      <c r="C52" s="110">
        <f t="shared" si="0"/>
        <v>18044476.86608953</v>
      </c>
      <c r="D52" s="109">
        <f t="shared" si="1"/>
        <v>1749914.0417637264</v>
      </c>
      <c r="E52" s="110">
        <f t="shared" si="5"/>
        <v>16294562.824325804</v>
      </c>
      <c r="F52" s="110">
        <f t="shared" si="6"/>
        <v>51452786.837452225</v>
      </c>
      <c r="G52" s="111">
        <f t="shared" si="2"/>
        <v>4008216.2766104867</v>
      </c>
      <c r="H52" s="111">
        <f>+'[3]Upfront &amp; Ongoing Costs'!$B$34/2</f>
        <v>486271.60496949358</v>
      </c>
      <c r="I52" s="111">
        <f t="shared" si="3"/>
        <v>108015.42080474955</v>
      </c>
      <c r="L52" s="112">
        <f t="shared" si="7"/>
        <v>18530748.471059024</v>
      </c>
      <c r="M52" s="111"/>
      <c r="T52" s="83"/>
    </row>
    <row r="53" spans="1:20">
      <c r="A53" s="83">
        <v>38</v>
      </c>
      <c r="B53" s="109">
        <f t="shared" si="4"/>
        <v>51452786.837452225</v>
      </c>
      <c r="C53" s="110">
        <f t="shared" si="0"/>
        <v>18044476.86608953</v>
      </c>
      <c r="D53" s="109">
        <f t="shared" si="1"/>
        <v>1329025.4840113909</v>
      </c>
      <c r="E53" s="110">
        <f t="shared" si="5"/>
        <v>16715451.382078139</v>
      </c>
      <c r="F53" s="110">
        <f t="shared" si="6"/>
        <v>34737335.455374084</v>
      </c>
      <c r="G53" s="111">
        <f t="shared" si="2"/>
        <v>3848503.3860878409</v>
      </c>
      <c r="H53" s="111">
        <f>+'[3]Upfront &amp; Ongoing Costs'!$B$34/2</f>
        <v>486271.60496949358</v>
      </c>
      <c r="I53" s="111">
        <f t="shared" si="3"/>
        <v>103711.39779620695</v>
      </c>
      <c r="L53" s="112">
        <f t="shared" si="7"/>
        <v>18530748.471059024</v>
      </c>
      <c r="M53" s="111"/>
      <c r="T53" s="83"/>
    </row>
    <row r="54" spans="1:20">
      <c r="A54" s="83">
        <v>39</v>
      </c>
      <c r="B54" s="109">
        <f t="shared" si="4"/>
        <v>34737335.455374084</v>
      </c>
      <c r="C54" s="110">
        <f t="shared" si="0"/>
        <v>18044476.86608953</v>
      </c>
      <c r="D54" s="109">
        <f t="shared" si="1"/>
        <v>897265.37481231254</v>
      </c>
      <c r="E54" s="110">
        <f t="shared" si="5"/>
        <v>17147211.491277218</v>
      </c>
      <c r="F54" s="110">
        <f t="shared" si="6"/>
        <v>17590123.964096867</v>
      </c>
      <c r="G54" s="111">
        <f t="shared" si="2"/>
        <v>3695154.4753603842</v>
      </c>
      <c r="H54" s="111">
        <f>+'[3]Upfront &amp; Ongoing Costs'!$B$34/2</f>
        <v>486271.60496949358</v>
      </c>
      <c r="I54" s="111">
        <f t="shared" si="3"/>
        <v>99578.874504279331</v>
      </c>
      <c r="L54" s="112">
        <f t="shared" si="7"/>
        <v>18530748.471059024</v>
      </c>
      <c r="M54" s="111"/>
      <c r="T54" s="83"/>
    </row>
    <row r="55" spans="1:20">
      <c r="A55" s="83">
        <v>40</v>
      </c>
      <c r="B55" s="109">
        <f t="shared" si="4"/>
        <v>17590123.964096867</v>
      </c>
      <c r="C55" s="110">
        <f t="shared" si="0"/>
        <v>18044476.86608953</v>
      </c>
      <c r="D55" s="109">
        <f t="shared" si="1"/>
        <v>454352.90199262206</v>
      </c>
      <c r="E55" s="110">
        <f t="shared" si="5"/>
        <v>17590123.964096908</v>
      </c>
      <c r="F55" s="110">
        <f t="shared" si="6"/>
        <v>-4.0978193283081055E-8</v>
      </c>
      <c r="G55" s="111">
        <f t="shared" si="2"/>
        <v>3547915.9629000332</v>
      </c>
      <c r="H55" s="111">
        <f>+'[3]Upfront &amp; Ongoing Costs'!$B$34/2</f>
        <v>486271.60496949358</v>
      </c>
      <c r="I55" s="111">
        <f t="shared" si="3"/>
        <v>95611.017286874063</v>
      </c>
      <c r="L55" s="112">
        <f t="shared" si="7"/>
        <v>18530748.471059024</v>
      </c>
      <c r="M55" s="111"/>
      <c r="T55" s="83"/>
    </row>
    <row r="56" spans="1:20">
      <c r="A56" s="85"/>
      <c r="B56" s="85"/>
      <c r="C56" s="113"/>
      <c r="D56" s="109"/>
      <c r="E56" s="109"/>
      <c r="F56" s="114"/>
      <c r="G56" s="109"/>
      <c r="H56" s="109"/>
      <c r="I56" s="109"/>
      <c r="J56" s="111"/>
      <c r="M56" s="109"/>
      <c r="N56" s="109"/>
      <c r="O56" s="109"/>
      <c r="P56" s="110"/>
      <c r="Q56" s="110"/>
    </row>
    <row r="57" spans="1:20">
      <c r="A57" s="85"/>
      <c r="B57" s="85"/>
      <c r="C57" s="113"/>
      <c r="D57" s="109"/>
      <c r="E57" s="109"/>
      <c r="F57" s="114"/>
      <c r="G57" s="109"/>
      <c r="H57" s="109"/>
      <c r="I57" s="109"/>
      <c r="J57" s="111"/>
      <c r="M57" s="110"/>
      <c r="N57" s="110"/>
      <c r="O57" s="109"/>
      <c r="P57" s="110"/>
      <c r="Q57" s="110"/>
    </row>
    <row r="58" spans="1:20">
      <c r="A58" s="85"/>
      <c r="B58" s="85"/>
      <c r="C58" s="113"/>
      <c r="D58" s="109"/>
      <c r="E58" s="109"/>
      <c r="F58" s="114"/>
      <c r="G58" s="109"/>
      <c r="H58" s="109"/>
      <c r="I58" s="109"/>
      <c r="J58" s="111"/>
      <c r="M58" s="110"/>
      <c r="N58" s="110"/>
      <c r="O58" s="109"/>
      <c r="P58" s="110"/>
      <c r="Q58" s="110"/>
    </row>
    <row r="59" spans="1:20">
      <c r="A59" s="85"/>
      <c r="B59" s="85"/>
      <c r="C59" s="113"/>
      <c r="D59" s="109"/>
      <c r="E59" s="109"/>
      <c r="F59" s="114"/>
      <c r="G59" s="109"/>
      <c r="H59" s="109"/>
      <c r="I59" s="109"/>
      <c r="J59" s="111"/>
      <c r="M59" s="110"/>
      <c r="N59" s="110"/>
      <c r="O59" s="109"/>
      <c r="P59" s="110"/>
      <c r="Q59" s="110"/>
    </row>
    <row r="60" spans="1:20">
      <c r="A60" s="85"/>
      <c r="B60" s="85"/>
      <c r="C60" s="113"/>
      <c r="D60" s="109"/>
      <c r="E60" s="109"/>
      <c r="F60" s="114"/>
      <c r="G60" s="109"/>
      <c r="H60" s="109"/>
      <c r="I60" s="109"/>
      <c r="J60" s="111"/>
      <c r="M60" s="110"/>
      <c r="N60" s="110"/>
      <c r="O60" s="109"/>
      <c r="P60" s="110"/>
      <c r="Q60" s="110"/>
    </row>
    <row r="61" spans="1:20">
      <c r="A61" s="85"/>
      <c r="B61" s="85"/>
      <c r="C61" s="113"/>
      <c r="D61" s="109"/>
      <c r="E61" s="109"/>
      <c r="F61" s="114"/>
      <c r="G61" s="109"/>
      <c r="H61" s="109"/>
      <c r="I61" s="109"/>
      <c r="J61" s="111"/>
      <c r="M61" s="110"/>
      <c r="N61" s="110"/>
      <c r="O61" s="109"/>
      <c r="P61" s="110"/>
      <c r="Q61" s="110"/>
    </row>
    <row r="62" spans="1:20">
      <c r="A62" s="85"/>
      <c r="B62" s="85"/>
      <c r="C62" s="113"/>
      <c r="D62" s="109"/>
      <c r="E62" s="109"/>
      <c r="F62" s="114"/>
      <c r="G62" s="109"/>
      <c r="H62" s="109"/>
      <c r="I62" s="109"/>
      <c r="J62" s="111"/>
      <c r="M62" s="110"/>
      <c r="N62" s="110"/>
      <c r="O62" s="109"/>
      <c r="P62" s="110"/>
      <c r="Q62" s="110"/>
    </row>
    <row r="63" spans="1:20">
      <c r="A63" s="85"/>
      <c r="B63" s="85"/>
      <c r="C63" s="113"/>
      <c r="D63" s="109"/>
      <c r="E63" s="109"/>
      <c r="F63" s="114"/>
      <c r="G63" s="109"/>
      <c r="H63" s="109"/>
      <c r="I63" s="109"/>
      <c r="J63" s="111"/>
      <c r="M63" s="110"/>
      <c r="N63" s="110"/>
      <c r="O63" s="109"/>
      <c r="P63" s="110"/>
      <c r="Q63" s="110"/>
    </row>
    <row r="64" spans="1:20">
      <c r="A64" s="85"/>
      <c r="B64" s="85"/>
      <c r="C64" s="113"/>
      <c r="D64" s="109"/>
      <c r="E64" s="109"/>
      <c r="F64" s="114"/>
      <c r="G64" s="109"/>
      <c r="H64" s="109"/>
      <c r="I64" s="109"/>
      <c r="J64" s="111"/>
      <c r="M64" s="110"/>
      <c r="N64" s="110"/>
      <c r="O64" s="109"/>
      <c r="P64" s="110"/>
      <c r="Q64" s="110"/>
    </row>
    <row r="65" spans="1:17">
      <c r="A65" s="85"/>
      <c r="B65" s="85"/>
      <c r="C65" s="113"/>
      <c r="D65" s="109"/>
      <c r="E65" s="109"/>
      <c r="F65" s="114"/>
      <c r="G65" s="109"/>
      <c r="H65" s="109"/>
      <c r="I65" s="109"/>
      <c r="J65" s="111"/>
      <c r="M65" s="110"/>
      <c r="N65" s="110"/>
      <c r="O65" s="109"/>
      <c r="P65" s="110"/>
      <c r="Q65" s="110"/>
    </row>
    <row r="66" spans="1:17">
      <c r="A66" s="85"/>
      <c r="B66" s="85"/>
      <c r="C66" s="113"/>
      <c r="D66" s="109"/>
      <c r="E66" s="109"/>
      <c r="F66" s="114"/>
      <c r="G66" s="109"/>
      <c r="H66" s="109"/>
      <c r="I66" s="109"/>
      <c r="J66" s="111"/>
      <c r="M66" s="110"/>
      <c r="N66" s="110"/>
      <c r="O66" s="109"/>
      <c r="P66" s="110"/>
      <c r="Q66" s="110"/>
    </row>
    <row r="67" spans="1:17">
      <c r="A67" s="85"/>
      <c r="B67" s="85"/>
      <c r="C67" s="113"/>
      <c r="D67" s="109"/>
      <c r="E67" s="109"/>
      <c r="F67" s="114"/>
      <c r="G67" s="109"/>
      <c r="H67" s="109"/>
      <c r="I67" s="109"/>
      <c r="J67" s="111"/>
      <c r="M67" s="110"/>
      <c r="N67" s="110"/>
      <c r="O67" s="109"/>
      <c r="P67" s="110"/>
      <c r="Q67" s="110"/>
    </row>
    <row r="68" spans="1:17">
      <c r="A68" s="85"/>
      <c r="B68" s="85"/>
      <c r="C68" s="113"/>
      <c r="D68" s="109"/>
      <c r="E68" s="109"/>
      <c r="F68" s="114"/>
      <c r="G68" s="109"/>
      <c r="H68" s="109"/>
      <c r="I68" s="109"/>
      <c r="J68" s="111"/>
      <c r="M68" s="110"/>
      <c r="N68" s="110"/>
      <c r="O68" s="109"/>
      <c r="P68" s="110"/>
      <c r="Q68" s="110"/>
    </row>
    <row r="69" spans="1:17">
      <c r="A69" s="85"/>
      <c r="B69" s="85"/>
      <c r="C69" s="113"/>
      <c r="D69" s="109"/>
      <c r="E69" s="109"/>
      <c r="F69" s="114"/>
      <c r="G69" s="109"/>
      <c r="H69" s="109"/>
      <c r="I69" s="109"/>
      <c r="J69" s="111"/>
      <c r="M69" s="110"/>
      <c r="N69" s="110"/>
      <c r="O69" s="109"/>
      <c r="P69" s="110"/>
      <c r="Q69" s="110"/>
    </row>
    <row r="70" spans="1:17">
      <c r="A70" s="85"/>
      <c r="B70" s="85"/>
      <c r="C70" s="113"/>
      <c r="D70" s="109"/>
      <c r="E70" s="109"/>
      <c r="F70" s="114"/>
      <c r="G70" s="109"/>
      <c r="H70" s="109"/>
      <c r="I70" s="109"/>
      <c r="J70" s="111"/>
      <c r="M70" s="110"/>
      <c r="N70" s="110"/>
      <c r="O70" s="109"/>
      <c r="P70" s="110"/>
      <c r="Q70" s="110"/>
    </row>
    <row r="71" spans="1:17">
      <c r="A71" s="85"/>
      <c r="B71" s="85"/>
      <c r="C71" s="113"/>
      <c r="D71" s="109"/>
      <c r="E71" s="109"/>
      <c r="F71" s="114"/>
      <c r="G71" s="109"/>
      <c r="H71" s="109"/>
      <c r="I71" s="109"/>
      <c r="J71" s="111"/>
      <c r="M71" s="110"/>
      <c r="N71" s="110"/>
      <c r="O71" s="109"/>
      <c r="P71" s="110"/>
      <c r="Q71" s="110"/>
    </row>
    <row r="72" spans="1:17">
      <c r="A72" s="85"/>
      <c r="B72" s="85"/>
      <c r="C72" s="113"/>
      <c r="D72" s="109"/>
      <c r="E72" s="109"/>
      <c r="F72" s="114"/>
      <c r="G72" s="109"/>
      <c r="H72" s="109"/>
      <c r="I72" s="109"/>
      <c r="J72" s="111"/>
      <c r="M72" s="110"/>
      <c r="N72" s="110"/>
      <c r="O72" s="109"/>
      <c r="P72" s="110"/>
      <c r="Q72" s="110"/>
    </row>
    <row r="73" spans="1:17">
      <c r="A73" s="85"/>
      <c r="B73" s="85"/>
      <c r="C73" s="113"/>
      <c r="D73" s="109"/>
      <c r="E73" s="109"/>
      <c r="F73" s="114"/>
      <c r="G73" s="109"/>
      <c r="H73" s="109"/>
      <c r="I73" s="109"/>
      <c r="J73" s="111"/>
      <c r="M73" s="110"/>
      <c r="N73" s="110"/>
      <c r="O73" s="109"/>
      <c r="P73" s="110"/>
      <c r="Q73" s="110"/>
    </row>
    <row r="74" spans="1:17">
      <c r="A74" s="85"/>
      <c r="B74" s="85"/>
      <c r="C74" s="113"/>
      <c r="D74" s="109"/>
      <c r="E74" s="109"/>
      <c r="F74" s="114"/>
      <c r="G74" s="109"/>
      <c r="H74" s="109"/>
      <c r="I74" s="109"/>
      <c r="J74" s="111"/>
      <c r="M74" s="110"/>
      <c r="N74" s="110"/>
      <c r="O74" s="109"/>
      <c r="P74" s="110"/>
      <c r="Q74" s="110"/>
    </row>
    <row r="75" spans="1:17">
      <c r="A75" s="85"/>
      <c r="B75" s="85"/>
      <c r="C75" s="113"/>
      <c r="D75" s="109"/>
      <c r="E75" s="109"/>
      <c r="F75" s="114"/>
      <c r="G75" s="109"/>
      <c r="H75" s="109"/>
      <c r="I75" s="109"/>
      <c r="J75" s="111"/>
      <c r="M75" s="110"/>
      <c r="N75" s="110"/>
      <c r="O75" s="109"/>
      <c r="P75" s="110"/>
      <c r="Q75" s="110"/>
    </row>
    <row r="76" spans="1:17">
      <c r="A76" s="85"/>
      <c r="B76" s="85"/>
      <c r="C76" s="113"/>
      <c r="D76" s="109"/>
      <c r="E76" s="109"/>
      <c r="F76" s="114"/>
      <c r="G76" s="109"/>
      <c r="H76" s="109"/>
      <c r="I76" s="109"/>
      <c r="J76" s="111"/>
      <c r="M76" s="110"/>
      <c r="N76" s="110"/>
      <c r="O76" s="109"/>
      <c r="P76" s="110"/>
      <c r="Q76" s="110"/>
    </row>
    <row r="77" spans="1:17">
      <c r="A77" s="85"/>
      <c r="B77" s="85"/>
      <c r="C77" s="113"/>
      <c r="D77" s="109"/>
      <c r="E77" s="109"/>
      <c r="F77" s="114"/>
      <c r="G77" s="109"/>
      <c r="H77" s="109"/>
      <c r="I77" s="109"/>
      <c r="J77" s="111"/>
      <c r="M77" s="110"/>
      <c r="N77" s="110"/>
      <c r="O77" s="109"/>
      <c r="P77" s="110"/>
      <c r="Q77" s="110"/>
    </row>
    <row r="78" spans="1:17">
      <c r="A78" s="85"/>
      <c r="B78" s="85"/>
      <c r="C78" s="113"/>
      <c r="D78" s="109"/>
      <c r="E78" s="109"/>
      <c r="F78" s="114"/>
      <c r="G78" s="109"/>
      <c r="H78" s="109"/>
      <c r="I78" s="109"/>
      <c r="J78" s="111"/>
      <c r="M78" s="110"/>
      <c r="N78" s="110"/>
      <c r="O78" s="109"/>
      <c r="P78" s="110"/>
      <c r="Q78" s="110"/>
    </row>
    <row r="79" spans="1:17">
      <c r="A79" s="85"/>
      <c r="B79" s="85"/>
      <c r="C79" s="113"/>
      <c r="D79" s="109"/>
      <c r="E79" s="109"/>
      <c r="F79" s="114"/>
      <c r="G79" s="109"/>
      <c r="H79" s="109"/>
      <c r="I79" s="109"/>
      <c r="J79" s="111"/>
      <c r="M79" s="110"/>
      <c r="N79" s="110"/>
      <c r="O79" s="109"/>
      <c r="P79" s="110"/>
      <c r="Q79" s="110"/>
    </row>
    <row r="80" spans="1:17">
      <c r="A80" s="85"/>
      <c r="B80" s="85"/>
      <c r="C80" s="113"/>
      <c r="D80" s="109"/>
      <c r="E80" s="109"/>
      <c r="F80" s="114"/>
      <c r="G80" s="109"/>
      <c r="H80" s="109"/>
      <c r="I80" s="109"/>
      <c r="J80" s="111"/>
      <c r="M80" s="110"/>
      <c r="N80" s="110"/>
      <c r="O80" s="109"/>
      <c r="P80" s="110"/>
      <c r="Q80" s="110"/>
    </row>
    <row r="81" spans="1:17">
      <c r="A81" s="85"/>
      <c r="B81" s="85"/>
      <c r="C81" s="113"/>
      <c r="D81" s="109"/>
      <c r="E81" s="109"/>
      <c r="F81" s="114"/>
      <c r="G81" s="109"/>
      <c r="H81" s="109"/>
      <c r="I81" s="109"/>
      <c r="J81" s="111"/>
      <c r="M81" s="110"/>
      <c r="N81" s="110"/>
      <c r="O81" s="109"/>
      <c r="P81" s="110"/>
      <c r="Q81" s="110"/>
    </row>
    <row r="82" spans="1:17">
      <c r="A82" s="85"/>
      <c r="B82" s="85"/>
      <c r="C82" s="113"/>
      <c r="D82" s="109"/>
      <c r="E82" s="109"/>
      <c r="F82" s="114"/>
      <c r="G82" s="109"/>
      <c r="H82" s="109"/>
      <c r="I82" s="109"/>
      <c r="J82" s="111"/>
      <c r="M82" s="110"/>
      <c r="N82" s="110"/>
      <c r="O82" s="109"/>
      <c r="P82" s="110"/>
      <c r="Q82" s="110"/>
    </row>
    <row r="83" spans="1:17">
      <c r="A83" s="85"/>
      <c r="B83" s="85"/>
      <c r="C83" s="113"/>
      <c r="D83" s="109"/>
      <c r="E83" s="109"/>
      <c r="F83" s="114"/>
      <c r="G83" s="109"/>
      <c r="H83" s="109"/>
      <c r="I83" s="109"/>
      <c r="J83" s="111"/>
      <c r="M83" s="110"/>
      <c r="N83" s="110"/>
      <c r="O83" s="109"/>
      <c r="P83" s="110"/>
      <c r="Q83" s="110"/>
    </row>
    <row r="84" spans="1:17">
      <c r="A84" s="85"/>
      <c r="B84" s="85"/>
      <c r="C84" s="113"/>
      <c r="D84" s="109"/>
      <c r="E84" s="109"/>
      <c r="F84" s="114"/>
      <c r="G84" s="109"/>
      <c r="H84" s="109"/>
      <c r="I84" s="109"/>
      <c r="J84" s="111"/>
      <c r="M84" s="110"/>
      <c r="N84" s="110"/>
      <c r="O84" s="109"/>
      <c r="P84" s="110"/>
      <c r="Q84" s="110"/>
    </row>
    <row r="85" spans="1:17">
      <c r="A85" s="85"/>
      <c r="B85" s="85"/>
      <c r="C85" s="113"/>
      <c r="D85" s="109"/>
      <c r="E85" s="109"/>
      <c r="F85" s="114"/>
      <c r="G85" s="109"/>
      <c r="H85" s="109"/>
      <c r="I85" s="109"/>
      <c r="J85" s="111"/>
      <c r="M85" s="110"/>
      <c r="N85" s="110"/>
      <c r="O85" s="109"/>
      <c r="P85" s="110"/>
      <c r="Q85" s="110"/>
    </row>
    <row r="86" spans="1:17">
      <c r="A86" s="85"/>
      <c r="B86" s="85"/>
      <c r="C86" s="113"/>
      <c r="D86" s="109"/>
      <c r="E86" s="109"/>
      <c r="F86" s="114"/>
      <c r="G86" s="109"/>
      <c r="H86" s="109"/>
      <c r="I86" s="109"/>
      <c r="J86" s="111"/>
      <c r="M86" s="110"/>
      <c r="N86" s="110"/>
      <c r="O86" s="109"/>
      <c r="P86" s="110"/>
      <c r="Q86" s="110"/>
    </row>
    <row r="87" spans="1:17">
      <c r="A87" s="85"/>
      <c r="B87" s="85"/>
      <c r="C87" s="113"/>
      <c r="D87" s="109"/>
      <c r="E87" s="109"/>
      <c r="F87" s="114"/>
      <c r="G87" s="109"/>
      <c r="H87" s="109"/>
      <c r="I87" s="109"/>
      <c r="J87" s="111"/>
      <c r="M87" s="110"/>
      <c r="N87" s="110"/>
      <c r="O87" s="109"/>
      <c r="P87" s="110"/>
      <c r="Q87" s="110"/>
    </row>
    <row r="88" spans="1:17">
      <c r="A88" s="85"/>
      <c r="B88" s="85"/>
      <c r="D88" s="109"/>
      <c r="E88" s="109"/>
      <c r="F88" s="114"/>
      <c r="G88" s="109"/>
      <c r="H88" s="109"/>
      <c r="I88" s="109"/>
      <c r="J88" s="111"/>
      <c r="M88" s="110"/>
      <c r="N88" s="110"/>
      <c r="O88" s="109"/>
      <c r="P88" s="110"/>
      <c r="Q88" s="110"/>
    </row>
    <row r="89" spans="1:17">
      <c r="A89" s="85"/>
      <c r="B89" s="85"/>
      <c r="D89" s="109"/>
      <c r="E89" s="109"/>
      <c r="F89" s="114"/>
      <c r="G89" s="109"/>
      <c r="H89" s="109"/>
      <c r="I89" s="109"/>
      <c r="J89" s="111"/>
      <c r="M89" s="110"/>
      <c r="N89" s="110"/>
      <c r="O89" s="109"/>
      <c r="P89" s="110"/>
      <c r="Q89" s="110"/>
    </row>
    <row r="90" spans="1:17">
      <c r="A90" s="85"/>
      <c r="B90" s="85"/>
      <c r="D90" s="109"/>
      <c r="E90" s="109"/>
      <c r="F90" s="114"/>
      <c r="G90" s="109"/>
      <c r="H90" s="109"/>
      <c r="I90" s="109"/>
      <c r="J90" s="111"/>
      <c r="M90" s="110"/>
      <c r="N90" s="110"/>
      <c r="O90" s="109"/>
      <c r="P90" s="110"/>
      <c r="Q90" s="110"/>
    </row>
    <row r="91" spans="1:17">
      <c r="A91" s="85"/>
      <c r="B91" s="85"/>
      <c r="D91" s="109"/>
      <c r="E91" s="109"/>
      <c r="F91" s="114"/>
      <c r="G91" s="109"/>
      <c r="H91" s="109"/>
      <c r="I91" s="109"/>
      <c r="J91" s="111"/>
      <c r="M91" s="110"/>
      <c r="N91" s="110"/>
      <c r="O91" s="109"/>
      <c r="P91" s="110"/>
      <c r="Q91" s="110"/>
    </row>
    <row r="92" spans="1:17">
      <c r="A92" s="85"/>
      <c r="B92" s="85"/>
      <c r="D92" s="109"/>
      <c r="E92" s="109"/>
      <c r="F92" s="114"/>
      <c r="G92" s="109"/>
      <c r="H92" s="109"/>
      <c r="I92" s="109"/>
      <c r="J92" s="111"/>
      <c r="M92" s="110"/>
      <c r="N92" s="110"/>
      <c r="O92" s="109"/>
      <c r="P92" s="110"/>
      <c r="Q92" s="110"/>
    </row>
    <row r="93" spans="1:17">
      <c r="A93" s="85"/>
      <c r="B93" s="85"/>
      <c r="D93" s="109"/>
      <c r="E93" s="109"/>
      <c r="F93" s="114"/>
      <c r="G93" s="109"/>
      <c r="H93" s="109"/>
      <c r="I93" s="109"/>
      <c r="J93" s="111"/>
      <c r="M93" s="110"/>
      <c r="N93" s="110"/>
      <c r="O93" s="109"/>
      <c r="P93" s="110"/>
      <c r="Q93" s="110"/>
    </row>
    <row r="94" spans="1:17">
      <c r="A94" s="85"/>
      <c r="B94" s="85"/>
      <c r="D94" s="109"/>
      <c r="E94" s="109"/>
      <c r="F94" s="114"/>
      <c r="G94" s="109"/>
      <c r="H94" s="109"/>
      <c r="I94" s="109"/>
      <c r="J94" s="111"/>
      <c r="M94" s="110"/>
      <c r="N94" s="110"/>
      <c r="O94" s="109"/>
      <c r="P94" s="110"/>
      <c r="Q94" s="110"/>
    </row>
    <row r="95" spans="1:17">
      <c r="A95" s="85"/>
      <c r="B95" s="85"/>
      <c r="D95" s="109"/>
      <c r="E95" s="109"/>
      <c r="F95" s="114"/>
      <c r="G95" s="109"/>
      <c r="H95" s="109"/>
      <c r="I95" s="109"/>
      <c r="J95" s="111"/>
      <c r="M95" s="110"/>
      <c r="N95" s="110"/>
      <c r="O95" s="109"/>
      <c r="P95" s="110"/>
      <c r="Q95" s="110"/>
    </row>
    <row r="96" spans="1:17">
      <c r="A96" s="85"/>
      <c r="B96" s="85"/>
      <c r="D96" s="109"/>
      <c r="E96" s="109"/>
      <c r="F96" s="114"/>
      <c r="G96" s="109"/>
      <c r="H96" s="109"/>
      <c r="I96" s="109"/>
      <c r="J96" s="111"/>
      <c r="M96" s="110"/>
      <c r="N96" s="110"/>
      <c r="O96" s="109"/>
      <c r="P96" s="110"/>
      <c r="Q96" s="110"/>
    </row>
    <row r="97" spans="1:17">
      <c r="A97" s="85"/>
      <c r="B97" s="85"/>
      <c r="D97" s="109"/>
      <c r="E97" s="109"/>
      <c r="F97" s="114"/>
      <c r="G97" s="109"/>
      <c r="H97" s="109"/>
      <c r="I97" s="109"/>
      <c r="J97" s="111"/>
      <c r="M97" s="110"/>
      <c r="N97" s="110"/>
      <c r="O97" s="109"/>
      <c r="P97" s="110"/>
      <c r="Q97" s="110"/>
    </row>
    <row r="98" spans="1:17">
      <c r="A98" s="85"/>
      <c r="B98" s="85"/>
      <c r="D98" s="109"/>
      <c r="E98" s="109"/>
      <c r="F98" s="114"/>
      <c r="G98" s="109"/>
      <c r="H98" s="109"/>
      <c r="I98" s="109"/>
      <c r="J98" s="111"/>
      <c r="M98" s="110"/>
      <c r="N98" s="110"/>
      <c r="O98" s="109"/>
      <c r="P98" s="110"/>
      <c r="Q98" s="110"/>
    </row>
    <row r="99" spans="1:17">
      <c r="A99" s="85"/>
      <c r="B99" s="85"/>
      <c r="D99" s="109"/>
      <c r="E99" s="109"/>
      <c r="F99" s="114"/>
      <c r="G99" s="109"/>
      <c r="H99" s="109"/>
      <c r="I99" s="109"/>
      <c r="J99" s="111"/>
      <c r="M99" s="110"/>
      <c r="N99" s="110"/>
      <c r="O99" s="109"/>
      <c r="P99" s="110"/>
      <c r="Q99" s="110"/>
    </row>
    <row r="100" spans="1:17">
      <c r="A100" s="85"/>
      <c r="B100" s="85"/>
      <c r="D100" s="109"/>
      <c r="E100" s="109"/>
      <c r="F100" s="114"/>
      <c r="G100" s="109"/>
      <c r="H100" s="109"/>
      <c r="I100" s="109"/>
      <c r="J100" s="111"/>
      <c r="M100" s="110"/>
      <c r="N100" s="110"/>
      <c r="O100" s="109"/>
      <c r="P100" s="110"/>
      <c r="Q100" s="110"/>
    </row>
    <row r="101" spans="1:17">
      <c r="A101" s="85"/>
      <c r="B101" s="85"/>
      <c r="D101" s="109"/>
      <c r="E101" s="109"/>
      <c r="F101" s="114"/>
      <c r="G101" s="109"/>
      <c r="H101" s="109"/>
      <c r="I101" s="109"/>
      <c r="J101" s="111"/>
      <c r="M101" s="110"/>
      <c r="N101" s="110"/>
      <c r="O101" s="109"/>
      <c r="P101" s="110"/>
      <c r="Q101" s="110"/>
    </row>
    <row r="102" spans="1:17">
      <c r="A102" s="85"/>
      <c r="B102" s="85"/>
      <c r="D102" s="109"/>
      <c r="E102" s="109"/>
      <c r="F102" s="114"/>
      <c r="G102" s="109"/>
      <c r="H102" s="109"/>
      <c r="I102" s="109"/>
      <c r="J102" s="111"/>
      <c r="M102" s="110"/>
      <c r="N102" s="110"/>
      <c r="O102" s="109"/>
      <c r="P102" s="110"/>
      <c r="Q102" s="110"/>
    </row>
    <row r="103" spans="1:17">
      <c r="A103" s="85"/>
      <c r="B103" s="85"/>
      <c r="D103" s="109"/>
      <c r="E103" s="109"/>
      <c r="F103" s="114"/>
      <c r="G103" s="109"/>
      <c r="H103" s="109"/>
      <c r="I103" s="109"/>
      <c r="J103" s="111"/>
      <c r="M103" s="110"/>
      <c r="N103" s="110"/>
      <c r="O103" s="109"/>
      <c r="P103" s="110"/>
      <c r="Q103" s="110"/>
    </row>
    <row r="104" spans="1:17">
      <c r="A104" s="85"/>
      <c r="B104" s="85"/>
      <c r="D104" s="109"/>
      <c r="E104" s="109"/>
      <c r="F104" s="114"/>
      <c r="G104" s="109"/>
      <c r="H104" s="109"/>
      <c r="I104" s="109"/>
      <c r="J104" s="111"/>
      <c r="M104" s="110"/>
      <c r="N104" s="110"/>
      <c r="O104" s="109"/>
      <c r="P104" s="110"/>
      <c r="Q104" s="110"/>
    </row>
    <row r="105" spans="1:17">
      <c r="A105" s="85"/>
      <c r="B105" s="85"/>
      <c r="D105" s="109"/>
      <c r="E105" s="109"/>
      <c r="F105" s="114"/>
      <c r="G105" s="109"/>
      <c r="H105" s="109"/>
      <c r="I105" s="109"/>
      <c r="J105" s="111"/>
      <c r="M105" s="110"/>
      <c r="N105" s="110"/>
      <c r="O105" s="109"/>
      <c r="P105" s="110"/>
      <c r="Q105" s="110"/>
    </row>
    <row r="106" spans="1:17">
      <c r="A106" s="85"/>
      <c r="B106" s="85"/>
      <c r="D106" s="109"/>
      <c r="E106" s="109"/>
      <c r="F106" s="114"/>
      <c r="G106" s="109"/>
      <c r="H106" s="109"/>
      <c r="I106" s="109"/>
      <c r="J106" s="111"/>
      <c r="M106" s="110"/>
      <c r="N106" s="110"/>
      <c r="O106" s="109"/>
      <c r="P106" s="110"/>
      <c r="Q106" s="110"/>
    </row>
    <row r="107" spans="1:17">
      <c r="A107" s="85"/>
      <c r="B107" s="85"/>
      <c r="D107" s="109"/>
      <c r="E107" s="109"/>
      <c r="F107" s="114"/>
      <c r="G107" s="109"/>
      <c r="H107" s="109"/>
      <c r="I107" s="109"/>
      <c r="J107" s="111"/>
      <c r="M107" s="110"/>
      <c r="N107" s="110"/>
      <c r="O107" s="109"/>
      <c r="P107" s="110"/>
      <c r="Q107" s="110"/>
    </row>
    <row r="108" spans="1:17">
      <c r="A108" s="85"/>
      <c r="B108" s="85"/>
      <c r="D108" s="109"/>
      <c r="E108" s="109"/>
      <c r="F108" s="114"/>
      <c r="G108" s="109"/>
      <c r="H108" s="109"/>
      <c r="I108" s="109"/>
      <c r="J108" s="111"/>
      <c r="M108" s="110"/>
      <c r="N108" s="110"/>
      <c r="O108" s="109"/>
      <c r="P108" s="110"/>
      <c r="Q108" s="110"/>
    </row>
    <row r="109" spans="1:17">
      <c r="A109" s="85"/>
      <c r="B109" s="85"/>
      <c r="D109" s="109"/>
      <c r="E109" s="109"/>
      <c r="F109" s="114"/>
      <c r="G109" s="109"/>
      <c r="H109" s="109"/>
      <c r="I109" s="109"/>
      <c r="J109" s="111"/>
      <c r="M109" s="110"/>
      <c r="N109" s="110"/>
      <c r="O109" s="109"/>
      <c r="P109" s="110"/>
      <c r="Q109" s="110"/>
    </row>
    <row r="110" spans="1:17">
      <c r="A110" s="85"/>
      <c r="B110" s="85"/>
      <c r="D110" s="109"/>
      <c r="E110" s="109"/>
      <c r="F110" s="114"/>
      <c r="G110" s="109"/>
      <c r="H110" s="109"/>
      <c r="I110" s="109"/>
      <c r="J110" s="111"/>
      <c r="M110" s="110"/>
      <c r="N110" s="110"/>
      <c r="O110" s="109"/>
      <c r="P110" s="110"/>
      <c r="Q110" s="110"/>
    </row>
    <row r="111" spans="1:17">
      <c r="A111" s="85"/>
      <c r="B111" s="85"/>
      <c r="D111" s="109"/>
      <c r="E111" s="109"/>
      <c r="F111" s="114"/>
      <c r="G111" s="109"/>
      <c r="H111" s="109"/>
      <c r="I111" s="109"/>
      <c r="J111" s="111"/>
      <c r="M111" s="110"/>
      <c r="N111" s="110"/>
      <c r="O111" s="109"/>
      <c r="P111" s="110"/>
      <c r="Q111" s="110"/>
    </row>
    <row r="112" spans="1:17">
      <c r="A112" s="85"/>
      <c r="B112" s="85"/>
      <c r="D112" s="109"/>
      <c r="E112" s="109"/>
      <c r="F112" s="114"/>
      <c r="G112" s="109"/>
      <c r="H112" s="109"/>
      <c r="I112" s="109"/>
      <c r="J112" s="111"/>
      <c r="M112" s="110"/>
      <c r="N112" s="110"/>
      <c r="O112" s="109"/>
      <c r="P112" s="110"/>
      <c r="Q112" s="110"/>
    </row>
    <row r="113" spans="1:17">
      <c r="A113" s="85"/>
      <c r="B113" s="85"/>
      <c r="D113" s="109"/>
      <c r="E113" s="109"/>
      <c r="F113" s="114"/>
      <c r="G113" s="109"/>
      <c r="H113" s="109"/>
      <c r="I113" s="109"/>
      <c r="J113" s="111"/>
      <c r="M113" s="110"/>
      <c r="N113" s="110"/>
      <c r="O113" s="109"/>
      <c r="P113" s="110"/>
      <c r="Q113" s="110"/>
    </row>
    <row r="114" spans="1:17">
      <c r="A114" s="85"/>
      <c r="B114" s="85"/>
      <c r="D114" s="109"/>
      <c r="E114" s="109"/>
      <c r="F114" s="114"/>
      <c r="G114" s="109"/>
      <c r="H114" s="109"/>
      <c r="I114" s="109"/>
      <c r="J114" s="111"/>
      <c r="M114" s="110"/>
      <c r="N114" s="110"/>
      <c r="O114" s="109"/>
      <c r="P114" s="110"/>
      <c r="Q114" s="110"/>
    </row>
    <row r="115" spans="1:17">
      <c r="A115" s="85"/>
      <c r="B115" s="85"/>
      <c r="D115" s="109"/>
      <c r="E115" s="109"/>
      <c r="F115" s="114"/>
      <c r="G115" s="109"/>
      <c r="H115" s="109"/>
      <c r="I115" s="109"/>
      <c r="J115" s="111"/>
      <c r="M115" s="110"/>
      <c r="N115" s="110"/>
      <c r="O115" s="109"/>
      <c r="P115" s="110"/>
      <c r="Q115" s="110"/>
    </row>
    <row r="116" spans="1:17">
      <c r="A116" s="85"/>
      <c r="B116" s="85"/>
      <c r="D116" s="109"/>
      <c r="E116" s="109"/>
      <c r="F116" s="114"/>
      <c r="G116" s="109"/>
      <c r="H116" s="109"/>
      <c r="I116" s="109"/>
      <c r="J116" s="111"/>
      <c r="M116" s="110"/>
      <c r="N116" s="110"/>
      <c r="O116" s="109"/>
      <c r="P116" s="110"/>
      <c r="Q116" s="110"/>
    </row>
    <row r="117" spans="1:17">
      <c r="A117" s="85"/>
      <c r="B117" s="85"/>
      <c r="D117" s="109"/>
      <c r="E117" s="109"/>
      <c r="F117" s="114"/>
      <c r="G117" s="109"/>
      <c r="H117" s="109"/>
      <c r="I117" s="109"/>
      <c r="J117" s="111"/>
      <c r="M117" s="110"/>
      <c r="N117" s="110"/>
      <c r="O117" s="109"/>
      <c r="P117" s="110"/>
      <c r="Q117" s="110"/>
    </row>
    <row r="118" spans="1:17">
      <c r="A118" s="85"/>
      <c r="B118" s="85"/>
      <c r="D118" s="109"/>
      <c r="E118" s="109"/>
      <c r="F118" s="114"/>
      <c r="G118" s="109"/>
      <c r="H118" s="109"/>
      <c r="I118" s="109"/>
      <c r="J118" s="111"/>
      <c r="M118" s="110"/>
      <c r="N118" s="110"/>
      <c r="O118" s="109"/>
      <c r="P118" s="110"/>
      <c r="Q118" s="110"/>
    </row>
    <row r="119" spans="1:17">
      <c r="A119" s="85"/>
      <c r="B119" s="85"/>
      <c r="D119" s="109"/>
      <c r="E119" s="109"/>
      <c r="F119" s="114"/>
      <c r="G119" s="109"/>
      <c r="H119" s="109"/>
      <c r="I119" s="109"/>
      <c r="J119" s="111"/>
      <c r="M119" s="110"/>
      <c r="N119" s="110"/>
      <c r="O119" s="109"/>
      <c r="P119" s="110"/>
      <c r="Q119" s="110"/>
    </row>
    <row r="120" spans="1:17">
      <c r="A120" s="85"/>
      <c r="B120" s="85"/>
      <c r="D120" s="109"/>
      <c r="E120" s="109"/>
      <c r="F120" s="114"/>
      <c r="G120" s="109"/>
      <c r="H120" s="109"/>
      <c r="I120" s="109"/>
      <c r="J120" s="111"/>
      <c r="M120" s="110"/>
      <c r="N120" s="110"/>
      <c r="O120" s="109"/>
      <c r="P120" s="110"/>
      <c r="Q120" s="110"/>
    </row>
    <row r="121" spans="1:17">
      <c r="A121" s="85"/>
      <c r="B121" s="85"/>
      <c r="D121" s="109"/>
      <c r="E121" s="109"/>
      <c r="F121" s="114"/>
      <c r="G121" s="109"/>
      <c r="H121" s="109"/>
      <c r="I121" s="109"/>
      <c r="J121" s="111"/>
      <c r="M121" s="110"/>
      <c r="N121" s="110"/>
      <c r="O121" s="109"/>
      <c r="P121" s="110"/>
      <c r="Q121" s="110"/>
    </row>
    <row r="122" spans="1:17">
      <c r="A122" s="85"/>
      <c r="B122" s="85"/>
      <c r="D122" s="109"/>
      <c r="E122" s="109"/>
      <c r="F122" s="114"/>
      <c r="G122" s="109"/>
      <c r="H122" s="109"/>
      <c r="I122" s="109"/>
      <c r="J122" s="111"/>
      <c r="M122" s="110"/>
      <c r="N122" s="110"/>
      <c r="O122" s="109"/>
      <c r="P122" s="110"/>
      <c r="Q122" s="110"/>
    </row>
    <row r="123" spans="1:17">
      <c r="A123" s="85"/>
      <c r="B123" s="85"/>
      <c r="D123" s="109"/>
      <c r="E123" s="109"/>
      <c r="F123" s="114"/>
      <c r="G123" s="109"/>
      <c r="H123" s="109"/>
      <c r="I123" s="109"/>
      <c r="J123" s="111"/>
      <c r="M123" s="110"/>
      <c r="N123" s="110"/>
      <c r="O123" s="109"/>
      <c r="P123" s="110"/>
      <c r="Q123" s="110"/>
    </row>
    <row r="124" spans="1:17">
      <c r="A124" s="85"/>
      <c r="B124" s="85"/>
      <c r="D124" s="109"/>
      <c r="E124" s="109"/>
      <c r="F124" s="114"/>
      <c r="G124" s="109"/>
      <c r="H124" s="109"/>
      <c r="I124" s="109"/>
      <c r="J124" s="111"/>
      <c r="M124" s="110"/>
      <c r="N124" s="110"/>
      <c r="O124" s="109"/>
      <c r="P124" s="110"/>
      <c r="Q124" s="110"/>
    </row>
    <row r="125" spans="1:17">
      <c r="A125" s="85"/>
      <c r="B125" s="85"/>
      <c r="D125" s="109"/>
      <c r="E125" s="109"/>
      <c r="F125" s="114"/>
      <c r="G125" s="109"/>
      <c r="H125" s="109"/>
      <c r="I125" s="109"/>
      <c r="J125" s="111"/>
      <c r="M125" s="110"/>
      <c r="N125" s="110"/>
      <c r="O125" s="109"/>
      <c r="P125" s="110"/>
      <c r="Q125" s="110"/>
    </row>
    <row r="126" spans="1:17">
      <c r="A126" s="85"/>
      <c r="B126" s="85"/>
      <c r="D126" s="109"/>
      <c r="E126" s="109"/>
      <c r="F126" s="114"/>
      <c r="G126" s="109"/>
      <c r="H126" s="109"/>
      <c r="I126" s="109"/>
      <c r="J126" s="111"/>
      <c r="M126" s="110"/>
      <c r="N126" s="110"/>
      <c r="O126" s="109"/>
      <c r="P126" s="110"/>
      <c r="Q126" s="110"/>
    </row>
    <row r="127" spans="1:17">
      <c r="A127" s="85"/>
      <c r="B127" s="85"/>
      <c r="D127" s="109"/>
      <c r="E127" s="109"/>
      <c r="F127" s="114"/>
      <c r="G127" s="109"/>
      <c r="H127" s="109"/>
      <c r="I127" s="109"/>
      <c r="J127" s="111"/>
      <c r="M127" s="110"/>
      <c r="N127" s="110"/>
      <c r="O127" s="109"/>
      <c r="P127" s="110"/>
      <c r="Q127" s="110"/>
    </row>
    <row r="128" spans="1:17">
      <c r="A128" s="85"/>
      <c r="B128" s="85"/>
      <c r="D128" s="109"/>
      <c r="E128" s="109"/>
      <c r="F128" s="114"/>
      <c r="G128" s="109"/>
      <c r="H128" s="109"/>
      <c r="I128" s="109"/>
      <c r="J128" s="111"/>
      <c r="M128" s="110"/>
      <c r="N128" s="110"/>
      <c r="O128" s="109"/>
      <c r="P128" s="110"/>
      <c r="Q128" s="110"/>
    </row>
    <row r="129" spans="1:17">
      <c r="A129" s="85"/>
      <c r="B129" s="85"/>
      <c r="D129" s="109"/>
      <c r="E129" s="109"/>
      <c r="F129" s="114"/>
      <c r="G129" s="109"/>
      <c r="H129" s="109"/>
      <c r="I129" s="109"/>
      <c r="J129" s="111"/>
      <c r="M129" s="110"/>
      <c r="N129" s="110"/>
      <c r="O129" s="109"/>
      <c r="P129" s="110"/>
      <c r="Q129" s="110"/>
    </row>
    <row r="130" spans="1:17">
      <c r="A130" s="85"/>
      <c r="B130" s="85"/>
      <c r="D130" s="109"/>
      <c r="E130" s="109"/>
      <c r="F130" s="114"/>
      <c r="G130" s="109"/>
      <c r="H130" s="109"/>
      <c r="I130" s="109"/>
      <c r="J130" s="111"/>
      <c r="M130" s="110"/>
      <c r="N130" s="110"/>
      <c r="O130" s="109"/>
      <c r="P130" s="110"/>
      <c r="Q130" s="110"/>
    </row>
    <row r="131" spans="1:17">
      <c r="A131" s="85"/>
      <c r="B131" s="85"/>
      <c r="D131" s="109"/>
      <c r="E131" s="109"/>
      <c r="F131" s="114"/>
      <c r="G131" s="109"/>
      <c r="H131" s="109"/>
      <c r="I131" s="109"/>
      <c r="J131" s="111"/>
      <c r="M131" s="110"/>
      <c r="N131" s="110"/>
      <c r="O131" s="109"/>
      <c r="P131" s="110"/>
      <c r="Q131" s="110"/>
    </row>
    <row r="132" spans="1:17">
      <c r="A132" s="85"/>
      <c r="B132" s="85"/>
      <c r="D132" s="109"/>
      <c r="E132" s="109"/>
      <c r="F132" s="114"/>
      <c r="G132" s="109"/>
      <c r="H132" s="109"/>
      <c r="I132" s="109"/>
      <c r="J132" s="111"/>
      <c r="M132" s="110"/>
      <c r="N132" s="110"/>
      <c r="O132" s="109"/>
      <c r="P132" s="110"/>
      <c r="Q132" s="110"/>
    </row>
    <row r="133" spans="1:17">
      <c r="A133" s="85"/>
      <c r="B133" s="85"/>
      <c r="D133" s="109"/>
      <c r="E133" s="109"/>
      <c r="F133" s="114"/>
      <c r="G133" s="109"/>
      <c r="H133" s="109"/>
      <c r="I133" s="109"/>
      <c r="J133" s="111"/>
      <c r="M133" s="110"/>
      <c r="N133" s="110"/>
      <c r="O133" s="109"/>
      <c r="P133" s="110"/>
      <c r="Q133" s="110"/>
    </row>
    <row r="134" spans="1:17">
      <c r="A134" s="85"/>
      <c r="B134" s="85"/>
      <c r="D134" s="109"/>
      <c r="E134" s="109"/>
      <c r="F134" s="114"/>
      <c r="G134" s="109"/>
      <c r="H134" s="109"/>
      <c r="I134" s="109"/>
      <c r="J134" s="111"/>
      <c r="M134" s="110"/>
      <c r="N134" s="110"/>
      <c r="O134" s="109"/>
      <c r="P134" s="110"/>
      <c r="Q134" s="110"/>
    </row>
    <row r="135" spans="1:17">
      <c r="A135" s="85"/>
      <c r="B135" s="85"/>
      <c r="D135" s="109"/>
      <c r="E135" s="109"/>
      <c r="F135" s="114"/>
      <c r="G135" s="109"/>
      <c r="H135" s="109"/>
      <c r="I135" s="109"/>
      <c r="J135" s="111"/>
      <c r="M135" s="110"/>
      <c r="N135" s="110"/>
      <c r="O135" s="109"/>
      <c r="P135" s="110"/>
      <c r="Q135" s="110"/>
    </row>
    <row r="136" spans="1:17">
      <c r="A136" s="85"/>
      <c r="B136" s="85"/>
      <c r="C136" s="113"/>
      <c r="D136" s="109"/>
      <c r="E136" s="109"/>
      <c r="F136" s="114"/>
      <c r="G136" s="109"/>
      <c r="H136" s="109"/>
      <c r="I136" s="109"/>
      <c r="J136" s="111"/>
      <c r="M136" s="110"/>
      <c r="N136" s="110"/>
      <c r="O136" s="109"/>
      <c r="P136" s="110"/>
      <c r="Q136" s="110"/>
    </row>
    <row r="137" spans="1:17">
      <c r="A137" s="85"/>
      <c r="B137" s="85"/>
      <c r="C137" s="113"/>
      <c r="D137" s="109"/>
      <c r="E137" s="109"/>
      <c r="F137" s="114"/>
      <c r="G137" s="109"/>
      <c r="H137" s="109"/>
      <c r="I137" s="109"/>
      <c r="J137" s="111"/>
      <c r="M137" s="110"/>
      <c r="N137" s="110"/>
      <c r="O137" s="109"/>
      <c r="P137" s="110"/>
      <c r="Q137" s="110"/>
    </row>
    <row r="138" spans="1:17">
      <c r="A138" s="85"/>
      <c r="B138" s="85"/>
      <c r="C138" s="113"/>
      <c r="D138" s="109"/>
      <c r="E138" s="109"/>
      <c r="F138" s="114"/>
      <c r="G138" s="109"/>
      <c r="H138" s="109"/>
      <c r="I138" s="109"/>
      <c r="J138" s="111"/>
      <c r="M138" s="110"/>
      <c r="N138" s="110"/>
      <c r="O138" s="109"/>
      <c r="P138" s="110"/>
      <c r="Q138" s="110"/>
    </row>
    <row r="139" spans="1:17">
      <c r="A139" s="85"/>
      <c r="B139" s="85"/>
      <c r="C139" s="113"/>
      <c r="D139" s="109"/>
      <c r="E139" s="109"/>
      <c r="F139" s="114"/>
      <c r="G139" s="109"/>
      <c r="H139" s="109"/>
      <c r="I139" s="109"/>
      <c r="J139" s="111"/>
      <c r="M139" s="110"/>
      <c r="N139" s="110"/>
      <c r="O139" s="109"/>
      <c r="P139" s="110"/>
      <c r="Q139" s="110"/>
    </row>
    <row r="140" spans="1:17">
      <c r="A140" s="85"/>
      <c r="B140" s="85"/>
      <c r="C140" s="113"/>
      <c r="D140" s="109"/>
      <c r="E140" s="109"/>
      <c r="F140" s="114"/>
      <c r="G140" s="109"/>
      <c r="H140" s="109"/>
      <c r="I140" s="109"/>
      <c r="J140" s="111"/>
      <c r="M140" s="110"/>
      <c r="N140" s="110"/>
      <c r="O140" s="109"/>
      <c r="P140" s="110"/>
      <c r="Q140" s="110"/>
    </row>
    <row r="141" spans="1:17">
      <c r="A141" s="85"/>
      <c r="B141" s="85"/>
      <c r="C141" s="113"/>
      <c r="D141" s="109"/>
      <c r="E141" s="109"/>
      <c r="F141" s="114"/>
      <c r="G141" s="109"/>
      <c r="H141" s="109"/>
      <c r="I141" s="109"/>
      <c r="J141" s="111"/>
      <c r="M141" s="110"/>
      <c r="N141" s="110"/>
      <c r="O141" s="109"/>
      <c r="P141" s="110"/>
      <c r="Q141" s="110"/>
    </row>
    <row r="142" spans="1:17">
      <c r="A142" s="85"/>
      <c r="B142" s="85"/>
      <c r="C142" s="113"/>
      <c r="D142" s="109"/>
      <c r="E142" s="109"/>
      <c r="F142" s="114"/>
      <c r="G142" s="109"/>
      <c r="H142" s="109"/>
      <c r="I142" s="109"/>
      <c r="J142" s="111"/>
      <c r="M142" s="110"/>
      <c r="N142" s="110"/>
      <c r="O142" s="109"/>
      <c r="P142" s="110"/>
      <c r="Q142" s="110"/>
    </row>
    <row r="143" spans="1:17">
      <c r="A143" s="85"/>
      <c r="B143" s="85"/>
      <c r="C143" s="113"/>
      <c r="D143" s="109"/>
      <c r="E143" s="109"/>
      <c r="F143" s="114"/>
      <c r="G143" s="109"/>
      <c r="H143" s="109"/>
      <c r="I143" s="109"/>
      <c r="J143" s="111"/>
      <c r="M143" s="110"/>
      <c r="N143" s="110"/>
      <c r="O143" s="109"/>
      <c r="P143" s="110"/>
      <c r="Q143" s="110"/>
    </row>
    <row r="144" spans="1:17">
      <c r="A144" s="85"/>
      <c r="B144" s="85"/>
      <c r="C144" s="113"/>
      <c r="D144" s="109"/>
      <c r="E144" s="109"/>
      <c r="F144" s="114"/>
      <c r="G144" s="109"/>
      <c r="H144" s="109"/>
      <c r="I144" s="109"/>
      <c r="J144" s="111"/>
      <c r="M144" s="110"/>
      <c r="N144" s="110"/>
      <c r="O144" s="109"/>
      <c r="P144" s="110"/>
      <c r="Q144" s="110"/>
    </row>
    <row r="145" spans="1:17">
      <c r="A145" s="85"/>
      <c r="B145" s="85"/>
      <c r="C145" s="113"/>
      <c r="D145" s="109"/>
      <c r="E145" s="109"/>
      <c r="F145" s="114"/>
      <c r="G145" s="109"/>
      <c r="H145" s="109"/>
      <c r="I145" s="109"/>
      <c r="J145" s="111"/>
      <c r="M145" s="110"/>
      <c r="N145" s="110"/>
      <c r="O145" s="109"/>
      <c r="P145" s="110"/>
      <c r="Q145" s="110"/>
    </row>
    <row r="146" spans="1:17">
      <c r="A146" s="85"/>
      <c r="B146" s="85"/>
      <c r="C146" s="113"/>
      <c r="D146" s="109"/>
      <c r="E146" s="109"/>
      <c r="F146" s="114"/>
      <c r="G146" s="109"/>
      <c r="H146" s="109"/>
      <c r="I146" s="109"/>
      <c r="J146" s="111"/>
      <c r="M146" s="110"/>
      <c r="N146" s="110"/>
      <c r="O146" s="109"/>
      <c r="P146" s="110"/>
      <c r="Q146" s="110"/>
    </row>
    <row r="147" spans="1:17">
      <c r="A147" s="85"/>
      <c r="B147" s="85"/>
      <c r="C147" s="113"/>
      <c r="D147" s="109"/>
      <c r="E147" s="109"/>
      <c r="F147" s="114"/>
      <c r="G147" s="109"/>
      <c r="H147" s="109"/>
      <c r="I147" s="109"/>
      <c r="J147" s="111"/>
      <c r="M147" s="110"/>
      <c r="N147" s="110"/>
      <c r="O147" s="109"/>
      <c r="P147" s="110"/>
      <c r="Q147" s="110"/>
    </row>
    <row r="148" spans="1:17">
      <c r="A148" s="85"/>
      <c r="B148" s="85"/>
      <c r="C148" s="113"/>
      <c r="D148" s="109"/>
      <c r="E148" s="109"/>
      <c r="F148" s="114"/>
      <c r="G148" s="109"/>
      <c r="H148" s="109"/>
      <c r="I148" s="109"/>
      <c r="J148" s="111"/>
      <c r="M148" s="110"/>
      <c r="N148" s="110"/>
      <c r="O148" s="109"/>
      <c r="P148" s="110"/>
      <c r="Q148" s="110"/>
    </row>
    <row r="149" spans="1:17">
      <c r="A149" s="85"/>
      <c r="B149" s="85"/>
      <c r="C149" s="113"/>
      <c r="D149" s="109"/>
      <c r="E149" s="109"/>
      <c r="F149" s="114"/>
      <c r="G149" s="109"/>
      <c r="H149" s="109"/>
      <c r="I149" s="109"/>
      <c r="J149" s="111"/>
      <c r="M149" s="110"/>
      <c r="N149" s="110"/>
      <c r="O149" s="109"/>
      <c r="P149" s="110"/>
      <c r="Q149" s="110"/>
    </row>
    <row r="150" spans="1:17">
      <c r="A150" s="85"/>
      <c r="B150" s="85"/>
      <c r="C150" s="113"/>
      <c r="D150" s="109"/>
      <c r="E150" s="109"/>
      <c r="F150" s="114"/>
      <c r="G150" s="109"/>
      <c r="H150" s="109"/>
      <c r="I150" s="109"/>
      <c r="J150" s="111"/>
      <c r="M150" s="110"/>
      <c r="N150" s="110"/>
      <c r="O150" s="109"/>
      <c r="P150" s="110"/>
      <c r="Q150" s="110"/>
    </row>
    <row r="151" spans="1:17">
      <c r="A151" s="85"/>
      <c r="B151" s="85"/>
      <c r="C151" s="113"/>
      <c r="D151" s="109"/>
      <c r="E151" s="109"/>
      <c r="F151" s="114"/>
      <c r="G151" s="109"/>
      <c r="H151" s="109"/>
      <c r="I151" s="109"/>
      <c r="J151" s="111"/>
      <c r="M151" s="110"/>
      <c r="N151" s="110"/>
      <c r="O151" s="109"/>
      <c r="P151" s="110"/>
      <c r="Q151" s="110"/>
    </row>
    <row r="152" spans="1:17">
      <c r="A152" s="85"/>
      <c r="B152" s="85"/>
      <c r="C152" s="113"/>
      <c r="D152" s="109"/>
      <c r="E152" s="109"/>
      <c r="F152" s="114"/>
      <c r="G152" s="109"/>
      <c r="H152" s="109"/>
      <c r="I152" s="109"/>
      <c r="J152" s="111"/>
      <c r="M152" s="110"/>
      <c r="N152" s="110"/>
      <c r="O152" s="109"/>
      <c r="P152" s="110"/>
      <c r="Q152" s="110"/>
    </row>
    <row r="153" spans="1:17">
      <c r="A153" s="85"/>
      <c r="B153" s="85"/>
      <c r="C153" s="113"/>
      <c r="D153" s="109"/>
      <c r="E153" s="109"/>
      <c r="F153" s="114"/>
      <c r="G153" s="109"/>
      <c r="H153" s="109"/>
      <c r="I153" s="109"/>
      <c r="J153" s="111"/>
      <c r="M153" s="110"/>
      <c r="N153" s="110"/>
      <c r="O153" s="109"/>
      <c r="P153" s="110"/>
      <c r="Q153" s="110"/>
    </row>
    <row r="154" spans="1:17">
      <c r="A154" s="85"/>
      <c r="B154" s="85"/>
      <c r="C154" s="113"/>
      <c r="D154" s="109"/>
      <c r="E154" s="109"/>
      <c r="F154" s="114"/>
      <c r="G154" s="109"/>
      <c r="H154" s="109"/>
      <c r="I154" s="109"/>
      <c r="J154" s="111"/>
      <c r="M154" s="110"/>
      <c r="N154" s="110"/>
      <c r="O154" s="109"/>
      <c r="P154" s="110"/>
      <c r="Q154" s="110"/>
    </row>
    <row r="155" spans="1:17">
      <c r="A155" s="85"/>
      <c r="B155" s="85"/>
      <c r="C155" s="113"/>
      <c r="D155" s="109"/>
      <c r="E155" s="109"/>
      <c r="F155" s="114"/>
      <c r="G155" s="109"/>
      <c r="H155" s="109"/>
      <c r="I155" s="109"/>
      <c r="J155" s="111"/>
      <c r="M155" s="110"/>
      <c r="N155" s="110"/>
      <c r="O155" s="109"/>
      <c r="P155" s="110"/>
      <c r="Q155" s="110"/>
    </row>
    <row r="156" spans="1:17">
      <c r="A156" s="85"/>
      <c r="B156" s="85"/>
      <c r="C156" s="113"/>
      <c r="D156" s="109"/>
      <c r="E156" s="109"/>
      <c r="F156" s="114"/>
      <c r="G156" s="109"/>
      <c r="H156" s="109"/>
      <c r="I156" s="109"/>
      <c r="J156" s="111"/>
      <c r="K156" s="115"/>
      <c r="M156" s="110"/>
      <c r="N156" s="110"/>
      <c r="O156" s="109"/>
      <c r="P156" s="110"/>
      <c r="Q156" s="110"/>
    </row>
    <row r="157" spans="1:17">
      <c r="A157" s="85"/>
      <c r="B157" s="85"/>
      <c r="C157" s="113"/>
      <c r="D157" s="109"/>
      <c r="E157" s="109"/>
      <c r="F157" s="114"/>
      <c r="G157" s="109"/>
      <c r="H157" s="109"/>
      <c r="I157" s="109"/>
      <c r="J157" s="111"/>
      <c r="M157" s="110"/>
      <c r="N157" s="110"/>
      <c r="O157" s="109"/>
      <c r="P157" s="110"/>
      <c r="Q157" s="110"/>
    </row>
    <row r="158" spans="1:17">
      <c r="A158" s="85"/>
      <c r="B158" s="85"/>
      <c r="C158" s="113"/>
      <c r="D158" s="109"/>
      <c r="E158" s="109"/>
      <c r="F158" s="114"/>
      <c r="G158" s="109"/>
      <c r="H158" s="109"/>
      <c r="I158" s="109"/>
      <c r="J158" s="111"/>
      <c r="M158" s="110"/>
      <c r="N158" s="110"/>
      <c r="O158" s="109"/>
      <c r="P158" s="110"/>
      <c r="Q158" s="110"/>
    </row>
    <row r="159" spans="1:17">
      <c r="A159" s="85"/>
      <c r="B159" s="85"/>
      <c r="C159" s="113"/>
      <c r="D159" s="109"/>
      <c r="E159" s="109"/>
      <c r="F159" s="114"/>
      <c r="G159" s="109"/>
      <c r="H159" s="109"/>
      <c r="I159" s="109"/>
      <c r="J159" s="111"/>
      <c r="K159" s="115"/>
      <c r="M159" s="110"/>
      <c r="N159" s="110"/>
      <c r="O159" s="109"/>
      <c r="P159" s="110"/>
      <c r="Q159" s="110"/>
    </row>
    <row r="160" spans="1:17">
      <c r="A160" s="85"/>
      <c r="B160" s="85"/>
      <c r="C160" s="113"/>
      <c r="D160" s="109"/>
      <c r="E160" s="109"/>
      <c r="F160" s="114"/>
      <c r="G160" s="109"/>
      <c r="H160" s="109"/>
      <c r="I160" s="109"/>
      <c r="J160" s="111"/>
      <c r="L160" s="110"/>
    </row>
    <row r="161" spans="1:12">
      <c r="A161" s="85"/>
      <c r="B161" s="85"/>
      <c r="C161" s="113"/>
      <c r="D161" s="109"/>
      <c r="E161" s="109"/>
      <c r="F161" s="114"/>
      <c r="G161" s="109"/>
      <c r="H161" s="109"/>
      <c r="I161" s="109"/>
      <c r="J161" s="111"/>
      <c r="L161" s="110"/>
    </row>
    <row r="162" spans="1:12">
      <c r="A162" s="85"/>
      <c r="B162" s="85"/>
      <c r="C162" s="113"/>
      <c r="D162" s="109"/>
      <c r="E162" s="109"/>
      <c r="F162" s="114"/>
      <c r="G162" s="109"/>
      <c r="H162" s="109"/>
      <c r="I162" s="109"/>
      <c r="J162" s="111"/>
      <c r="L162" s="110"/>
    </row>
    <row r="163" spans="1:12">
      <c r="A163" s="85"/>
      <c r="B163" s="85"/>
      <c r="C163" s="113"/>
      <c r="D163" s="109"/>
      <c r="E163" s="109"/>
      <c r="F163" s="114"/>
      <c r="G163" s="109"/>
      <c r="H163" s="109"/>
      <c r="I163" s="109"/>
      <c r="J163" s="111"/>
      <c r="L163" s="110"/>
    </row>
    <row r="164" spans="1:12">
      <c r="A164" s="85"/>
      <c r="B164" s="85"/>
      <c r="C164" s="113"/>
      <c r="D164" s="109"/>
      <c r="E164" s="109"/>
      <c r="F164" s="114"/>
      <c r="G164" s="109"/>
      <c r="H164" s="109"/>
      <c r="I164" s="109"/>
      <c r="J164" s="111"/>
      <c r="L164" s="110"/>
    </row>
    <row r="165" spans="1:12">
      <c r="A165" s="85"/>
      <c r="B165" s="85"/>
      <c r="C165" s="113"/>
      <c r="D165" s="109"/>
      <c r="E165" s="109"/>
      <c r="F165" s="114"/>
      <c r="G165" s="109"/>
      <c r="H165" s="109"/>
      <c r="I165" s="109"/>
      <c r="J165" s="111"/>
      <c r="L165" s="110"/>
    </row>
    <row r="166" spans="1:12">
      <c r="A166" s="85"/>
      <c r="B166" s="85"/>
      <c r="C166" s="113"/>
      <c r="D166" s="109"/>
      <c r="E166" s="109"/>
      <c r="F166" s="114"/>
      <c r="G166" s="109"/>
      <c r="H166" s="109"/>
      <c r="I166" s="109"/>
      <c r="J166" s="111"/>
      <c r="K166" s="113"/>
      <c r="L166" s="110"/>
    </row>
    <row r="167" spans="1:12">
      <c r="A167" s="85"/>
      <c r="B167" s="85"/>
      <c r="C167" s="113"/>
      <c r="D167" s="109"/>
      <c r="E167" s="109"/>
      <c r="F167" s="114"/>
      <c r="G167" s="109"/>
      <c r="H167" s="109"/>
      <c r="I167" s="109"/>
      <c r="J167" s="111"/>
      <c r="K167" s="115"/>
      <c r="L167" s="110"/>
    </row>
    <row r="168" spans="1:12">
      <c r="A168" s="85"/>
      <c r="B168" s="85"/>
      <c r="C168" s="113"/>
      <c r="D168" s="109"/>
      <c r="E168" s="109"/>
      <c r="F168" s="114"/>
      <c r="G168" s="109"/>
      <c r="H168" s="109"/>
      <c r="I168" s="109"/>
      <c r="J168" s="111"/>
      <c r="L168" s="110"/>
    </row>
    <row r="169" spans="1:12">
      <c r="A169" s="85"/>
      <c r="B169" s="85"/>
      <c r="C169" s="113"/>
      <c r="D169" s="109"/>
      <c r="E169" s="109"/>
      <c r="F169" s="114"/>
      <c r="G169" s="109"/>
      <c r="H169" s="109"/>
      <c r="I169" s="109"/>
      <c r="J169" s="111"/>
      <c r="L169" s="110"/>
    </row>
    <row r="170" spans="1:12">
      <c r="A170" s="85"/>
      <c r="B170" s="85"/>
      <c r="C170" s="113"/>
      <c r="D170" s="109"/>
      <c r="E170" s="109"/>
      <c r="F170" s="114"/>
      <c r="G170" s="109"/>
      <c r="H170" s="109"/>
      <c r="I170" s="109"/>
      <c r="J170" s="111"/>
      <c r="L170" s="110"/>
    </row>
    <row r="171" spans="1:12">
      <c r="A171" s="85"/>
      <c r="B171" s="85"/>
      <c r="C171" s="113"/>
      <c r="D171" s="109"/>
      <c r="E171" s="109"/>
      <c r="F171" s="114"/>
      <c r="G171" s="109"/>
      <c r="H171" s="109"/>
      <c r="I171" s="109"/>
      <c r="J171" s="111"/>
      <c r="L171" s="110"/>
    </row>
    <row r="172" spans="1:12">
      <c r="A172" s="85"/>
      <c r="B172" s="85"/>
      <c r="C172" s="113"/>
      <c r="D172" s="109"/>
      <c r="E172" s="109"/>
      <c r="F172" s="114"/>
      <c r="G172" s="109"/>
      <c r="H172" s="109"/>
      <c r="I172" s="109"/>
      <c r="J172" s="111"/>
      <c r="L172" s="110"/>
    </row>
    <row r="173" spans="1:12">
      <c r="A173" s="85"/>
      <c r="B173" s="85"/>
      <c r="C173" s="113"/>
      <c r="D173" s="109"/>
      <c r="E173" s="109"/>
      <c r="F173" s="114"/>
      <c r="G173" s="109"/>
      <c r="H173" s="109"/>
      <c r="I173" s="109"/>
      <c r="J173" s="111"/>
      <c r="L173" s="110"/>
    </row>
    <row r="174" spans="1:12">
      <c r="A174" s="85"/>
      <c r="B174" s="85"/>
      <c r="C174" s="113"/>
      <c r="D174" s="109"/>
      <c r="E174" s="109"/>
      <c r="F174" s="114"/>
      <c r="G174" s="109"/>
      <c r="H174" s="109"/>
      <c r="I174" s="109"/>
      <c r="J174" s="111"/>
      <c r="L174" s="110"/>
    </row>
    <row r="175" spans="1:12">
      <c r="A175" s="85"/>
      <c r="B175" s="85"/>
      <c r="C175" s="113"/>
      <c r="D175" s="109"/>
      <c r="E175" s="109"/>
      <c r="F175" s="114"/>
      <c r="G175" s="109"/>
      <c r="H175" s="109"/>
      <c r="I175" s="109"/>
      <c r="J175" s="111"/>
      <c r="L175" s="110"/>
    </row>
    <row r="176" spans="1:12">
      <c r="A176" s="85"/>
      <c r="B176" s="85"/>
      <c r="C176" s="113"/>
      <c r="D176" s="109"/>
      <c r="E176" s="109"/>
      <c r="F176" s="114"/>
      <c r="G176" s="109"/>
      <c r="H176" s="109"/>
      <c r="I176" s="109"/>
      <c r="J176" s="111"/>
      <c r="L176" s="110"/>
    </row>
    <row r="177" spans="1:12">
      <c r="A177" s="85"/>
      <c r="B177" s="85"/>
      <c r="C177" s="113"/>
      <c r="D177" s="109"/>
      <c r="E177" s="109"/>
      <c r="F177" s="114"/>
      <c r="G177" s="109"/>
      <c r="H177" s="109"/>
      <c r="I177" s="109"/>
      <c r="J177" s="111"/>
      <c r="L177" s="110"/>
    </row>
    <row r="178" spans="1:12">
      <c r="A178" s="85"/>
      <c r="B178" s="85"/>
      <c r="C178" s="113"/>
      <c r="D178" s="109"/>
      <c r="E178" s="109"/>
      <c r="F178" s="114"/>
      <c r="G178" s="109"/>
      <c r="H178" s="109"/>
      <c r="I178" s="109"/>
      <c r="J178" s="111"/>
      <c r="L178" s="110"/>
    </row>
    <row r="179" spans="1:12">
      <c r="A179" s="85"/>
      <c r="B179" s="85"/>
      <c r="C179" s="113"/>
      <c r="D179" s="109"/>
      <c r="E179" s="109"/>
      <c r="F179" s="114"/>
      <c r="G179" s="109"/>
      <c r="H179" s="109"/>
      <c r="I179" s="109"/>
      <c r="J179" s="111"/>
      <c r="L179" s="110"/>
    </row>
    <row r="180" spans="1:12">
      <c r="A180" s="85"/>
      <c r="B180" s="85"/>
      <c r="C180" s="113"/>
      <c r="D180" s="109"/>
      <c r="E180" s="109"/>
      <c r="F180" s="114"/>
      <c r="G180" s="109"/>
      <c r="H180" s="109"/>
      <c r="I180" s="109"/>
      <c r="J180" s="111"/>
      <c r="L180" s="110"/>
    </row>
    <row r="181" spans="1:12">
      <c r="A181" s="85"/>
      <c r="B181" s="85"/>
      <c r="C181" s="113"/>
      <c r="D181" s="109"/>
      <c r="E181" s="109"/>
      <c r="F181" s="114"/>
      <c r="G181" s="109"/>
      <c r="H181" s="109"/>
      <c r="I181" s="109"/>
      <c r="J181" s="111"/>
      <c r="L181" s="110"/>
    </row>
    <row r="182" spans="1:12">
      <c r="A182" s="85"/>
      <c r="B182" s="85"/>
      <c r="C182" s="113"/>
      <c r="D182" s="109"/>
      <c r="E182" s="109"/>
      <c r="F182" s="114"/>
      <c r="G182" s="109"/>
      <c r="H182" s="109"/>
      <c r="I182" s="109"/>
      <c r="J182" s="111"/>
      <c r="L182" s="110"/>
    </row>
    <row r="183" spans="1:12">
      <c r="A183" s="85"/>
      <c r="B183" s="85"/>
      <c r="C183" s="113"/>
      <c r="D183" s="109"/>
      <c r="E183" s="109"/>
      <c r="F183" s="114"/>
      <c r="G183" s="109"/>
      <c r="H183" s="109"/>
      <c r="I183" s="109"/>
      <c r="J183" s="111"/>
      <c r="L183" s="110"/>
    </row>
    <row r="184" spans="1:12">
      <c r="A184" s="85"/>
      <c r="B184" s="85"/>
      <c r="C184" s="113"/>
      <c r="D184" s="109"/>
      <c r="E184" s="109"/>
      <c r="F184" s="114"/>
      <c r="G184" s="109"/>
      <c r="H184" s="109"/>
      <c r="I184" s="109"/>
      <c r="J184" s="111"/>
      <c r="L184" s="110"/>
    </row>
    <row r="185" spans="1:12">
      <c r="A185" s="85"/>
      <c r="B185" s="85"/>
      <c r="C185" s="113"/>
      <c r="D185" s="109"/>
      <c r="E185" s="109"/>
      <c r="F185" s="114"/>
      <c r="G185" s="109"/>
      <c r="H185" s="109"/>
      <c r="I185" s="109"/>
      <c r="J185" s="111"/>
      <c r="L185" s="110"/>
    </row>
    <row r="186" spans="1:12">
      <c r="A186" s="85"/>
      <c r="B186" s="85"/>
      <c r="C186" s="113"/>
      <c r="D186" s="109"/>
      <c r="E186" s="109"/>
      <c r="F186" s="114"/>
      <c r="G186" s="109"/>
      <c r="H186" s="109"/>
      <c r="I186" s="109"/>
      <c r="J186" s="111"/>
      <c r="L186" s="110"/>
    </row>
    <row r="187" spans="1:12">
      <c r="A187" s="85"/>
      <c r="B187" s="85"/>
      <c r="C187" s="113"/>
      <c r="D187" s="109"/>
      <c r="E187" s="109"/>
      <c r="F187" s="114"/>
      <c r="G187" s="109"/>
      <c r="H187" s="109"/>
      <c r="I187" s="109"/>
      <c r="J187" s="111"/>
      <c r="L187" s="110"/>
    </row>
    <row r="188" spans="1:12">
      <c r="A188" s="85"/>
      <c r="B188" s="85"/>
      <c r="C188" s="113"/>
      <c r="D188" s="109"/>
      <c r="E188" s="109"/>
      <c r="F188" s="114"/>
      <c r="G188" s="109"/>
      <c r="H188" s="109"/>
      <c r="I188" s="109"/>
      <c r="J188" s="111"/>
      <c r="L188" s="110"/>
    </row>
    <row r="189" spans="1:12">
      <c r="A189" s="85"/>
      <c r="B189" s="85"/>
      <c r="C189" s="113"/>
      <c r="D189" s="109"/>
      <c r="E189" s="109"/>
      <c r="F189" s="114"/>
      <c r="G189" s="109"/>
      <c r="H189" s="109"/>
      <c r="I189" s="109"/>
      <c r="J189" s="111"/>
      <c r="L189" s="110"/>
    </row>
    <row r="190" spans="1:12">
      <c r="A190" s="85"/>
      <c r="B190" s="85"/>
      <c r="C190" s="113"/>
      <c r="D190" s="109"/>
      <c r="E190" s="109"/>
      <c r="F190" s="114"/>
      <c r="G190" s="109"/>
      <c r="H190" s="109"/>
      <c r="I190" s="109"/>
      <c r="J190" s="111"/>
      <c r="L190" s="110"/>
    </row>
    <row r="191" spans="1:12">
      <c r="A191" s="85"/>
      <c r="B191" s="85"/>
      <c r="C191" s="113"/>
      <c r="D191" s="109"/>
      <c r="E191" s="109"/>
      <c r="F191" s="114"/>
      <c r="G191" s="109"/>
      <c r="H191" s="109"/>
      <c r="I191" s="109"/>
      <c r="J191" s="111"/>
      <c r="L191" s="110"/>
    </row>
    <row r="192" spans="1:12">
      <c r="A192" s="85"/>
      <c r="B192" s="85"/>
      <c r="C192" s="113"/>
      <c r="D192" s="109"/>
      <c r="E192" s="109"/>
      <c r="F192" s="114"/>
      <c r="G192" s="109"/>
      <c r="H192" s="109"/>
      <c r="I192" s="109"/>
      <c r="J192" s="111"/>
      <c r="L192" s="110"/>
    </row>
    <row r="193" spans="1:12">
      <c r="A193" s="85"/>
      <c r="B193" s="85"/>
      <c r="C193" s="113"/>
      <c r="D193" s="109"/>
      <c r="E193" s="109"/>
      <c r="F193" s="114"/>
      <c r="G193" s="109"/>
      <c r="H193" s="109"/>
      <c r="I193" s="109"/>
      <c r="J193" s="111"/>
      <c r="L193" s="110"/>
    </row>
    <row r="194" spans="1:12">
      <c r="A194" s="85"/>
      <c r="B194" s="85"/>
      <c r="C194" s="113"/>
      <c r="D194" s="109"/>
      <c r="E194" s="109"/>
      <c r="F194" s="114"/>
      <c r="G194" s="109"/>
      <c r="H194" s="109"/>
      <c r="I194" s="109"/>
      <c r="J194" s="111"/>
      <c r="L194" s="110"/>
    </row>
    <row r="195" spans="1:12">
      <c r="A195" s="85"/>
      <c r="B195" s="85"/>
      <c r="C195" s="113"/>
      <c r="D195" s="109"/>
      <c r="E195" s="109"/>
      <c r="F195" s="114"/>
      <c r="G195" s="109"/>
      <c r="H195" s="109"/>
      <c r="I195" s="109"/>
      <c r="J195" s="111"/>
      <c r="L195" s="110"/>
    </row>
    <row r="196" spans="1:12">
      <c r="A196" s="85"/>
      <c r="B196" s="85"/>
      <c r="C196" s="113"/>
      <c r="D196" s="109"/>
      <c r="E196" s="109"/>
      <c r="F196" s="114"/>
      <c r="G196" s="109"/>
      <c r="H196" s="109"/>
      <c r="I196" s="109"/>
      <c r="J196" s="111"/>
      <c r="L196" s="110"/>
    </row>
    <row r="197" spans="1:12">
      <c r="A197" s="85"/>
      <c r="B197" s="85"/>
      <c r="C197" s="113"/>
      <c r="D197" s="109"/>
      <c r="E197" s="109"/>
      <c r="F197" s="114"/>
      <c r="G197" s="109"/>
      <c r="H197" s="109"/>
      <c r="I197" s="109"/>
      <c r="J197" s="111"/>
      <c r="L197" s="110"/>
    </row>
    <row r="198" spans="1:12">
      <c r="A198" s="85"/>
      <c r="B198" s="85"/>
      <c r="C198" s="113"/>
      <c r="D198" s="109"/>
      <c r="E198" s="109"/>
      <c r="F198" s="114"/>
      <c r="G198" s="109"/>
      <c r="H198" s="109"/>
      <c r="I198" s="109"/>
      <c r="J198" s="111"/>
      <c r="L198" s="110"/>
    </row>
    <row r="199" spans="1:12">
      <c r="A199" s="85"/>
      <c r="B199" s="85"/>
      <c r="C199" s="113"/>
      <c r="D199" s="109"/>
      <c r="E199" s="109"/>
      <c r="F199" s="114"/>
      <c r="G199" s="109"/>
      <c r="H199" s="109"/>
      <c r="I199" s="109"/>
      <c r="J199" s="111"/>
      <c r="L199" s="110"/>
    </row>
    <row r="200" spans="1:12">
      <c r="A200" s="85"/>
      <c r="B200" s="85"/>
      <c r="C200" s="113"/>
      <c r="D200" s="109"/>
      <c r="E200" s="109"/>
      <c r="F200" s="114"/>
      <c r="G200" s="109"/>
      <c r="H200" s="109"/>
      <c r="I200" s="109"/>
      <c r="J200" s="111"/>
      <c r="L200" s="110"/>
    </row>
    <row r="201" spans="1:12">
      <c r="A201" s="85"/>
      <c r="B201" s="85"/>
      <c r="C201" s="113"/>
      <c r="D201" s="109"/>
      <c r="E201" s="109"/>
      <c r="F201" s="114"/>
      <c r="G201" s="109"/>
      <c r="H201" s="109"/>
      <c r="I201" s="109"/>
      <c r="J201" s="111"/>
      <c r="L201" s="110"/>
    </row>
    <row r="202" spans="1:12">
      <c r="A202" s="85"/>
      <c r="B202" s="85"/>
      <c r="C202" s="113"/>
      <c r="D202" s="109"/>
      <c r="E202" s="109"/>
      <c r="F202" s="114"/>
      <c r="G202" s="109"/>
      <c r="H202" s="109"/>
      <c r="I202" s="109"/>
      <c r="J202" s="111"/>
      <c r="L202" s="110"/>
    </row>
    <row r="203" spans="1:12">
      <c r="A203" s="85"/>
      <c r="B203" s="85"/>
      <c r="C203" s="113"/>
      <c r="D203" s="109"/>
      <c r="E203" s="109"/>
      <c r="F203" s="114"/>
      <c r="G203" s="109"/>
      <c r="H203" s="109"/>
      <c r="I203" s="109"/>
      <c r="J203" s="111"/>
      <c r="L203" s="110"/>
    </row>
    <row r="204" spans="1:12">
      <c r="A204" s="85"/>
      <c r="B204" s="85"/>
      <c r="C204" s="113"/>
      <c r="D204" s="109"/>
      <c r="E204" s="109"/>
      <c r="F204" s="114"/>
      <c r="G204" s="109"/>
      <c r="H204" s="109"/>
      <c r="I204" s="109"/>
      <c r="J204" s="111"/>
      <c r="L204" s="110"/>
    </row>
    <row r="205" spans="1:12">
      <c r="A205" s="85"/>
      <c r="B205" s="85"/>
      <c r="C205" s="113"/>
      <c r="D205" s="109"/>
      <c r="E205" s="109"/>
      <c r="F205" s="114"/>
      <c r="G205" s="109"/>
      <c r="H205" s="109"/>
      <c r="I205" s="109"/>
      <c r="J205" s="111"/>
      <c r="L205" s="110"/>
    </row>
    <row r="206" spans="1:12">
      <c r="A206" s="85"/>
      <c r="B206" s="85"/>
      <c r="C206" s="113"/>
      <c r="D206" s="109"/>
      <c r="E206" s="109"/>
      <c r="F206" s="114"/>
      <c r="G206" s="109"/>
      <c r="H206" s="109"/>
      <c r="I206" s="109"/>
      <c r="J206" s="111"/>
      <c r="L206" s="110"/>
    </row>
    <row r="207" spans="1:12">
      <c r="A207" s="85"/>
      <c r="B207" s="85"/>
      <c r="C207" s="113"/>
      <c r="D207" s="109"/>
      <c r="E207" s="109"/>
      <c r="F207" s="114"/>
      <c r="G207" s="109"/>
      <c r="H207" s="109"/>
      <c r="I207" s="109"/>
      <c r="J207" s="111"/>
      <c r="L207" s="110"/>
    </row>
    <row r="208" spans="1:12">
      <c r="A208" s="85"/>
      <c r="B208" s="85"/>
      <c r="D208" s="109"/>
      <c r="E208" s="109"/>
      <c r="F208" s="114"/>
      <c r="G208" s="109"/>
      <c r="H208" s="109"/>
      <c r="I208" s="109"/>
      <c r="J208" s="111"/>
      <c r="L208" s="110"/>
    </row>
    <row r="209" spans="1:12">
      <c r="A209" s="85"/>
      <c r="B209" s="85"/>
      <c r="D209" s="109"/>
      <c r="E209" s="109"/>
      <c r="F209" s="114"/>
      <c r="G209" s="109"/>
      <c r="H209" s="109"/>
      <c r="I209" s="109"/>
      <c r="J209" s="111"/>
      <c r="L209" s="110"/>
    </row>
    <row r="210" spans="1:12">
      <c r="A210" s="85"/>
      <c r="B210" s="85"/>
      <c r="D210" s="109"/>
      <c r="E210" s="109"/>
      <c r="F210" s="114"/>
      <c r="G210" s="109"/>
      <c r="H210" s="109"/>
      <c r="I210" s="109"/>
      <c r="J210" s="111"/>
      <c r="L210" s="110"/>
    </row>
    <row r="211" spans="1:12">
      <c r="A211" s="85"/>
      <c r="B211" s="85"/>
      <c r="D211" s="109"/>
      <c r="E211" s="109"/>
      <c r="F211" s="114"/>
      <c r="G211" s="109"/>
      <c r="H211" s="109"/>
      <c r="I211" s="109"/>
      <c r="J211" s="111"/>
      <c r="L211" s="110"/>
    </row>
    <row r="212" spans="1:12">
      <c r="A212" s="85"/>
      <c r="B212" s="85"/>
      <c r="D212" s="109"/>
      <c r="E212" s="109"/>
      <c r="F212" s="114"/>
      <c r="G212" s="109"/>
      <c r="H212" s="109"/>
      <c r="I212" s="109"/>
      <c r="J212" s="111"/>
      <c r="L212" s="110"/>
    </row>
    <row r="213" spans="1:12">
      <c r="A213" s="85"/>
      <c r="B213" s="85"/>
      <c r="D213" s="109"/>
      <c r="E213" s="109"/>
      <c r="F213" s="114"/>
      <c r="G213" s="109"/>
      <c r="H213" s="109"/>
      <c r="I213" s="109"/>
      <c r="J213" s="111"/>
      <c r="L213" s="110"/>
    </row>
    <row r="214" spans="1:12">
      <c r="A214" s="85"/>
      <c r="B214" s="85"/>
      <c r="D214" s="109"/>
      <c r="E214" s="109"/>
      <c r="F214" s="114"/>
      <c r="G214" s="109"/>
      <c r="H214" s="109"/>
      <c r="I214" s="109"/>
      <c r="J214" s="111"/>
      <c r="L214" s="110"/>
    </row>
    <row r="215" spans="1:12">
      <c r="A215" s="85"/>
      <c r="B215" s="85"/>
      <c r="D215" s="109"/>
      <c r="E215" s="109"/>
      <c r="F215" s="114"/>
      <c r="G215" s="109"/>
      <c r="H215" s="109"/>
      <c r="I215" s="109"/>
      <c r="J215" s="111"/>
      <c r="L215" s="110"/>
    </row>
    <row r="216" spans="1:12">
      <c r="A216" s="85"/>
      <c r="B216" s="85"/>
      <c r="D216" s="109"/>
      <c r="E216" s="109"/>
      <c r="F216" s="114"/>
      <c r="G216" s="109"/>
      <c r="H216" s="109"/>
      <c r="I216" s="109"/>
      <c r="J216" s="111"/>
      <c r="L216" s="110"/>
    </row>
    <row r="217" spans="1:12">
      <c r="A217" s="85"/>
      <c r="B217" s="85"/>
      <c r="D217" s="109"/>
      <c r="E217" s="109"/>
      <c r="F217" s="114"/>
      <c r="G217" s="109"/>
      <c r="H217" s="109"/>
      <c r="I217" s="109"/>
      <c r="J217" s="111"/>
      <c r="L217" s="110"/>
    </row>
    <row r="218" spans="1:12">
      <c r="A218" s="85"/>
      <c r="B218" s="85"/>
      <c r="D218" s="109"/>
      <c r="E218" s="109"/>
      <c r="F218" s="114"/>
      <c r="G218" s="109"/>
      <c r="H218" s="109"/>
      <c r="I218" s="109"/>
      <c r="J218" s="111"/>
      <c r="L218" s="110"/>
    </row>
    <row r="219" spans="1:12">
      <c r="A219" s="85"/>
      <c r="B219" s="85"/>
      <c r="D219" s="109"/>
      <c r="E219" s="109"/>
      <c r="F219" s="114"/>
      <c r="G219" s="109"/>
      <c r="H219" s="109"/>
      <c r="I219" s="109"/>
      <c r="J219" s="111"/>
      <c r="L219" s="110"/>
    </row>
    <row r="220" spans="1:12">
      <c r="A220" s="85"/>
      <c r="B220" s="85"/>
      <c r="D220" s="109"/>
      <c r="E220" s="109"/>
      <c r="F220" s="114"/>
      <c r="G220" s="109"/>
      <c r="H220" s="109"/>
      <c r="I220" s="109"/>
      <c r="J220" s="111"/>
      <c r="L220" s="110"/>
    </row>
    <row r="221" spans="1:12">
      <c r="A221" s="85"/>
      <c r="B221" s="85"/>
      <c r="D221" s="109"/>
      <c r="E221" s="109"/>
      <c r="F221" s="114"/>
      <c r="G221" s="109"/>
      <c r="H221" s="109"/>
      <c r="I221" s="109"/>
      <c r="J221" s="111"/>
      <c r="L221" s="110"/>
    </row>
    <row r="222" spans="1:12">
      <c r="A222" s="85"/>
      <c r="B222" s="85"/>
      <c r="D222" s="109"/>
      <c r="E222" s="109"/>
      <c r="F222" s="114"/>
      <c r="G222" s="109"/>
      <c r="H222" s="109"/>
      <c r="I222" s="109"/>
      <c r="J222" s="111"/>
      <c r="L222" s="110"/>
    </row>
    <row r="223" spans="1:12">
      <c r="A223" s="85"/>
      <c r="B223" s="85"/>
      <c r="D223" s="109"/>
      <c r="E223" s="109"/>
      <c r="F223" s="114"/>
      <c r="G223" s="109"/>
      <c r="H223" s="109"/>
      <c r="I223" s="109"/>
      <c r="J223" s="111"/>
      <c r="L223" s="110"/>
    </row>
    <row r="224" spans="1:12">
      <c r="A224" s="85"/>
      <c r="B224" s="85"/>
      <c r="D224" s="109"/>
      <c r="E224" s="109"/>
      <c r="F224" s="114"/>
      <c r="G224" s="109"/>
      <c r="H224" s="109"/>
      <c r="I224" s="109"/>
      <c r="J224" s="111"/>
      <c r="L224" s="110"/>
    </row>
    <row r="225" spans="1:12">
      <c r="A225" s="85"/>
      <c r="B225" s="85"/>
      <c r="D225" s="109"/>
      <c r="E225" s="109"/>
      <c r="F225" s="114"/>
      <c r="G225" s="109"/>
      <c r="H225" s="109"/>
      <c r="I225" s="109"/>
      <c r="J225" s="111"/>
      <c r="L225" s="110"/>
    </row>
    <row r="226" spans="1:12">
      <c r="A226" s="85"/>
      <c r="B226" s="85"/>
      <c r="D226" s="109"/>
      <c r="E226" s="109"/>
      <c r="F226" s="114"/>
      <c r="G226" s="109"/>
      <c r="H226" s="109"/>
      <c r="I226" s="109"/>
      <c r="J226" s="111"/>
      <c r="L226" s="110"/>
    </row>
    <row r="227" spans="1:12">
      <c r="A227" s="85"/>
      <c r="B227" s="85"/>
      <c r="D227" s="109"/>
      <c r="E227" s="109"/>
      <c r="F227" s="114"/>
      <c r="G227" s="109"/>
      <c r="H227" s="109"/>
      <c r="I227" s="109"/>
      <c r="J227" s="111"/>
      <c r="L227" s="110"/>
    </row>
    <row r="228" spans="1:12">
      <c r="A228" s="85"/>
      <c r="B228" s="85"/>
      <c r="D228" s="109"/>
      <c r="E228" s="109"/>
      <c r="F228" s="114"/>
      <c r="G228" s="109"/>
      <c r="H228" s="109"/>
      <c r="I228" s="109"/>
      <c r="J228" s="111"/>
      <c r="L228" s="110"/>
    </row>
    <row r="229" spans="1:12">
      <c r="A229" s="85"/>
      <c r="B229" s="85"/>
      <c r="D229" s="109"/>
      <c r="E229" s="109"/>
      <c r="F229" s="114"/>
      <c r="G229" s="109"/>
      <c r="H229" s="109"/>
      <c r="I229" s="109"/>
      <c r="J229" s="111"/>
      <c r="L229" s="110"/>
    </row>
    <row r="230" spans="1:12">
      <c r="A230" s="85"/>
      <c r="B230" s="85"/>
      <c r="D230" s="109"/>
      <c r="E230" s="109"/>
      <c r="F230" s="114"/>
      <c r="G230" s="109"/>
      <c r="H230" s="109"/>
      <c r="I230" s="109"/>
      <c r="J230" s="111"/>
      <c r="L230" s="110"/>
    </row>
    <row r="231" spans="1:12">
      <c r="A231" s="85"/>
      <c r="B231" s="85"/>
      <c r="D231" s="109"/>
      <c r="E231" s="109"/>
      <c r="F231" s="114"/>
      <c r="G231" s="109"/>
      <c r="H231" s="109"/>
      <c r="I231" s="109"/>
      <c r="J231" s="111"/>
      <c r="L231" s="110"/>
    </row>
    <row r="232" spans="1:12">
      <c r="A232" s="85"/>
      <c r="B232" s="85"/>
      <c r="D232" s="109"/>
      <c r="E232" s="109"/>
      <c r="F232" s="114"/>
      <c r="G232" s="109"/>
      <c r="H232" s="109"/>
      <c r="I232" s="109"/>
      <c r="J232" s="111"/>
      <c r="L232" s="110"/>
    </row>
    <row r="233" spans="1:12">
      <c r="A233" s="85"/>
      <c r="B233" s="85"/>
      <c r="D233" s="109"/>
      <c r="E233" s="109"/>
      <c r="F233" s="114"/>
      <c r="G233" s="109"/>
      <c r="H233" s="109"/>
      <c r="I233" s="109"/>
      <c r="J233" s="111"/>
      <c r="L233" s="110"/>
    </row>
    <row r="234" spans="1:12">
      <c r="A234" s="85"/>
      <c r="B234" s="85"/>
      <c r="D234" s="109"/>
      <c r="E234" s="109"/>
      <c r="F234" s="114"/>
      <c r="G234" s="109"/>
      <c r="H234" s="109"/>
      <c r="I234" s="109"/>
      <c r="J234" s="111"/>
      <c r="L234" s="110"/>
    </row>
    <row r="235" spans="1:12">
      <c r="A235" s="85"/>
      <c r="B235" s="85"/>
      <c r="D235" s="109"/>
      <c r="E235" s="109"/>
      <c r="F235" s="114"/>
      <c r="G235" s="109"/>
      <c r="H235" s="109"/>
      <c r="I235" s="109"/>
      <c r="J235" s="111"/>
      <c r="L235" s="110"/>
    </row>
    <row r="236" spans="1:12">
      <c r="A236" s="85"/>
      <c r="B236" s="85"/>
      <c r="D236" s="109"/>
      <c r="E236" s="109"/>
      <c r="F236" s="114"/>
      <c r="G236" s="109"/>
      <c r="H236" s="109"/>
      <c r="I236" s="109"/>
      <c r="J236" s="111"/>
      <c r="L236" s="110"/>
    </row>
    <row r="237" spans="1:12">
      <c r="A237" s="85"/>
      <c r="B237" s="85"/>
      <c r="D237" s="109"/>
      <c r="E237" s="109"/>
      <c r="F237" s="114"/>
      <c r="G237" s="109"/>
      <c r="H237" s="109"/>
      <c r="I237" s="109"/>
      <c r="J237" s="111"/>
      <c r="L237" s="110"/>
    </row>
    <row r="238" spans="1:12">
      <c r="A238" s="85"/>
      <c r="B238" s="85"/>
      <c r="D238" s="109"/>
      <c r="E238" s="109"/>
      <c r="F238" s="114"/>
      <c r="G238" s="109"/>
      <c r="H238" s="109"/>
      <c r="I238" s="109"/>
      <c r="J238" s="111"/>
      <c r="L238" s="110"/>
    </row>
    <row r="239" spans="1:12">
      <c r="A239" s="85"/>
      <c r="B239" s="85"/>
      <c r="D239" s="109"/>
      <c r="E239" s="109"/>
      <c r="F239" s="114"/>
      <c r="G239" s="109"/>
      <c r="H239" s="109"/>
      <c r="I239" s="109"/>
      <c r="J239" s="111"/>
      <c r="L239" s="110"/>
    </row>
    <row r="240" spans="1:12">
      <c r="A240" s="85"/>
      <c r="B240" s="85"/>
      <c r="D240" s="109"/>
      <c r="E240" s="109"/>
      <c r="F240" s="114"/>
      <c r="G240" s="109"/>
      <c r="H240" s="109"/>
      <c r="I240" s="109"/>
      <c r="J240" s="111"/>
      <c r="L240" s="110"/>
    </row>
    <row r="241" spans="1:12">
      <c r="A241" s="85"/>
      <c r="B241" s="85"/>
      <c r="D241" s="109"/>
      <c r="E241" s="109"/>
      <c r="F241" s="114"/>
      <c r="G241" s="109"/>
      <c r="H241" s="109"/>
      <c r="I241" s="109"/>
      <c r="J241" s="111"/>
      <c r="L241" s="110"/>
    </row>
    <row r="242" spans="1:12">
      <c r="A242" s="85"/>
      <c r="B242" s="85"/>
      <c r="D242" s="109"/>
      <c r="E242" s="109"/>
      <c r="F242" s="114"/>
      <c r="G242" s="109"/>
      <c r="H242" s="109"/>
      <c r="I242" s="109"/>
      <c r="J242" s="111"/>
      <c r="L242" s="110"/>
    </row>
    <row r="243" spans="1:12">
      <c r="A243" s="85"/>
      <c r="B243" s="85"/>
      <c r="D243" s="109"/>
      <c r="E243" s="109"/>
      <c r="F243" s="114"/>
      <c r="G243" s="109"/>
      <c r="H243" s="109"/>
      <c r="I243" s="109"/>
      <c r="J243" s="111"/>
      <c r="L243" s="110"/>
    </row>
    <row r="244" spans="1:12">
      <c r="A244" s="85"/>
      <c r="B244" s="85"/>
      <c r="D244" s="109"/>
      <c r="E244" s="109"/>
      <c r="F244" s="114"/>
      <c r="G244" s="109"/>
      <c r="H244" s="109"/>
      <c r="I244" s="109"/>
      <c r="J244" s="111"/>
      <c r="L244" s="110"/>
    </row>
    <row r="245" spans="1:12">
      <c r="A245" s="85"/>
      <c r="B245" s="85"/>
      <c r="D245" s="109"/>
      <c r="E245" s="109"/>
      <c r="F245" s="114"/>
      <c r="G245" s="109"/>
      <c r="H245" s="109"/>
      <c r="I245" s="109"/>
      <c r="J245" s="111"/>
      <c r="L245" s="110"/>
    </row>
    <row r="246" spans="1:12">
      <c r="A246" s="85"/>
      <c r="B246" s="85"/>
      <c r="D246" s="109"/>
      <c r="E246" s="109"/>
      <c r="F246" s="114"/>
      <c r="G246" s="109"/>
      <c r="H246" s="109"/>
      <c r="I246" s="109"/>
      <c r="J246" s="111"/>
      <c r="L246" s="110"/>
    </row>
    <row r="247" spans="1:12">
      <c r="A247" s="85"/>
      <c r="B247" s="85"/>
      <c r="D247" s="109"/>
      <c r="E247" s="109"/>
      <c r="F247" s="114"/>
      <c r="G247" s="109"/>
      <c r="H247" s="109"/>
      <c r="I247" s="109"/>
      <c r="J247" s="111"/>
      <c r="L247" s="110"/>
    </row>
    <row r="248" spans="1:12">
      <c r="A248" s="85"/>
      <c r="B248" s="85"/>
      <c r="D248" s="109"/>
      <c r="E248" s="109"/>
      <c r="F248" s="114"/>
      <c r="G248" s="109"/>
      <c r="H248" s="109"/>
      <c r="I248" s="109"/>
      <c r="J248" s="111"/>
      <c r="L248" s="110"/>
    </row>
    <row r="249" spans="1:12">
      <c r="A249" s="85"/>
      <c r="B249" s="85"/>
      <c r="D249" s="109"/>
      <c r="E249" s="109"/>
      <c r="F249" s="114"/>
      <c r="G249" s="109"/>
      <c r="H249" s="109"/>
      <c r="I249" s="109"/>
      <c r="J249" s="111"/>
      <c r="L249" s="110"/>
    </row>
    <row r="250" spans="1:12">
      <c r="A250" s="85"/>
      <c r="B250" s="85"/>
      <c r="D250" s="109"/>
      <c r="E250" s="109"/>
      <c r="F250" s="114"/>
      <c r="G250" s="109"/>
      <c r="H250" s="109"/>
      <c r="I250" s="109"/>
      <c r="J250" s="111"/>
      <c r="L250" s="110"/>
    </row>
    <row r="251" spans="1:12">
      <c r="A251" s="85"/>
      <c r="B251" s="85"/>
      <c r="D251" s="109"/>
      <c r="E251" s="109"/>
      <c r="F251" s="114"/>
      <c r="G251" s="109"/>
      <c r="H251" s="109"/>
      <c r="I251" s="109"/>
      <c r="J251" s="111"/>
      <c r="L251" s="110"/>
    </row>
    <row r="252" spans="1:12">
      <c r="A252" s="85"/>
      <c r="B252" s="85"/>
      <c r="D252" s="109"/>
      <c r="E252" s="109"/>
      <c r="F252" s="114"/>
      <c r="G252" s="109"/>
      <c r="H252" s="109"/>
      <c r="I252" s="109"/>
      <c r="J252" s="111"/>
      <c r="L252" s="110"/>
    </row>
    <row r="253" spans="1:12">
      <c r="A253" s="85"/>
      <c r="B253" s="85"/>
      <c r="D253" s="109"/>
      <c r="E253" s="109"/>
      <c r="F253" s="114"/>
      <c r="G253" s="109"/>
      <c r="H253" s="109"/>
      <c r="I253" s="109"/>
      <c r="J253" s="111"/>
      <c r="L253" s="110"/>
    </row>
    <row r="254" spans="1:12">
      <c r="A254" s="85"/>
      <c r="B254" s="85"/>
      <c r="D254" s="109"/>
      <c r="E254" s="109"/>
      <c r="F254" s="114"/>
      <c r="G254" s="109"/>
      <c r="H254" s="109"/>
      <c r="I254" s="109"/>
      <c r="J254" s="111"/>
      <c r="L254" s="110"/>
    </row>
    <row r="255" spans="1:12">
      <c r="A255" s="85"/>
      <c r="B255" s="85"/>
      <c r="D255" s="109"/>
      <c r="E255" s="109"/>
      <c r="F255" s="114"/>
      <c r="G255" s="109"/>
      <c r="H255" s="109"/>
      <c r="I255" s="109"/>
      <c r="J255" s="111"/>
      <c r="L255" s="110"/>
    </row>
    <row r="256" spans="1:12">
      <c r="A256" s="85"/>
      <c r="B256" s="116"/>
      <c r="C256" s="113"/>
      <c r="D256" s="109"/>
      <c r="E256" s="109"/>
      <c r="F256" s="114"/>
      <c r="G256" s="109"/>
      <c r="H256" s="109"/>
      <c r="I256" s="109"/>
      <c r="J256" s="111"/>
      <c r="L256" s="110"/>
    </row>
    <row r="257" spans="1:12">
      <c r="A257" s="85"/>
      <c r="B257" s="116"/>
      <c r="C257" s="113"/>
      <c r="D257" s="109"/>
      <c r="E257" s="109"/>
      <c r="F257" s="114"/>
      <c r="G257" s="109"/>
      <c r="H257" s="109">
        <f>NPV('[3]Conventional Big Sandy'!B6/12,F56:F255)</f>
        <v>0</v>
      </c>
      <c r="I257" s="109"/>
      <c r="J257" s="111"/>
      <c r="L257" s="110"/>
    </row>
    <row r="258" spans="1:12">
      <c r="A258" s="85"/>
      <c r="B258" s="116"/>
      <c r="C258" s="113"/>
      <c r="D258" s="109"/>
      <c r="E258" s="109"/>
      <c r="F258" s="114"/>
      <c r="G258" s="109"/>
      <c r="H258" s="109"/>
      <c r="I258" s="109"/>
      <c r="J258" s="111"/>
      <c r="L258" s="110"/>
    </row>
    <row r="259" spans="1:12">
      <c r="A259" s="85"/>
      <c r="B259" s="116"/>
      <c r="C259" s="113"/>
      <c r="D259" s="109"/>
      <c r="E259" s="109"/>
      <c r="F259" s="114"/>
      <c r="G259" s="109"/>
      <c r="H259" s="109"/>
      <c r="I259" s="109"/>
      <c r="J259" s="111"/>
      <c r="L259" s="110"/>
    </row>
    <row r="260" spans="1:12">
      <c r="A260" s="85"/>
      <c r="B260" s="116"/>
      <c r="C260" s="113"/>
      <c r="D260" s="109"/>
      <c r="E260" s="109"/>
      <c r="F260" s="114"/>
      <c r="G260" s="109"/>
      <c r="H260" s="109"/>
      <c r="I260" s="109"/>
      <c r="J260" s="111"/>
      <c r="L260" s="110"/>
    </row>
    <row r="261" spans="1:12">
      <c r="A261" s="85"/>
      <c r="B261" s="116"/>
      <c r="C261" s="113"/>
      <c r="D261" s="109"/>
      <c r="E261" s="109"/>
      <c r="F261" s="114"/>
      <c r="G261" s="109"/>
      <c r="H261" s="109"/>
      <c r="I261" s="109"/>
      <c r="J261" s="111"/>
      <c r="L261" s="110"/>
    </row>
    <row r="262" spans="1:12">
      <c r="A262" s="85"/>
      <c r="B262" s="116"/>
      <c r="C262" s="113"/>
      <c r="D262" s="109"/>
      <c r="E262" s="109"/>
      <c r="F262" s="114"/>
      <c r="G262" s="109"/>
      <c r="H262" s="109"/>
      <c r="I262" s="109"/>
      <c r="J262" s="111"/>
      <c r="L262" s="110"/>
    </row>
    <row r="263" spans="1:12">
      <c r="A263" s="85"/>
      <c r="B263" s="116"/>
      <c r="C263" s="113"/>
      <c r="D263" s="109"/>
      <c r="E263" s="109"/>
      <c r="F263" s="114"/>
      <c r="G263" s="109"/>
      <c r="H263" s="109"/>
      <c r="I263" s="109"/>
      <c r="J263" s="111"/>
      <c r="L263" s="110"/>
    </row>
    <row r="264" spans="1:12">
      <c r="A264" s="85"/>
      <c r="B264" s="116"/>
      <c r="C264" s="113"/>
      <c r="D264" s="109"/>
      <c r="E264" s="109"/>
      <c r="F264" s="114"/>
      <c r="G264" s="109"/>
      <c r="H264" s="109"/>
      <c r="I264" s="109"/>
      <c r="J264" s="111"/>
      <c r="L264" s="110"/>
    </row>
    <row r="265" spans="1:12">
      <c r="A265" s="85"/>
      <c r="B265" s="116"/>
      <c r="C265" s="113"/>
      <c r="D265" s="109"/>
      <c r="E265" s="109"/>
      <c r="F265" s="114"/>
      <c r="G265" s="109"/>
      <c r="H265" s="109"/>
      <c r="I265" s="109"/>
      <c r="J265" s="111"/>
      <c r="L265" s="110"/>
    </row>
    <row r="266" spans="1:12">
      <c r="A266" s="85"/>
      <c r="B266" s="116"/>
      <c r="C266" s="113"/>
      <c r="D266" s="109"/>
      <c r="E266" s="109"/>
      <c r="F266" s="114"/>
      <c r="G266" s="109"/>
      <c r="H266" s="109"/>
      <c r="I266" s="109"/>
      <c r="J266" s="111"/>
      <c r="L266" s="110"/>
    </row>
    <row r="267" spans="1:12">
      <c r="A267" s="85"/>
      <c r="B267" s="116"/>
      <c r="C267" s="113"/>
      <c r="D267" s="109"/>
      <c r="E267" s="109"/>
      <c r="F267" s="114"/>
      <c r="G267" s="109"/>
      <c r="H267" s="109"/>
      <c r="I267" s="109"/>
      <c r="J267" s="111"/>
      <c r="L267" s="110"/>
    </row>
    <row r="268" spans="1:12">
      <c r="A268" s="85"/>
      <c r="B268" s="116"/>
      <c r="D268" s="109"/>
      <c r="E268" s="109"/>
      <c r="F268" s="114"/>
      <c r="G268" s="109"/>
      <c r="H268" s="109"/>
      <c r="I268" s="109"/>
      <c r="J268" s="111"/>
      <c r="L268" s="110"/>
    </row>
    <row r="269" spans="1:12">
      <c r="A269" s="85"/>
      <c r="B269" s="116"/>
      <c r="D269" s="109"/>
      <c r="E269" s="109"/>
      <c r="F269" s="114"/>
      <c r="G269" s="109"/>
      <c r="H269" s="109"/>
      <c r="I269" s="109"/>
      <c r="J269" s="111"/>
      <c r="L269" s="110"/>
    </row>
    <row r="270" spans="1:12">
      <c r="A270" s="85"/>
      <c r="B270" s="116"/>
      <c r="D270" s="109"/>
      <c r="E270" s="109"/>
      <c r="F270" s="114"/>
      <c r="G270" s="109"/>
      <c r="H270" s="109"/>
      <c r="I270" s="109"/>
      <c r="J270" s="111"/>
      <c r="L270" s="110"/>
    </row>
    <row r="271" spans="1:12">
      <c r="A271" s="85"/>
      <c r="B271" s="116"/>
      <c r="D271" s="109"/>
      <c r="E271" s="109"/>
      <c r="F271" s="114"/>
      <c r="G271" s="109"/>
      <c r="H271" s="109"/>
      <c r="I271" s="109"/>
      <c r="J271" s="111"/>
      <c r="L271" s="110"/>
    </row>
    <row r="272" spans="1:12">
      <c r="A272" s="85"/>
      <c r="B272" s="116"/>
      <c r="D272" s="109"/>
      <c r="E272" s="109"/>
      <c r="F272" s="114"/>
      <c r="G272" s="109"/>
      <c r="H272" s="109"/>
      <c r="I272" s="109"/>
      <c r="J272" s="111"/>
      <c r="L272" s="110"/>
    </row>
    <row r="273" spans="1:12">
      <c r="A273" s="85"/>
      <c r="B273" s="116"/>
      <c r="D273" s="109"/>
      <c r="E273" s="109"/>
      <c r="F273" s="114"/>
      <c r="G273" s="109"/>
      <c r="H273" s="109"/>
      <c r="I273" s="109"/>
      <c r="J273" s="111"/>
      <c r="L273" s="110"/>
    </row>
    <row r="274" spans="1:12">
      <c r="A274" s="85"/>
      <c r="B274" s="116"/>
      <c r="D274" s="109"/>
      <c r="E274" s="109"/>
      <c r="F274" s="114"/>
      <c r="G274" s="109"/>
      <c r="H274" s="109"/>
      <c r="I274" s="109"/>
      <c r="J274" s="111"/>
      <c r="L274" s="110"/>
    </row>
    <row r="275" spans="1:12">
      <c r="A275" s="85"/>
      <c r="B275" s="116"/>
      <c r="D275" s="109"/>
      <c r="E275" s="109"/>
      <c r="F275" s="114"/>
      <c r="G275" s="109"/>
      <c r="H275" s="109"/>
      <c r="I275" s="109"/>
      <c r="J275" s="111"/>
      <c r="L275" s="110"/>
    </row>
    <row r="276" spans="1:12">
      <c r="A276" s="85"/>
      <c r="B276" s="116"/>
      <c r="D276" s="109"/>
      <c r="E276" s="109"/>
      <c r="F276" s="114"/>
      <c r="G276" s="109"/>
      <c r="H276" s="109"/>
      <c r="I276" s="109"/>
      <c r="J276" s="111"/>
      <c r="L276" s="110"/>
    </row>
    <row r="277" spans="1:12">
      <c r="A277" s="85"/>
      <c r="B277" s="116"/>
      <c r="D277" s="109"/>
      <c r="E277" s="109"/>
      <c r="F277" s="114"/>
      <c r="G277" s="109"/>
      <c r="H277" s="109"/>
      <c r="I277" s="109"/>
      <c r="J277" s="111"/>
      <c r="L277" s="110"/>
    </row>
    <row r="278" spans="1:12">
      <c r="A278" s="85"/>
      <c r="B278" s="116"/>
      <c r="D278" s="109"/>
      <c r="E278" s="109"/>
      <c r="F278" s="114"/>
      <c r="G278" s="109"/>
      <c r="H278" s="109"/>
      <c r="I278" s="109"/>
      <c r="J278" s="111"/>
      <c r="L278" s="110"/>
    </row>
    <row r="279" spans="1:12">
      <c r="A279" s="85"/>
      <c r="B279" s="116"/>
      <c r="D279" s="109"/>
      <c r="E279" s="109"/>
      <c r="F279" s="114"/>
      <c r="G279" s="109"/>
      <c r="H279" s="109"/>
      <c r="I279" s="109"/>
      <c r="J279" s="111"/>
      <c r="L279" s="110"/>
    </row>
    <row r="280" spans="1:12">
      <c r="A280" s="85"/>
      <c r="B280" s="116"/>
      <c r="D280" s="109"/>
      <c r="E280" s="109"/>
      <c r="F280" s="114"/>
      <c r="G280" s="109"/>
      <c r="H280" s="109"/>
      <c r="I280" s="109"/>
      <c r="J280" s="111"/>
      <c r="L280" s="110"/>
    </row>
    <row r="281" spans="1:12">
      <c r="A281" s="85"/>
      <c r="B281" s="116"/>
      <c r="D281" s="109"/>
      <c r="E281" s="109"/>
      <c r="F281" s="114"/>
      <c r="G281" s="109"/>
      <c r="H281" s="109"/>
      <c r="I281" s="109"/>
      <c r="J281" s="111"/>
      <c r="L281" s="110"/>
    </row>
    <row r="282" spans="1:12">
      <c r="A282" s="85"/>
      <c r="B282" s="116"/>
      <c r="D282" s="109"/>
      <c r="E282" s="109"/>
      <c r="F282" s="114"/>
      <c r="G282" s="109"/>
      <c r="H282" s="109"/>
      <c r="I282" s="109"/>
      <c r="J282" s="111"/>
      <c r="L282" s="110"/>
    </row>
    <row r="283" spans="1:12">
      <c r="A283" s="85"/>
      <c r="B283" s="116"/>
      <c r="D283" s="109"/>
      <c r="E283" s="109"/>
      <c r="F283" s="114"/>
      <c r="G283" s="109"/>
      <c r="H283" s="109"/>
      <c r="I283" s="109"/>
      <c r="J283" s="111"/>
      <c r="L283" s="110"/>
    </row>
    <row r="284" spans="1:12">
      <c r="A284" s="85"/>
      <c r="B284" s="116"/>
      <c r="D284" s="109"/>
      <c r="E284" s="109"/>
      <c r="F284" s="114"/>
      <c r="G284" s="109"/>
      <c r="H284" s="109"/>
      <c r="I284" s="109"/>
      <c r="J284" s="111"/>
      <c r="L284" s="110"/>
    </row>
    <row r="285" spans="1:12">
      <c r="A285" s="85"/>
      <c r="B285" s="116"/>
      <c r="D285" s="109"/>
      <c r="E285" s="109"/>
      <c r="F285" s="114"/>
      <c r="G285" s="109"/>
      <c r="H285" s="109"/>
      <c r="I285" s="109"/>
      <c r="J285" s="111"/>
      <c r="L285" s="110"/>
    </row>
    <row r="286" spans="1:12">
      <c r="A286" s="85"/>
      <c r="B286" s="116"/>
      <c r="D286" s="109"/>
      <c r="E286" s="109"/>
      <c r="F286" s="114"/>
      <c r="G286" s="109"/>
      <c r="H286" s="109"/>
      <c r="I286" s="109"/>
      <c r="J286" s="111"/>
      <c r="L286" s="110"/>
    </row>
    <row r="287" spans="1:12">
      <c r="A287" s="85"/>
      <c r="B287" s="116"/>
      <c r="D287" s="109"/>
      <c r="E287" s="109"/>
      <c r="F287" s="114"/>
      <c r="G287" s="109"/>
      <c r="H287" s="109"/>
      <c r="I287" s="109"/>
      <c r="J287" s="111"/>
      <c r="L287" s="110"/>
    </row>
    <row r="288" spans="1:12">
      <c r="A288" s="85"/>
      <c r="B288" s="116"/>
      <c r="D288" s="109"/>
      <c r="E288" s="109"/>
      <c r="F288" s="114"/>
      <c r="G288" s="109"/>
      <c r="H288" s="109"/>
      <c r="I288" s="109"/>
      <c r="J288" s="111"/>
      <c r="L288" s="110"/>
    </row>
    <row r="289" spans="1:12">
      <c r="A289" s="85"/>
      <c r="B289" s="116"/>
      <c r="D289" s="109"/>
      <c r="E289" s="109"/>
      <c r="F289" s="114"/>
      <c r="G289" s="109"/>
      <c r="H289" s="109"/>
      <c r="I289" s="109"/>
      <c r="J289" s="111"/>
      <c r="L289" s="110"/>
    </row>
    <row r="290" spans="1:12">
      <c r="A290" s="85"/>
      <c r="B290" s="116"/>
      <c r="D290" s="109"/>
      <c r="E290" s="109"/>
      <c r="F290" s="114"/>
      <c r="G290" s="109"/>
      <c r="H290" s="109"/>
      <c r="I290" s="109"/>
      <c r="J290" s="111"/>
      <c r="L290" s="110"/>
    </row>
    <row r="291" spans="1:12">
      <c r="A291" s="85"/>
      <c r="B291" s="116"/>
      <c r="D291" s="109"/>
      <c r="E291" s="109"/>
      <c r="F291" s="114"/>
      <c r="G291" s="109"/>
      <c r="H291" s="109"/>
      <c r="I291" s="109"/>
      <c r="J291" s="111"/>
      <c r="L291" s="110"/>
    </row>
    <row r="292" spans="1:12">
      <c r="A292" s="85"/>
      <c r="B292" s="116"/>
      <c r="D292" s="109"/>
      <c r="E292" s="109"/>
      <c r="F292" s="114"/>
      <c r="G292" s="109"/>
      <c r="H292" s="109"/>
      <c r="I292" s="109"/>
      <c r="J292" s="111"/>
      <c r="L292" s="110"/>
    </row>
    <row r="293" spans="1:12">
      <c r="A293" s="85"/>
      <c r="B293" s="116"/>
      <c r="D293" s="109"/>
      <c r="E293" s="109"/>
      <c r="F293" s="114"/>
      <c r="G293" s="109"/>
      <c r="H293" s="109"/>
      <c r="I293" s="109"/>
      <c r="J293" s="111"/>
      <c r="L293" s="110"/>
    </row>
    <row r="294" spans="1:12">
      <c r="A294" s="85"/>
      <c r="B294" s="116"/>
      <c r="D294" s="109"/>
      <c r="E294" s="109"/>
      <c r="F294" s="114"/>
      <c r="G294" s="109"/>
      <c r="H294" s="109"/>
      <c r="I294" s="109"/>
      <c r="J294" s="111"/>
      <c r="L294" s="110"/>
    </row>
    <row r="295" spans="1:12">
      <c r="A295" s="85"/>
      <c r="B295" s="116"/>
      <c r="D295" s="109"/>
      <c r="E295" s="109"/>
      <c r="F295" s="114"/>
      <c r="G295" s="109"/>
      <c r="H295" s="109"/>
      <c r="I295" s="109"/>
      <c r="J295" s="111"/>
      <c r="L295" s="110"/>
    </row>
    <row r="296" spans="1:12">
      <c r="A296" s="85"/>
      <c r="B296" s="116"/>
      <c r="D296" s="109"/>
      <c r="E296" s="109"/>
      <c r="F296" s="114"/>
      <c r="G296" s="109"/>
      <c r="H296" s="109"/>
      <c r="I296" s="109"/>
      <c r="J296" s="111"/>
      <c r="L296" s="110"/>
    </row>
    <row r="297" spans="1:12">
      <c r="A297" s="85"/>
      <c r="B297" s="116"/>
      <c r="D297" s="109"/>
      <c r="E297" s="109"/>
      <c r="F297" s="114"/>
      <c r="G297" s="109"/>
      <c r="H297" s="109"/>
      <c r="I297" s="109"/>
      <c r="J297" s="111"/>
      <c r="L297" s="110"/>
    </row>
    <row r="298" spans="1:12">
      <c r="A298" s="85"/>
      <c r="B298" s="116"/>
      <c r="D298" s="109"/>
      <c r="E298" s="109"/>
      <c r="F298" s="114"/>
      <c r="G298" s="109"/>
      <c r="H298" s="109"/>
      <c r="I298" s="109"/>
      <c r="J298" s="111"/>
      <c r="L298" s="110"/>
    </row>
    <row r="299" spans="1:12">
      <c r="A299" s="85"/>
      <c r="B299" s="116"/>
      <c r="D299" s="109"/>
      <c r="E299" s="109"/>
      <c r="F299" s="114"/>
      <c r="G299" s="109"/>
      <c r="H299" s="109"/>
      <c r="I299" s="109"/>
      <c r="J299" s="111"/>
      <c r="L299" s="110"/>
    </row>
    <row r="300" spans="1:12">
      <c r="A300" s="85"/>
      <c r="B300" s="116"/>
      <c r="D300" s="109"/>
      <c r="E300" s="109"/>
      <c r="F300" s="114"/>
      <c r="G300" s="109"/>
      <c r="H300" s="109"/>
      <c r="I300" s="109"/>
      <c r="J300" s="111"/>
      <c r="L300" s="110"/>
    </row>
    <row r="301" spans="1:12">
      <c r="A301" s="85"/>
      <c r="B301" s="116"/>
      <c r="D301" s="109"/>
      <c r="E301" s="109"/>
      <c r="F301" s="114"/>
      <c r="G301" s="109"/>
      <c r="H301" s="109"/>
      <c r="I301" s="109"/>
      <c r="J301" s="111"/>
      <c r="L301" s="110"/>
    </row>
    <row r="302" spans="1:12">
      <c r="A302" s="85"/>
      <c r="B302" s="116"/>
      <c r="D302" s="109"/>
      <c r="E302" s="109"/>
      <c r="F302" s="114"/>
      <c r="G302" s="109"/>
      <c r="H302" s="109"/>
      <c r="I302" s="109"/>
      <c r="J302" s="111"/>
      <c r="L302" s="110"/>
    </row>
    <row r="303" spans="1:12">
      <c r="A303" s="85"/>
      <c r="B303" s="116"/>
      <c r="D303" s="109"/>
      <c r="E303" s="109"/>
      <c r="F303" s="114"/>
      <c r="G303" s="109"/>
      <c r="H303" s="109"/>
      <c r="I303" s="109"/>
      <c r="J303" s="111"/>
      <c r="L303" s="110"/>
    </row>
    <row r="304" spans="1:12">
      <c r="A304" s="85"/>
      <c r="B304" s="116"/>
      <c r="D304" s="109"/>
      <c r="E304" s="109"/>
      <c r="F304" s="114"/>
      <c r="G304" s="109"/>
      <c r="H304" s="109"/>
      <c r="I304" s="109"/>
      <c r="J304" s="111"/>
      <c r="L304" s="110"/>
    </row>
    <row r="305" spans="1:12">
      <c r="A305" s="85"/>
      <c r="B305" s="116"/>
      <c r="D305" s="109"/>
      <c r="E305" s="109"/>
      <c r="F305" s="114"/>
      <c r="G305" s="109"/>
      <c r="H305" s="109"/>
      <c r="I305" s="109"/>
      <c r="J305" s="111"/>
      <c r="L305" s="110"/>
    </row>
    <row r="306" spans="1:12">
      <c r="A306" s="85"/>
      <c r="B306" s="116"/>
      <c r="D306" s="109"/>
      <c r="E306" s="109"/>
      <c r="F306" s="114"/>
      <c r="G306" s="109"/>
      <c r="H306" s="109"/>
      <c r="I306" s="109"/>
      <c r="J306" s="111"/>
      <c r="L306" s="110"/>
    </row>
    <row r="307" spans="1:12">
      <c r="A307" s="85"/>
      <c r="B307" s="116"/>
      <c r="D307" s="109"/>
      <c r="E307" s="109"/>
      <c r="F307" s="114"/>
      <c r="G307" s="109"/>
      <c r="H307" s="109"/>
      <c r="I307" s="109"/>
      <c r="J307" s="111"/>
      <c r="L307" s="110"/>
    </row>
    <row r="308" spans="1:12">
      <c r="A308" s="85"/>
      <c r="B308" s="116"/>
      <c r="D308" s="109"/>
      <c r="E308" s="109"/>
      <c r="F308" s="114"/>
      <c r="G308" s="109"/>
      <c r="H308" s="109"/>
      <c r="I308" s="109"/>
      <c r="J308" s="111"/>
      <c r="L308" s="110"/>
    </row>
    <row r="309" spans="1:12">
      <c r="A309" s="85"/>
      <c r="B309" s="116"/>
      <c r="D309" s="109"/>
      <c r="E309" s="109"/>
      <c r="F309" s="114"/>
      <c r="G309" s="109"/>
      <c r="H309" s="109"/>
      <c r="I309" s="109"/>
      <c r="J309" s="111"/>
      <c r="L309" s="110"/>
    </row>
    <row r="310" spans="1:12">
      <c r="A310" s="85"/>
      <c r="B310" s="116"/>
      <c r="D310" s="109"/>
      <c r="E310" s="109"/>
      <c r="F310" s="114"/>
      <c r="G310" s="109"/>
      <c r="H310" s="109"/>
      <c r="I310" s="109"/>
      <c r="J310" s="111"/>
      <c r="L310" s="110"/>
    </row>
    <row r="311" spans="1:12">
      <c r="A311" s="85"/>
      <c r="B311" s="116"/>
      <c r="D311" s="109"/>
      <c r="E311" s="109"/>
      <c r="F311" s="114"/>
      <c r="G311" s="109"/>
      <c r="H311" s="109"/>
      <c r="I311" s="109"/>
      <c r="J311" s="111"/>
      <c r="L311" s="110"/>
    </row>
    <row r="312" spans="1:12">
      <c r="A312" s="85"/>
      <c r="B312" s="116"/>
      <c r="D312" s="109"/>
      <c r="E312" s="109"/>
      <c r="F312" s="114"/>
      <c r="G312" s="109"/>
      <c r="H312" s="109"/>
      <c r="I312" s="109"/>
      <c r="J312" s="111"/>
      <c r="L312" s="110"/>
    </row>
    <row r="313" spans="1:12">
      <c r="A313" s="85"/>
      <c r="B313" s="116"/>
      <c r="D313" s="109"/>
      <c r="E313" s="109"/>
      <c r="F313" s="114"/>
      <c r="G313" s="109"/>
      <c r="H313" s="109"/>
      <c r="I313" s="109"/>
      <c r="J313" s="111"/>
      <c r="L313" s="110"/>
    </row>
    <row r="314" spans="1:12">
      <c r="A314" s="85"/>
      <c r="B314" s="116"/>
      <c r="D314" s="109"/>
      <c r="E314" s="109"/>
      <c r="F314" s="114"/>
      <c r="G314" s="109"/>
      <c r="H314" s="109"/>
      <c r="I314" s="109"/>
      <c r="J314" s="111"/>
      <c r="L314" s="110"/>
    </row>
    <row r="315" spans="1:12">
      <c r="A315" s="85"/>
      <c r="B315" s="116"/>
      <c r="D315" s="109"/>
      <c r="E315" s="109"/>
      <c r="F315" s="114"/>
      <c r="G315" s="109"/>
      <c r="H315" s="109"/>
      <c r="I315" s="109"/>
      <c r="J315" s="111"/>
      <c r="L315" s="110"/>
    </row>
    <row r="316" spans="1:12">
      <c r="L316" s="110"/>
    </row>
    <row r="317" spans="1:12">
      <c r="L317" s="110"/>
    </row>
    <row r="318" spans="1:12">
      <c r="L318" s="110"/>
    </row>
    <row r="319" spans="1:12">
      <c r="L319" s="110"/>
    </row>
  </sheetData>
  <mergeCells count="1">
    <mergeCell ref="A3:I3"/>
  </mergeCells>
  <pageMargins left="0.7" right="0.7" top="0.75" bottom="0.75" header="0.3" footer="0.3"/>
  <pageSetup scale="58" fitToHeight="0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C24F3-8CB9-4A36-879A-DD9947C03EB9}">
  <dimension ref="A1:I45"/>
  <sheetViews>
    <sheetView workbookViewId="0">
      <selection activeCell="F17" sqref="F17"/>
    </sheetView>
  </sheetViews>
  <sheetFormatPr defaultColWidth="8.7265625" defaultRowHeight="14.5"/>
  <cols>
    <col min="1" max="1" width="44.453125" style="121" bestFit="1" customWidth="1"/>
    <col min="2" max="2" width="17" style="121" bestFit="1" customWidth="1"/>
    <col min="3" max="3" width="8.26953125" style="121" customWidth="1"/>
    <col min="4" max="4" width="8.7265625" style="121"/>
    <col min="5" max="5" width="13.26953125" style="121" bestFit="1" customWidth="1"/>
    <col min="6" max="6" width="16.81640625" style="121" bestFit="1" customWidth="1"/>
    <col min="7" max="7" width="14.54296875" style="121" bestFit="1" customWidth="1"/>
    <col min="8" max="8" width="16.81640625" style="121" bestFit="1" customWidth="1"/>
    <col min="9" max="9" width="13.453125" style="121" bestFit="1" customWidth="1"/>
    <col min="10" max="16384" width="8.7265625" style="121"/>
  </cols>
  <sheetData>
    <row r="1" spans="1:9">
      <c r="A1" s="118" t="s">
        <v>66</v>
      </c>
      <c r="B1" s="119" t="s">
        <v>54</v>
      </c>
      <c r="C1" s="120"/>
      <c r="D1" s="120"/>
      <c r="F1" s="76"/>
      <c r="G1" s="122"/>
    </row>
    <row r="2" spans="1:9">
      <c r="A2" s="123"/>
      <c r="B2" s="123"/>
      <c r="C2" s="123"/>
      <c r="D2" s="124"/>
      <c r="E2" s="123"/>
    </row>
    <row r="3" spans="1:9">
      <c r="A3" s="125" t="s">
        <v>67</v>
      </c>
      <c r="B3" s="126"/>
      <c r="C3" s="127"/>
      <c r="D3" s="124"/>
    </row>
    <row r="4" spans="1:9">
      <c r="A4" s="128" t="s">
        <v>68</v>
      </c>
      <c r="B4" s="129">
        <v>2750000</v>
      </c>
      <c r="C4" s="130"/>
      <c r="D4" s="124"/>
      <c r="E4" s="129"/>
      <c r="G4" s="131"/>
      <c r="H4" s="131"/>
    </row>
    <row r="5" spans="1:9">
      <c r="A5" s="128" t="s">
        <v>69</v>
      </c>
      <c r="B5" s="129">
        <v>750000</v>
      </c>
      <c r="C5" s="130"/>
      <c r="D5" s="124"/>
      <c r="E5" s="129"/>
      <c r="H5" s="132"/>
    </row>
    <row r="6" spans="1:9">
      <c r="A6" s="128"/>
      <c r="B6" s="129"/>
      <c r="C6" s="130"/>
      <c r="D6" s="124"/>
      <c r="E6" s="129"/>
    </row>
    <row r="7" spans="1:9">
      <c r="A7" s="128" t="s">
        <v>70</v>
      </c>
      <c r="B7" s="129">
        <v>75000</v>
      </c>
      <c r="C7" s="130"/>
      <c r="D7" s="124"/>
      <c r="E7" s="129"/>
    </row>
    <row r="8" spans="1:9">
      <c r="A8" s="128" t="s">
        <v>71</v>
      </c>
      <c r="B8" s="129">
        <v>31242</v>
      </c>
      <c r="C8" s="130"/>
      <c r="D8" s="124"/>
      <c r="E8" s="129"/>
    </row>
    <row r="9" spans="1:9">
      <c r="A9" s="128" t="s">
        <v>72</v>
      </c>
      <c r="B9" s="129">
        <v>591965.49855000002</v>
      </c>
      <c r="C9" s="130"/>
      <c r="D9" s="124"/>
      <c r="E9" s="129"/>
      <c r="G9" s="133"/>
      <c r="H9" s="132"/>
      <c r="I9" s="133"/>
    </row>
    <row r="10" spans="1:9">
      <c r="A10" s="128" t="s">
        <v>73</v>
      </c>
      <c r="B10" s="129">
        <v>150000</v>
      </c>
      <c r="C10" s="130"/>
      <c r="D10" s="124"/>
      <c r="E10" s="129"/>
      <c r="G10" s="133"/>
    </row>
    <row r="11" spans="1:9">
      <c r="A11" s="128" t="s">
        <v>74</v>
      </c>
      <c r="B11" s="129">
        <v>125000</v>
      </c>
      <c r="C11" s="130"/>
      <c r="D11" s="124"/>
      <c r="E11" s="129"/>
    </row>
    <row r="12" spans="1:9">
      <c r="A12" s="128" t="s">
        <v>75</v>
      </c>
      <c r="B12" s="129">
        <v>25000</v>
      </c>
      <c r="C12" s="130"/>
      <c r="D12" s="52" t="s">
        <v>59</v>
      </c>
      <c r="E12" s="129"/>
    </row>
    <row r="13" spans="1:9">
      <c r="A13" s="128" t="s">
        <v>76</v>
      </c>
      <c r="B13" s="134">
        <v>1787065.656</v>
      </c>
      <c r="C13" s="135"/>
      <c r="D13" s="136">
        <v>0.4</v>
      </c>
      <c r="E13" s="129"/>
      <c r="F13" s="137"/>
      <c r="G13" s="137"/>
    </row>
    <row r="14" spans="1:9">
      <c r="A14" s="128" t="s">
        <v>77</v>
      </c>
      <c r="B14" s="138">
        <v>24929.5659012</v>
      </c>
      <c r="C14" s="127"/>
      <c r="D14" s="136">
        <v>5.5800000000000001E-5</v>
      </c>
      <c r="E14" s="129"/>
      <c r="F14" s="133"/>
    </row>
    <row r="15" spans="1:9">
      <c r="A15" s="123"/>
      <c r="B15" s="123"/>
      <c r="C15" s="123"/>
      <c r="D15" s="123"/>
      <c r="E15" s="129"/>
    </row>
    <row r="16" spans="1:9" ht="15" thickBot="1">
      <c r="A16" s="139" t="s">
        <v>78</v>
      </c>
      <c r="B16" s="140">
        <f>SUM(B4:B14)</f>
        <v>6310202.7204511994</v>
      </c>
      <c r="C16" s="123"/>
      <c r="D16" s="124"/>
      <c r="E16" s="129"/>
    </row>
    <row r="17" spans="1:5" ht="15" thickTop="1">
      <c r="E17" s="129"/>
    </row>
    <row r="18" spans="1:5">
      <c r="A18" s="121" t="s">
        <v>79</v>
      </c>
      <c r="B18" s="141">
        <f>+B16/'[4]20 Yr Jan 2024'!C10</f>
        <v>1.381989262833918E-2</v>
      </c>
      <c r="E18" s="129"/>
    </row>
    <row r="19" spans="1:5">
      <c r="E19" s="129"/>
    </row>
    <row r="20" spans="1:5">
      <c r="A20" s="148"/>
      <c r="B20" s="149"/>
      <c r="C20" s="148"/>
      <c r="D20" s="148"/>
      <c r="E20" s="134"/>
    </row>
    <row r="21" spans="1:5">
      <c r="A21" s="148"/>
      <c r="B21" s="148"/>
      <c r="C21" s="148"/>
      <c r="D21" s="150"/>
      <c r="E21" s="134"/>
    </row>
    <row r="22" spans="1:5">
      <c r="A22" s="148"/>
      <c r="B22" s="148"/>
      <c r="C22" s="148"/>
      <c r="D22" s="148"/>
      <c r="E22" s="134"/>
    </row>
    <row r="23" spans="1:5">
      <c r="A23" s="151"/>
      <c r="B23" s="152"/>
      <c r="C23" s="151"/>
      <c r="D23" s="153"/>
      <c r="E23" s="134"/>
    </row>
    <row r="24" spans="1:5">
      <c r="A24" s="151"/>
      <c r="B24" s="154"/>
      <c r="C24" s="151"/>
      <c r="D24" s="148"/>
      <c r="E24" s="134"/>
    </row>
    <row r="25" spans="1:5">
      <c r="A25" s="151"/>
      <c r="B25" s="154"/>
      <c r="C25" s="151"/>
      <c r="D25" s="148"/>
      <c r="E25" s="134"/>
    </row>
    <row r="26" spans="1:5">
      <c r="A26" s="151"/>
      <c r="B26" s="154"/>
      <c r="C26" s="151"/>
      <c r="D26" s="148"/>
      <c r="E26" s="134"/>
    </row>
    <row r="27" spans="1:5">
      <c r="A27" s="151"/>
      <c r="B27" s="154"/>
      <c r="C27" s="151"/>
      <c r="D27" s="148"/>
      <c r="E27" s="134"/>
    </row>
    <row r="28" spans="1:5">
      <c r="A28" s="151"/>
      <c r="B28" s="154"/>
      <c r="C28" s="151"/>
      <c r="D28" s="148"/>
      <c r="E28" s="134"/>
    </row>
    <row r="29" spans="1:5">
      <c r="A29" s="151"/>
      <c r="B29" s="154"/>
      <c r="C29" s="151"/>
      <c r="D29" s="148"/>
      <c r="E29" s="134"/>
    </row>
    <row r="30" spans="1:5">
      <c r="A30" s="151"/>
      <c r="B30" s="154"/>
      <c r="C30" s="151"/>
      <c r="D30" s="148"/>
      <c r="E30" s="134"/>
    </row>
    <row r="31" spans="1:5">
      <c r="A31" s="151"/>
      <c r="B31" s="154"/>
      <c r="C31" s="151"/>
      <c r="D31" s="148"/>
      <c r="E31" s="134"/>
    </row>
    <row r="32" spans="1:5">
      <c r="A32" s="148"/>
      <c r="B32" s="154"/>
      <c r="C32" s="151"/>
      <c r="D32" s="148"/>
      <c r="E32" s="134"/>
    </row>
    <row r="33" spans="1:5">
      <c r="A33" s="151"/>
      <c r="B33" s="155"/>
      <c r="C33" s="151"/>
      <c r="D33" s="148"/>
      <c r="E33" s="134"/>
    </row>
    <row r="34" spans="1:5">
      <c r="A34" s="156"/>
      <c r="B34" s="157"/>
      <c r="C34" s="151"/>
      <c r="D34" s="148"/>
      <c r="E34" s="134"/>
    </row>
    <row r="35" spans="1:5">
      <c r="A35" s="156"/>
      <c r="B35" s="158"/>
      <c r="C35" s="151"/>
      <c r="D35" s="148"/>
      <c r="E35" s="134"/>
    </row>
    <row r="36" spans="1:5">
      <c r="A36" s="156"/>
      <c r="B36" s="159"/>
      <c r="C36" s="151"/>
      <c r="D36" s="148"/>
      <c r="E36" s="134"/>
    </row>
    <row r="37" spans="1:5">
      <c r="A37" s="148"/>
      <c r="B37" s="148"/>
      <c r="C37" s="148"/>
      <c r="D37" s="148"/>
      <c r="E37" s="134"/>
    </row>
    <row r="38" spans="1:5">
      <c r="A38" s="148"/>
      <c r="B38" s="148"/>
      <c r="C38" s="148"/>
      <c r="D38" s="148"/>
      <c r="E38" s="134"/>
    </row>
    <row r="39" spans="1:5">
      <c r="E39" s="129"/>
    </row>
    <row r="40" spans="1:5">
      <c r="E40" s="129"/>
    </row>
    <row r="41" spans="1:5">
      <c r="E41" s="129"/>
    </row>
    <row r="42" spans="1:5">
      <c r="E42" s="129"/>
    </row>
    <row r="43" spans="1:5">
      <c r="E43" s="129"/>
    </row>
    <row r="44" spans="1:5">
      <c r="E44" s="129"/>
    </row>
    <row r="45" spans="1:5">
      <c r="E45" s="12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D5651-7D61-4AA7-B9C0-BAC91769F718}">
  <dimension ref="A1:J9"/>
  <sheetViews>
    <sheetView tabSelected="1" zoomScale="110" zoomScaleNormal="110" workbookViewId="0">
      <selection activeCell="D7" sqref="D7"/>
    </sheetView>
  </sheetViews>
  <sheetFormatPr defaultColWidth="8.7265625" defaultRowHeight="12.5"/>
  <cols>
    <col min="1" max="1" width="51.81640625" style="24" bestFit="1" customWidth="1"/>
    <col min="2" max="2" width="23.54296875" style="24" customWidth="1"/>
    <col min="3" max="3" width="16.453125" style="24" bestFit="1" customWidth="1"/>
    <col min="4" max="4" width="16.453125" style="24" customWidth="1"/>
    <col min="5" max="5" width="16.453125" style="24" bestFit="1" customWidth="1"/>
    <col min="6" max="9" width="8.7265625" style="24"/>
    <col min="10" max="10" width="19.1796875" style="24" customWidth="1"/>
    <col min="11" max="11" width="16.81640625" style="24" customWidth="1"/>
    <col min="12" max="12" width="15.81640625" style="24" customWidth="1"/>
    <col min="13" max="13" width="14.7265625" style="24" customWidth="1"/>
    <col min="14" max="15" width="8.7265625" style="24"/>
    <col min="16" max="17" width="15.453125" style="24" bestFit="1" customWidth="1"/>
    <col min="18" max="18" width="8.7265625" style="24"/>
    <col min="19" max="19" width="22.54296875" style="24" bestFit="1" customWidth="1"/>
    <col min="20" max="16384" width="8.7265625" style="24"/>
  </cols>
  <sheetData>
    <row r="1" spans="1:10" ht="13">
      <c r="A1" s="72" t="s">
        <v>80</v>
      </c>
    </row>
    <row r="2" spans="1:10" ht="13">
      <c r="A2" s="72" t="s">
        <v>85</v>
      </c>
    </row>
    <row r="3" spans="1:10" ht="13">
      <c r="A3" s="72"/>
    </row>
    <row r="5" spans="1:10" ht="13">
      <c r="C5" s="73" t="s">
        <v>81</v>
      </c>
      <c r="D5" s="73" t="s">
        <v>82</v>
      </c>
      <c r="E5" s="73" t="s">
        <v>22</v>
      </c>
    </row>
    <row r="6" spans="1:10" ht="147.65" customHeight="1">
      <c r="B6" s="74" t="s">
        <v>83</v>
      </c>
      <c r="C6" s="75">
        <v>272909708.34999996</v>
      </c>
      <c r="D6" s="75">
        <v>363522624.64000005</v>
      </c>
      <c r="E6" s="75">
        <f>C6+D6</f>
        <v>636432332.99000001</v>
      </c>
      <c r="J6" s="76"/>
    </row>
    <row r="7" spans="1:10" ht="110.5" customHeight="1">
      <c r="B7" s="74" t="s">
        <v>84</v>
      </c>
      <c r="C7" s="53">
        <v>0</v>
      </c>
      <c r="D7" s="53">
        <v>185044771.60860354</v>
      </c>
      <c r="E7" s="53">
        <v>0</v>
      </c>
      <c r="J7" s="76"/>
    </row>
    <row r="8" spans="1:10">
      <c r="J8" s="77"/>
    </row>
    <row r="9" spans="1:10">
      <c r="J9" s="77"/>
    </row>
  </sheetData>
  <pageMargins left="0.7" right="0.7" top="0.75" bottom="0.75" header="0.3" footer="0.3"/>
  <pageSetup scale="7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b640fb8-5a34-41c1-9307-1b790ff29a8b">
      <Terms xmlns="http://schemas.microsoft.com/office/infopath/2007/PartnerControls"/>
    </lcf76f155ced4ddcb4097134ff3c332f>
    <TaxCatchAll xmlns="51831b8d-857f-44dd-949b-652450d1a5df" xsi:nil="true"/>
    <Operating_x0020_Company xmlns="a1040523-5304-4b09-b6d4-64a124c994e2">AEP Ohio</Operating_x0020_Company>
    <_Flow_SignoffStatus xmlns="5b640fb8-5a34-41c1-9307-1b790ff29a8b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136CE24ED5F449BD16740FFC7FAF6F" ma:contentTypeVersion="31" ma:contentTypeDescription="Create a new document." ma:contentTypeScope="" ma:versionID="b6179feaad23018a41f76eaef5b4f43d">
  <xsd:schema xmlns:xsd="http://www.w3.org/2001/XMLSchema" xmlns:xs="http://www.w3.org/2001/XMLSchema" xmlns:p="http://schemas.microsoft.com/office/2006/metadata/properties" xmlns:ns1="http://schemas.microsoft.com/sharepoint/v3" xmlns:ns2="a1040523-5304-4b09-b6d4-64a124c994e2" xmlns:ns3="5b640fb8-5a34-41c1-9307-1b790ff29a8b" xmlns:ns4="51831b8d-857f-44dd-949b-652450d1a5df" targetNamespace="http://schemas.microsoft.com/office/2006/metadata/properties" ma:root="true" ma:fieldsID="b176c6d2b07027ee7343df1467fc3652" ns1:_="" ns2:_="" ns3:_="" ns4:_="">
    <xsd:import namespace="http://schemas.microsoft.com/sharepoint/v3"/>
    <xsd:import namespace="a1040523-5304-4b09-b6d4-64a124c994e2"/>
    <xsd:import namespace="5b640fb8-5a34-41c1-9307-1b790ff29a8b"/>
    <xsd:import namespace="51831b8d-857f-44dd-949b-652450d1a5df"/>
    <xsd:element name="properties">
      <xsd:complexType>
        <xsd:sequence>
          <xsd:element name="documentManagement">
            <xsd:complexType>
              <xsd:all>
                <xsd:element ref="ns2:Operating_x0020_Company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lcf76f155ced4ddcb4097134ff3c332f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_Flow_SignoffStatu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 ma:readOnly="false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  <xsd:enumeration value="SWEPCO - Peine"/>
          <xsd:enumeration value="ET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40fb8-5a34-41c1-9307-1b790ff29a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efa54f2-5b03-49c6-9483-51c08a973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31b8d-857f-44dd-949b-652450d1a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3b4476ce-ac5c-42b1-bccc-28ba47756ae8}" ma:internalName="TaxCatchAll" ma:showField="CatchAllData" ma:web="51831b8d-857f-44dd-949b-652450d1a5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YXV0b1NlbGVjdGVkU3VnZ2VzdGlvbiI+PGVsZW1lbnQgdWlkPSI1MGMzMTgyNC0wNzgwLTQ5MTAtODdkMS1lYWFmZmQxODJkNDI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+Q09SUFxzMjkwNzkyPC9Vc2VyTmFtZT48RGF0ZVRpbWU+OC8yLzIwMjIgNjoyNDo1OSBQTTwvRGF0ZVRpbWU+PExhYmVsU3RyaW5nPkFFUCBJbnRlcm5hbDwvTGFiZWxTdHJpbmc+PC9pdGVtPjwvbGFiZWxIaXN0b3J5Pg==</Value>
</WrappedLabelHistory>
</file>

<file path=customXml/item5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autoSelectedSuggestion">
  <element uid="50c31824-0780-4910-87d1-eaaffd182d42" value=""/>
  <element uid="c64218ab-b8d1-40b6-a478-cb8be1e10ecc" value=""/>
</sisl>
</file>

<file path=customXml/itemProps1.xml><?xml version="1.0" encoding="utf-8"?>
<ds:datastoreItem xmlns:ds="http://schemas.openxmlformats.org/officeDocument/2006/customXml" ds:itemID="{ADA35285-FFBB-475E-9432-8B29D6C8FC16}">
  <ds:schemaRefs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a1040523-5304-4b09-b6d4-64a124c994e2"/>
    <ds:schemaRef ds:uri="http://schemas.microsoft.com/office/2006/documentManagement/types"/>
    <ds:schemaRef ds:uri="51831b8d-857f-44dd-949b-652450d1a5df"/>
    <ds:schemaRef ds:uri="5b640fb8-5a34-41c1-9307-1b790ff29a8b"/>
    <ds:schemaRef ds:uri="http://schemas.microsoft.com/office/2006/metadata/properties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E70B83A-05FE-479A-8251-47C923A306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B2824A-187E-4120-9019-C4F7EE6A9EF2}"/>
</file>

<file path=customXml/itemProps4.xml><?xml version="1.0" encoding="utf-8"?>
<ds:datastoreItem xmlns:ds="http://schemas.openxmlformats.org/officeDocument/2006/customXml" ds:itemID="{42ADF4F1-2140-43C2-9E83-D2457C740D93}">
  <ds:schemaRefs>
    <ds:schemaRef ds:uri="http://www.w3.org/2001/XMLSchema"/>
    <ds:schemaRef ds:uri="http://www.boldonjames.com/2016/02/Classifier/internal/wrappedLabelHistory"/>
  </ds:schemaRefs>
</ds:datastoreItem>
</file>

<file path=customXml/itemProps5.xml><?xml version="1.0" encoding="utf-8"?>
<ds:datastoreItem xmlns:ds="http://schemas.openxmlformats.org/officeDocument/2006/customXml" ds:itemID="{90AFDF9B-1931-4F6B-A1B5-99C32112B1D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Fuel + SS Rev (Test)</vt:lpstr>
      <vt:lpstr>SFR-Page 1</vt:lpstr>
      <vt:lpstr>SFR-Page 2</vt:lpstr>
      <vt:lpstr>20 Yr Securitization</vt:lpstr>
      <vt:lpstr>Upfront &amp; Ongoing Costs</vt:lpstr>
      <vt:lpstr>Revenue</vt:lpstr>
      <vt:lpstr>Revenue!Print_Area</vt:lpstr>
      <vt:lpstr>'SFR-Page 1'!Print_Area</vt:lpstr>
      <vt:lpstr>'SFR-Page 2'!Print_Area</vt:lpstr>
    </vt:vector>
  </TitlesOfParts>
  <Company>IT-CPS-8/28/1-(Help#=8-835-3050) Full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American Electric Power®</dc:creator>
  <cp:keywords/>
  <cp:lastModifiedBy>Katharine I Walsh</cp:lastModifiedBy>
  <cp:lastPrinted>2019-08-12T15:39:39Z</cp:lastPrinted>
  <dcterms:created xsi:type="dcterms:W3CDTF">2004-09-28T13:24:13Z</dcterms:created>
  <dcterms:modified xsi:type="dcterms:W3CDTF">2023-08-15T18:24:49Z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bc590f0a-01a0-47b6-8fe5-a8bf72220e39</vt:lpwstr>
  </property>
  <property fmtid="{D5CDD505-2E9C-101B-9397-08002B2CF9AE}" pid="3" name="bjSaver">
    <vt:lpwstr>nAq6O+Hd8RexdVD7Ge2qGh60qJ4XO2rO</vt:lpwstr>
  </property>
  <property fmtid="{D5CDD505-2E9C-101B-9397-08002B2CF9AE}" pid="4" name="bjDocumentSecurityLabel">
    <vt:lpwstr>AEP Internal</vt:lpwstr>
  </property>
  <property fmtid="{D5CDD505-2E9C-101B-9397-08002B2CF9AE}" pid="5" name="Visual Markings Removed">
    <vt:lpwstr>No</vt:lpwstr>
  </property>
  <property fmtid="{D5CDD505-2E9C-101B-9397-08002B2CF9AE}" pid="6" name="bjClsUserRVM">
    <vt:lpwstr>[]</vt:lpwstr>
  </property>
  <property fmtid="{D5CDD505-2E9C-101B-9397-08002B2CF9AE}" pid="7" name="bjDocumentLabelXML">
    <vt:lpwstr>&lt;?xml version="1.0" encoding="us-ascii"?&gt;&lt;sisl xmlns:xsd="http://www.w3.org/2001/XMLSchema" xmlns:xsi="http://www.w3.org/2001/XMLSchema-instance" sislVersion="0" policy="e9c0b8d7-bdb4-4fd3-b62a-f50327aaefce" origin="autoSelectedSuggestion" xmlns="http://w</vt:lpwstr>
  </property>
  <property fmtid="{D5CDD505-2E9C-101B-9397-08002B2CF9AE}" pid="8" name="bjDocumentLabelXML-0">
    <vt:lpwstr>ww.boldonjames.com/2008/01/sie/internal/label"&gt;&lt;element uid="50c31824-0780-4910-87d1-eaaffd182d42" value="" /&gt;&lt;element uid="c64218ab-b8d1-40b6-a478-cb8be1e10ecc" value="" /&gt;&lt;/sisl&gt;</vt:lpwstr>
  </property>
  <property fmtid="{D5CDD505-2E9C-101B-9397-08002B2CF9AE}" pid="9" name="MSIP_Label_69f43042-6bda-44b2-91eb-eca3d3d484f4_SiteId">
    <vt:lpwstr>15f3c881-6b03-4ff6-8559-77bf5177818f</vt:lpwstr>
  </property>
  <property fmtid="{D5CDD505-2E9C-101B-9397-08002B2CF9AE}" pid="10" name="MSIP_Label_69f43042-6bda-44b2-91eb-eca3d3d484f4_Name">
    <vt:lpwstr>AEP Internal</vt:lpwstr>
  </property>
  <property fmtid="{D5CDD505-2E9C-101B-9397-08002B2CF9AE}" pid="11" name="MSIP_Label_69f43042-6bda-44b2-91eb-eca3d3d484f4_Enabled">
    <vt:lpwstr>true</vt:lpwstr>
  </property>
  <property fmtid="{D5CDD505-2E9C-101B-9397-08002B2CF9AE}" pid="12" name="bjLabelHistoryID">
    <vt:lpwstr>{42ADF4F1-2140-43C2-9E83-D2457C740D93}</vt:lpwstr>
  </property>
  <property fmtid="{D5CDD505-2E9C-101B-9397-08002B2CF9AE}" pid="13" name="{A44787D4-0540-4523-9961-78E4036D8C6D}">
    <vt:lpwstr>{3F6A978B-D0F4-43F3-903D-F1401FDA922E}</vt:lpwstr>
  </property>
  <property fmtid="{D5CDD505-2E9C-101B-9397-08002B2CF9AE}" pid="14" name="ContentTypeId">
    <vt:lpwstr>0x01010001136CE24ED5F449BD16740FFC7FAF6F</vt:lpwstr>
  </property>
  <property fmtid="{D5CDD505-2E9C-101B-9397-08002B2CF9AE}" pid="15" name="MediaServiceImageTags">
    <vt:lpwstr/>
  </property>
</Properties>
</file>