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2nd Set/Attachments/"/>
    </mc:Choice>
  </mc:AlternateContent>
  <xr:revisionPtr revIDLastSave="29" documentId="13_ncr:1_{4E202F22-E7A6-40F7-B594-F313E61201A3}" xr6:coauthVersionLast="47" xr6:coauthVersionMax="47" xr10:uidLastSave="{3A2A5CF9-7230-41AB-8FEB-36EAC9E7BEB1}"/>
  <bookViews>
    <workbookView xWindow="-120" yWindow="-120" windowWidth="29040" windowHeight="15720" xr2:uid="{00000000-000D-0000-FFFF-FFFF00000000}"/>
  </bookViews>
  <sheets>
    <sheet name="DRR Projected Projects" sheetId="1" r:id="rId1"/>
    <sheet name="DRR 5 Year Cost vs Reliability" sheetId="3" r:id="rId2"/>
    <sheet name="Projected Reliability - Graphs" sheetId="2" r:id="rId3"/>
  </sheets>
  <definedNames>
    <definedName name="_xlnm._FilterDatabase" localSheetId="0" hidden="1">'DRR Projected Projects'!$B$99:$I$101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" l="1"/>
  <c r="S10" i="3"/>
  <c r="R10" i="3"/>
  <c r="L10" i="3"/>
  <c r="AA27" i="3"/>
  <c r="E110" i="1"/>
  <c r="F110" i="1"/>
  <c r="I110" i="1"/>
  <c r="H110" i="1"/>
  <c r="G110" i="1"/>
  <c r="I104" i="1"/>
  <c r="H104" i="1"/>
  <c r="G104" i="1"/>
  <c r="F104" i="1"/>
  <c r="E104" i="1"/>
  <c r="I96" i="1"/>
  <c r="H96" i="1"/>
  <c r="G96" i="1"/>
  <c r="F96" i="1"/>
  <c r="E96" i="1"/>
  <c r="I37" i="1"/>
  <c r="H37" i="1"/>
  <c r="G37" i="1"/>
  <c r="F37" i="1"/>
  <c r="E37" i="1"/>
  <c r="I26" i="1"/>
  <c r="H26" i="1"/>
  <c r="G26" i="1"/>
  <c r="F26" i="1"/>
  <c r="E26" i="1"/>
  <c r="I14" i="1"/>
  <c r="I18" i="1"/>
  <c r="H14" i="1"/>
  <c r="G14" i="1"/>
  <c r="F14" i="1"/>
  <c r="E14" i="1"/>
  <c r="H18" i="1"/>
  <c r="G18" i="1"/>
  <c r="F18" i="1"/>
  <c r="E18" i="1"/>
  <c r="D93" i="1"/>
  <c r="D3" i="1"/>
  <c r="I91" i="1"/>
  <c r="H91" i="1" s="1"/>
  <c r="G91" i="1" s="1"/>
  <c r="F91" i="1" s="1"/>
  <c r="E91" i="1" s="1"/>
  <c r="I90" i="1"/>
  <c r="I89" i="1"/>
  <c r="H89" i="1" s="1"/>
  <c r="G89" i="1" s="1"/>
  <c r="F89" i="1" s="1"/>
  <c r="E89" i="1" s="1"/>
  <c r="I88" i="1"/>
  <c r="I87" i="1"/>
  <c r="I86" i="1"/>
  <c r="H86" i="1" s="1"/>
  <c r="G86" i="1" s="1"/>
  <c r="F86" i="1" s="1"/>
  <c r="E86" i="1" s="1"/>
  <c r="I85" i="1"/>
  <c r="H85" i="1" s="1"/>
  <c r="G85" i="1" s="1"/>
  <c r="F85" i="1" s="1"/>
  <c r="E85" i="1" s="1"/>
  <c r="I84" i="1"/>
  <c r="H84" i="1" s="1"/>
  <c r="G84" i="1" s="1"/>
  <c r="F84" i="1" s="1"/>
  <c r="E84" i="1" s="1"/>
  <c r="I83" i="1"/>
  <c r="H83" i="1" s="1"/>
  <c r="G83" i="1" s="1"/>
  <c r="F83" i="1" s="1"/>
  <c r="E83" i="1" s="1"/>
  <c r="I82" i="1"/>
  <c r="I81" i="1"/>
  <c r="H81" i="1" s="1"/>
  <c r="G81" i="1" s="1"/>
  <c r="F81" i="1" s="1"/>
  <c r="E81" i="1" s="1"/>
  <c r="I80" i="1"/>
  <c r="H80" i="1" s="1"/>
  <c r="G80" i="1" s="1"/>
  <c r="F80" i="1" s="1"/>
  <c r="E80" i="1" s="1"/>
  <c r="I79" i="1"/>
  <c r="H79" i="1" s="1"/>
  <c r="G79" i="1" s="1"/>
  <c r="F79" i="1" s="1"/>
  <c r="E79" i="1" s="1"/>
  <c r="I78" i="1"/>
  <c r="H78" i="1" s="1"/>
  <c r="G78" i="1" s="1"/>
  <c r="F78" i="1" s="1"/>
  <c r="E78" i="1" s="1"/>
  <c r="I77" i="1"/>
  <c r="H77" i="1" s="1"/>
  <c r="G77" i="1" s="1"/>
  <c r="F77" i="1" s="1"/>
  <c r="E77" i="1" s="1"/>
  <c r="I76" i="1"/>
  <c r="H76" i="1" s="1"/>
  <c r="G76" i="1" s="1"/>
  <c r="F76" i="1" s="1"/>
  <c r="E76" i="1" s="1"/>
  <c r="I75" i="1"/>
  <c r="H75" i="1" s="1"/>
  <c r="G75" i="1" s="1"/>
  <c r="F75" i="1" s="1"/>
  <c r="E75" i="1" s="1"/>
  <c r="I74" i="1"/>
  <c r="I73" i="1"/>
  <c r="H73" i="1" s="1"/>
  <c r="G73" i="1" s="1"/>
  <c r="F73" i="1" s="1"/>
  <c r="E73" i="1" s="1"/>
  <c r="I72" i="1"/>
  <c r="H72" i="1" s="1"/>
  <c r="G72" i="1" s="1"/>
  <c r="F72" i="1" s="1"/>
  <c r="E72" i="1" s="1"/>
  <c r="I71" i="1"/>
  <c r="H71" i="1" s="1"/>
  <c r="G71" i="1" s="1"/>
  <c r="F71" i="1" s="1"/>
  <c r="E71" i="1" s="1"/>
  <c r="I70" i="1"/>
  <c r="H70" i="1" s="1"/>
  <c r="G70" i="1" s="1"/>
  <c r="F70" i="1" s="1"/>
  <c r="E70" i="1" s="1"/>
  <c r="I69" i="1"/>
  <c r="H69" i="1" s="1"/>
  <c r="G69" i="1" s="1"/>
  <c r="F69" i="1" s="1"/>
  <c r="E69" i="1" s="1"/>
  <c r="I68" i="1"/>
  <c r="H68" i="1" s="1"/>
  <c r="G68" i="1" s="1"/>
  <c r="F68" i="1" s="1"/>
  <c r="E68" i="1" s="1"/>
  <c r="I67" i="1"/>
  <c r="H67" i="1" s="1"/>
  <c r="G67" i="1" s="1"/>
  <c r="F67" i="1" s="1"/>
  <c r="E67" i="1" s="1"/>
  <c r="I66" i="1"/>
  <c r="I65" i="1"/>
  <c r="H65" i="1" s="1"/>
  <c r="G65" i="1" s="1"/>
  <c r="F65" i="1" s="1"/>
  <c r="I64" i="1"/>
  <c r="I58" i="1" s="1"/>
  <c r="H90" i="1"/>
  <c r="H88" i="1"/>
  <c r="G88" i="1" s="1"/>
  <c r="F88" i="1" s="1"/>
  <c r="E88" i="1" s="1"/>
  <c r="H87" i="1"/>
  <c r="G87" i="1" s="1"/>
  <c r="F87" i="1" s="1"/>
  <c r="E87" i="1" s="1"/>
  <c r="H82" i="1"/>
  <c r="H74" i="1"/>
  <c r="G74" i="1" s="1"/>
  <c r="F74" i="1" s="1"/>
  <c r="E74" i="1" s="1"/>
  <c r="H66" i="1"/>
  <c r="G66" i="1" s="1"/>
  <c r="F66" i="1" s="1"/>
  <c r="E66" i="1" s="1"/>
  <c r="H64" i="1"/>
  <c r="G64" i="1" s="1"/>
  <c r="G90" i="1"/>
  <c r="F90" i="1" s="1"/>
  <c r="E90" i="1" s="1"/>
  <c r="G82" i="1"/>
  <c r="F82" i="1" s="1"/>
  <c r="E82" i="1" s="1"/>
  <c r="F64" i="1" l="1"/>
  <c r="G58" i="1"/>
  <c r="H58" i="1"/>
  <c r="E6" i="1"/>
  <c r="E65" i="1"/>
  <c r="D16" i="1"/>
  <c r="D20" i="1"/>
  <c r="E64" i="1" l="1"/>
  <c r="E58" i="1" s="1"/>
  <c r="F58" i="1"/>
  <c r="I117" i="1"/>
  <c r="H117" i="1"/>
  <c r="G117" i="1"/>
  <c r="F117" i="1"/>
  <c r="D117" i="1" s="1"/>
  <c r="D19" i="1"/>
  <c r="D18" i="1" s="1"/>
  <c r="D15" i="1"/>
  <c r="D14" i="1" s="1"/>
  <c r="D11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4" i="1"/>
  <c r="D33" i="1"/>
  <c r="D32" i="1"/>
  <c r="D31" i="1"/>
  <c r="D30" i="1"/>
  <c r="D29" i="1"/>
  <c r="D28" i="1"/>
  <c r="D27" i="1"/>
  <c r="D113" i="1"/>
  <c r="D114" i="1"/>
  <c r="D115" i="1"/>
  <c r="D112" i="1"/>
  <c r="D110" i="1" s="1"/>
  <c r="D106" i="1"/>
  <c r="D104" i="1" s="1"/>
  <c r="D107" i="1"/>
  <c r="D99" i="1"/>
  <c r="D100" i="1"/>
  <c r="D101" i="1"/>
  <c r="D98" i="1"/>
  <c r="D96" i="1" s="1"/>
  <c r="J55" i="2"/>
  <c r="K55" i="2" s="1"/>
  <c r="I55" i="2"/>
  <c r="H55" i="2"/>
  <c r="G55" i="2"/>
  <c r="F55" i="2"/>
  <c r="E55" i="2"/>
  <c r="O34" i="2"/>
  <c r="K34" i="2"/>
  <c r="K33" i="2"/>
  <c r="Q34" i="2"/>
  <c r="P33" i="2"/>
  <c r="O33" i="2"/>
  <c r="N34" i="2"/>
  <c r="M33" i="2"/>
  <c r="L33" i="2"/>
  <c r="J31" i="2"/>
  <c r="I31" i="2"/>
  <c r="H31" i="2"/>
  <c r="G31" i="2"/>
  <c r="F31" i="2"/>
  <c r="E31" i="2"/>
  <c r="K8" i="2"/>
  <c r="K7" i="2"/>
  <c r="L8" i="2"/>
  <c r="J5" i="2"/>
  <c r="I5" i="2"/>
  <c r="H5" i="2"/>
  <c r="G5" i="2"/>
  <c r="F5" i="2"/>
  <c r="E5" i="2"/>
  <c r="AB22" i="3"/>
  <c r="AF22" i="3" s="1"/>
  <c r="AB21" i="3"/>
  <c r="AF21" i="3" s="1"/>
  <c r="AC20" i="3"/>
  <c r="AD20" i="3" s="1"/>
  <c r="J19" i="3"/>
  <c r="K19" i="3" s="1"/>
  <c r="L19" i="3" s="1"/>
  <c r="I19" i="3"/>
  <c r="H19" i="3"/>
  <c r="G19" i="3"/>
  <c r="F19" i="3"/>
  <c r="E19" i="3"/>
  <c r="AB10" i="3"/>
  <c r="AA10" i="3"/>
  <c r="T10" i="3"/>
  <c r="O10" i="3"/>
  <c r="M10" i="3"/>
  <c r="U10" i="3"/>
  <c r="J10" i="3"/>
  <c r="I10" i="3"/>
  <c r="G10" i="3"/>
  <c r="F10" i="3"/>
  <c r="D10" i="3"/>
  <c r="C10" i="3"/>
  <c r="U9" i="3"/>
  <c r="T9" i="3"/>
  <c r="S9" i="3"/>
  <c r="Q9" i="3"/>
  <c r="P9" i="3"/>
  <c r="N9" i="3"/>
  <c r="M9" i="3"/>
  <c r="K9" i="3"/>
  <c r="W9" i="3" s="1"/>
  <c r="H9" i="3"/>
  <c r="D9" i="3"/>
  <c r="V9" i="3" s="1"/>
  <c r="W8" i="3"/>
  <c r="V8" i="3"/>
  <c r="U8" i="3"/>
  <c r="T8" i="3"/>
  <c r="Q8" i="3"/>
  <c r="N8" i="3"/>
  <c r="K8" i="3"/>
  <c r="H8" i="3"/>
  <c r="V7" i="3"/>
  <c r="U7" i="3"/>
  <c r="T7" i="3"/>
  <c r="S7" i="3"/>
  <c r="Q7" i="3"/>
  <c r="P7" i="3"/>
  <c r="N7" i="3"/>
  <c r="M7" i="3"/>
  <c r="K7" i="3"/>
  <c r="H7" i="3"/>
  <c r="W7" i="3" s="1"/>
  <c r="D7" i="3"/>
  <c r="U6" i="3"/>
  <c r="T6" i="3"/>
  <c r="S6" i="3"/>
  <c r="Q6" i="3"/>
  <c r="Q10" i="3" s="1"/>
  <c r="P6" i="3"/>
  <c r="V6" i="3" s="1"/>
  <c r="N6" i="3"/>
  <c r="N10" i="3" s="1"/>
  <c r="K6" i="3"/>
  <c r="K10" i="3" s="1"/>
  <c r="H6" i="3"/>
  <c r="W6" i="3" s="1"/>
  <c r="D6" i="3"/>
  <c r="W5" i="3"/>
  <c r="D26" i="1" l="1"/>
  <c r="D25" i="1" s="1"/>
  <c r="D58" i="1"/>
  <c r="D37" i="1"/>
  <c r="L34" i="2"/>
  <c r="N33" i="2"/>
  <c r="L55" i="2"/>
  <c r="L56" i="2"/>
  <c r="L7" i="2"/>
  <c r="Q33" i="2"/>
  <c r="M34" i="2"/>
  <c r="P34" i="2"/>
  <c r="V10" i="3"/>
  <c r="AD21" i="3"/>
  <c r="AD22" i="3"/>
  <c r="AB23" i="3"/>
  <c r="H10" i="3"/>
  <c r="W10" i="3" s="1"/>
  <c r="P10" i="3"/>
  <c r="D95" i="1" l="1"/>
  <c r="M57" i="2"/>
  <c r="M7" i="2" s="1"/>
  <c r="M58" i="2"/>
  <c r="M8" i="2" s="1"/>
  <c r="M21" i="3"/>
  <c r="AF23" i="3"/>
  <c r="AB24" i="3"/>
  <c r="AD23" i="3"/>
  <c r="N57" i="2" l="1"/>
  <c r="N7" i="2" s="1"/>
  <c r="N58" i="2"/>
  <c r="N8" i="2" s="1"/>
  <c r="M25" i="3"/>
  <c r="M23" i="3"/>
  <c r="N21" i="3"/>
  <c r="AF24" i="3"/>
  <c r="AB25" i="3"/>
  <c r="AD24" i="3"/>
  <c r="H7" i="1"/>
  <c r="F7" i="1"/>
  <c r="G7" i="1"/>
  <c r="E9" i="1"/>
  <c r="I10" i="1"/>
  <c r="H10" i="1"/>
  <c r="H4" i="1" s="1"/>
  <c r="G10" i="1"/>
  <c r="G4" i="1" s="1"/>
  <c r="F10" i="1"/>
  <c r="F4" i="1" s="1"/>
  <c r="D10" i="1"/>
  <c r="E10" i="1"/>
  <c r="E4" i="1" s="1"/>
  <c r="E2" i="1" s="1"/>
  <c r="H9" i="1" l="1"/>
  <c r="D9" i="1"/>
  <c r="I9" i="1"/>
  <c r="G9" i="1"/>
  <c r="F9" i="1"/>
  <c r="D7" i="1"/>
  <c r="O58" i="2"/>
  <c r="O8" i="2" s="1"/>
  <c r="O57" i="2"/>
  <c r="O7" i="2" s="1"/>
  <c r="N25" i="3"/>
  <c r="O21" i="3"/>
  <c r="N23" i="3"/>
  <c r="AB26" i="3"/>
  <c r="AF25" i="3"/>
  <c r="AD25" i="3"/>
  <c r="E25" i="1"/>
  <c r="G25" i="1" l="1"/>
  <c r="G95" i="1" s="1"/>
  <c r="H25" i="1"/>
  <c r="H95" i="1" s="1"/>
  <c r="F25" i="1"/>
  <c r="F6" i="1" s="1"/>
  <c r="I25" i="1"/>
  <c r="I6" i="1" s="1"/>
  <c r="E95" i="1"/>
  <c r="H5" i="1"/>
  <c r="D4" i="1"/>
  <c r="P57" i="2"/>
  <c r="P7" i="2" s="1"/>
  <c r="P58" i="2"/>
  <c r="P8" i="2" s="1"/>
  <c r="AB27" i="3"/>
  <c r="AF27" i="3" s="1"/>
  <c r="AF26" i="3"/>
  <c r="AD26" i="3"/>
  <c r="O25" i="3"/>
  <c r="O23" i="3"/>
  <c r="P21" i="3"/>
  <c r="F5" i="1"/>
  <c r="I5" i="1"/>
  <c r="G6" i="1"/>
  <c r="G5" i="1"/>
  <c r="I2" i="1" l="1"/>
  <c r="G2" i="1"/>
  <c r="F2" i="1"/>
  <c r="H6" i="1"/>
  <c r="D6" i="1" s="1"/>
  <c r="I95" i="1"/>
  <c r="F95" i="1"/>
  <c r="D5" i="1"/>
  <c r="Q58" i="2"/>
  <c r="Q8" i="2" s="1"/>
  <c r="Q57" i="2"/>
  <c r="Q7" i="2" s="1"/>
  <c r="P25" i="3"/>
  <c r="P23" i="3"/>
  <c r="Q21" i="3"/>
  <c r="H2" i="1" l="1"/>
  <c r="D2" i="1"/>
  <c r="Q23" i="3"/>
  <c r="Q25" i="3"/>
</calcChain>
</file>

<file path=xl/sharedStrings.xml><?xml version="1.0" encoding="utf-8"?>
<sst xmlns="http://schemas.openxmlformats.org/spreadsheetml/2006/main" count="309" uniqueCount="168">
  <si>
    <t>Description</t>
  </si>
  <si>
    <t>District</t>
  </si>
  <si>
    <t>2024</t>
  </si>
  <si>
    <t>2025</t>
  </si>
  <si>
    <t>2026</t>
  </si>
  <si>
    <t>2027</t>
  </si>
  <si>
    <t>2028</t>
  </si>
  <si>
    <t>Total DRR Projects</t>
  </si>
  <si>
    <t>Total</t>
  </si>
  <si>
    <t>Total Spend</t>
  </si>
  <si>
    <t>Minutes Saved</t>
  </si>
  <si>
    <t>Projected Bandwidth</t>
  </si>
  <si>
    <t>DACR Projects and Recloser Modernization</t>
  </si>
  <si>
    <t>$2.95M/Min</t>
  </si>
  <si>
    <t>Grays Br.-Increase Bank Size to 20MVA (2) Breakers</t>
  </si>
  <si>
    <t>Ashland</t>
  </si>
  <si>
    <t xml:space="preserve">Ramey Sta. - Relieve loading Howard Collins\ Mobile Issue </t>
  </si>
  <si>
    <t>Ramey Sta. - D line Exits</t>
  </si>
  <si>
    <t>Talcum - Land</t>
  </si>
  <si>
    <t>Hazard</t>
  </si>
  <si>
    <t>Talcum - New Station</t>
  </si>
  <si>
    <t>Talcum - Dline 12m 34.5kV Conversion for ties to Beckham Hindman and Haddix Troublesome Cr.</t>
  </si>
  <si>
    <t>Dorton 34kV Distribution Bank</t>
  </si>
  <si>
    <t>Pikeville</t>
  </si>
  <si>
    <t>Dorton 34kV to Elwood (Future Myra) 18kFT Rebuild</t>
  </si>
  <si>
    <t>Stone 12kV Distribution Bank with 3-12kV CBs and Circuit Ties</t>
  </si>
  <si>
    <t>Tom Watkins - purchase addl property</t>
  </si>
  <si>
    <t>DACR - Ashland</t>
  </si>
  <si>
    <t>Hayward - Lawton</t>
  </si>
  <si>
    <t>OliveHill - Globe</t>
  </si>
  <si>
    <t>Princess - US Cannonsburg</t>
  </si>
  <si>
    <t>Hitchins - Denton</t>
  </si>
  <si>
    <t>Hitchins - Grayson</t>
  </si>
  <si>
    <t>Hitchins - EK Road</t>
  </si>
  <si>
    <t>Grayson - Landsdown</t>
  </si>
  <si>
    <t>Grayson - Dixie Park</t>
  </si>
  <si>
    <t>DACR - Hazard</t>
  </si>
  <si>
    <t>BECKHAM - CARR CREEK</t>
  </si>
  <si>
    <t>VICCO - REDFOX</t>
  </si>
  <si>
    <t>SOFT SHELL - VEST</t>
  </si>
  <si>
    <t>SOFT SHELL - LEBURN</t>
  </si>
  <si>
    <t>COLLIER - UPPER ROCKHOUSE</t>
  </si>
  <si>
    <t>COLLIER - LOWER ROCKHOUSE</t>
  </si>
  <si>
    <t>REEDY - DEANE</t>
  </si>
  <si>
    <t>BECKHAM - HINDMAN</t>
  </si>
  <si>
    <t>TALCUM - CIRCUIT 1</t>
  </si>
  <si>
    <t>BLUEGRASS - WALKERTOWN</t>
  </si>
  <si>
    <t>BLUEGRASS - HAZARD</t>
  </si>
  <si>
    <t>COMBS - AIRPORT GARDENS</t>
  </si>
  <si>
    <t>HAZARD - HAZARD</t>
  </si>
  <si>
    <t>BULAN - ARY-HEINER</t>
  </si>
  <si>
    <t>BULAN - AJAX-DWARF</t>
  </si>
  <si>
    <t>BULAN - LOTTS CR.</t>
  </si>
  <si>
    <t>JACKSON - S.JACKSON</t>
  </si>
  <si>
    <t>JACKSON - PANBOWL</t>
  </si>
  <si>
    <t>DACR - Pikeville</t>
  </si>
  <si>
    <t>ELWOOD -DORTON</t>
  </si>
  <si>
    <t>ELWOOD - VIRGIE - IN</t>
  </si>
  <si>
    <t>FORDSBRANCH - ROBINSON CR.</t>
  </si>
  <si>
    <t>TOMWATKIN - DISTRIBUTION</t>
  </si>
  <si>
    <t>SIDNEY - COBURN MTN.</t>
  </si>
  <si>
    <t>FALCON - FALCO OIL SPRINGS</t>
  </si>
  <si>
    <t>FALCON - BURNING FK.</t>
  </si>
  <si>
    <t>INDEX - WEST LIBERTY</t>
  </si>
  <si>
    <t>INDEX - HOSPITAL</t>
  </si>
  <si>
    <t>W.PAINTSVILLE - PAINTSVILLE</t>
  </si>
  <si>
    <t>W.PAINTSVILLE - STAFFORDSVILLE</t>
  </si>
  <si>
    <t>W.PAINTSVILLE - PLAZA</t>
  </si>
  <si>
    <t>KENWOOD</t>
  </si>
  <si>
    <t>KENWOOD - AUXIER</t>
  </si>
  <si>
    <t>KENWOOD - HAGERHILL</t>
  </si>
  <si>
    <t>MAYO TRAIL - NIPPA</t>
  </si>
  <si>
    <t>MAYO TRAIL - EUCLID</t>
  </si>
  <si>
    <t>KIMPER - GRAPEVINE</t>
  </si>
  <si>
    <t>FISHTRAP - DISTRIBUTION</t>
  </si>
  <si>
    <t>KEYSER - STONECOAL</t>
  </si>
  <si>
    <t>PIKEVILLE - CITY</t>
  </si>
  <si>
    <t>PIKEVILLE - MAIN ST.</t>
  </si>
  <si>
    <t>PIKEVILLE - CEDAR CR.</t>
  </si>
  <si>
    <t>S.PIKEVILL - PIKEVILLE</t>
  </si>
  <si>
    <t>S.PIKEVILLE - ISLAND CR.</t>
  </si>
  <si>
    <t>S.PIKEVILLE - HOSPITAL</t>
  </si>
  <si>
    <t>BELFRY - BELFRY</t>
  </si>
  <si>
    <t>BELFRY - TOLER</t>
  </si>
  <si>
    <t>NEW CAMP - SOUTH SIDE</t>
  </si>
  <si>
    <t>MCKINNEY - GIBSON</t>
  </si>
  <si>
    <t>SALISBURY - PRINTER</t>
  </si>
  <si>
    <t>ALLEN - DISTRIBUTION</t>
  </si>
  <si>
    <t>BETSYLAYNE _ TRAM</t>
  </si>
  <si>
    <t>Hayward Haldeman to Olive Hill Globe along Trumbo Rd and Hwy60</t>
  </si>
  <si>
    <t>Johns Creek - Coleman Calloway Tie</t>
  </si>
  <si>
    <t>Recloser Modernization</t>
  </si>
  <si>
    <t>5 yr Estimate</t>
  </si>
  <si>
    <t>Total 5 yr DRR</t>
  </si>
  <si>
    <t>DRR Category</t>
  </si>
  <si>
    <t>Cap Ex ($M)</t>
  </si>
  <si>
    <t>O&amp;M ($M)</t>
  </si>
  <si>
    <t>SAIDI Savings* (minutes)</t>
  </si>
  <si>
    <t>SAIDI Min Savings* (min)</t>
  </si>
  <si>
    <t>Projected $M/Min</t>
  </si>
  <si>
    <t>+ / - 5%</t>
  </si>
  <si>
    <t>Totals</t>
  </si>
  <si>
    <t>*Note - SAIDI Savings will begin the year following the Cap Ex</t>
  </si>
  <si>
    <t>Kentucky SAIDI - Historical Performance and Proposed Glidepath for Total DRR Program</t>
  </si>
  <si>
    <t>YEAR</t>
  </si>
  <si>
    <t>SPEND</t>
  </si>
  <si>
    <t>Est SAIDI Minutes Saved (@ 1min/$2.0M)</t>
  </si>
  <si>
    <t>Three Year Average</t>
  </si>
  <si>
    <t>PROJECTED SAIDI Improvements</t>
  </si>
  <si>
    <t>ESTIMATED CUSTOMERS</t>
  </si>
  <si>
    <t>Targeted CMI saved ($2.0M)</t>
  </si>
  <si>
    <t>12-'14</t>
  </si>
  <si>
    <t>13-'15</t>
  </si>
  <si>
    <t>14-'16</t>
  </si>
  <si>
    <t>15-'17</t>
  </si>
  <si>
    <t>16-'18</t>
  </si>
  <si>
    <t>17-'19</t>
  </si>
  <si>
    <t>18-'20</t>
  </si>
  <si>
    <t>19-'21</t>
  </si>
  <si>
    <t>20-'22</t>
  </si>
  <si>
    <t>21-'23</t>
  </si>
  <si>
    <t>22-'24</t>
  </si>
  <si>
    <t>23-'25</t>
  </si>
  <si>
    <t>24-'26</t>
  </si>
  <si>
    <t>25-'27</t>
  </si>
  <si>
    <t>26-'28</t>
  </si>
  <si>
    <t>27-'29</t>
  </si>
  <si>
    <t xml:space="preserve">Historical Annual SAIDI </t>
  </si>
  <si>
    <t>Total DRR Projection</t>
  </si>
  <si>
    <t xml:space="preserve">   Total DRR +5% Projection</t>
  </si>
  <si>
    <t xml:space="preserve">   Total DRR -5% Projection</t>
  </si>
  <si>
    <t xml:space="preserve">1 Minute Saved </t>
  </si>
  <si>
    <t>Historical SAIDI</t>
  </si>
  <si>
    <t>3 Year Average</t>
  </si>
  <si>
    <t>DRR Glidepath Projected</t>
  </si>
  <si>
    <t>DRR (only TOR) Glidepath Projected</t>
  </si>
  <si>
    <t>DRR no TOR</t>
  </si>
  <si>
    <t>DRR Enhanced ROW (TOR SAIDI only)</t>
  </si>
  <si>
    <t xml:space="preserve">Total DRR 5-Year Plan </t>
  </si>
  <si>
    <t>RT. 645 Station Near Lawrence Co. Martin Co. Line (2030 -2031)</t>
  </si>
  <si>
    <t>DACR/Recloser Moderization - Total</t>
  </si>
  <si>
    <t>DRR Variance Over Projected</t>
  </si>
  <si>
    <t>DRR Variance Under Projected</t>
  </si>
  <si>
    <t>DRR (only TOR) Over Projected</t>
  </si>
  <si>
    <t>DRR (only TOR) Under Projected</t>
  </si>
  <si>
    <t>DRR (no TOR) Glidepath Projected</t>
  </si>
  <si>
    <t>DRR (no TOR) Over Projection</t>
  </si>
  <si>
    <t>DRR (no TOR) Under Projected</t>
  </si>
  <si>
    <t>DRR - TOR Enhanced Widening</t>
  </si>
  <si>
    <t>Various Smaller Rural Ties</t>
  </si>
  <si>
    <t>Overview of Investment to Projected Reliability Improvement - 5 Year DRR Plan</t>
  </si>
  <si>
    <t>TOR Enhanced ROW Widening</t>
  </si>
  <si>
    <t>Additional Tie Lines</t>
  </si>
  <si>
    <t>Asset Renewal/Storm Hardening or Resiliency</t>
  </si>
  <si>
    <t xml:space="preserve"> </t>
  </si>
  <si>
    <t>Additional Tie Lines - Ashland</t>
  </si>
  <si>
    <t>Additional Tie Lines- Hazard</t>
  </si>
  <si>
    <t>Additional Tie Lines - Pikeville</t>
  </si>
  <si>
    <t>Additional New Substation Projects - Total</t>
  </si>
  <si>
    <t>Substation Projects - Ashland</t>
  </si>
  <si>
    <t>Substation Projects - Hazard</t>
  </si>
  <si>
    <t>Substation Projects - Pikeville</t>
  </si>
  <si>
    <t>Asset Renewal/Storm Hardening/Resiliency-Total</t>
  </si>
  <si>
    <t>Additional New Distribution Substation Sources</t>
  </si>
  <si>
    <t xml:space="preserve">Additional Tie Lines (List of Larger Projects)  </t>
  </si>
  <si>
    <t>Sub-total</t>
  </si>
  <si>
    <t>Subtotal</t>
  </si>
  <si>
    <t xml:space="preserve">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</si>
</sst>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_);[Red]\(&quot;$&quot;#,##0.0\)"/>
    <numFmt numFmtId="167" formatCode="&quot;$&quot;#,##0.0"/>
    <numFmt numFmtId="168" formatCode="0.000"/>
    <numFmt numFmtId="169" formatCode="0.0"/>
    <numFmt numFmtId="170" formatCode="_(* #,##0_);_(* \(#,##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1" fillId="0" borderId="0" applyFont="0" applyFill="0" applyBorder="0" applyAlignment="0" applyProtection="0"/>
  </cellStyleXfs>
  <cellXfs count="272">
    <xf numFmtId="0" fontId="0" fillId="0" borderId="0" xfId="0"/>
    <xf numFmtId="49" fontId="24" fillId="0" borderId="10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0" fillId="0" borderId="12" xfId="0" applyBorder="1"/>
    <xf numFmtId="164" fontId="24" fillId="0" borderId="16" xfId="0" applyNumberFormat="1" applyFont="1" applyBorder="1" applyAlignment="1">
      <alignment horizontal="center"/>
    </xf>
    <xf numFmtId="164" fontId="24" fillId="24" borderId="17" xfId="0" applyNumberFormat="1" applyFont="1" applyFill="1" applyBorder="1" applyAlignment="1">
      <alignment horizontal="center"/>
    </xf>
    <xf numFmtId="164" fontId="24" fillId="24" borderId="18" xfId="0" applyNumberFormat="1" applyFont="1" applyFill="1" applyBorder="1" applyAlignment="1">
      <alignment horizontal="center"/>
    </xf>
    <xf numFmtId="164" fontId="24" fillId="25" borderId="19" xfId="0" applyNumberFormat="1" applyFont="1" applyFill="1" applyBorder="1" applyAlignment="1">
      <alignment horizontal="center"/>
    </xf>
    <xf numFmtId="164" fontId="24" fillId="25" borderId="20" xfId="0" applyNumberFormat="1" applyFont="1" applyFill="1" applyBorder="1" applyAlignment="1">
      <alignment horizontal="center"/>
    </xf>
    <xf numFmtId="164" fontId="24" fillId="25" borderId="17" xfId="0" applyNumberFormat="1" applyFont="1" applyFill="1" applyBorder="1" applyAlignment="1">
      <alignment horizontal="center"/>
    </xf>
    <xf numFmtId="164" fontId="24" fillId="25" borderId="18" xfId="0" applyNumberFormat="1" applyFont="1" applyFill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25" xfId="0" applyNumberFormat="1" applyBorder="1" applyAlignment="1">
      <alignment horizontal="center"/>
    </xf>
    <xf numFmtId="0" fontId="25" fillId="0" borderId="0" xfId="0" applyFont="1"/>
    <xf numFmtId="0" fontId="0" fillId="0" borderId="26" xfId="0" applyBorder="1"/>
    <xf numFmtId="164" fontId="0" fillId="0" borderId="27" xfId="0" applyNumberFormat="1" applyBorder="1" applyAlignment="1">
      <alignment horizontal="center"/>
    </xf>
    <xf numFmtId="0" fontId="0" fillId="0" borderId="28" xfId="0" applyBorder="1"/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24" fillId="26" borderId="24" xfId="0" applyFont="1" applyFill="1" applyBorder="1" applyAlignment="1">
      <alignment wrapText="1"/>
    </xf>
    <xf numFmtId="0" fontId="24" fillId="26" borderId="41" xfId="0" applyFont="1" applyFill="1" applyBorder="1" applyAlignment="1">
      <alignment wrapText="1"/>
    </xf>
    <xf numFmtId="0" fontId="24" fillId="26" borderId="28" xfId="0" applyFont="1" applyFill="1" applyBorder="1" applyAlignment="1">
      <alignment horizontal="center" wrapText="1"/>
    </xf>
    <xf numFmtId="0" fontId="24" fillId="26" borderId="24" xfId="0" applyFont="1" applyFill="1" applyBorder="1" applyAlignment="1">
      <alignment horizontal="center" wrapText="1"/>
    </xf>
    <xf numFmtId="0" fontId="24" fillId="26" borderId="23" xfId="0" applyFont="1" applyFill="1" applyBorder="1" applyAlignment="1">
      <alignment horizontal="center" wrapText="1"/>
    </xf>
    <xf numFmtId="0" fontId="24" fillId="26" borderId="12" xfId="0" applyFont="1" applyFill="1" applyBorder="1" applyAlignment="1">
      <alignment horizontal="center" wrapText="1"/>
    </xf>
    <xf numFmtId="0" fontId="24" fillId="26" borderId="41" xfId="0" applyFont="1" applyFill="1" applyBorder="1" applyAlignment="1">
      <alignment horizontal="center" wrapText="1"/>
    </xf>
    <xf numFmtId="0" fontId="24" fillId="0" borderId="24" xfId="0" applyFont="1" applyBorder="1" applyAlignment="1">
      <alignment wrapText="1"/>
    </xf>
    <xf numFmtId="0" fontId="24" fillId="0" borderId="41" xfId="0" applyFont="1" applyBorder="1" applyAlignment="1">
      <alignment wrapText="1"/>
    </xf>
    <xf numFmtId="0" fontId="0" fillId="0" borderId="24" xfId="0" applyBorder="1"/>
    <xf numFmtId="0" fontId="0" fillId="0" borderId="23" xfId="0" applyBorder="1"/>
    <xf numFmtId="0" fontId="0" fillId="0" borderId="41" xfId="0" applyBorder="1"/>
    <xf numFmtId="0" fontId="33" fillId="28" borderId="32" xfId="0" applyFont="1" applyFill="1" applyBorder="1" applyAlignment="1">
      <alignment horizontal="center"/>
    </xf>
    <xf numFmtId="0" fontId="33" fillId="28" borderId="18" xfId="0" applyFont="1" applyFill="1" applyBorder="1" applyAlignment="1">
      <alignment horizontal="center" vertical="center"/>
    </xf>
    <xf numFmtId="0" fontId="33" fillId="28" borderId="34" xfId="0" applyFont="1" applyFill="1" applyBorder="1" applyAlignment="1">
      <alignment horizontal="center" vertical="center"/>
    </xf>
    <xf numFmtId="8" fontId="0" fillId="0" borderId="28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6" fontId="0" fillId="0" borderId="41" xfId="0" applyNumberForma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wrapText="1"/>
    </xf>
    <xf numFmtId="167" fontId="0" fillId="0" borderId="28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8" fontId="0" fillId="0" borderId="41" xfId="0" applyNumberFormat="1" applyBorder="1" applyAlignment="1">
      <alignment horizontal="center"/>
    </xf>
    <xf numFmtId="167" fontId="0" fillId="0" borderId="41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7" fontId="0" fillId="29" borderId="28" xfId="0" applyNumberFormat="1" applyFill="1" applyBorder="1" applyAlignment="1">
      <alignment horizontal="center"/>
    </xf>
    <xf numFmtId="167" fontId="0" fillId="29" borderId="24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168" fontId="0" fillId="0" borderId="37" xfId="0" applyNumberFormat="1" applyBorder="1" applyAlignment="1">
      <alignment horizontal="center"/>
    </xf>
    <xf numFmtId="167" fontId="0" fillId="0" borderId="44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7" fontId="0" fillId="0" borderId="45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7" fontId="0" fillId="0" borderId="0" xfId="0" applyNumberFormat="1"/>
    <xf numFmtId="165" fontId="0" fillId="0" borderId="0" xfId="0" applyNumberFormat="1"/>
    <xf numFmtId="0" fontId="36" fillId="0" borderId="0" xfId="0" applyFont="1"/>
    <xf numFmtId="9" fontId="0" fillId="0" borderId="0" xfId="0" applyNumberFormat="1"/>
    <xf numFmtId="164" fontId="24" fillId="24" borderId="20" xfId="0" applyNumberFormat="1" applyFont="1" applyFill="1" applyBorder="1" applyAlignment="1">
      <alignment horizontal="center"/>
    </xf>
    <xf numFmtId="164" fontId="24" fillId="31" borderId="14" xfId="0" applyNumberFormat="1" applyFont="1" applyFill="1" applyBorder="1" applyAlignment="1">
      <alignment horizontal="center"/>
    </xf>
    <xf numFmtId="0" fontId="0" fillId="0" borderId="0" xfId="0" applyFill="1" applyBorder="1"/>
    <xf numFmtId="164" fontId="0" fillId="31" borderId="18" xfId="0" applyNumberFormat="1" applyFill="1" applyBorder="1" applyAlignment="1">
      <alignment horizontal="center"/>
    </xf>
    <xf numFmtId="0" fontId="23" fillId="0" borderId="5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170" fontId="0" fillId="0" borderId="59" xfId="419" applyNumberFormat="1" applyFont="1" applyBorder="1" applyAlignment="1">
      <alignment vertical="center"/>
    </xf>
    <xf numFmtId="164" fontId="0" fillId="0" borderId="0" xfId="0" applyNumberFormat="1" applyBorder="1" applyAlignment="1">
      <alignment horizontal="center"/>
    </xf>
    <xf numFmtId="0" fontId="0" fillId="0" borderId="69" xfId="0" applyBorder="1"/>
    <xf numFmtId="164" fontId="24" fillId="31" borderId="13" xfId="0" applyNumberFormat="1" applyFont="1" applyFill="1" applyBorder="1" applyAlignment="1">
      <alignment horizontal="center"/>
    </xf>
    <xf numFmtId="164" fontId="24" fillId="24" borderId="19" xfId="0" applyNumberFormat="1" applyFont="1" applyFill="1" applyBorder="1" applyAlignment="1">
      <alignment horizontal="center"/>
    </xf>
    <xf numFmtId="164" fontId="0" fillId="0" borderId="59" xfId="0" applyNumberFormat="1" applyFont="1" applyBorder="1" applyAlignment="1">
      <alignment horizontal="center"/>
    </xf>
    <xf numFmtId="164" fontId="29" fillId="0" borderId="59" xfId="350" applyNumberFormat="1" applyFont="1" applyBorder="1" applyAlignment="1">
      <alignment horizontal="center" vertical="center"/>
    </xf>
    <xf numFmtId="164" fontId="29" fillId="0" borderId="59" xfId="349" applyNumberFormat="1" applyFont="1" applyBorder="1" applyAlignment="1">
      <alignment horizontal="center" vertical="center"/>
    </xf>
    <xf numFmtId="164" fontId="0" fillId="0" borderId="59" xfId="0" applyNumberFormat="1" applyBorder="1" applyAlignment="1">
      <alignment horizontal="center"/>
    </xf>
    <xf numFmtId="164" fontId="24" fillId="0" borderId="59" xfId="0" applyNumberFormat="1" applyFont="1" applyBorder="1" applyAlignment="1">
      <alignment horizontal="center"/>
    </xf>
    <xf numFmtId="164" fontId="0" fillId="31" borderId="17" xfId="0" applyNumberFormat="1" applyFill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6" fillId="0" borderId="69" xfId="0" applyFont="1" applyBorder="1"/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26" fillId="0" borderId="69" xfId="0" applyFont="1" applyFill="1" applyBorder="1"/>
    <xf numFmtId="0" fontId="0" fillId="0" borderId="69" xfId="0" applyFill="1" applyBorder="1"/>
    <xf numFmtId="164" fontId="0" fillId="0" borderId="0" xfId="0" applyNumberFormat="1" applyFill="1" applyBorder="1" applyAlignment="1">
      <alignment horizontal="center"/>
    </xf>
    <xf numFmtId="0" fontId="27" fillId="0" borderId="38" xfId="0" applyFont="1" applyBorder="1"/>
    <xf numFmtId="0" fontId="27" fillId="0" borderId="36" xfId="0" applyFont="1" applyBorder="1"/>
    <xf numFmtId="0" fontId="26" fillId="0" borderId="36" xfId="0" applyFont="1" applyBorder="1"/>
    <xf numFmtId="0" fontId="26" fillId="31" borderId="70" xfId="0" applyFont="1" applyFill="1" applyBorder="1"/>
    <xf numFmtId="0" fontId="25" fillId="0" borderId="71" xfId="0" applyFont="1" applyBorder="1"/>
    <xf numFmtId="0" fontId="25" fillId="0" borderId="36" xfId="0" applyFont="1" applyBorder="1"/>
    <xf numFmtId="0" fontId="0" fillId="0" borderId="36" xfId="0" applyBorder="1"/>
    <xf numFmtId="0" fontId="26" fillId="25" borderId="26" xfId="0" applyFont="1" applyFill="1" applyBorder="1"/>
    <xf numFmtId="0" fontId="0" fillId="0" borderId="71" xfId="0" applyBorder="1"/>
    <xf numFmtId="0" fontId="26" fillId="25" borderId="72" xfId="0" applyFont="1" applyFill="1" applyBorder="1"/>
    <xf numFmtId="0" fontId="30" fillId="25" borderId="72" xfId="0" applyFont="1" applyFill="1" applyBorder="1"/>
    <xf numFmtId="0" fontId="0" fillId="0" borderId="73" xfId="0" applyBorder="1" applyAlignment="1">
      <alignment horizontal="left"/>
    </xf>
    <xf numFmtId="0" fontId="0" fillId="0" borderId="36" xfId="0" applyBorder="1" applyAlignment="1">
      <alignment horizontal="left"/>
    </xf>
    <xf numFmtId="0" fontId="25" fillId="0" borderId="69" xfId="0" applyFont="1" applyBorder="1"/>
    <xf numFmtId="0" fontId="25" fillId="0" borderId="70" xfId="0" applyFont="1" applyBorder="1"/>
    <xf numFmtId="0" fontId="26" fillId="24" borderId="73" xfId="0" applyFont="1" applyFill="1" applyBorder="1"/>
    <xf numFmtId="0" fontId="25" fillId="0" borderId="36" xfId="0" applyFont="1" applyFill="1" applyBorder="1"/>
    <xf numFmtId="0" fontId="26" fillId="24" borderId="36" xfId="0" applyFont="1" applyFill="1" applyBorder="1"/>
    <xf numFmtId="0" fontId="0" fillId="0" borderId="36" xfId="0" applyFill="1" applyBorder="1"/>
    <xf numFmtId="0" fontId="24" fillId="31" borderId="28" xfId="0" applyFont="1" applyFill="1" applyBorder="1" applyAlignment="1">
      <alignment horizontal="center"/>
    </xf>
    <xf numFmtId="0" fontId="25" fillId="0" borderId="76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0" fillId="0" borderId="76" xfId="0" applyBorder="1"/>
    <xf numFmtId="0" fontId="0" fillId="0" borderId="28" xfId="0" applyBorder="1" applyAlignment="1">
      <alignment horizontal="center"/>
    </xf>
    <xf numFmtId="0" fontId="0" fillId="0" borderId="76" xfId="0" applyBorder="1" applyAlignment="1">
      <alignment horizontal="center"/>
    </xf>
    <xf numFmtId="0" fontId="25" fillId="0" borderId="78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4" fillId="31" borderId="44" xfId="0" applyFont="1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8" xfId="0" applyBorder="1"/>
    <xf numFmtId="164" fontId="0" fillId="0" borderId="20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8" fillId="33" borderId="74" xfId="0" applyFont="1" applyFill="1" applyBorder="1" applyAlignment="1">
      <alignment horizontal="center"/>
    </xf>
    <xf numFmtId="0" fontId="26" fillId="33" borderId="15" xfId="0" applyFont="1" applyFill="1" applyBorder="1"/>
    <xf numFmtId="0" fontId="26" fillId="31" borderId="72" xfId="0" applyFont="1" applyFill="1" applyBorder="1"/>
    <xf numFmtId="164" fontId="0" fillId="31" borderId="20" xfId="0" applyNumberFormat="1" applyFill="1" applyBorder="1" applyAlignment="1">
      <alignment horizontal="center"/>
    </xf>
    <xf numFmtId="164" fontId="0" fillId="31" borderId="19" xfId="0" applyNumberFormat="1" applyFill="1" applyBorder="1" applyAlignment="1">
      <alignment horizontal="center"/>
    </xf>
    <xf numFmtId="164" fontId="24" fillId="0" borderId="59" xfId="0" applyNumberFormat="1" applyFont="1" applyFill="1" applyBorder="1" applyAlignment="1">
      <alignment horizontal="center"/>
    </xf>
    <xf numFmtId="164" fontId="31" fillId="0" borderId="59" xfId="0" applyNumberFormat="1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30" fillId="32" borderId="72" xfId="0" applyFont="1" applyFill="1" applyBorder="1"/>
    <xf numFmtId="0" fontId="25" fillId="32" borderId="74" xfId="0" applyFont="1" applyFill="1" applyBorder="1" applyAlignment="1">
      <alignment horizontal="center"/>
    </xf>
    <xf numFmtId="164" fontId="0" fillId="32" borderId="18" xfId="0" applyNumberFormat="1" applyFill="1" applyBorder="1" applyAlignment="1">
      <alignment horizontal="center"/>
    </xf>
    <xf numFmtId="164" fontId="0" fillId="32" borderId="17" xfId="0" applyNumberFormat="1" applyFill="1" applyBorder="1" applyAlignment="1">
      <alignment horizontal="center"/>
    </xf>
    <xf numFmtId="0" fontId="25" fillId="0" borderId="73" xfId="0" applyFont="1" applyBorder="1" applyAlignment="1">
      <alignment wrapText="1"/>
    </xf>
    <xf numFmtId="0" fontId="0" fillId="0" borderId="73" xfId="0" applyBorder="1"/>
    <xf numFmtId="0" fontId="25" fillId="25" borderId="77" xfId="0" applyFont="1" applyFill="1" applyBorder="1"/>
    <xf numFmtId="0" fontId="25" fillId="25" borderId="74" xfId="0" applyFont="1" applyFill="1" applyBorder="1"/>
    <xf numFmtId="42" fontId="0" fillId="24" borderId="77" xfId="0" applyNumberFormat="1" applyFont="1" applyFill="1" applyBorder="1" applyAlignment="1">
      <alignment horizontal="center"/>
    </xf>
    <xf numFmtId="0" fontId="0" fillId="24" borderId="74" xfId="0" applyFont="1" applyFill="1" applyBorder="1" applyAlignment="1">
      <alignment horizontal="center"/>
    </xf>
    <xf numFmtId="164" fontId="28" fillId="31" borderId="59" xfId="0" applyNumberFormat="1" applyFont="1" applyFill="1" applyBorder="1" applyAlignment="1">
      <alignment horizontal="center"/>
    </xf>
    <xf numFmtId="164" fontId="28" fillId="31" borderId="23" xfId="0" applyNumberFormat="1" applyFont="1" applyFill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79" xfId="0" applyNumberFormat="1" applyFont="1" applyBorder="1" applyAlignment="1">
      <alignment horizontal="center"/>
    </xf>
    <xf numFmtId="0" fontId="26" fillId="0" borderId="0" xfId="0" applyFont="1" applyFill="1" applyBorder="1"/>
    <xf numFmtId="0" fontId="25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28" fillId="31" borderId="44" xfId="0" applyFont="1" applyFill="1" applyBorder="1" applyAlignment="1">
      <alignment horizontal="center"/>
    </xf>
    <xf numFmtId="0" fontId="24" fillId="31" borderId="74" xfId="0" applyFont="1" applyFill="1" applyBorder="1" applyAlignment="1">
      <alignment horizontal="center"/>
    </xf>
    <xf numFmtId="164" fontId="24" fillId="33" borderId="18" xfId="0" applyNumberFormat="1" applyFont="1" applyFill="1" applyBorder="1" applyAlignment="1">
      <alignment horizontal="center"/>
    </xf>
    <xf numFmtId="164" fontId="24" fillId="33" borderId="17" xfId="0" applyNumberFormat="1" applyFont="1" applyFill="1" applyBorder="1" applyAlignment="1">
      <alignment horizontal="center"/>
    </xf>
    <xf numFmtId="164" fontId="0" fillId="0" borderId="80" xfId="0" applyNumberFormat="1" applyBorder="1" applyAlignment="1">
      <alignment horizontal="center"/>
    </xf>
    <xf numFmtId="164" fontId="0" fillId="0" borderId="81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79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26" fillId="0" borderId="5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53" xfId="0" quotePrefix="1" applyFont="1" applyBorder="1" applyAlignment="1">
      <alignment horizontal="center"/>
    </xf>
    <xf numFmtId="0" fontId="26" fillId="0" borderId="34" xfId="0" quotePrefix="1" applyFont="1" applyBorder="1" applyAlignment="1">
      <alignment horizontal="center"/>
    </xf>
    <xf numFmtId="0" fontId="26" fillId="0" borderId="54" xfId="0" applyFont="1" applyBorder="1" applyAlignment="1">
      <alignment vertical="center"/>
    </xf>
    <xf numFmtId="1" fontId="38" fillId="0" borderId="0" xfId="0" applyNumberFormat="1" applyFont="1" applyAlignment="1">
      <alignment horizontal="center" vertical="center"/>
    </xf>
    <xf numFmtId="1" fontId="38" fillId="29" borderId="0" xfId="0" applyNumberFormat="1" applyFont="1" applyFill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51" xfId="0" applyFont="1" applyBorder="1" applyAlignment="1">
      <alignment vertical="center"/>
    </xf>
    <xf numFmtId="0" fontId="26" fillId="0" borderId="54" xfId="0" applyFont="1" applyBorder="1"/>
    <xf numFmtId="1" fontId="38" fillId="0" borderId="0" xfId="0" applyNumberFormat="1" applyFont="1"/>
    <xf numFmtId="1" fontId="38" fillId="0" borderId="0" xfId="0" applyNumberFormat="1" applyFont="1" applyAlignment="1">
      <alignment horizontal="center"/>
    </xf>
    <xf numFmtId="0" fontId="38" fillId="0" borderId="0" xfId="0" applyFont="1"/>
    <xf numFmtId="0" fontId="38" fillId="0" borderId="51" xfId="0" applyFont="1" applyBorder="1"/>
    <xf numFmtId="0" fontId="38" fillId="0" borderId="54" xfId="0" applyFont="1" applyBorder="1"/>
    <xf numFmtId="0" fontId="38" fillId="0" borderId="54" xfId="0" applyFont="1" applyBorder="1" applyAlignment="1">
      <alignment horizontal="left" indent="1"/>
    </xf>
    <xf numFmtId="1" fontId="38" fillId="0" borderId="51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5" xfId="0" applyFont="1" applyBorder="1"/>
    <xf numFmtId="0" fontId="38" fillId="0" borderId="56" xfId="0" applyFont="1" applyBorder="1"/>
    <xf numFmtId="1" fontId="38" fillId="0" borderId="56" xfId="0" applyNumberFormat="1" applyFont="1" applyBorder="1" applyAlignment="1">
      <alignment horizontal="center" vertical="center"/>
    </xf>
    <xf numFmtId="1" fontId="38" fillId="0" borderId="57" xfId="0" applyNumberFormat="1" applyFont="1" applyBorder="1" applyAlignment="1">
      <alignment horizontal="center" vertical="center"/>
    </xf>
    <xf numFmtId="0" fontId="26" fillId="0" borderId="38" xfId="0" applyFont="1" applyBorder="1"/>
    <xf numFmtId="6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8" fontId="35" fillId="0" borderId="11" xfId="0" applyNumberFormat="1" applyFont="1" applyBorder="1" applyAlignment="1">
      <alignment horizontal="center" vertical="center"/>
    </xf>
    <xf numFmtId="49" fontId="35" fillId="0" borderId="84" xfId="0" applyNumberFormat="1" applyFont="1" applyBorder="1" applyAlignment="1">
      <alignment horizontal="center" vertical="center"/>
    </xf>
    <xf numFmtId="6" fontId="35" fillId="0" borderId="79" xfId="0" applyNumberFormat="1" applyFont="1" applyBorder="1" applyAlignment="1">
      <alignment horizontal="center" vertical="center"/>
    </xf>
    <xf numFmtId="6" fontId="35" fillId="0" borderId="16" xfId="0" applyNumberFormat="1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8" fontId="35" fillId="0" borderId="16" xfId="0" applyNumberFormat="1" applyFont="1" applyBorder="1" applyAlignment="1">
      <alignment horizontal="center" vertical="center"/>
    </xf>
    <xf numFmtId="8" fontId="35" fillId="0" borderId="79" xfId="0" applyNumberFormat="1" applyFont="1" applyBorder="1" applyAlignment="1">
      <alignment horizontal="center" vertical="center"/>
    </xf>
    <xf numFmtId="49" fontId="35" fillId="0" borderId="60" xfId="0" applyNumberFormat="1" applyFont="1" applyBorder="1" applyAlignment="1">
      <alignment horizontal="center" vertical="center"/>
    </xf>
    <xf numFmtId="49" fontId="35" fillId="0" borderId="65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169" fontId="0" fillId="0" borderId="16" xfId="0" applyNumberFormat="1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169" fontId="0" fillId="0" borderId="59" xfId="0" applyNumberFormat="1" applyFont="1" applyBorder="1" applyAlignment="1">
      <alignment horizontal="center" vertical="center" wrapText="1"/>
    </xf>
    <xf numFmtId="2" fontId="0" fillId="0" borderId="59" xfId="0" applyNumberFormat="1" applyFont="1" applyBorder="1"/>
    <xf numFmtId="169" fontId="0" fillId="0" borderId="5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3" fontId="0" fillId="0" borderId="60" xfId="0" applyNumberFormat="1" applyFont="1" applyBorder="1" applyAlignment="1">
      <alignment vertical="center"/>
    </xf>
    <xf numFmtId="8" fontId="0" fillId="0" borderId="59" xfId="0" applyNumberFormat="1" applyFont="1" applyBorder="1"/>
    <xf numFmtId="0" fontId="0" fillId="0" borderId="58" xfId="0" applyFont="1" applyBorder="1"/>
    <xf numFmtId="0" fontId="0" fillId="0" borderId="59" xfId="0" applyFont="1" applyBorder="1"/>
    <xf numFmtId="0" fontId="0" fillId="0" borderId="61" xfId="0" applyFont="1" applyBorder="1" applyAlignment="1">
      <alignment horizontal="right"/>
    </xf>
    <xf numFmtId="8" fontId="0" fillId="0" borderId="62" xfId="0" applyNumberFormat="1" applyFont="1" applyBorder="1"/>
    <xf numFmtId="0" fontId="0" fillId="0" borderId="62" xfId="0" applyFont="1" applyBorder="1"/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8" fontId="0" fillId="0" borderId="59" xfId="0" applyNumberFormat="1" applyFont="1" applyFill="1" applyBorder="1"/>
    <xf numFmtId="2" fontId="0" fillId="0" borderId="59" xfId="0" applyNumberFormat="1" applyFont="1" applyFill="1" applyBorder="1"/>
    <xf numFmtId="169" fontId="0" fillId="0" borderId="59" xfId="0" applyNumberFormat="1" applyFont="1" applyFill="1" applyBorder="1" applyAlignment="1">
      <alignment horizontal="center"/>
    </xf>
    <xf numFmtId="2" fontId="0" fillId="0" borderId="5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41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1" fontId="25" fillId="0" borderId="0" xfId="0" applyNumberFormat="1" applyFont="1"/>
    <xf numFmtId="0" fontId="25" fillId="0" borderId="0" xfId="0" applyFont="1" applyFill="1" applyAlignment="1">
      <alignment horizontal="right"/>
    </xf>
    <xf numFmtId="9" fontId="25" fillId="0" borderId="0" xfId="0" applyNumberFormat="1" applyFont="1"/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24" fillId="27" borderId="38" xfId="0" applyFont="1" applyFill="1" applyBorder="1" applyAlignment="1">
      <alignment horizontal="center"/>
    </xf>
    <xf numFmtId="0" fontId="24" fillId="27" borderId="39" xfId="0" applyFont="1" applyFill="1" applyBorder="1" applyAlignment="1">
      <alignment horizontal="center"/>
    </xf>
    <xf numFmtId="0" fontId="24" fillId="27" borderId="40" xfId="0" applyFont="1" applyFill="1" applyBorder="1" applyAlignment="1">
      <alignment horizontal="center"/>
    </xf>
    <xf numFmtId="0" fontId="32" fillId="28" borderId="72" xfId="0" applyFont="1" applyFill="1" applyBorder="1" applyAlignment="1">
      <alignment horizontal="center" vertical="center"/>
    </xf>
    <xf numFmtId="0" fontId="32" fillId="28" borderId="53" xfId="0" applyFont="1" applyFill="1" applyBorder="1" applyAlignment="1">
      <alignment horizontal="center" vertical="center"/>
    </xf>
    <xf numFmtId="0" fontId="32" fillId="28" borderId="85" xfId="0" applyFont="1" applyFill="1" applyBorder="1" applyAlignment="1">
      <alignment horizontal="center" vertical="center"/>
    </xf>
    <xf numFmtId="0" fontId="34" fillId="30" borderId="82" xfId="0" applyFont="1" applyFill="1" applyBorder="1" applyAlignment="1">
      <alignment horizontal="center" vertical="center"/>
    </xf>
    <xf numFmtId="0" fontId="34" fillId="30" borderId="46" xfId="0" applyFont="1" applyFill="1" applyBorder="1" applyAlignment="1">
      <alignment horizontal="center" vertical="center"/>
    </xf>
    <xf numFmtId="6" fontId="34" fillId="30" borderId="29" xfId="0" applyNumberFormat="1" applyFont="1" applyFill="1" applyBorder="1" applyAlignment="1">
      <alignment horizontal="center" vertical="center"/>
    </xf>
    <xf numFmtId="6" fontId="34" fillId="30" borderId="47" xfId="0" applyNumberFormat="1" applyFont="1" applyFill="1" applyBorder="1" applyAlignment="1">
      <alignment horizontal="center" vertical="center"/>
    </xf>
    <xf numFmtId="0" fontId="34" fillId="30" borderId="29" xfId="0" applyFont="1" applyFill="1" applyBorder="1" applyAlignment="1">
      <alignment horizontal="center" vertical="center"/>
    </xf>
    <xf numFmtId="0" fontId="34" fillId="30" borderId="47" xfId="0" applyFont="1" applyFill="1" applyBorder="1" applyAlignment="1">
      <alignment horizontal="center" vertical="center"/>
    </xf>
    <xf numFmtId="0" fontId="35" fillId="30" borderId="83" xfId="0" applyFont="1" applyFill="1" applyBorder="1" applyAlignment="1">
      <alignment horizontal="center"/>
    </xf>
    <xf numFmtId="0" fontId="35" fillId="30" borderId="48" xfId="0" applyFont="1" applyFill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7" fillId="0" borderId="66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</cellXfs>
  <cellStyles count="420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3" xfId="4" xr:uid="{00000000-0005-0000-0000-000003000000}"/>
    <cellStyle name="20% - Accent1 3" xfId="5" xr:uid="{00000000-0005-0000-0000-000004000000}"/>
    <cellStyle name="20% - Accent1 3 2" xfId="6" xr:uid="{00000000-0005-0000-0000-000005000000}"/>
    <cellStyle name="20% - Accent1 3 2 2" xfId="7" xr:uid="{00000000-0005-0000-0000-000006000000}"/>
    <cellStyle name="20% - Accent1 3 3" xfId="8" xr:uid="{00000000-0005-0000-0000-000007000000}"/>
    <cellStyle name="20% - Accent1 4" xfId="9" xr:uid="{00000000-0005-0000-0000-000008000000}"/>
    <cellStyle name="20% - Accent2 2" xfId="10" xr:uid="{00000000-0005-0000-0000-000009000000}"/>
    <cellStyle name="20% - Accent2 2 2" xfId="11" xr:uid="{00000000-0005-0000-0000-00000A000000}"/>
    <cellStyle name="20% - Accent2 2 2 2" xfId="12" xr:uid="{00000000-0005-0000-0000-00000B000000}"/>
    <cellStyle name="20% - Accent2 2 3" xfId="13" xr:uid="{00000000-0005-0000-0000-00000C000000}"/>
    <cellStyle name="20% - Accent2 3" xfId="14" xr:uid="{00000000-0005-0000-0000-00000D000000}"/>
    <cellStyle name="20% - Accent2 3 2" xfId="15" xr:uid="{00000000-0005-0000-0000-00000E000000}"/>
    <cellStyle name="20% - Accent2 3 2 2" xfId="16" xr:uid="{00000000-0005-0000-0000-00000F000000}"/>
    <cellStyle name="20% - Accent2 3 3" xfId="17" xr:uid="{00000000-0005-0000-0000-000010000000}"/>
    <cellStyle name="20% - Accent2 4" xfId="18" xr:uid="{00000000-0005-0000-0000-000011000000}"/>
    <cellStyle name="20% - Accent3 2" xfId="19" xr:uid="{00000000-0005-0000-0000-000012000000}"/>
    <cellStyle name="20% - Accent3 2 2" xfId="20" xr:uid="{00000000-0005-0000-0000-000013000000}"/>
    <cellStyle name="20% - Accent3 2 2 2" xfId="21" xr:uid="{00000000-0005-0000-0000-000014000000}"/>
    <cellStyle name="20% - Accent3 2 3" xfId="22" xr:uid="{00000000-0005-0000-0000-000015000000}"/>
    <cellStyle name="20% - Accent3 3" xfId="23" xr:uid="{00000000-0005-0000-0000-000016000000}"/>
    <cellStyle name="20% - Accent3 3 2" xfId="24" xr:uid="{00000000-0005-0000-0000-000017000000}"/>
    <cellStyle name="20% - Accent3 3 2 2" xfId="25" xr:uid="{00000000-0005-0000-0000-000018000000}"/>
    <cellStyle name="20% - Accent3 3 3" xfId="26" xr:uid="{00000000-0005-0000-0000-000019000000}"/>
    <cellStyle name="20% - Accent3 4" xfId="27" xr:uid="{00000000-0005-0000-0000-00001A000000}"/>
    <cellStyle name="20% - Accent4 2" xfId="28" xr:uid="{00000000-0005-0000-0000-00001B000000}"/>
    <cellStyle name="20% - Accent4 2 2" xfId="29" xr:uid="{00000000-0005-0000-0000-00001C000000}"/>
    <cellStyle name="20% - Accent4 2 2 2" xfId="30" xr:uid="{00000000-0005-0000-0000-00001D000000}"/>
    <cellStyle name="20% - Accent4 2 3" xfId="31" xr:uid="{00000000-0005-0000-0000-00001E000000}"/>
    <cellStyle name="20% - Accent4 3" xfId="32" xr:uid="{00000000-0005-0000-0000-00001F000000}"/>
    <cellStyle name="20% - Accent4 3 2" xfId="33" xr:uid="{00000000-0005-0000-0000-000020000000}"/>
    <cellStyle name="20% - Accent4 3 2 2" xfId="34" xr:uid="{00000000-0005-0000-0000-000021000000}"/>
    <cellStyle name="20% - Accent4 3 3" xfId="35" xr:uid="{00000000-0005-0000-0000-000022000000}"/>
    <cellStyle name="20% - Accent4 4" xfId="36" xr:uid="{00000000-0005-0000-0000-000023000000}"/>
    <cellStyle name="20% - Accent5 2" xfId="37" xr:uid="{00000000-0005-0000-0000-000024000000}"/>
    <cellStyle name="20% - Accent5 2 2" xfId="38" xr:uid="{00000000-0005-0000-0000-000025000000}"/>
    <cellStyle name="20% - Accent5 2 2 2" xfId="39" xr:uid="{00000000-0005-0000-0000-000026000000}"/>
    <cellStyle name="20% - Accent5 2 3" xfId="40" xr:uid="{00000000-0005-0000-0000-000027000000}"/>
    <cellStyle name="20% - Accent5 3" xfId="41" xr:uid="{00000000-0005-0000-0000-000028000000}"/>
    <cellStyle name="20% - Accent5 3 2" xfId="42" xr:uid="{00000000-0005-0000-0000-000029000000}"/>
    <cellStyle name="20% - Accent5 3 2 2" xfId="43" xr:uid="{00000000-0005-0000-0000-00002A000000}"/>
    <cellStyle name="20% - Accent5 3 3" xfId="44" xr:uid="{00000000-0005-0000-0000-00002B000000}"/>
    <cellStyle name="20% - Accent5 4" xfId="45" xr:uid="{00000000-0005-0000-0000-00002C000000}"/>
    <cellStyle name="20% - Accent6 2" xfId="46" xr:uid="{00000000-0005-0000-0000-00002D000000}"/>
    <cellStyle name="20% - Accent6 2 2" xfId="47" xr:uid="{00000000-0005-0000-0000-00002E000000}"/>
    <cellStyle name="20% - Accent6 2 2 2" xfId="48" xr:uid="{00000000-0005-0000-0000-00002F000000}"/>
    <cellStyle name="20% - Accent6 2 3" xfId="49" xr:uid="{00000000-0005-0000-0000-000030000000}"/>
    <cellStyle name="20% - Accent6 3" xfId="50" xr:uid="{00000000-0005-0000-0000-000031000000}"/>
    <cellStyle name="20% - Accent6 3 2" xfId="51" xr:uid="{00000000-0005-0000-0000-000032000000}"/>
    <cellStyle name="20% - Accent6 3 2 2" xfId="52" xr:uid="{00000000-0005-0000-0000-000033000000}"/>
    <cellStyle name="20% - Accent6 3 3" xfId="53" xr:uid="{00000000-0005-0000-0000-000034000000}"/>
    <cellStyle name="20% - Accent6 4" xfId="54" xr:uid="{00000000-0005-0000-0000-000035000000}"/>
    <cellStyle name="40% - Accent1 2" xfId="55" xr:uid="{00000000-0005-0000-0000-000036000000}"/>
    <cellStyle name="40% - Accent1 2 2" xfId="56" xr:uid="{00000000-0005-0000-0000-000037000000}"/>
    <cellStyle name="40% - Accent1 2 2 2" xfId="57" xr:uid="{00000000-0005-0000-0000-000038000000}"/>
    <cellStyle name="40% - Accent1 2 3" xfId="58" xr:uid="{00000000-0005-0000-0000-000039000000}"/>
    <cellStyle name="40% - Accent1 3" xfId="59" xr:uid="{00000000-0005-0000-0000-00003A000000}"/>
    <cellStyle name="40% - Accent1 3 2" xfId="60" xr:uid="{00000000-0005-0000-0000-00003B000000}"/>
    <cellStyle name="40% - Accent1 3 2 2" xfId="61" xr:uid="{00000000-0005-0000-0000-00003C000000}"/>
    <cellStyle name="40% - Accent1 3 3" xfId="62" xr:uid="{00000000-0005-0000-0000-00003D000000}"/>
    <cellStyle name="40% - Accent1 4" xfId="63" xr:uid="{00000000-0005-0000-0000-00003E000000}"/>
    <cellStyle name="40% - Accent2 2" xfId="64" xr:uid="{00000000-0005-0000-0000-00003F000000}"/>
    <cellStyle name="40% - Accent2 2 2" xfId="65" xr:uid="{00000000-0005-0000-0000-000040000000}"/>
    <cellStyle name="40% - Accent2 2 2 2" xfId="66" xr:uid="{00000000-0005-0000-0000-000041000000}"/>
    <cellStyle name="40% - Accent2 2 3" xfId="67" xr:uid="{00000000-0005-0000-0000-000042000000}"/>
    <cellStyle name="40% - Accent2 3" xfId="68" xr:uid="{00000000-0005-0000-0000-000043000000}"/>
    <cellStyle name="40% - Accent2 3 2" xfId="69" xr:uid="{00000000-0005-0000-0000-000044000000}"/>
    <cellStyle name="40% - Accent2 3 2 2" xfId="70" xr:uid="{00000000-0005-0000-0000-000045000000}"/>
    <cellStyle name="40% - Accent2 3 3" xfId="71" xr:uid="{00000000-0005-0000-0000-000046000000}"/>
    <cellStyle name="40% - Accent2 4" xfId="72" xr:uid="{00000000-0005-0000-0000-000047000000}"/>
    <cellStyle name="40% - Accent3 2" xfId="73" xr:uid="{00000000-0005-0000-0000-000048000000}"/>
    <cellStyle name="40% - Accent3 2 2" xfId="74" xr:uid="{00000000-0005-0000-0000-000049000000}"/>
    <cellStyle name="40% - Accent3 2 2 2" xfId="75" xr:uid="{00000000-0005-0000-0000-00004A000000}"/>
    <cellStyle name="40% - Accent3 2 3" xfId="76" xr:uid="{00000000-0005-0000-0000-00004B000000}"/>
    <cellStyle name="40% - Accent3 3" xfId="77" xr:uid="{00000000-0005-0000-0000-00004C000000}"/>
    <cellStyle name="40% - Accent3 3 2" xfId="78" xr:uid="{00000000-0005-0000-0000-00004D000000}"/>
    <cellStyle name="40% - Accent3 3 2 2" xfId="79" xr:uid="{00000000-0005-0000-0000-00004E000000}"/>
    <cellStyle name="40% - Accent3 3 3" xfId="80" xr:uid="{00000000-0005-0000-0000-00004F000000}"/>
    <cellStyle name="40% - Accent3 4" xfId="81" xr:uid="{00000000-0005-0000-0000-000050000000}"/>
    <cellStyle name="40% - Accent4 2" xfId="82" xr:uid="{00000000-0005-0000-0000-000051000000}"/>
    <cellStyle name="40% - Accent4 2 2" xfId="83" xr:uid="{00000000-0005-0000-0000-000052000000}"/>
    <cellStyle name="40% - Accent4 2 2 2" xfId="84" xr:uid="{00000000-0005-0000-0000-000053000000}"/>
    <cellStyle name="40% - Accent4 2 3" xfId="85" xr:uid="{00000000-0005-0000-0000-000054000000}"/>
    <cellStyle name="40% - Accent4 3" xfId="86" xr:uid="{00000000-0005-0000-0000-000055000000}"/>
    <cellStyle name="40% - Accent4 3 2" xfId="87" xr:uid="{00000000-0005-0000-0000-000056000000}"/>
    <cellStyle name="40% - Accent4 3 2 2" xfId="88" xr:uid="{00000000-0005-0000-0000-000057000000}"/>
    <cellStyle name="40% - Accent4 3 3" xfId="89" xr:uid="{00000000-0005-0000-0000-000058000000}"/>
    <cellStyle name="40% - Accent4 4" xfId="90" xr:uid="{00000000-0005-0000-0000-000059000000}"/>
    <cellStyle name="40% - Accent5 2" xfId="91" xr:uid="{00000000-0005-0000-0000-00005A000000}"/>
    <cellStyle name="40% - Accent5 2 2" xfId="92" xr:uid="{00000000-0005-0000-0000-00005B000000}"/>
    <cellStyle name="40% - Accent5 2 2 2" xfId="93" xr:uid="{00000000-0005-0000-0000-00005C000000}"/>
    <cellStyle name="40% - Accent5 2 3" xfId="94" xr:uid="{00000000-0005-0000-0000-00005D000000}"/>
    <cellStyle name="40% - Accent5 3" xfId="95" xr:uid="{00000000-0005-0000-0000-00005E000000}"/>
    <cellStyle name="40% - Accent5 3 2" xfId="96" xr:uid="{00000000-0005-0000-0000-00005F000000}"/>
    <cellStyle name="40% - Accent5 3 2 2" xfId="97" xr:uid="{00000000-0005-0000-0000-000060000000}"/>
    <cellStyle name="40% - Accent5 3 3" xfId="98" xr:uid="{00000000-0005-0000-0000-000061000000}"/>
    <cellStyle name="40% - Accent5 4" xfId="99" xr:uid="{00000000-0005-0000-0000-000062000000}"/>
    <cellStyle name="40% - Accent6 2" xfId="100" xr:uid="{00000000-0005-0000-0000-000063000000}"/>
    <cellStyle name="40% - Accent6 2 2" xfId="101" xr:uid="{00000000-0005-0000-0000-000064000000}"/>
    <cellStyle name="40% - Accent6 2 2 2" xfId="102" xr:uid="{00000000-0005-0000-0000-000065000000}"/>
    <cellStyle name="40% - Accent6 2 3" xfId="103" xr:uid="{00000000-0005-0000-0000-000066000000}"/>
    <cellStyle name="40% - Accent6 3" xfId="104" xr:uid="{00000000-0005-0000-0000-000067000000}"/>
    <cellStyle name="40% - Accent6 3 2" xfId="105" xr:uid="{00000000-0005-0000-0000-000068000000}"/>
    <cellStyle name="40% - Accent6 3 2 2" xfId="106" xr:uid="{00000000-0005-0000-0000-000069000000}"/>
    <cellStyle name="40% - Accent6 3 3" xfId="107" xr:uid="{00000000-0005-0000-0000-00006A000000}"/>
    <cellStyle name="40% - Accent6 4" xfId="108" xr:uid="{00000000-0005-0000-0000-00006B000000}"/>
    <cellStyle name="60% - Accent1 2" xfId="109" xr:uid="{00000000-0005-0000-0000-00006C000000}"/>
    <cellStyle name="60% - Accent1 2 2" xfId="110" xr:uid="{00000000-0005-0000-0000-00006D000000}"/>
    <cellStyle name="60% - Accent1 2 2 2" xfId="111" xr:uid="{00000000-0005-0000-0000-00006E000000}"/>
    <cellStyle name="60% - Accent1 2 3" xfId="112" xr:uid="{00000000-0005-0000-0000-00006F000000}"/>
    <cellStyle name="60% - Accent1 3" xfId="113" xr:uid="{00000000-0005-0000-0000-000070000000}"/>
    <cellStyle name="60% - Accent1 3 2" xfId="114" xr:uid="{00000000-0005-0000-0000-000071000000}"/>
    <cellStyle name="60% - Accent1 3 2 2" xfId="115" xr:uid="{00000000-0005-0000-0000-000072000000}"/>
    <cellStyle name="60% - Accent1 3 3" xfId="116" xr:uid="{00000000-0005-0000-0000-000073000000}"/>
    <cellStyle name="60% - Accent1 4" xfId="117" xr:uid="{00000000-0005-0000-0000-000074000000}"/>
    <cellStyle name="60% - Accent2 2" xfId="118" xr:uid="{00000000-0005-0000-0000-000075000000}"/>
    <cellStyle name="60% - Accent2 2 2" xfId="119" xr:uid="{00000000-0005-0000-0000-000076000000}"/>
    <cellStyle name="60% - Accent2 2 2 2" xfId="120" xr:uid="{00000000-0005-0000-0000-000077000000}"/>
    <cellStyle name="60% - Accent2 2 3" xfId="121" xr:uid="{00000000-0005-0000-0000-000078000000}"/>
    <cellStyle name="60% - Accent2 3" xfId="122" xr:uid="{00000000-0005-0000-0000-000079000000}"/>
    <cellStyle name="60% - Accent2 3 2" xfId="123" xr:uid="{00000000-0005-0000-0000-00007A000000}"/>
    <cellStyle name="60% - Accent2 3 2 2" xfId="124" xr:uid="{00000000-0005-0000-0000-00007B000000}"/>
    <cellStyle name="60% - Accent2 3 3" xfId="125" xr:uid="{00000000-0005-0000-0000-00007C000000}"/>
    <cellStyle name="60% - Accent2 4" xfId="126" xr:uid="{00000000-0005-0000-0000-00007D000000}"/>
    <cellStyle name="60% - Accent3 2" xfId="127" xr:uid="{00000000-0005-0000-0000-00007E000000}"/>
    <cellStyle name="60% - Accent3 2 2" xfId="128" xr:uid="{00000000-0005-0000-0000-00007F000000}"/>
    <cellStyle name="60% - Accent3 2 2 2" xfId="129" xr:uid="{00000000-0005-0000-0000-000080000000}"/>
    <cellStyle name="60% - Accent3 2 3" xfId="130" xr:uid="{00000000-0005-0000-0000-000081000000}"/>
    <cellStyle name="60% - Accent3 3" xfId="131" xr:uid="{00000000-0005-0000-0000-000082000000}"/>
    <cellStyle name="60% - Accent3 3 2" xfId="132" xr:uid="{00000000-0005-0000-0000-000083000000}"/>
    <cellStyle name="60% - Accent3 3 2 2" xfId="133" xr:uid="{00000000-0005-0000-0000-000084000000}"/>
    <cellStyle name="60% - Accent3 3 3" xfId="134" xr:uid="{00000000-0005-0000-0000-000085000000}"/>
    <cellStyle name="60% - Accent3 4" xfId="135" xr:uid="{00000000-0005-0000-0000-000086000000}"/>
    <cellStyle name="60% - Accent4 2" xfId="136" xr:uid="{00000000-0005-0000-0000-000087000000}"/>
    <cellStyle name="60% - Accent4 2 2" xfId="137" xr:uid="{00000000-0005-0000-0000-000088000000}"/>
    <cellStyle name="60% - Accent4 2 2 2" xfId="138" xr:uid="{00000000-0005-0000-0000-000089000000}"/>
    <cellStyle name="60% - Accent4 2 3" xfId="139" xr:uid="{00000000-0005-0000-0000-00008A000000}"/>
    <cellStyle name="60% - Accent4 3" xfId="140" xr:uid="{00000000-0005-0000-0000-00008B000000}"/>
    <cellStyle name="60% - Accent4 3 2" xfId="141" xr:uid="{00000000-0005-0000-0000-00008C000000}"/>
    <cellStyle name="60% - Accent4 3 2 2" xfId="142" xr:uid="{00000000-0005-0000-0000-00008D000000}"/>
    <cellStyle name="60% - Accent4 3 3" xfId="143" xr:uid="{00000000-0005-0000-0000-00008E000000}"/>
    <cellStyle name="60% - Accent4 4" xfId="144" xr:uid="{00000000-0005-0000-0000-00008F000000}"/>
    <cellStyle name="60% - Accent5 2" xfId="145" xr:uid="{00000000-0005-0000-0000-000090000000}"/>
    <cellStyle name="60% - Accent5 2 2" xfId="146" xr:uid="{00000000-0005-0000-0000-000091000000}"/>
    <cellStyle name="60% - Accent5 2 2 2" xfId="147" xr:uid="{00000000-0005-0000-0000-000092000000}"/>
    <cellStyle name="60% - Accent5 2 3" xfId="148" xr:uid="{00000000-0005-0000-0000-000093000000}"/>
    <cellStyle name="60% - Accent5 3" xfId="149" xr:uid="{00000000-0005-0000-0000-000094000000}"/>
    <cellStyle name="60% - Accent5 3 2" xfId="150" xr:uid="{00000000-0005-0000-0000-000095000000}"/>
    <cellStyle name="60% - Accent5 3 2 2" xfId="151" xr:uid="{00000000-0005-0000-0000-000096000000}"/>
    <cellStyle name="60% - Accent5 3 3" xfId="152" xr:uid="{00000000-0005-0000-0000-000097000000}"/>
    <cellStyle name="60% - Accent5 4" xfId="153" xr:uid="{00000000-0005-0000-0000-000098000000}"/>
    <cellStyle name="60% - Accent6 2" xfId="154" xr:uid="{00000000-0005-0000-0000-000099000000}"/>
    <cellStyle name="60% - Accent6 2 2" xfId="155" xr:uid="{00000000-0005-0000-0000-00009A000000}"/>
    <cellStyle name="60% - Accent6 2 2 2" xfId="156" xr:uid="{00000000-0005-0000-0000-00009B000000}"/>
    <cellStyle name="60% - Accent6 2 3" xfId="157" xr:uid="{00000000-0005-0000-0000-00009C000000}"/>
    <cellStyle name="60% - Accent6 3" xfId="158" xr:uid="{00000000-0005-0000-0000-00009D000000}"/>
    <cellStyle name="60% - Accent6 3 2" xfId="159" xr:uid="{00000000-0005-0000-0000-00009E000000}"/>
    <cellStyle name="60% - Accent6 3 2 2" xfId="160" xr:uid="{00000000-0005-0000-0000-00009F000000}"/>
    <cellStyle name="60% - Accent6 3 3" xfId="161" xr:uid="{00000000-0005-0000-0000-0000A0000000}"/>
    <cellStyle name="60% - Accent6 4" xfId="162" xr:uid="{00000000-0005-0000-0000-0000A1000000}"/>
    <cellStyle name="Accent1 2" xfId="163" xr:uid="{00000000-0005-0000-0000-0000A2000000}"/>
    <cellStyle name="Accent1 2 2" xfId="164" xr:uid="{00000000-0005-0000-0000-0000A3000000}"/>
    <cellStyle name="Accent1 2 2 2" xfId="165" xr:uid="{00000000-0005-0000-0000-0000A4000000}"/>
    <cellStyle name="Accent1 2 3" xfId="166" xr:uid="{00000000-0005-0000-0000-0000A5000000}"/>
    <cellStyle name="Accent1 3" xfId="167" xr:uid="{00000000-0005-0000-0000-0000A6000000}"/>
    <cellStyle name="Accent1 3 2" xfId="168" xr:uid="{00000000-0005-0000-0000-0000A7000000}"/>
    <cellStyle name="Accent1 3 2 2" xfId="169" xr:uid="{00000000-0005-0000-0000-0000A8000000}"/>
    <cellStyle name="Accent1 3 3" xfId="170" xr:uid="{00000000-0005-0000-0000-0000A9000000}"/>
    <cellStyle name="Accent1 4" xfId="171" xr:uid="{00000000-0005-0000-0000-0000AA000000}"/>
    <cellStyle name="Accent2 2" xfId="172" xr:uid="{00000000-0005-0000-0000-0000AB000000}"/>
    <cellStyle name="Accent2 2 2" xfId="173" xr:uid="{00000000-0005-0000-0000-0000AC000000}"/>
    <cellStyle name="Accent2 2 2 2" xfId="174" xr:uid="{00000000-0005-0000-0000-0000AD000000}"/>
    <cellStyle name="Accent2 2 3" xfId="175" xr:uid="{00000000-0005-0000-0000-0000AE000000}"/>
    <cellStyle name="Accent2 3" xfId="176" xr:uid="{00000000-0005-0000-0000-0000AF000000}"/>
    <cellStyle name="Accent2 3 2" xfId="177" xr:uid="{00000000-0005-0000-0000-0000B0000000}"/>
    <cellStyle name="Accent2 3 2 2" xfId="178" xr:uid="{00000000-0005-0000-0000-0000B1000000}"/>
    <cellStyle name="Accent2 3 3" xfId="179" xr:uid="{00000000-0005-0000-0000-0000B2000000}"/>
    <cellStyle name="Accent2 4" xfId="180" xr:uid="{00000000-0005-0000-0000-0000B3000000}"/>
    <cellStyle name="Accent3 2" xfId="181" xr:uid="{00000000-0005-0000-0000-0000B4000000}"/>
    <cellStyle name="Accent3 2 2" xfId="182" xr:uid="{00000000-0005-0000-0000-0000B5000000}"/>
    <cellStyle name="Accent3 2 2 2" xfId="183" xr:uid="{00000000-0005-0000-0000-0000B6000000}"/>
    <cellStyle name="Accent3 2 3" xfId="184" xr:uid="{00000000-0005-0000-0000-0000B7000000}"/>
    <cellStyle name="Accent3 3" xfId="185" xr:uid="{00000000-0005-0000-0000-0000B8000000}"/>
    <cellStyle name="Accent3 3 2" xfId="186" xr:uid="{00000000-0005-0000-0000-0000B9000000}"/>
    <cellStyle name="Accent3 3 2 2" xfId="187" xr:uid="{00000000-0005-0000-0000-0000BA000000}"/>
    <cellStyle name="Accent3 3 3" xfId="188" xr:uid="{00000000-0005-0000-0000-0000BB000000}"/>
    <cellStyle name="Accent3 4" xfId="189" xr:uid="{00000000-0005-0000-0000-0000BC000000}"/>
    <cellStyle name="Accent4 2" xfId="190" xr:uid="{00000000-0005-0000-0000-0000BD000000}"/>
    <cellStyle name="Accent4 2 2" xfId="191" xr:uid="{00000000-0005-0000-0000-0000BE000000}"/>
    <cellStyle name="Accent4 2 2 2" xfId="192" xr:uid="{00000000-0005-0000-0000-0000BF000000}"/>
    <cellStyle name="Accent4 2 3" xfId="193" xr:uid="{00000000-0005-0000-0000-0000C0000000}"/>
    <cellStyle name="Accent4 3" xfId="194" xr:uid="{00000000-0005-0000-0000-0000C1000000}"/>
    <cellStyle name="Accent4 3 2" xfId="195" xr:uid="{00000000-0005-0000-0000-0000C2000000}"/>
    <cellStyle name="Accent4 3 2 2" xfId="196" xr:uid="{00000000-0005-0000-0000-0000C3000000}"/>
    <cellStyle name="Accent4 3 3" xfId="197" xr:uid="{00000000-0005-0000-0000-0000C4000000}"/>
    <cellStyle name="Accent4 4" xfId="198" xr:uid="{00000000-0005-0000-0000-0000C5000000}"/>
    <cellStyle name="Accent5 2" xfId="199" xr:uid="{00000000-0005-0000-0000-0000C6000000}"/>
    <cellStyle name="Accent5 2 2" xfId="200" xr:uid="{00000000-0005-0000-0000-0000C7000000}"/>
    <cellStyle name="Accent5 2 2 2" xfId="201" xr:uid="{00000000-0005-0000-0000-0000C8000000}"/>
    <cellStyle name="Accent5 2 3" xfId="202" xr:uid="{00000000-0005-0000-0000-0000C9000000}"/>
    <cellStyle name="Accent5 3" xfId="203" xr:uid="{00000000-0005-0000-0000-0000CA000000}"/>
    <cellStyle name="Accent5 3 2" xfId="204" xr:uid="{00000000-0005-0000-0000-0000CB000000}"/>
    <cellStyle name="Accent5 3 2 2" xfId="205" xr:uid="{00000000-0005-0000-0000-0000CC000000}"/>
    <cellStyle name="Accent5 3 3" xfId="206" xr:uid="{00000000-0005-0000-0000-0000CD000000}"/>
    <cellStyle name="Accent5 4" xfId="207" xr:uid="{00000000-0005-0000-0000-0000CE000000}"/>
    <cellStyle name="Accent6 2" xfId="208" xr:uid="{00000000-0005-0000-0000-0000CF000000}"/>
    <cellStyle name="Accent6 2 2" xfId="209" xr:uid="{00000000-0005-0000-0000-0000D0000000}"/>
    <cellStyle name="Accent6 2 2 2" xfId="210" xr:uid="{00000000-0005-0000-0000-0000D1000000}"/>
    <cellStyle name="Accent6 2 3" xfId="211" xr:uid="{00000000-0005-0000-0000-0000D2000000}"/>
    <cellStyle name="Accent6 3" xfId="212" xr:uid="{00000000-0005-0000-0000-0000D3000000}"/>
    <cellStyle name="Accent6 3 2" xfId="213" xr:uid="{00000000-0005-0000-0000-0000D4000000}"/>
    <cellStyle name="Accent6 3 2 2" xfId="214" xr:uid="{00000000-0005-0000-0000-0000D5000000}"/>
    <cellStyle name="Accent6 3 3" xfId="215" xr:uid="{00000000-0005-0000-0000-0000D6000000}"/>
    <cellStyle name="Accent6 4" xfId="216" xr:uid="{00000000-0005-0000-0000-0000D7000000}"/>
    <cellStyle name="Bad 2" xfId="217" xr:uid="{00000000-0005-0000-0000-0000D8000000}"/>
    <cellStyle name="Bad 2 2" xfId="218" xr:uid="{00000000-0005-0000-0000-0000D9000000}"/>
    <cellStyle name="Bad 2 2 2" xfId="219" xr:uid="{00000000-0005-0000-0000-0000DA000000}"/>
    <cellStyle name="Bad 2 3" xfId="220" xr:uid="{00000000-0005-0000-0000-0000DB000000}"/>
    <cellStyle name="Bad 3" xfId="221" xr:uid="{00000000-0005-0000-0000-0000DC000000}"/>
    <cellStyle name="Bad 3 2" xfId="222" xr:uid="{00000000-0005-0000-0000-0000DD000000}"/>
    <cellStyle name="Bad 3 2 2" xfId="223" xr:uid="{00000000-0005-0000-0000-0000DE000000}"/>
    <cellStyle name="Bad 3 3" xfId="224" xr:uid="{00000000-0005-0000-0000-0000DF000000}"/>
    <cellStyle name="Bad 4" xfId="225" xr:uid="{00000000-0005-0000-0000-0000E0000000}"/>
    <cellStyle name="Calculation 2" xfId="226" xr:uid="{00000000-0005-0000-0000-0000E1000000}"/>
    <cellStyle name="Calculation 2 2" xfId="227" xr:uid="{00000000-0005-0000-0000-0000E2000000}"/>
    <cellStyle name="Calculation 2 2 2" xfId="228" xr:uid="{00000000-0005-0000-0000-0000E3000000}"/>
    <cellStyle name="Calculation 2 3" xfId="229" xr:uid="{00000000-0005-0000-0000-0000E4000000}"/>
    <cellStyle name="Calculation 3" xfId="230" xr:uid="{00000000-0005-0000-0000-0000E5000000}"/>
    <cellStyle name="Calculation 3 2" xfId="231" xr:uid="{00000000-0005-0000-0000-0000E6000000}"/>
    <cellStyle name="Calculation 3 2 2" xfId="232" xr:uid="{00000000-0005-0000-0000-0000E7000000}"/>
    <cellStyle name="Calculation 3 3" xfId="233" xr:uid="{00000000-0005-0000-0000-0000E8000000}"/>
    <cellStyle name="Calculation 4" xfId="234" xr:uid="{00000000-0005-0000-0000-0000E9000000}"/>
    <cellStyle name="Check Cell 2" xfId="235" xr:uid="{00000000-0005-0000-0000-0000EA000000}"/>
    <cellStyle name="Check Cell 2 2" xfId="236" xr:uid="{00000000-0005-0000-0000-0000EB000000}"/>
    <cellStyle name="Check Cell 2 2 2" xfId="237" xr:uid="{00000000-0005-0000-0000-0000EC000000}"/>
    <cellStyle name="Check Cell 2 3" xfId="238" xr:uid="{00000000-0005-0000-0000-0000ED000000}"/>
    <cellStyle name="Check Cell 3" xfId="239" xr:uid="{00000000-0005-0000-0000-0000EE000000}"/>
    <cellStyle name="Check Cell 3 2" xfId="240" xr:uid="{00000000-0005-0000-0000-0000EF000000}"/>
    <cellStyle name="Check Cell 3 2 2" xfId="241" xr:uid="{00000000-0005-0000-0000-0000F0000000}"/>
    <cellStyle name="Check Cell 3 3" xfId="242" xr:uid="{00000000-0005-0000-0000-0000F1000000}"/>
    <cellStyle name="Check Cell 4" xfId="243" xr:uid="{00000000-0005-0000-0000-0000F2000000}"/>
    <cellStyle name="Comma" xfId="419" builtinId="3"/>
    <cellStyle name="Comma 2" xfId="244" xr:uid="{00000000-0005-0000-0000-0000F3000000}"/>
    <cellStyle name="Comma 2 2" xfId="245" xr:uid="{00000000-0005-0000-0000-0000F4000000}"/>
    <cellStyle name="Comma 2 3" xfId="246" xr:uid="{00000000-0005-0000-0000-0000F5000000}"/>
    <cellStyle name="Comma 3" xfId="247" xr:uid="{00000000-0005-0000-0000-0000F6000000}"/>
    <cellStyle name="Comma 4" xfId="248" xr:uid="{00000000-0005-0000-0000-0000F7000000}"/>
    <cellStyle name="Comma 4 2" xfId="249" xr:uid="{00000000-0005-0000-0000-0000F8000000}"/>
    <cellStyle name="Currency 2" xfId="250" xr:uid="{00000000-0005-0000-0000-0000F9000000}"/>
    <cellStyle name="Currency 2 2" xfId="251" xr:uid="{00000000-0005-0000-0000-0000FA000000}"/>
    <cellStyle name="Currency 2 3" xfId="252" xr:uid="{00000000-0005-0000-0000-0000FB000000}"/>
    <cellStyle name="Currency 2 4" xfId="253" xr:uid="{00000000-0005-0000-0000-0000FC000000}"/>
    <cellStyle name="Currency 2 4 2" xfId="254" xr:uid="{00000000-0005-0000-0000-0000FD000000}"/>
    <cellStyle name="Currency 3" xfId="255" xr:uid="{00000000-0005-0000-0000-0000FE000000}"/>
    <cellStyle name="Currency 3 2" xfId="256" xr:uid="{00000000-0005-0000-0000-0000FF000000}"/>
    <cellStyle name="Currency 4" xfId="257" xr:uid="{00000000-0005-0000-0000-000000010000}"/>
    <cellStyle name="Currency 4 2" xfId="258" xr:uid="{00000000-0005-0000-0000-000001010000}"/>
    <cellStyle name="Currency 4 2 2" xfId="259" xr:uid="{00000000-0005-0000-0000-000002010000}"/>
    <cellStyle name="Currency 4 3" xfId="260" xr:uid="{00000000-0005-0000-0000-000003010000}"/>
    <cellStyle name="Currency 5" xfId="261" xr:uid="{00000000-0005-0000-0000-000004010000}"/>
    <cellStyle name="Currency 5 2" xfId="262" xr:uid="{00000000-0005-0000-0000-000005010000}"/>
    <cellStyle name="Currency 5 3" xfId="263" xr:uid="{00000000-0005-0000-0000-000006010000}"/>
    <cellStyle name="Currency 5 3 2" xfId="264" xr:uid="{00000000-0005-0000-0000-000007010000}"/>
    <cellStyle name="Explanatory Text 2" xfId="265" xr:uid="{00000000-0005-0000-0000-000008010000}"/>
    <cellStyle name="Explanatory Text 2 2" xfId="266" xr:uid="{00000000-0005-0000-0000-000009010000}"/>
    <cellStyle name="Explanatory Text 2 2 2" xfId="267" xr:uid="{00000000-0005-0000-0000-00000A010000}"/>
    <cellStyle name="Explanatory Text 2 3" xfId="268" xr:uid="{00000000-0005-0000-0000-00000B010000}"/>
    <cellStyle name="Explanatory Text 3" xfId="269" xr:uid="{00000000-0005-0000-0000-00000C010000}"/>
    <cellStyle name="Explanatory Text 3 2" xfId="270" xr:uid="{00000000-0005-0000-0000-00000D010000}"/>
    <cellStyle name="Explanatory Text 3 2 2" xfId="271" xr:uid="{00000000-0005-0000-0000-00000E010000}"/>
    <cellStyle name="Explanatory Text 3 3" xfId="272" xr:uid="{00000000-0005-0000-0000-00000F010000}"/>
    <cellStyle name="Explanatory Text 4" xfId="273" xr:uid="{00000000-0005-0000-0000-000010010000}"/>
    <cellStyle name="Good 2" xfId="274" xr:uid="{00000000-0005-0000-0000-000011010000}"/>
    <cellStyle name="Good 2 2" xfId="275" xr:uid="{00000000-0005-0000-0000-000012010000}"/>
    <cellStyle name="Good 2 2 2" xfId="276" xr:uid="{00000000-0005-0000-0000-000013010000}"/>
    <cellStyle name="Good 2 3" xfId="277" xr:uid="{00000000-0005-0000-0000-000014010000}"/>
    <cellStyle name="Good 3" xfId="278" xr:uid="{00000000-0005-0000-0000-000015010000}"/>
    <cellStyle name="Good 3 2" xfId="279" xr:uid="{00000000-0005-0000-0000-000016010000}"/>
    <cellStyle name="Good 3 2 2" xfId="280" xr:uid="{00000000-0005-0000-0000-000017010000}"/>
    <cellStyle name="Good 3 3" xfId="281" xr:uid="{00000000-0005-0000-0000-000018010000}"/>
    <cellStyle name="Good 4" xfId="282" xr:uid="{00000000-0005-0000-0000-000019010000}"/>
    <cellStyle name="Heading 1 2" xfId="283" xr:uid="{00000000-0005-0000-0000-00001A010000}"/>
    <cellStyle name="Heading 1 2 2" xfId="284" xr:uid="{00000000-0005-0000-0000-00001B010000}"/>
    <cellStyle name="Heading 1 2 2 2" xfId="285" xr:uid="{00000000-0005-0000-0000-00001C010000}"/>
    <cellStyle name="Heading 1 2 3" xfId="286" xr:uid="{00000000-0005-0000-0000-00001D010000}"/>
    <cellStyle name="Heading 1 3" xfId="287" xr:uid="{00000000-0005-0000-0000-00001E010000}"/>
    <cellStyle name="Heading 1 3 2" xfId="288" xr:uid="{00000000-0005-0000-0000-00001F010000}"/>
    <cellStyle name="Heading 1 3 2 2" xfId="289" xr:uid="{00000000-0005-0000-0000-000020010000}"/>
    <cellStyle name="Heading 1 3 3" xfId="290" xr:uid="{00000000-0005-0000-0000-000021010000}"/>
    <cellStyle name="Heading 1 4" xfId="291" xr:uid="{00000000-0005-0000-0000-000022010000}"/>
    <cellStyle name="Heading 2 2" xfId="292" xr:uid="{00000000-0005-0000-0000-000023010000}"/>
    <cellStyle name="Heading 2 2 2" xfId="293" xr:uid="{00000000-0005-0000-0000-000024010000}"/>
    <cellStyle name="Heading 2 2 2 2" xfId="294" xr:uid="{00000000-0005-0000-0000-000025010000}"/>
    <cellStyle name="Heading 2 2 3" xfId="295" xr:uid="{00000000-0005-0000-0000-000026010000}"/>
    <cellStyle name="Heading 2 3" xfId="296" xr:uid="{00000000-0005-0000-0000-000027010000}"/>
    <cellStyle name="Heading 2 3 2" xfId="297" xr:uid="{00000000-0005-0000-0000-000028010000}"/>
    <cellStyle name="Heading 2 3 2 2" xfId="298" xr:uid="{00000000-0005-0000-0000-000029010000}"/>
    <cellStyle name="Heading 2 3 3" xfId="299" xr:uid="{00000000-0005-0000-0000-00002A010000}"/>
    <cellStyle name="Heading 2 4" xfId="300" xr:uid="{00000000-0005-0000-0000-00002B010000}"/>
    <cellStyle name="Heading 3 2" xfId="301" xr:uid="{00000000-0005-0000-0000-00002C010000}"/>
    <cellStyle name="Heading 3 2 2" xfId="302" xr:uid="{00000000-0005-0000-0000-00002D010000}"/>
    <cellStyle name="Heading 3 2 2 2" xfId="303" xr:uid="{00000000-0005-0000-0000-00002E010000}"/>
    <cellStyle name="Heading 3 2 3" xfId="304" xr:uid="{00000000-0005-0000-0000-00002F010000}"/>
    <cellStyle name="Heading 3 3" xfId="305" xr:uid="{00000000-0005-0000-0000-000030010000}"/>
    <cellStyle name="Heading 3 3 2" xfId="306" xr:uid="{00000000-0005-0000-0000-000031010000}"/>
    <cellStyle name="Heading 3 3 2 2" xfId="307" xr:uid="{00000000-0005-0000-0000-000032010000}"/>
    <cellStyle name="Heading 3 3 3" xfId="308" xr:uid="{00000000-0005-0000-0000-000033010000}"/>
    <cellStyle name="Heading 3 4" xfId="309" xr:uid="{00000000-0005-0000-0000-000034010000}"/>
    <cellStyle name="Heading 4 2" xfId="310" xr:uid="{00000000-0005-0000-0000-000035010000}"/>
    <cellStyle name="Heading 4 2 2" xfId="311" xr:uid="{00000000-0005-0000-0000-000036010000}"/>
    <cellStyle name="Heading 4 2 2 2" xfId="312" xr:uid="{00000000-0005-0000-0000-000037010000}"/>
    <cellStyle name="Heading 4 2 3" xfId="313" xr:uid="{00000000-0005-0000-0000-000038010000}"/>
    <cellStyle name="Heading 4 3" xfId="314" xr:uid="{00000000-0005-0000-0000-000039010000}"/>
    <cellStyle name="Heading 4 3 2" xfId="315" xr:uid="{00000000-0005-0000-0000-00003A010000}"/>
    <cellStyle name="Heading 4 3 2 2" xfId="316" xr:uid="{00000000-0005-0000-0000-00003B010000}"/>
    <cellStyle name="Heading 4 3 3" xfId="317" xr:uid="{00000000-0005-0000-0000-00003C010000}"/>
    <cellStyle name="Heading 4 4" xfId="318" xr:uid="{00000000-0005-0000-0000-00003D010000}"/>
    <cellStyle name="Hyperlink 2" xfId="319" xr:uid="{00000000-0005-0000-0000-00003E010000}"/>
    <cellStyle name="Hyperlink 3" xfId="320" xr:uid="{00000000-0005-0000-0000-00003F010000}"/>
    <cellStyle name="Input 2" xfId="321" xr:uid="{00000000-0005-0000-0000-000040010000}"/>
    <cellStyle name="Input 2 2" xfId="322" xr:uid="{00000000-0005-0000-0000-000041010000}"/>
    <cellStyle name="Input 2 2 2" xfId="323" xr:uid="{00000000-0005-0000-0000-000042010000}"/>
    <cellStyle name="Input 2 3" xfId="324" xr:uid="{00000000-0005-0000-0000-000043010000}"/>
    <cellStyle name="Input 3" xfId="325" xr:uid="{00000000-0005-0000-0000-000044010000}"/>
    <cellStyle name="Input 3 2" xfId="326" xr:uid="{00000000-0005-0000-0000-000045010000}"/>
    <cellStyle name="Input 3 2 2" xfId="327" xr:uid="{00000000-0005-0000-0000-000046010000}"/>
    <cellStyle name="Input 3 3" xfId="328" xr:uid="{00000000-0005-0000-0000-000047010000}"/>
    <cellStyle name="Input 4" xfId="329" xr:uid="{00000000-0005-0000-0000-000048010000}"/>
    <cellStyle name="Linked Cell 2" xfId="330" xr:uid="{00000000-0005-0000-0000-000049010000}"/>
    <cellStyle name="Linked Cell 2 2" xfId="331" xr:uid="{00000000-0005-0000-0000-00004A010000}"/>
    <cellStyle name="Linked Cell 2 2 2" xfId="332" xr:uid="{00000000-0005-0000-0000-00004B010000}"/>
    <cellStyle name="Linked Cell 2 3" xfId="333" xr:uid="{00000000-0005-0000-0000-00004C010000}"/>
    <cellStyle name="Linked Cell 3" xfId="334" xr:uid="{00000000-0005-0000-0000-00004D010000}"/>
    <cellStyle name="Linked Cell 3 2" xfId="335" xr:uid="{00000000-0005-0000-0000-00004E010000}"/>
    <cellStyle name="Linked Cell 3 2 2" xfId="336" xr:uid="{00000000-0005-0000-0000-00004F010000}"/>
    <cellStyle name="Linked Cell 3 3" xfId="337" xr:uid="{00000000-0005-0000-0000-000050010000}"/>
    <cellStyle name="Linked Cell 4" xfId="338" xr:uid="{00000000-0005-0000-0000-000051010000}"/>
    <cellStyle name="Neutral 2" xfId="339" xr:uid="{00000000-0005-0000-0000-000052010000}"/>
    <cellStyle name="Neutral 2 2" xfId="340" xr:uid="{00000000-0005-0000-0000-000053010000}"/>
    <cellStyle name="Neutral 2 2 2" xfId="341" xr:uid="{00000000-0005-0000-0000-000054010000}"/>
    <cellStyle name="Neutral 2 3" xfId="342" xr:uid="{00000000-0005-0000-0000-000055010000}"/>
    <cellStyle name="Neutral 3" xfId="343" xr:uid="{00000000-0005-0000-0000-000056010000}"/>
    <cellStyle name="Neutral 3 2" xfId="344" xr:uid="{00000000-0005-0000-0000-000057010000}"/>
    <cellStyle name="Neutral 3 2 2" xfId="345" xr:uid="{00000000-0005-0000-0000-000058010000}"/>
    <cellStyle name="Neutral 3 3" xfId="346" xr:uid="{00000000-0005-0000-0000-000059010000}"/>
    <cellStyle name="Neutral 4" xfId="347" xr:uid="{00000000-0005-0000-0000-00005A010000}"/>
    <cellStyle name="Normal" xfId="0" builtinId="0"/>
    <cellStyle name="Normal 2" xfId="348" xr:uid="{00000000-0005-0000-0000-00005C010000}"/>
    <cellStyle name="Normal 2 2" xfId="349" xr:uid="{00000000-0005-0000-0000-00005D010000}"/>
    <cellStyle name="Normal 2 2 2" xfId="350" xr:uid="{00000000-0005-0000-0000-00005E010000}"/>
    <cellStyle name="Normal 2 3" xfId="351" xr:uid="{00000000-0005-0000-0000-00005F010000}"/>
    <cellStyle name="Normal 3" xfId="352" xr:uid="{00000000-0005-0000-0000-000060010000}"/>
    <cellStyle name="Normal 3 2" xfId="353" xr:uid="{00000000-0005-0000-0000-000061010000}"/>
    <cellStyle name="Normal 4" xfId="354" xr:uid="{00000000-0005-0000-0000-000062010000}"/>
    <cellStyle name="Normal 4 2" xfId="355" xr:uid="{00000000-0005-0000-0000-000063010000}"/>
    <cellStyle name="Normal 5" xfId="356" xr:uid="{00000000-0005-0000-0000-000064010000}"/>
    <cellStyle name="Normal 5 2" xfId="357" xr:uid="{00000000-0005-0000-0000-000065010000}"/>
    <cellStyle name="Normal 5 3" xfId="358" xr:uid="{00000000-0005-0000-0000-000066010000}"/>
    <cellStyle name="Normal 5 3 2" xfId="359" xr:uid="{00000000-0005-0000-0000-000067010000}"/>
    <cellStyle name="Normal 6" xfId="360" xr:uid="{00000000-0005-0000-0000-000068010000}"/>
    <cellStyle name="Normal 6 2" xfId="361" xr:uid="{00000000-0005-0000-0000-000069010000}"/>
    <cellStyle name="Normal 6 2 2" xfId="362" xr:uid="{00000000-0005-0000-0000-00006A010000}"/>
    <cellStyle name="Normal 6 3" xfId="363" xr:uid="{00000000-0005-0000-0000-00006B010000}"/>
    <cellStyle name="Normal 7" xfId="364" xr:uid="{00000000-0005-0000-0000-00006C010000}"/>
    <cellStyle name="Normal 7 2" xfId="365" xr:uid="{00000000-0005-0000-0000-00006D010000}"/>
    <cellStyle name="Normal 8" xfId="366" xr:uid="{00000000-0005-0000-0000-00006E010000}"/>
    <cellStyle name="Normal 8 2" xfId="367" xr:uid="{00000000-0005-0000-0000-00006F010000}"/>
    <cellStyle name="Note 2" xfId="368" xr:uid="{00000000-0005-0000-0000-000070010000}"/>
    <cellStyle name="Note 2 2" xfId="369" xr:uid="{00000000-0005-0000-0000-000071010000}"/>
    <cellStyle name="Note 3" xfId="370" xr:uid="{00000000-0005-0000-0000-000072010000}"/>
    <cellStyle name="Note 4" xfId="371" xr:uid="{00000000-0005-0000-0000-000073010000}"/>
    <cellStyle name="Note 4 2" xfId="372" xr:uid="{00000000-0005-0000-0000-000074010000}"/>
    <cellStyle name="Output 2" xfId="373" xr:uid="{00000000-0005-0000-0000-000075010000}"/>
    <cellStyle name="Output 2 2" xfId="374" xr:uid="{00000000-0005-0000-0000-000076010000}"/>
    <cellStyle name="Output 2 2 2" xfId="375" xr:uid="{00000000-0005-0000-0000-000077010000}"/>
    <cellStyle name="Output 2 3" xfId="376" xr:uid="{00000000-0005-0000-0000-000078010000}"/>
    <cellStyle name="Output 3" xfId="377" xr:uid="{00000000-0005-0000-0000-000079010000}"/>
    <cellStyle name="Output 3 2" xfId="378" xr:uid="{00000000-0005-0000-0000-00007A010000}"/>
    <cellStyle name="Output 3 2 2" xfId="379" xr:uid="{00000000-0005-0000-0000-00007B010000}"/>
    <cellStyle name="Output 3 3" xfId="380" xr:uid="{00000000-0005-0000-0000-00007C010000}"/>
    <cellStyle name="Output 4" xfId="381" xr:uid="{00000000-0005-0000-0000-00007D010000}"/>
    <cellStyle name="Percent 2" xfId="382" xr:uid="{00000000-0005-0000-0000-00007E010000}"/>
    <cellStyle name="Percent 2 2" xfId="383" xr:uid="{00000000-0005-0000-0000-00007F010000}"/>
    <cellStyle name="Percent 2 3" xfId="384" xr:uid="{00000000-0005-0000-0000-000080010000}"/>
    <cellStyle name="Percent 2 4" xfId="385" xr:uid="{00000000-0005-0000-0000-000081010000}"/>
    <cellStyle name="Percent 2 4 2" xfId="386" xr:uid="{00000000-0005-0000-0000-000082010000}"/>
    <cellStyle name="Percent 3" xfId="387" xr:uid="{00000000-0005-0000-0000-000083010000}"/>
    <cellStyle name="Percent 3 2" xfId="388" xr:uid="{00000000-0005-0000-0000-000084010000}"/>
    <cellStyle name="Percent 4" xfId="389" xr:uid="{00000000-0005-0000-0000-000085010000}"/>
    <cellStyle name="Percent 5" xfId="390" xr:uid="{00000000-0005-0000-0000-000086010000}"/>
    <cellStyle name="Percent 5 2" xfId="391" xr:uid="{00000000-0005-0000-0000-000087010000}"/>
    <cellStyle name="Title 2" xfId="392" xr:uid="{00000000-0005-0000-0000-000088010000}"/>
    <cellStyle name="Title 2 2" xfId="393" xr:uid="{00000000-0005-0000-0000-000089010000}"/>
    <cellStyle name="Title 2 2 2" xfId="394" xr:uid="{00000000-0005-0000-0000-00008A010000}"/>
    <cellStyle name="Title 2 3" xfId="395" xr:uid="{00000000-0005-0000-0000-00008B010000}"/>
    <cellStyle name="Title 3" xfId="396" xr:uid="{00000000-0005-0000-0000-00008C010000}"/>
    <cellStyle name="Title 3 2" xfId="397" xr:uid="{00000000-0005-0000-0000-00008D010000}"/>
    <cellStyle name="Title 3 2 2" xfId="398" xr:uid="{00000000-0005-0000-0000-00008E010000}"/>
    <cellStyle name="Title 3 3" xfId="399" xr:uid="{00000000-0005-0000-0000-00008F010000}"/>
    <cellStyle name="Title 4" xfId="400" xr:uid="{00000000-0005-0000-0000-000090010000}"/>
    <cellStyle name="Total 2" xfId="401" xr:uid="{00000000-0005-0000-0000-000091010000}"/>
    <cellStyle name="Total 2 2" xfId="402" xr:uid="{00000000-0005-0000-0000-000092010000}"/>
    <cellStyle name="Total 2 2 2" xfId="403" xr:uid="{00000000-0005-0000-0000-000093010000}"/>
    <cellStyle name="Total 2 3" xfId="404" xr:uid="{00000000-0005-0000-0000-000094010000}"/>
    <cellStyle name="Total 3" xfId="405" xr:uid="{00000000-0005-0000-0000-000095010000}"/>
    <cellStyle name="Total 3 2" xfId="406" xr:uid="{00000000-0005-0000-0000-000096010000}"/>
    <cellStyle name="Total 3 2 2" xfId="407" xr:uid="{00000000-0005-0000-0000-000097010000}"/>
    <cellStyle name="Total 3 3" xfId="408" xr:uid="{00000000-0005-0000-0000-000098010000}"/>
    <cellStyle name="Total 4" xfId="409" xr:uid="{00000000-0005-0000-0000-000099010000}"/>
    <cellStyle name="Warning Text 2" xfId="410" xr:uid="{00000000-0005-0000-0000-00009A010000}"/>
    <cellStyle name="Warning Text 2 2" xfId="411" xr:uid="{00000000-0005-0000-0000-00009B010000}"/>
    <cellStyle name="Warning Text 2 2 2" xfId="412" xr:uid="{00000000-0005-0000-0000-00009C010000}"/>
    <cellStyle name="Warning Text 2 3" xfId="413" xr:uid="{00000000-0005-0000-0000-00009D010000}"/>
    <cellStyle name="Warning Text 3" xfId="414" xr:uid="{00000000-0005-0000-0000-00009E010000}"/>
    <cellStyle name="Warning Text 3 2" xfId="415" xr:uid="{00000000-0005-0000-0000-00009F010000}"/>
    <cellStyle name="Warning Text 3 2 2" xfId="416" xr:uid="{00000000-0005-0000-0000-0000A0010000}"/>
    <cellStyle name="Warning Text 3 3" xfId="417" xr:uid="{00000000-0005-0000-0000-0000A1010000}"/>
    <cellStyle name="Warning Text 4" xfId="418" xr:uid="{00000000-0005-0000-0000-0000A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Kentucky Total DRR 5-Year Plan SAIDI - Historical Performance and Total Proposed</a:t>
            </a:r>
            <a:r>
              <a:rPr lang="en-US" b="1" baseline="0"/>
              <a:t> DRR Glidepath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 Year Average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14</c:v>
              </c:pt>
              <c:pt idx="11">
                <c:v>15</c:v>
              </c:pt>
              <c:pt idx="12">
                <c:v>16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'Projected Reliability - Graphs'!$B$5:$L$5</c15:sqref>
                  </c15:fullRef>
                </c:ext>
              </c:extLst>
              <c:f>'Projected Reliability - Graphs'!$E$5:$L$5</c:f>
              <c:numCache>
                <c:formatCode>General</c:formatCode>
                <c:ptCount val="8"/>
                <c:pt idx="0" formatCode="0">
                  <c:v>440</c:v>
                </c:pt>
                <c:pt idx="1" formatCode="0">
                  <c:v>445.33333333333331</c:v>
                </c:pt>
                <c:pt idx="2" formatCode="0">
                  <c:v>458.33333333333331</c:v>
                </c:pt>
                <c:pt idx="3" formatCode="0">
                  <c:v>455.33333333333331</c:v>
                </c:pt>
                <c:pt idx="4" formatCode="0">
                  <c:v>428</c:v>
                </c:pt>
                <c:pt idx="5" formatCode="0">
                  <c:v>430</c:v>
                </c:pt>
                <c:pt idx="6">
                  <c:v>426</c:v>
                </c:pt>
                <c:pt idx="7" formatCode="0">
                  <c:v>422.61333333333334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93-4435-BF8E-75285F632DD7}"/>
            </c:ext>
          </c:extLst>
        </c:ser>
        <c:ser>
          <c:idx val="1"/>
          <c:order val="1"/>
          <c:tx>
            <c:strRef>
              <c:f>'Projected Reliability - Graphs'!$A$6</c:f>
              <c:strCache>
                <c:ptCount val="1"/>
                <c:pt idx="0">
                  <c:v>DRR Glidepath Projected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14</c:v>
              </c:pt>
              <c:pt idx="11">
                <c:v>15</c:v>
              </c:pt>
              <c:pt idx="12">
                <c:v>16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'Projected Reliability - Graphs'!$B$6:$Q$6</c15:sqref>
                  </c15:fullRef>
                </c:ext>
              </c:extLst>
              <c:f>'Projected Reliability - Graphs'!$E$6:$Q$6</c:f>
              <c:numCache>
                <c:formatCode>General</c:formatCode>
                <c:ptCount val="13"/>
                <c:pt idx="7" formatCode="0">
                  <c:v>422.61333333333334</c:v>
                </c:pt>
                <c:pt idx="8" formatCode="0">
                  <c:v>414.97009722967852</c:v>
                </c:pt>
                <c:pt idx="9" formatCode="0">
                  <c:v>403.47203401760532</c:v>
                </c:pt>
                <c:pt idx="10" formatCode="0">
                  <c:v>390.88836928530651</c:v>
                </c:pt>
                <c:pt idx="11" formatCode="0">
                  <c:v>380.71003096692829</c:v>
                </c:pt>
                <c:pt idx="12" formatCode="0">
                  <c:v>366.27463902310166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93-4435-BF8E-75285F632DD7}"/>
            </c:ext>
          </c:extLst>
        </c:ser>
        <c:ser>
          <c:idx val="2"/>
          <c:order val="2"/>
          <c:tx>
            <c:strRef>
              <c:f>'Projected Reliability - Graphs'!$A$7</c:f>
              <c:strCache>
                <c:ptCount val="1"/>
                <c:pt idx="0">
                  <c:v>DRR Variance Over Projected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93-4435-BF8E-75285F632DD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14</c:v>
              </c:pt>
              <c:pt idx="11">
                <c:v>15</c:v>
              </c:pt>
              <c:pt idx="12">
                <c:v>16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'Projected Reliability - Graphs'!$B$7:$Q$7</c15:sqref>
                  </c15:fullRef>
                </c:ext>
              </c:extLst>
              <c:f>'Projected Reliability - Graphs'!$E$7:$Q$7</c:f>
              <c:numCache>
                <c:formatCode>General</c:formatCode>
                <c:ptCount val="13"/>
                <c:pt idx="6" formatCode="0">
                  <c:v>447.3</c:v>
                </c:pt>
                <c:pt idx="7" formatCode="0">
                  <c:v>443.74400000000003</c:v>
                </c:pt>
                <c:pt idx="8" formatCode="0">
                  <c:v>445.25093542449576</c:v>
                </c:pt>
                <c:pt idx="9" formatCode="0">
                  <c:v>433.17796905181893</c:v>
                </c:pt>
                <c:pt idx="10" formatCode="0">
                  <c:v>419.96512108290523</c:v>
                </c:pt>
                <c:pt idx="11" formatCode="0">
                  <c:v>409.27786584860803</c:v>
                </c:pt>
                <c:pt idx="12" formatCode="0">
                  <c:v>394.12070430759013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93-4435-BF8E-75285F632DD7}"/>
            </c:ext>
          </c:extLst>
        </c:ser>
        <c:ser>
          <c:idx val="3"/>
          <c:order val="3"/>
          <c:tx>
            <c:strRef>
              <c:f>'Projected Reliability - Graphs'!$A$8</c:f>
              <c:strCache>
                <c:ptCount val="1"/>
                <c:pt idx="0">
                  <c:v>DRR Variance Under Projected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93-4435-BF8E-75285F632DD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14</c:v>
              </c:pt>
              <c:pt idx="11">
                <c:v>15</c:v>
              </c:pt>
              <c:pt idx="12">
                <c:v>16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'Projected Reliability - Graphs'!$B$8:$Q$8</c15:sqref>
                  </c15:fullRef>
                </c:ext>
              </c:extLst>
              <c:f>'Projected Reliability - Graphs'!$E$8:$Q$8</c:f>
              <c:numCache>
                <c:formatCode>General</c:formatCode>
                <c:ptCount val="13"/>
                <c:pt idx="6" formatCode="0">
                  <c:v>404.7</c:v>
                </c:pt>
                <c:pt idx="7" formatCode="0">
                  <c:v>401.48266666666666</c:v>
                </c:pt>
                <c:pt idx="8" formatCode="0">
                  <c:v>384.68925903486127</c:v>
                </c:pt>
                <c:pt idx="9" formatCode="0">
                  <c:v>373.76609898339177</c:v>
                </c:pt>
                <c:pt idx="10" formatCode="0">
                  <c:v>361.81161748770791</c:v>
                </c:pt>
                <c:pt idx="11" formatCode="0">
                  <c:v>352.14219608524854</c:v>
                </c:pt>
                <c:pt idx="12" formatCode="0">
                  <c:v>338.42857373861324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93-4435-BF8E-75285F632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2708624"/>
        <c:axId val="1862708208"/>
      </c:lineChart>
      <c:catAx>
        <c:axId val="186270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708208"/>
        <c:crosses val="autoZero"/>
        <c:auto val="1"/>
        <c:lblAlgn val="ctr"/>
        <c:lblOffset val="100"/>
        <c:noMultiLvlLbl val="0"/>
      </c:catAx>
      <c:valAx>
        <c:axId val="1862708208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SAIDI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7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Kentucky SAIDI -</a:t>
            </a:r>
            <a:r>
              <a:rPr lang="en-US" baseline="0"/>
              <a:t> Historical Performance and Proposed DRR (no Enhanced Widening) </a:t>
            </a:r>
          </a:p>
          <a:p>
            <a:pPr>
              <a:defRPr/>
            </a:pPr>
            <a:r>
              <a:rPr lang="en-US" baseline="0"/>
              <a:t>Glidepath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217575498633402E-2"/>
          <c:y val="9.5561987085905437E-2"/>
          <c:w val="0.91193160085396174"/>
          <c:h val="0.78573042862232079"/>
        </c:manualLayout>
      </c:layout>
      <c:lineChart>
        <c:grouping val="standard"/>
        <c:varyColors val="0"/>
        <c:ser>
          <c:idx val="1"/>
          <c:order val="0"/>
          <c:tx>
            <c:strRef>
              <c:f>'Projected Reliability - Graphs'!$A$56</c:f>
              <c:strCache>
                <c:ptCount val="1"/>
                <c:pt idx="0">
                  <c:v>DRR (no TOR) Glidepath Projected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'Projected Reliability - Graphs'!$B$2:$Q$2</c15:sqref>
                  </c15:fullRef>
                </c:ext>
              </c:extLst>
              <c:f>'Projected Reliability - Graphs'!$E$2:$Q$2</c:f>
              <c:strCache>
                <c:ptCount val="13"/>
                <c:pt idx="0">
                  <c:v>15-'17</c:v>
                </c:pt>
                <c:pt idx="1">
                  <c:v>16-'18</c:v>
                </c:pt>
                <c:pt idx="2">
                  <c:v>17-'19</c:v>
                </c:pt>
                <c:pt idx="3">
                  <c:v>18-'20</c:v>
                </c:pt>
                <c:pt idx="4">
                  <c:v>19-'21</c:v>
                </c:pt>
                <c:pt idx="5">
                  <c:v>20-'22</c:v>
                </c:pt>
                <c:pt idx="6">
                  <c:v>21-'23</c:v>
                </c:pt>
                <c:pt idx="7">
                  <c:v>22-'24</c:v>
                </c:pt>
                <c:pt idx="8">
                  <c:v>23-'25</c:v>
                </c:pt>
                <c:pt idx="9">
                  <c:v>24-'26</c:v>
                </c:pt>
                <c:pt idx="10">
                  <c:v>25-'27</c:v>
                </c:pt>
                <c:pt idx="11">
                  <c:v>26-'28</c:v>
                </c:pt>
                <c:pt idx="12">
                  <c:v>27-'29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'Projected Reliability - Graphs'!$B$56:$Q$56</c15:sqref>
                  </c15:fullRef>
                </c:ext>
              </c:extLst>
              <c:f>'Projected Reliability - Graphs'!$E$56:$Q$56</c:f>
              <c:numCache>
                <c:formatCode>General</c:formatCode>
                <c:ptCount val="13"/>
                <c:pt idx="7" formatCode="0">
                  <c:v>422.58000000000004</c:v>
                </c:pt>
                <c:pt idx="8" formatCode="0">
                  <c:v>420.93676389634521</c:v>
                </c:pt>
                <c:pt idx="9" formatCode="0">
                  <c:v>415.43870068427202</c:v>
                </c:pt>
                <c:pt idx="10" formatCode="0">
                  <c:v>408.85503595197321</c:v>
                </c:pt>
                <c:pt idx="11" formatCode="0">
                  <c:v>404.67669763359498</c:v>
                </c:pt>
                <c:pt idx="12" formatCode="0">
                  <c:v>396.24130568976835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38-4708-8CCA-197CBC2984B9}"/>
            </c:ext>
          </c:extLst>
        </c:ser>
        <c:ser>
          <c:idx val="2"/>
          <c:order val="1"/>
          <c:tx>
            <c:strRef>
              <c:f>'Projected Reliability - Graphs'!$A$57</c:f>
              <c:strCache>
                <c:ptCount val="1"/>
                <c:pt idx="0">
                  <c:v>DRR (no TOR) Over Projection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38-4708-8CCA-197CBC2984B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'Projected Reliability - Graphs'!$B$2:$Q$2</c15:sqref>
                  </c15:fullRef>
                </c:ext>
              </c:extLst>
              <c:f>'Projected Reliability - Graphs'!$E$2:$Q$2</c:f>
              <c:strCache>
                <c:ptCount val="13"/>
                <c:pt idx="0">
                  <c:v>15-'17</c:v>
                </c:pt>
                <c:pt idx="1">
                  <c:v>16-'18</c:v>
                </c:pt>
                <c:pt idx="2">
                  <c:v>17-'19</c:v>
                </c:pt>
                <c:pt idx="3">
                  <c:v>18-'20</c:v>
                </c:pt>
                <c:pt idx="4">
                  <c:v>19-'21</c:v>
                </c:pt>
                <c:pt idx="5">
                  <c:v>20-'22</c:v>
                </c:pt>
                <c:pt idx="6">
                  <c:v>21-'23</c:v>
                </c:pt>
                <c:pt idx="7">
                  <c:v>22-'24</c:v>
                </c:pt>
                <c:pt idx="8">
                  <c:v>23-'25</c:v>
                </c:pt>
                <c:pt idx="9">
                  <c:v>24-'26</c:v>
                </c:pt>
                <c:pt idx="10">
                  <c:v>25-'27</c:v>
                </c:pt>
                <c:pt idx="11">
                  <c:v>26-'28</c:v>
                </c:pt>
                <c:pt idx="12">
                  <c:v>27-'29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'Projected Reliability - Graphs'!$B$57:$Q$57</c15:sqref>
                  </c15:fullRef>
                </c:ext>
              </c:extLst>
              <c:f>'Projected Reliability - Graphs'!$E$57:$Q$57</c:f>
              <c:numCache>
                <c:formatCode>General</c:formatCode>
                <c:ptCount val="13"/>
                <c:pt idx="8" formatCode="0">
                  <c:v>441.98360209116248</c:v>
                </c:pt>
                <c:pt idx="9" formatCode="0">
                  <c:v>436.21063571848566</c:v>
                </c:pt>
                <c:pt idx="10" formatCode="0">
                  <c:v>429.29778774957191</c:v>
                </c:pt>
                <c:pt idx="11" formatCode="0">
                  <c:v>424.91053251527472</c:v>
                </c:pt>
                <c:pt idx="12" formatCode="0">
                  <c:v>416.05337097425678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38-4708-8CCA-197CBC2984B9}"/>
            </c:ext>
          </c:extLst>
        </c:ser>
        <c:ser>
          <c:idx val="3"/>
          <c:order val="2"/>
          <c:tx>
            <c:strRef>
              <c:f>'Projected Reliability - Graphs'!$A$58</c:f>
              <c:strCache>
                <c:ptCount val="1"/>
                <c:pt idx="0">
                  <c:v>DRR (no TOR) Under Projected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2.2337092451654744E-2"/>
                  <c:y val="-3.1088947214931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38-4708-8CCA-197CBC2984B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'Projected Reliability - Graphs'!$B$2:$Q$2</c15:sqref>
                  </c15:fullRef>
                </c:ext>
              </c:extLst>
              <c:f>'Projected Reliability - Graphs'!$E$2:$Q$2</c:f>
              <c:strCache>
                <c:ptCount val="13"/>
                <c:pt idx="0">
                  <c:v>15-'17</c:v>
                </c:pt>
                <c:pt idx="1">
                  <c:v>16-'18</c:v>
                </c:pt>
                <c:pt idx="2">
                  <c:v>17-'19</c:v>
                </c:pt>
                <c:pt idx="3">
                  <c:v>18-'20</c:v>
                </c:pt>
                <c:pt idx="4">
                  <c:v>19-'21</c:v>
                </c:pt>
                <c:pt idx="5">
                  <c:v>20-'22</c:v>
                </c:pt>
                <c:pt idx="6">
                  <c:v>21-'23</c:v>
                </c:pt>
                <c:pt idx="7">
                  <c:v>22-'24</c:v>
                </c:pt>
                <c:pt idx="8">
                  <c:v>23-'25</c:v>
                </c:pt>
                <c:pt idx="9">
                  <c:v>24-'26</c:v>
                </c:pt>
                <c:pt idx="10">
                  <c:v>25-'27</c:v>
                </c:pt>
                <c:pt idx="11">
                  <c:v>26-'28</c:v>
                </c:pt>
                <c:pt idx="12">
                  <c:v>27-'29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'Projected Reliability - Graphs'!$B$58:$Q$58</c15:sqref>
                  </c15:fullRef>
                </c:ext>
              </c:extLst>
              <c:f>'Projected Reliability - Graphs'!$E$58:$Q$58</c:f>
              <c:numCache>
                <c:formatCode>General</c:formatCode>
                <c:ptCount val="13"/>
                <c:pt idx="8" formatCode="0">
                  <c:v>399.88992570152794</c:v>
                </c:pt>
                <c:pt idx="9" formatCode="0">
                  <c:v>394.66676565005844</c:v>
                </c:pt>
                <c:pt idx="10" formatCode="0">
                  <c:v>388.41228415437456</c:v>
                </c:pt>
                <c:pt idx="11" formatCode="0">
                  <c:v>384.44286275191524</c:v>
                </c:pt>
                <c:pt idx="12" formatCode="0">
                  <c:v>376.42924040527993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38-4708-8CCA-197CBC2984B9}"/>
            </c:ext>
          </c:extLst>
        </c:ser>
        <c:ser>
          <c:idx val="0"/>
          <c:order val="3"/>
          <c:tx>
            <c:strRef>
              <c:f>'Projected Reliability - Graphs'!$A$55</c:f>
              <c:strCache>
                <c:ptCount val="1"/>
                <c:pt idx="0">
                  <c:v>3 Year Average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4.0305783511199504E-2"/>
                      <c:h val="7.10667833187518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499-4E28-9C18-E73AD6773F4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'Projected Reliability - Graphs'!$B$2:$Q$2</c15:sqref>
                  </c15:fullRef>
                </c:ext>
              </c:extLst>
              <c:f>'Projected Reliability - Graphs'!$E$2:$Q$2</c:f>
              <c:strCache>
                <c:ptCount val="13"/>
                <c:pt idx="0">
                  <c:v>15-'17</c:v>
                </c:pt>
                <c:pt idx="1">
                  <c:v>16-'18</c:v>
                </c:pt>
                <c:pt idx="2">
                  <c:v>17-'19</c:v>
                </c:pt>
                <c:pt idx="3">
                  <c:v>18-'20</c:v>
                </c:pt>
                <c:pt idx="4">
                  <c:v>19-'21</c:v>
                </c:pt>
                <c:pt idx="5">
                  <c:v>20-'22</c:v>
                </c:pt>
                <c:pt idx="6">
                  <c:v>21-'23</c:v>
                </c:pt>
                <c:pt idx="7">
                  <c:v>22-'24</c:v>
                </c:pt>
                <c:pt idx="8">
                  <c:v>23-'25</c:v>
                </c:pt>
                <c:pt idx="9">
                  <c:v>24-'26</c:v>
                </c:pt>
                <c:pt idx="10">
                  <c:v>25-'27</c:v>
                </c:pt>
                <c:pt idx="11">
                  <c:v>26-'28</c:v>
                </c:pt>
                <c:pt idx="12">
                  <c:v>27-'29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'Projected Reliability - Graphs'!$B$55:$M$55</c15:sqref>
                  </c15:fullRef>
                </c:ext>
              </c:extLst>
              <c:f>'Projected Reliability - Graphs'!$E$55:$M$55</c:f>
              <c:numCache>
                <c:formatCode>General</c:formatCode>
                <c:ptCount val="9"/>
                <c:pt idx="0" formatCode="0">
                  <c:v>440</c:v>
                </c:pt>
                <c:pt idx="1" formatCode="0">
                  <c:v>445.33333333333331</c:v>
                </c:pt>
                <c:pt idx="2" formatCode="0">
                  <c:v>458.33333333333331</c:v>
                </c:pt>
                <c:pt idx="3" formatCode="0">
                  <c:v>455.33333333333331</c:v>
                </c:pt>
                <c:pt idx="4" formatCode="0">
                  <c:v>428</c:v>
                </c:pt>
                <c:pt idx="5" formatCode="0">
                  <c:v>430</c:v>
                </c:pt>
                <c:pt idx="6" formatCode="0">
                  <c:v>426.29</c:v>
                </c:pt>
                <c:pt idx="7" formatCode="0">
                  <c:v>422.58000000000004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38-4708-8CCA-197CBC298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450160"/>
        <c:axId val="127454320"/>
      </c:lineChart>
      <c:catAx>
        <c:axId val="12745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54320"/>
        <c:crosses val="autoZero"/>
        <c:auto val="1"/>
        <c:lblAlgn val="ctr"/>
        <c:lblOffset val="100"/>
        <c:noMultiLvlLbl val="0"/>
      </c:catAx>
      <c:valAx>
        <c:axId val="127454320"/>
        <c:scaling>
          <c:orientation val="minMax"/>
          <c:max val="50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SAIDI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5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Kentucky TOR SAIDI - Historical</a:t>
            </a:r>
            <a:r>
              <a:rPr lang="en-US" b="1" baseline="0"/>
              <a:t> Performance and Proposed DRR Enhanced ROW Glidepath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'Projected Reliability - Graphs'!$A$31</c:f>
              <c:strCache>
                <c:ptCount val="1"/>
                <c:pt idx="0">
                  <c:v>3 Year Average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'Projected Reliability - Graphs'!$B$2:$Q$2</c15:sqref>
                  </c15:fullRef>
                </c:ext>
              </c:extLst>
              <c:f>'Projected Reliability - Graphs'!$E$2:$Q$2</c:f>
              <c:strCache>
                <c:ptCount val="13"/>
                <c:pt idx="0">
                  <c:v>15-'17</c:v>
                </c:pt>
                <c:pt idx="1">
                  <c:v>16-'18</c:v>
                </c:pt>
                <c:pt idx="2">
                  <c:v>17-'19</c:v>
                </c:pt>
                <c:pt idx="3">
                  <c:v>18-'20</c:v>
                </c:pt>
                <c:pt idx="4">
                  <c:v>19-'21</c:v>
                </c:pt>
                <c:pt idx="5">
                  <c:v>20-'22</c:v>
                </c:pt>
                <c:pt idx="6">
                  <c:v>21-'23</c:v>
                </c:pt>
                <c:pt idx="7">
                  <c:v>22-'24</c:v>
                </c:pt>
                <c:pt idx="8">
                  <c:v>23-'25</c:v>
                </c:pt>
                <c:pt idx="9">
                  <c:v>24-'26</c:v>
                </c:pt>
                <c:pt idx="10">
                  <c:v>25-'27</c:v>
                </c:pt>
                <c:pt idx="11">
                  <c:v>26-'28</c:v>
                </c:pt>
                <c:pt idx="12">
                  <c:v>27-'29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'Projected Reliability - Graphs'!$B$31:$L$31</c15:sqref>
                  </c15:fullRef>
                </c:ext>
              </c:extLst>
              <c:f>'Projected Reliability - Graphs'!$E$31:$L$31</c:f>
              <c:numCache>
                <c:formatCode>General</c:formatCode>
                <c:ptCount val="8"/>
                <c:pt idx="0" formatCode="0">
                  <c:v>176.66666666666666</c:v>
                </c:pt>
                <c:pt idx="1" formatCode="0">
                  <c:v>194</c:v>
                </c:pt>
                <c:pt idx="2" formatCode="0">
                  <c:v>215.33333333333334</c:v>
                </c:pt>
                <c:pt idx="3" formatCode="0">
                  <c:v>217.33333333333334</c:v>
                </c:pt>
                <c:pt idx="4" formatCode="0">
                  <c:v>206.33333333333334</c:v>
                </c:pt>
                <c:pt idx="5" formatCode="0">
                  <c:v>198</c:v>
                </c:pt>
                <c:pt idx="6" formatCode="0">
                  <c:v>194.39</c:v>
                </c:pt>
                <c:pt idx="7" formatCode="0">
                  <c:v>190.67999999999998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B3-4AB0-812A-7A92D3A8BA9C}"/>
            </c:ext>
          </c:extLst>
        </c:ser>
        <c:ser>
          <c:idx val="1"/>
          <c:order val="1"/>
          <c:tx>
            <c:strRef>
              <c:f>'Projected Reliability - Graphs'!$A$32</c:f>
              <c:strCache>
                <c:ptCount val="1"/>
                <c:pt idx="0">
                  <c:v>DRR (only TOR) Glidepath Projected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'Projected Reliability - Graphs'!$B$2:$Q$2</c15:sqref>
                  </c15:fullRef>
                </c:ext>
              </c:extLst>
              <c:f>'Projected Reliability - Graphs'!$E$2:$Q$2</c:f>
              <c:strCache>
                <c:ptCount val="13"/>
                <c:pt idx="0">
                  <c:v>15-'17</c:v>
                </c:pt>
                <c:pt idx="1">
                  <c:v>16-'18</c:v>
                </c:pt>
                <c:pt idx="2">
                  <c:v>17-'19</c:v>
                </c:pt>
                <c:pt idx="3">
                  <c:v>18-'20</c:v>
                </c:pt>
                <c:pt idx="4">
                  <c:v>19-'21</c:v>
                </c:pt>
                <c:pt idx="5">
                  <c:v>20-'22</c:v>
                </c:pt>
                <c:pt idx="6">
                  <c:v>21-'23</c:v>
                </c:pt>
                <c:pt idx="7">
                  <c:v>22-'24</c:v>
                </c:pt>
                <c:pt idx="8">
                  <c:v>23-'25</c:v>
                </c:pt>
                <c:pt idx="9">
                  <c:v>24-'26</c:v>
                </c:pt>
                <c:pt idx="10">
                  <c:v>25-'27</c:v>
                </c:pt>
                <c:pt idx="11">
                  <c:v>26-'28</c:v>
                </c:pt>
                <c:pt idx="12">
                  <c:v>27-'29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'Projected Reliability - Graphs'!$B$32:$Q$32</c15:sqref>
                  </c15:fullRef>
                </c:ext>
              </c:extLst>
              <c:f>'Projected Reliability - Graphs'!$E$32:$Q$32</c:f>
              <c:numCache>
                <c:formatCode>General</c:formatCode>
                <c:ptCount val="13"/>
                <c:pt idx="7" formatCode="0">
                  <c:v>190.67999999999998</c:v>
                </c:pt>
                <c:pt idx="8" formatCode="0">
                  <c:v>184.67999999999998</c:v>
                </c:pt>
                <c:pt idx="9" formatCode="0">
                  <c:v>178.67999999999998</c:v>
                </c:pt>
                <c:pt idx="10" formatCode="0">
                  <c:v>172.67999999999998</c:v>
                </c:pt>
                <c:pt idx="11" formatCode="0">
                  <c:v>166.67999999999998</c:v>
                </c:pt>
                <c:pt idx="12" formatCode="0">
                  <c:v>160.67999999999998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B3-4AB0-812A-7A92D3A8BA9C}"/>
            </c:ext>
          </c:extLst>
        </c:ser>
        <c:ser>
          <c:idx val="2"/>
          <c:order val="2"/>
          <c:tx>
            <c:strRef>
              <c:f>'Projected Reliability - Graphs'!$A$33</c:f>
              <c:strCache>
                <c:ptCount val="1"/>
                <c:pt idx="0">
                  <c:v>DRR (only TOR) Over Projected</c:v>
                </c:pt>
              </c:strCache>
            </c:strRef>
          </c:tx>
          <c:spPr>
            <a:ln w="12700" cap="rnd" cmpd="sng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B3-4AB0-812A-7A92D3A8B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'Projected Reliability - Graphs'!$B$2:$Q$2</c15:sqref>
                  </c15:fullRef>
                </c:ext>
              </c:extLst>
              <c:f>'Projected Reliability - Graphs'!$E$2:$Q$2</c:f>
              <c:strCache>
                <c:ptCount val="13"/>
                <c:pt idx="0">
                  <c:v>15-'17</c:v>
                </c:pt>
                <c:pt idx="1">
                  <c:v>16-'18</c:v>
                </c:pt>
                <c:pt idx="2">
                  <c:v>17-'19</c:v>
                </c:pt>
                <c:pt idx="3">
                  <c:v>18-'20</c:v>
                </c:pt>
                <c:pt idx="4">
                  <c:v>19-'21</c:v>
                </c:pt>
                <c:pt idx="5">
                  <c:v>20-'22</c:v>
                </c:pt>
                <c:pt idx="6">
                  <c:v>21-'23</c:v>
                </c:pt>
                <c:pt idx="7">
                  <c:v>22-'24</c:v>
                </c:pt>
                <c:pt idx="8">
                  <c:v>23-'25</c:v>
                </c:pt>
                <c:pt idx="9">
                  <c:v>24-'26</c:v>
                </c:pt>
                <c:pt idx="10">
                  <c:v>25-'27</c:v>
                </c:pt>
                <c:pt idx="11">
                  <c:v>26-'28</c:v>
                </c:pt>
                <c:pt idx="12">
                  <c:v>27-'29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'Projected Reliability - Graphs'!$B$33:$Q$33</c15:sqref>
                  </c15:fullRef>
                </c:ext>
              </c:extLst>
              <c:f>'Projected Reliability - Graphs'!$E$33:$Q$33</c:f>
              <c:numCache>
                <c:formatCode>General</c:formatCode>
                <c:ptCount val="13"/>
                <c:pt idx="6" formatCode="0">
                  <c:v>204.1095</c:v>
                </c:pt>
                <c:pt idx="7" formatCode="0">
                  <c:v>200.214</c:v>
                </c:pt>
                <c:pt idx="8" formatCode="0">
                  <c:v>193.91399999999999</c:v>
                </c:pt>
                <c:pt idx="9" formatCode="0">
                  <c:v>187.61399999999998</c:v>
                </c:pt>
                <c:pt idx="10" formatCode="0">
                  <c:v>181.31399999999999</c:v>
                </c:pt>
                <c:pt idx="11" formatCode="0">
                  <c:v>175.01399999999998</c:v>
                </c:pt>
                <c:pt idx="12" formatCode="0">
                  <c:v>168.714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B3-4AB0-812A-7A92D3A8BA9C}"/>
            </c:ext>
          </c:extLst>
        </c:ser>
        <c:ser>
          <c:idx val="3"/>
          <c:order val="3"/>
          <c:tx>
            <c:strRef>
              <c:f>'Projected Reliability - Graphs'!$A$34</c:f>
              <c:strCache>
                <c:ptCount val="1"/>
                <c:pt idx="0">
                  <c:v>DRR (only TOR) Under Projected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2.0926664289620308E-2"/>
                  <c:y val="-2.1406179702087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B3-4AB0-812A-7A92D3A8BA9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'Projected Reliability - Graphs'!$B$2:$Q$2</c15:sqref>
                  </c15:fullRef>
                </c:ext>
              </c:extLst>
              <c:f>'Projected Reliability - Graphs'!$E$2:$Q$2</c:f>
              <c:strCache>
                <c:ptCount val="13"/>
                <c:pt idx="0">
                  <c:v>15-'17</c:v>
                </c:pt>
                <c:pt idx="1">
                  <c:v>16-'18</c:v>
                </c:pt>
                <c:pt idx="2">
                  <c:v>17-'19</c:v>
                </c:pt>
                <c:pt idx="3">
                  <c:v>18-'20</c:v>
                </c:pt>
                <c:pt idx="4">
                  <c:v>19-'21</c:v>
                </c:pt>
                <c:pt idx="5">
                  <c:v>20-'22</c:v>
                </c:pt>
                <c:pt idx="6">
                  <c:v>21-'23</c:v>
                </c:pt>
                <c:pt idx="7">
                  <c:v>22-'24</c:v>
                </c:pt>
                <c:pt idx="8">
                  <c:v>23-'25</c:v>
                </c:pt>
                <c:pt idx="9">
                  <c:v>24-'26</c:v>
                </c:pt>
                <c:pt idx="10">
                  <c:v>25-'27</c:v>
                </c:pt>
                <c:pt idx="11">
                  <c:v>26-'28</c:v>
                </c:pt>
                <c:pt idx="12">
                  <c:v>27-'29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'Projected Reliability - Graphs'!$B$34:$Q$34</c15:sqref>
                  </c15:fullRef>
                </c:ext>
              </c:extLst>
              <c:f>'Projected Reliability - Graphs'!$E$34:$Q$34</c:f>
              <c:numCache>
                <c:formatCode>General</c:formatCode>
                <c:ptCount val="13"/>
                <c:pt idx="6" formatCode="0">
                  <c:v>184.67049999999998</c:v>
                </c:pt>
                <c:pt idx="7" formatCode="0">
                  <c:v>181.14599999999999</c:v>
                </c:pt>
                <c:pt idx="8" formatCode="0">
                  <c:v>175.44599999999997</c:v>
                </c:pt>
                <c:pt idx="9" formatCode="0">
                  <c:v>169.74599999999998</c:v>
                </c:pt>
                <c:pt idx="10" formatCode="0">
                  <c:v>164.04599999999999</c:v>
                </c:pt>
                <c:pt idx="11" formatCode="0">
                  <c:v>158.34599999999998</c:v>
                </c:pt>
                <c:pt idx="12" formatCode="0">
                  <c:v>152.64599999999999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B3-4AB0-812A-7A92D3A8B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0448736"/>
        <c:axId val="300466208"/>
      </c:lineChart>
      <c:catAx>
        <c:axId val="30044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466208"/>
        <c:crosses val="autoZero"/>
        <c:auto val="1"/>
        <c:lblAlgn val="ctr"/>
        <c:lblOffset val="100"/>
        <c:noMultiLvlLbl val="0"/>
      </c:catAx>
      <c:valAx>
        <c:axId val="300466208"/>
        <c:scaling>
          <c:orientation val="minMax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SAIDI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44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6350</xdr:colOff>
      <xdr:row>0</xdr:row>
      <xdr:rowOff>0</xdr:rowOff>
    </xdr:from>
    <xdr:to>
      <xdr:col>31</xdr:col>
      <xdr:colOff>368300</xdr:colOff>
      <xdr:row>27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587220-14EF-4505-ACC5-2D56CF9F1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</xdr:colOff>
      <xdr:row>55</xdr:row>
      <xdr:rowOff>14287</xdr:rowOff>
    </xdr:from>
    <xdr:to>
      <xdr:col>32</xdr:col>
      <xdr:colOff>228600</xdr:colOff>
      <xdr:row>78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F814FA-6F8C-4EDA-939F-C0A60FDC7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23811</xdr:colOff>
      <xdr:row>28</xdr:row>
      <xdr:rowOff>185736</xdr:rowOff>
    </xdr:from>
    <xdr:to>
      <xdr:col>32</xdr:col>
      <xdr:colOff>228600</xdr:colOff>
      <xdr:row>50</xdr:row>
      <xdr:rowOff>114299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C61A5BF-B785-4D53-8041-35D21848F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50"/>
  <sheetViews>
    <sheetView tabSelected="1" zoomScale="80" zoomScaleNormal="80" workbookViewId="0">
      <pane ySplit="1" topLeftCell="A2" activePane="bottomLeft" state="frozen"/>
      <selection pane="bottomLeft" activeCell="P5" sqref="P5"/>
    </sheetView>
  </sheetViews>
  <sheetFormatPr defaultRowHeight="15" x14ac:dyDescent="0.25"/>
  <cols>
    <col min="2" max="2" width="67.5703125" customWidth="1"/>
    <col min="3" max="3" width="9.5703125" bestFit="1" customWidth="1"/>
    <col min="4" max="4" width="18.85546875" style="18" bestFit="1" customWidth="1"/>
    <col min="5" max="5" width="19.85546875" style="18" customWidth="1"/>
    <col min="6" max="6" width="19.42578125" style="18" bestFit="1" customWidth="1"/>
    <col min="7" max="7" width="18.42578125" style="18" bestFit="1" customWidth="1"/>
    <col min="8" max="8" width="18.85546875" style="18" bestFit="1" customWidth="1"/>
    <col min="9" max="9" width="20.140625" style="18" bestFit="1" customWidth="1"/>
  </cols>
  <sheetData>
    <row r="1" spans="2:9" ht="23.25" x14ac:dyDescent="0.35">
      <c r="B1" s="104" t="s">
        <v>0</v>
      </c>
      <c r="C1" s="94" t="s">
        <v>1</v>
      </c>
      <c r="D1" s="11" t="s">
        <v>92</v>
      </c>
      <c r="E1" s="2" t="s">
        <v>2</v>
      </c>
      <c r="F1" s="2" t="s">
        <v>3</v>
      </c>
      <c r="G1" s="2" t="s">
        <v>4</v>
      </c>
      <c r="H1" s="2" t="s">
        <v>5</v>
      </c>
      <c r="I1" s="1" t="s">
        <v>6</v>
      </c>
    </row>
    <row r="2" spans="2:9" ht="23.25" x14ac:dyDescent="0.35">
      <c r="B2" s="105" t="s">
        <v>7</v>
      </c>
      <c r="C2" s="123" t="s">
        <v>8</v>
      </c>
      <c r="D2" s="155">
        <f t="shared" ref="D2:I2" si="0">SUM(D3:D7)</f>
        <v>165908800</v>
      </c>
      <c r="E2" s="155">
        <f>SUM(E3:E7)</f>
        <v>19000000</v>
      </c>
      <c r="F2" s="155">
        <f t="shared" si="0"/>
        <v>35288300</v>
      </c>
      <c r="G2" s="155">
        <f t="shared" si="0"/>
        <v>32881000</v>
      </c>
      <c r="H2" s="155">
        <f t="shared" si="0"/>
        <v>38733000</v>
      </c>
      <c r="I2" s="156">
        <f t="shared" si="0"/>
        <v>40006500</v>
      </c>
    </row>
    <row r="3" spans="2:9" ht="18.75" x14ac:dyDescent="0.3">
      <c r="B3" s="106" t="s">
        <v>151</v>
      </c>
      <c r="C3" s="123" t="s">
        <v>8</v>
      </c>
      <c r="D3" s="155">
        <f>SUM(E3:I3)</f>
        <v>60000000</v>
      </c>
      <c r="E3" s="155">
        <v>12000000</v>
      </c>
      <c r="F3" s="155">
        <v>12000000</v>
      </c>
      <c r="G3" s="155">
        <v>12000000</v>
      </c>
      <c r="H3" s="155">
        <v>12000000</v>
      </c>
      <c r="I3" s="156">
        <v>12000000</v>
      </c>
    </row>
    <row r="4" spans="2:9" ht="18.75" x14ac:dyDescent="0.3">
      <c r="B4" s="106" t="s">
        <v>152</v>
      </c>
      <c r="C4" s="123" t="s">
        <v>8</v>
      </c>
      <c r="D4" s="155">
        <f>SUM(E4:I4)</f>
        <v>10580000</v>
      </c>
      <c r="E4" s="155">
        <f>(E10+E14+E18)</f>
        <v>1000000</v>
      </c>
      <c r="F4" s="155">
        <f>(F10+F14+F18)*1.33</f>
        <v>3325000</v>
      </c>
      <c r="G4" s="155">
        <f>(G10+G14+G18)*1.33</f>
        <v>3192000</v>
      </c>
      <c r="H4" s="155">
        <f>(H10+H14+H18)*1.33</f>
        <v>1463000</v>
      </c>
      <c r="I4" s="156">
        <v>1600000</v>
      </c>
    </row>
    <row r="5" spans="2:9" ht="18.75" x14ac:dyDescent="0.3">
      <c r="B5" s="106" t="s">
        <v>12</v>
      </c>
      <c r="C5" s="123" t="s">
        <v>8</v>
      </c>
      <c r="D5" s="155">
        <f>SUM(E5:I5)</f>
        <v>27812800</v>
      </c>
      <c r="E5" s="155">
        <v>1000000</v>
      </c>
      <c r="F5" s="155">
        <f>(F26+F37+F58+F93)*1.33</f>
        <v>4003300</v>
      </c>
      <c r="G5" s="155">
        <f>(G26+G37+G58+G93)*1.33</f>
        <v>8911000</v>
      </c>
      <c r="H5" s="155">
        <f>(H26+H37+H58+H93)*1.33</f>
        <v>0</v>
      </c>
      <c r="I5" s="156">
        <f>(I26+I37+I58+I93)*1.33</f>
        <v>13898500</v>
      </c>
    </row>
    <row r="6" spans="2:9" ht="18.75" x14ac:dyDescent="0.3">
      <c r="B6" s="106" t="s">
        <v>163</v>
      </c>
      <c r="C6" s="123" t="s">
        <v>8</v>
      </c>
      <c r="D6" s="155">
        <f>SUM(E6:I6)</f>
        <v>52476000</v>
      </c>
      <c r="E6" s="155">
        <f>SUM(E96+E104+E110)</f>
        <v>3000000</v>
      </c>
      <c r="F6" s="155">
        <f>SUM(F96+F104+F110)*1.33</f>
        <v>11970000</v>
      </c>
      <c r="G6" s="155">
        <f>SUM(G96+G104+G110)*1.33</f>
        <v>4788000</v>
      </c>
      <c r="H6" s="155">
        <f>SUM(H96+H104+H110)*1.33</f>
        <v>22610000</v>
      </c>
      <c r="I6" s="156">
        <f>SUM(I96+I104+I110)*1.33</f>
        <v>10108000</v>
      </c>
    </row>
    <row r="7" spans="2:9" ht="18.75" x14ac:dyDescent="0.3">
      <c r="B7" s="106" t="s">
        <v>153</v>
      </c>
      <c r="C7" s="123" t="s">
        <v>8</v>
      </c>
      <c r="D7" s="155">
        <f>SUM(E7:I7)</f>
        <v>15040000</v>
      </c>
      <c r="E7" s="155">
        <v>2000000</v>
      </c>
      <c r="F7" s="155">
        <f t="shared" ref="F7:G7" si="1">3000000*1.33</f>
        <v>3990000</v>
      </c>
      <c r="G7" s="155">
        <f t="shared" si="1"/>
        <v>3990000</v>
      </c>
      <c r="H7" s="155">
        <f>2000000*1.33</f>
        <v>2660000</v>
      </c>
      <c r="I7" s="156">
        <v>2400000</v>
      </c>
    </row>
    <row r="8" spans="2:9" ht="18.75" x14ac:dyDescent="0.3">
      <c r="B8" s="95"/>
      <c r="C8" s="124"/>
      <c r="D8" s="142"/>
      <c r="E8" s="143"/>
      <c r="F8" s="143"/>
      <c r="G8" s="143"/>
      <c r="H8" s="143"/>
      <c r="I8" s="143"/>
    </row>
    <row r="9" spans="2:9" ht="19.5" thickBot="1" x14ac:dyDescent="0.35">
      <c r="B9" s="107" t="s">
        <v>164</v>
      </c>
      <c r="C9" s="163" t="s">
        <v>8</v>
      </c>
      <c r="D9" s="140">
        <f>SUM(D10,D14,D18)</f>
        <v>10580000.241</v>
      </c>
      <c r="E9" s="140">
        <f>SUM(E10,E14,E18)</f>
        <v>1000000</v>
      </c>
      <c r="F9" s="140">
        <f>SUM(F10,F14,F18)*1.33</f>
        <v>3325000</v>
      </c>
      <c r="G9" s="140">
        <f>SUM(G10,G14,G18)*1.33</f>
        <v>3192000</v>
      </c>
      <c r="H9" s="140">
        <f>SUM(H10,H14,H18)*1.33</f>
        <v>1463000</v>
      </c>
      <c r="I9" s="141">
        <f>SUM(I10,I14,I18)*1.33</f>
        <v>1600000.2409999999</v>
      </c>
    </row>
    <row r="10" spans="2:9" ht="19.5" thickBot="1" x14ac:dyDescent="0.35">
      <c r="B10" s="145" t="s">
        <v>155</v>
      </c>
      <c r="C10" s="146" t="s">
        <v>165</v>
      </c>
      <c r="D10" s="147">
        <f>SUM(D11:D13)</f>
        <v>1000000</v>
      </c>
      <c r="E10" s="147">
        <f>SUM(E11:E13)</f>
        <v>1000000</v>
      </c>
      <c r="F10" s="147">
        <f t="shared" ref="F10:I10" si="2">SUM(F11:F13)</f>
        <v>0</v>
      </c>
      <c r="G10" s="147">
        <f t="shared" si="2"/>
        <v>0</v>
      </c>
      <c r="H10" s="147">
        <f t="shared" si="2"/>
        <v>0</v>
      </c>
      <c r="I10" s="148">
        <f t="shared" si="2"/>
        <v>0</v>
      </c>
    </row>
    <row r="11" spans="2:9" x14ac:dyDescent="0.25">
      <c r="B11" s="117" t="s">
        <v>89</v>
      </c>
      <c r="C11" s="130" t="s">
        <v>15</v>
      </c>
      <c r="D11" s="144">
        <f t="shared" ref="D11" si="3">E11+SUM(F11:I11)*1.33</f>
        <v>1000000</v>
      </c>
      <c r="E11" s="26">
        <v>1000000</v>
      </c>
      <c r="F11" s="157">
        <v>0</v>
      </c>
      <c r="G11" s="157">
        <v>0</v>
      </c>
      <c r="H11" s="157">
        <v>0</v>
      </c>
      <c r="I11" s="21">
        <v>0</v>
      </c>
    </row>
    <row r="12" spans="2:9" x14ac:dyDescent="0.25">
      <c r="B12" s="108"/>
      <c r="C12" s="124"/>
      <c r="D12" s="14"/>
      <c r="E12" s="14"/>
      <c r="F12" s="14"/>
      <c r="G12" s="14"/>
      <c r="H12" s="14"/>
      <c r="I12" s="21"/>
    </row>
    <row r="13" spans="2:9" ht="15.75" thickBot="1" x14ac:dyDescent="0.3">
      <c r="B13" s="108"/>
      <c r="C13" s="124"/>
      <c r="D13" s="14"/>
      <c r="E13" s="14"/>
      <c r="F13" s="14"/>
      <c r="G13" s="14"/>
      <c r="H13" s="14"/>
      <c r="I13" s="21"/>
    </row>
    <row r="14" spans="2:9" ht="19.5" thickBot="1" x14ac:dyDescent="0.35">
      <c r="B14" s="145" t="s">
        <v>156</v>
      </c>
      <c r="C14" s="146" t="s">
        <v>165</v>
      </c>
      <c r="D14" s="147">
        <f t="shared" ref="D14:I14" si="4">SUM(D15:D16)</f>
        <v>7316999.9210000001</v>
      </c>
      <c r="E14" s="147">
        <f t="shared" si="4"/>
        <v>0</v>
      </c>
      <c r="F14" s="147">
        <f t="shared" si="4"/>
        <v>2500000</v>
      </c>
      <c r="G14" s="147">
        <f t="shared" si="4"/>
        <v>2400000</v>
      </c>
      <c r="H14" s="147">
        <f t="shared" si="4"/>
        <v>0</v>
      </c>
      <c r="I14" s="148">
        <f t="shared" si="4"/>
        <v>601503.69999999995</v>
      </c>
    </row>
    <row r="15" spans="2:9" ht="30" x14ac:dyDescent="0.25">
      <c r="B15" s="149" t="s">
        <v>21</v>
      </c>
      <c r="C15" s="130" t="s">
        <v>19</v>
      </c>
      <c r="D15" s="144">
        <f t="shared" ref="D15:D16" si="5">E15+SUM(F15:I15)*1.33</f>
        <v>6517000</v>
      </c>
      <c r="E15" s="157">
        <v>0</v>
      </c>
      <c r="F15" s="26">
        <v>2500000</v>
      </c>
      <c r="G15" s="26">
        <v>2400000</v>
      </c>
      <c r="H15" s="26">
        <v>0</v>
      </c>
      <c r="I15" s="27">
        <v>0</v>
      </c>
    </row>
    <row r="16" spans="2:9" x14ac:dyDescent="0.25">
      <c r="B16" s="108" t="s">
        <v>149</v>
      </c>
      <c r="C16" s="124"/>
      <c r="D16" s="88">
        <f t="shared" si="5"/>
        <v>799999.92099999997</v>
      </c>
      <c r="E16" s="14">
        <v>0</v>
      </c>
      <c r="F16" s="14">
        <v>0</v>
      </c>
      <c r="G16" s="14">
        <v>0</v>
      </c>
      <c r="H16" s="14">
        <v>0</v>
      </c>
      <c r="I16" s="21">
        <v>601503.69999999995</v>
      </c>
    </row>
    <row r="17" spans="2:9" ht="15.75" thickBot="1" x14ac:dyDescent="0.3">
      <c r="B17" s="108"/>
      <c r="C17" s="124"/>
      <c r="D17" s="14"/>
      <c r="E17" s="14"/>
      <c r="F17" s="14"/>
      <c r="G17" s="14"/>
      <c r="H17" s="14"/>
      <c r="I17" s="21"/>
    </row>
    <row r="18" spans="2:9" ht="19.5" thickBot="1" x14ac:dyDescent="0.35">
      <c r="B18" s="145" t="s">
        <v>157</v>
      </c>
      <c r="C18" s="146" t="s">
        <v>165</v>
      </c>
      <c r="D18" s="147">
        <f t="shared" ref="D18:I18" si="6">SUM(D19:D20)</f>
        <v>2263000.3200000003</v>
      </c>
      <c r="E18" s="147">
        <f t="shared" si="6"/>
        <v>0</v>
      </c>
      <c r="F18" s="147">
        <f t="shared" si="6"/>
        <v>0</v>
      </c>
      <c r="G18" s="147">
        <f t="shared" si="6"/>
        <v>0</v>
      </c>
      <c r="H18" s="147">
        <f t="shared" si="6"/>
        <v>1100000</v>
      </c>
      <c r="I18" s="148">
        <f t="shared" si="6"/>
        <v>601504</v>
      </c>
    </row>
    <row r="19" spans="2:9" x14ac:dyDescent="0.25">
      <c r="B19" s="150" t="s">
        <v>90</v>
      </c>
      <c r="C19" s="134" t="s">
        <v>23</v>
      </c>
      <c r="D19" s="144">
        <f t="shared" ref="D19:D20" si="7">E19+SUM(F19:I19)*1.33</f>
        <v>1463000</v>
      </c>
      <c r="E19" s="13">
        <v>0</v>
      </c>
      <c r="F19" s="13">
        <v>0</v>
      </c>
      <c r="G19" s="13">
        <v>0</v>
      </c>
      <c r="H19" s="13">
        <v>1100000</v>
      </c>
      <c r="I19" s="12">
        <v>0</v>
      </c>
    </row>
    <row r="20" spans="2:9" x14ac:dyDescent="0.25">
      <c r="B20" s="109" t="s">
        <v>149</v>
      </c>
      <c r="C20" s="125"/>
      <c r="D20" s="158">
        <f t="shared" si="7"/>
        <v>800000.32000000007</v>
      </c>
      <c r="E20" s="167">
        <v>0</v>
      </c>
      <c r="F20" s="167">
        <v>0</v>
      </c>
      <c r="G20" s="167">
        <v>0</v>
      </c>
      <c r="H20" s="167">
        <v>0</v>
      </c>
      <c r="I20" s="168">
        <v>601504</v>
      </c>
    </row>
    <row r="21" spans="2:9" ht="15.75" thickBot="1" x14ac:dyDescent="0.3">
      <c r="B21" s="118"/>
      <c r="C21" s="131"/>
      <c r="D21" s="169"/>
      <c r="E21" s="16"/>
      <c r="F21" s="16"/>
      <c r="G21" s="16"/>
      <c r="H21" s="16"/>
      <c r="I21" s="15"/>
    </row>
    <row r="23" spans="2:9" ht="18.75" x14ac:dyDescent="0.3">
      <c r="B23" s="159"/>
      <c r="C23" s="160"/>
      <c r="D23" s="161"/>
      <c r="E23" s="103"/>
      <c r="F23" s="103"/>
      <c r="G23" s="103"/>
      <c r="H23" s="103"/>
      <c r="I23" s="103"/>
    </row>
    <row r="24" spans="2:9" ht="15.75" thickBot="1" x14ac:dyDescent="0.3">
      <c r="B24" s="162"/>
      <c r="C24" s="162"/>
      <c r="D24" s="84"/>
      <c r="E24" s="84"/>
      <c r="F24" s="84"/>
      <c r="G24" s="84"/>
      <c r="H24" s="84"/>
      <c r="I24" s="84"/>
    </row>
    <row r="25" spans="2:9" ht="19.5" thickBot="1" x14ac:dyDescent="0.35">
      <c r="B25" s="139" t="s">
        <v>140</v>
      </c>
      <c r="C25" s="164" t="s">
        <v>8</v>
      </c>
      <c r="D25" s="76">
        <f>SUM(D26,D37,D58,D93)</f>
        <v>27812800</v>
      </c>
      <c r="E25" s="76">
        <f>SUM(E37,E58,E93)</f>
        <v>1000000</v>
      </c>
      <c r="F25" s="76">
        <f>SUM(F26,F37,F58,F93)*1.33</f>
        <v>4003300</v>
      </c>
      <c r="G25" s="76">
        <f>SUM(G26,G37,G58,G93)*1.33</f>
        <v>8911000</v>
      </c>
      <c r="H25" s="76">
        <f>SUM(H26,H37,H58,H93)*1.33</f>
        <v>0</v>
      </c>
      <c r="I25" s="93">
        <f>SUM(I26,I37,I58,I93)*1.33</f>
        <v>13898500</v>
      </c>
    </row>
    <row r="26" spans="2:9" ht="19.5" thickBot="1" x14ac:dyDescent="0.35">
      <c r="B26" s="111" t="s">
        <v>27</v>
      </c>
      <c r="C26" s="151" t="s">
        <v>165</v>
      </c>
      <c r="D26" s="8">
        <f t="shared" ref="D26:I26" si="8">SUM(D27:D34)</f>
        <v>3005800</v>
      </c>
      <c r="E26" s="8">
        <f t="shared" si="8"/>
        <v>0</v>
      </c>
      <c r="F26" s="8">
        <f t="shared" si="8"/>
        <v>2010000</v>
      </c>
      <c r="G26" s="8">
        <f t="shared" si="8"/>
        <v>250000</v>
      </c>
      <c r="H26" s="8">
        <f t="shared" si="8"/>
        <v>0</v>
      </c>
      <c r="I26" s="7">
        <f t="shared" si="8"/>
        <v>0</v>
      </c>
    </row>
    <row r="27" spans="2:9" x14ac:dyDescent="0.25">
      <c r="B27" s="110" t="s">
        <v>28</v>
      </c>
      <c r="C27" s="25" t="s">
        <v>15</v>
      </c>
      <c r="D27" s="88">
        <f t="shared" ref="D27:D34" si="9">E27+SUM(F27:I27)*1.33</f>
        <v>1330000</v>
      </c>
      <c r="E27" s="91">
        <v>0</v>
      </c>
      <c r="F27" s="91">
        <v>1000000</v>
      </c>
      <c r="G27" s="91">
        <v>0</v>
      </c>
      <c r="H27" s="91">
        <v>0</v>
      </c>
      <c r="I27" s="17">
        <v>0</v>
      </c>
    </row>
    <row r="28" spans="2:9" x14ac:dyDescent="0.25">
      <c r="B28" s="110" t="s">
        <v>29</v>
      </c>
      <c r="C28" s="25" t="s">
        <v>15</v>
      </c>
      <c r="D28" s="88">
        <f t="shared" si="9"/>
        <v>1343300</v>
      </c>
      <c r="E28" s="91">
        <v>0</v>
      </c>
      <c r="F28" s="91">
        <v>1010000</v>
      </c>
      <c r="G28" s="91">
        <v>0</v>
      </c>
      <c r="H28" s="91">
        <v>0</v>
      </c>
      <c r="I28" s="17">
        <v>0</v>
      </c>
    </row>
    <row r="29" spans="2:9" x14ac:dyDescent="0.25">
      <c r="B29" s="110" t="s">
        <v>30</v>
      </c>
      <c r="C29" s="25" t="s">
        <v>15</v>
      </c>
      <c r="D29" s="88">
        <f t="shared" si="9"/>
        <v>332500</v>
      </c>
      <c r="E29" s="91">
        <v>0</v>
      </c>
      <c r="F29" s="91">
        <v>0</v>
      </c>
      <c r="G29" s="91">
        <v>250000</v>
      </c>
      <c r="H29" s="91">
        <v>0</v>
      </c>
      <c r="I29" s="17">
        <v>0</v>
      </c>
    </row>
    <row r="30" spans="2:9" x14ac:dyDescent="0.25">
      <c r="B30" s="110" t="s">
        <v>31</v>
      </c>
      <c r="C30" s="25" t="s">
        <v>15</v>
      </c>
      <c r="D30" s="88">
        <f t="shared" si="9"/>
        <v>0</v>
      </c>
      <c r="E30" s="91">
        <v>0</v>
      </c>
      <c r="F30" s="91">
        <v>0</v>
      </c>
      <c r="G30" s="91">
        <v>0</v>
      </c>
      <c r="H30" s="91">
        <v>0</v>
      </c>
      <c r="I30" s="17">
        <v>0</v>
      </c>
    </row>
    <row r="31" spans="2:9" x14ac:dyDescent="0.25">
      <c r="B31" s="110" t="s">
        <v>32</v>
      </c>
      <c r="C31" s="25" t="s">
        <v>15</v>
      </c>
      <c r="D31" s="88">
        <f t="shared" si="9"/>
        <v>0</v>
      </c>
      <c r="E31" s="91">
        <v>0</v>
      </c>
      <c r="F31" s="91">
        <v>0</v>
      </c>
      <c r="G31" s="91">
        <v>0</v>
      </c>
      <c r="H31" s="91">
        <v>0</v>
      </c>
      <c r="I31" s="17">
        <v>0</v>
      </c>
    </row>
    <row r="32" spans="2:9" x14ac:dyDescent="0.25">
      <c r="B32" s="110" t="s">
        <v>33</v>
      </c>
      <c r="C32" s="25" t="s">
        <v>15</v>
      </c>
      <c r="D32" s="88">
        <f t="shared" si="9"/>
        <v>0</v>
      </c>
      <c r="E32" s="91">
        <v>0</v>
      </c>
      <c r="F32" s="91">
        <v>0</v>
      </c>
      <c r="G32" s="91">
        <v>0</v>
      </c>
      <c r="H32" s="91">
        <v>0</v>
      </c>
      <c r="I32" s="17">
        <v>0</v>
      </c>
    </row>
    <row r="33" spans="2:9" x14ac:dyDescent="0.25">
      <c r="B33" s="110" t="s">
        <v>34</v>
      </c>
      <c r="C33" s="25" t="s">
        <v>15</v>
      </c>
      <c r="D33" s="88">
        <f t="shared" si="9"/>
        <v>0</v>
      </c>
      <c r="E33" s="91">
        <v>0</v>
      </c>
      <c r="F33" s="91">
        <v>0</v>
      </c>
      <c r="G33" s="91">
        <v>0</v>
      </c>
      <c r="H33" s="91">
        <v>0</v>
      </c>
      <c r="I33" s="17">
        <v>0</v>
      </c>
    </row>
    <row r="34" spans="2:9" x14ac:dyDescent="0.25">
      <c r="B34" s="110" t="s">
        <v>35</v>
      </c>
      <c r="C34" s="25" t="s">
        <v>15</v>
      </c>
      <c r="D34" s="88">
        <f t="shared" si="9"/>
        <v>0</v>
      </c>
      <c r="E34" s="91">
        <v>0</v>
      </c>
      <c r="F34" s="91">
        <v>0</v>
      </c>
      <c r="G34" s="91">
        <v>0</v>
      </c>
      <c r="H34" s="91">
        <v>0</v>
      </c>
      <c r="I34" s="17">
        <v>0</v>
      </c>
    </row>
    <row r="35" spans="2:9" x14ac:dyDescent="0.25">
      <c r="B35" s="110"/>
      <c r="C35" s="25"/>
      <c r="D35" s="91"/>
      <c r="E35" s="91"/>
      <c r="F35" s="91"/>
      <c r="G35" s="91"/>
      <c r="H35" s="91"/>
      <c r="I35" s="17"/>
    </row>
    <row r="36" spans="2:9" ht="15.75" thickBot="1" x14ac:dyDescent="0.3">
      <c r="B36" s="112"/>
      <c r="C36" s="126"/>
      <c r="D36" s="14"/>
      <c r="E36" s="14"/>
      <c r="F36" s="14"/>
      <c r="G36" s="14"/>
      <c r="H36" s="14"/>
      <c r="I36" s="21"/>
    </row>
    <row r="37" spans="2:9" ht="19.5" thickBot="1" x14ac:dyDescent="0.35">
      <c r="B37" s="113" t="s">
        <v>36</v>
      </c>
      <c r="C37" s="152" t="s">
        <v>166</v>
      </c>
      <c r="D37" s="10">
        <f t="shared" ref="D37:I37" si="10">SUM(D38:D55)</f>
        <v>14098000</v>
      </c>
      <c r="E37" s="10">
        <f t="shared" si="10"/>
        <v>0</v>
      </c>
      <c r="F37" s="10">
        <f t="shared" si="10"/>
        <v>0</v>
      </c>
      <c r="G37" s="10">
        <f t="shared" si="10"/>
        <v>3750000</v>
      </c>
      <c r="H37" s="10">
        <f t="shared" si="10"/>
        <v>0</v>
      </c>
      <c r="I37" s="9">
        <f t="shared" si="10"/>
        <v>6850000</v>
      </c>
    </row>
    <row r="38" spans="2:9" x14ac:dyDescent="0.25">
      <c r="B38" s="110" t="s">
        <v>37</v>
      </c>
      <c r="C38" s="127" t="s">
        <v>19</v>
      </c>
      <c r="D38" s="88">
        <f t="shared" ref="D38:D55" si="11">E38+SUM(F38:I38)*1.33</f>
        <v>731500</v>
      </c>
      <c r="E38" s="91">
        <v>0</v>
      </c>
      <c r="F38" s="91">
        <v>0</v>
      </c>
      <c r="G38" s="91">
        <v>550000</v>
      </c>
      <c r="H38" s="91">
        <v>0</v>
      </c>
      <c r="I38" s="17">
        <v>0</v>
      </c>
    </row>
    <row r="39" spans="2:9" x14ac:dyDescent="0.25">
      <c r="B39" s="110" t="s">
        <v>38</v>
      </c>
      <c r="C39" s="127" t="s">
        <v>19</v>
      </c>
      <c r="D39" s="88">
        <f t="shared" si="11"/>
        <v>665000</v>
      </c>
      <c r="E39" s="91">
        <v>0</v>
      </c>
      <c r="F39" s="91">
        <v>0</v>
      </c>
      <c r="G39" s="91">
        <v>500000</v>
      </c>
      <c r="H39" s="91">
        <v>0</v>
      </c>
      <c r="I39" s="17">
        <v>0</v>
      </c>
    </row>
    <row r="40" spans="2:9" x14ac:dyDescent="0.25">
      <c r="B40" s="110" t="s">
        <v>39</v>
      </c>
      <c r="C40" s="127" t="s">
        <v>19</v>
      </c>
      <c r="D40" s="88">
        <f t="shared" si="11"/>
        <v>731500</v>
      </c>
      <c r="E40" s="91">
        <v>0</v>
      </c>
      <c r="F40" s="91">
        <v>0</v>
      </c>
      <c r="G40" s="91">
        <v>550000</v>
      </c>
      <c r="H40" s="91">
        <v>0</v>
      </c>
      <c r="I40" s="17">
        <v>0</v>
      </c>
    </row>
    <row r="41" spans="2:9" x14ac:dyDescent="0.25">
      <c r="B41" s="110" t="s">
        <v>40</v>
      </c>
      <c r="C41" s="127" t="s">
        <v>19</v>
      </c>
      <c r="D41" s="88">
        <f t="shared" si="11"/>
        <v>665000</v>
      </c>
      <c r="E41" s="91">
        <v>0</v>
      </c>
      <c r="F41" s="91">
        <v>0</v>
      </c>
      <c r="G41" s="91">
        <v>500000</v>
      </c>
      <c r="H41" s="91">
        <v>0</v>
      </c>
      <c r="I41" s="17">
        <v>0</v>
      </c>
    </row>
    <row r="42" spans="2:9" x14ac:dyDescent="0.25">
      <c r="B42" s="110" t="s">
        <v>41</v>
      </c>
      <c r="C42" s="127" t="s">
        <v>19</v>
      </c>
      <c r="D42" s="88">
        <f t="shared" si="11"/>
        <v>731500</v>
      </c>
      <c r="E42" s="91">
        <v>0</v>
      </c>
      <c r="F42" s="91">
        <v>0</v>
      </c>
      <c r="G42" s="91">
        <v>550000</v>
      </c>
      <c r="H42" s="91">
        <v>0</v>
      </c>
      <c r="I42" s="17">
        <v>0</v>
      </c>
    </row>
    <row r="43" spans="2:9" x14ac:dyDescent="0.25">
      <c r="B43" s="110" t="s">
        <v>42</v>
      </c>
      <c r="C43" s="127" t="s">
        <v>19</v>
      </c>
      <c r="D43" s="88">
        <f t="shared" si="11"/>
        <v>133000</v>
      </c>
      <c r="E43" s="91">
        <v>0</v>
      </c>
      <c r="F43" s="91">
        <v>0</v>
      </c>
      <c r="G43" s="91">
        <v>100000</v>
      </c>
      <c r="H43" s="91">
        <v>0</v>
      </c>
      <c r="I43" s="17">
        <v>0</v>
      </c>
    </row>
    <row r="44" spans="2:9" x14ac:dyDescent="0.25">
      <c r="B44" s="110" t="s">
        <v>43</v>
      </c>
      <c r="C44" s="127" t="s">
        <v>19</v>
      </c>
      <c r="D44" s="88">
        <f t="shared" si="11"/>
        <v>1330000</v>
      </c>
      <c r="E44" s="91">
        <v>0</v>
      </c>
      <c r="F44" s="91">
        <v>0</v>
      </c>
      <c r="G44" s="91">
        <v>1000000</v>
      </c>
      <c r="H44" s="91">
        <v>0</v>
      </c>
      <c r="I44" s="17">
        <v>0</v>
      </c>
    </row>
    <row r="45" spans="2:9" x14ac:dyDescent="0.25">
      <c r="B45" s="110" t="s">
        <v>44</v>
      </c>
      <c r="C45" s="127" t="s">
        <v>19</v>
      </c>
      <c r="D45" s="88">
        <f t="shared" si="11"/>
        <v>665000</v>
      </c>
      <c r="E45" s="91">
        <v>0</v>
      </c>
      <c r="F45" s="91">
        <v>0</v>
      </c>
      <c r="G45" s="91">
        <v>0</v>
      </c>
      <c r="H45" s="91">
        <v>0</v>
      </c>
      <c r="I45" s="17">
        <v>500000</v>
      </c>
    </row>
    <row r="46" spans="2:9" x14ac:dyDescent="0.25">
      <c r="B46" s="110" t="s">
        <v>45</v>
      </c>
      <c r="C46" s="127" t="s">
        <v>19</v>
      </c>
      <c r="D46" s="88">
        <f t="shared" si="11"/>
        <v>665000</v>
      </c>
      <c r="E46" s="91">
        <v>0</v>
      </c>
      <c r="F46" s="91">
        <v>0</v>
      </c>
      <c r="G46" s="91">
        <v>0</v>
      </c>
      <c r="H46" s="91">
        <v>0</v>
      </c>
      <c r="I46" s="17">
        <v>500000</v>
      </c>
    </row>
    <row r="47" spans="2:9" x14ac:dyDescent="0.25">
      <c r="B47" s="110" t="s">
        <v>46</v>
      </c>
      <c r="C47" s="127" t="s">
        <v>19</v>
      </c>
      <c r="D47" s="88">
        <f t="shared" si="11"/>
        <v>1330000</v>
      </c>
      <c r="E47" s="91">
        <v>0</v>
      </c>
      <c r="F47" s="91">
        <v>0</v>
      </c>
      <c r="G47" s="91">
        <v>0</v>
      </c>
      <c r="H47" s="91">
        <v>0</v>
      </c>
      <c r="I47" s="17">
        <v>1000000</v>
      </c>
    </row>
    <row r="48" spans="2:9" x14ac:dyDescent="0.25">
      <c r="B48" s="110" t="s">
        <v>47</v>
      </c>
      <c r="C48" s="127" t="s">
        <v>19</v>
      </c>
      <c r="D48" s="88">
        <f t="shared" si="11"/>
        <v>665000</v>
      </c>
      <c r="E48" s="91">
        <v>0</v>
      </c>
      <c r="F48" s="91">
        <v>0</v>
      </c>
      <c r="G48" s="91">
        <v>0</v>
      </c>
      <c r="H48" s="91">
        <v>0</v>
      </c>
      <c r="I48" s="17">
        <v>500000</v>
      </c>
    </row>
    <row r="49" spans="2:9" x14ac:dyDescent="0.25">
      <c r="B49" s="110" t="s">
        <v>48</v>
      </c>
      <c r="C49" s="127" t="s">
        <v>19</v>
      </c>
      <c r="D49" s="88">
        <f t="shared" si="11"/>
        <v>1330000</v>
      </c>
      <c r="E49" s="91">
        <v>0</v>
      </c>
      <c r="F49" s="91">
        <v>0</v>
      </c>
      <c r="G49" s="91">
        <v>0</v>
      </c>
      <c r="H49" s="91">
        <v>0</v>
      </c>
      <c r="I49" s="17">
        <v>1000000</v>
      </c>
    </row>
    <row r="50" spans="2:9" x14ac:dyDescent="0.25">
      <c r="B50" s="110" t="s">
        <v>49</v>
      </c>
      <c r="C50" s="127" t="s">
        <v>19</v>
      </c>
      <c r="D50" s="88">
        <f t="shared" si="11"/>
        <v>997500</v>
      </c>
      <c r="E50" s="91">
        <v>0</v>
      </c>
      <c r="F50" s="91">
        <v>0</v>
      </c>
      <c r="G50" s="91">
        <v>0</v>
      </c>
      <c r="H50" s="91">
        <v>0</v>
      </c>
      <c r="I50" s="17">
        <v>750000</v>
      </c>
    </row>
    <row r="51" spans="2:9" x14ac:dyDescent="0.25">
      <c r="B51" s="110" t="s">
        <v>50</v>
      </c>
      <c r="C51" s="127" t="s">
        <v>19</v>
      </c>
      <c r="D51" s="88">
        <f t="shared" si="11"/>
        <v>731500</v>
      </c>
      <c r="E51" s="91">
        <v>0</v>
      </c>
      <c r="F51" s="91">
        <v>0</v>
      </c>
      <c r="G51" s="91">
        <v>0</v>
      </c>
      <c r="H51" s="91">
        <v>0</v>
      </c>
      <c r="I51" s="17">
        <v>550000</v>
      </c>
    </row>
    <row r="52" spans="2:9" x14ac:dyDescent="0.25">
      <c r="B52" s="110" t="s">
        <v>51</v>
      </c>
      <c r="C52" s="127" t="s">
        <v>19</v>
      </c>
      <c r="D52" s="88">
        <f t="shared" si="11"/>
        <v>665000</v>
      </c>
      <c r="E52" s="91">
        <v>0</v>
      </c>
      <c r="F52" s="91">
        <v>0</v>
      </c>
      <c r="G52" s="91">
        <v>0</v>
      </c>
      <c r="H52" s="91">
        <v>0</v>
      </c>
      <c r="I52" s="17">
        <v>500000</v>
      </c>
    </row>
    <row r="53" spans="2:9" x14ac:dyDescent="0.25">
      <c r="B53" s="110" t="s">
        <v>52</v>
      </c>
      <c r="C53" s="127" t="s">
        <v>19</v>
      </c>
      <c r="D53" s="88">
        <f t="shared" si="11"/>
        <v>665000</v>
      </c>
      <c r="E53" s="91">
        <v>0</v>
      </c>
      <c r="F53" s="91">
        <v>0</v>
      </c>
      <c r="G53" s="91">
        <v>0</v>
      </c>
      <c r="H53" s="91">
        <v>0</v>
      </c>
      <c r="I53" s="17">
        <v>500000</v>
      </c>
    </row>
    <row r="54" spans="2:9" x14ac:dyDescent="0.25">
      <c r="B54" s="110" t="s">
        <v>53</v>
      </c>
      <c r="C54" s="127" t="s">
        <v>19</v>
      </c>
      <c r="D54" s="88">
        <f t="shared" si="11"/>
        <v>731500</v>
      </c>
      <c r="E54" s="91">
        <v>0</v>
      </c>
      <c r="F54" s="91">
        <v>0</v>
      </c>
      <c r="G54" s="91">
        <v>0</v>
      </c>
      <c r="H54" s="91">
        <v>0</v>
      </c>
      <c r="I54" s="17">
        <v>550000</v>
      </c>
    </row>
    <row r="55" spans="2:9" x14ac:dyDescent="0.25">
      <c r="B55" s="110" t="s">
        <v>54</v>
      </c>
      <c r="C55" s="127" t="s">
        <v>19</v>
      </c>
      <c r="D55" s="88">
        <f t="shared" si="11"/>
        <v>665000</v>
      </c>
      <c r="E55" s="91">
        <v>0</v>
      </c>
      <c r="F55" s="91">
        <v>0</v>
      </c>
      <c r="G55" s="91">
        <v>0</v>
      </c>
      <c r="H55" s="91">
        <v>0</v>
      </c>
      <c r="I55" s="17">
        <v>500000</v>
      </c>
    </row>
    <row r="56" spans="2:9" x14ac:dyDescent="0.25">
      <c r="B56" s="112"/>
      <c r="C56" s="128"/>
      <c r="D56" s="14"/>
      <c r="E56" s="14"/>
      <c r="F56" s="14"/>
      <c r="G56" s="14"/>
      <c r="H56" s="14"/>
      <c r="I56" s="21"/>
    </row>
    <row r="57" spans="2:9" ht="15.75" thickBot="1" x14ac:dyDescent="0.3">
      <c r="B57" s="112"/>
      <c r="C57" s="126"/>
      <c r="D57" s="14"/>
      <c r="E57" s="14"/>
      <c r="F57" s="14"/>
      <c r="G57" s="14"/>
      <c r="H57" s="14"/>
      <c r="I57" s="21"/>
    </row>
    <row r="58" spans="2:9" ht="19.5" thickBot="1" x14ac:dyDescent="0.35">
      <c r="B58" s="114" t="s">
        <v>55</v>
      </c>
      <c r="C58" s="152" t="s">
        <v>166</v>
      </c>
      <c r="D58" s="10">
        <f t="shared" ref="D58:I58" si="12">SUM(D59:D91)</f>
        <v>5719000</v>
      </c>
      <c r="E58" s="10">
        <f t="shared" si="12"/>
        <v>0</v>
      </c>
      <c r="F58" s="10">
        <f t="shared" si="12"/>
        <v>0</v>
      </c>
      <c r="G58" s="10">
        <f t="shared" si="12"/>
        <v>1700000</v>
      </c>
      <c r="H58" s="10">
        <f t="shared" si="12"/>
        <v>0</v>
      </c>
      <c r="I58" s="9">
        <f t="shared" si="12"/>
        <v>2600000</v>
      </c>
    </row>
    <row r="59" spans="2:9" x14ac:dyDescent="0.25">
      <c r="B59" s="115" t="s">
        <v>56</v>
      </c>
      <c r="C59" s="129" t="s">
        <v>23</v>
      </c>
      <c r="D59" s="88">
        <f t="shared" ref="D59:I91" si="13">E59+SUM(F59:I59)*1.33</f>
        <v>931000</v>
      </c>
      <c r="E59" s="13">
        <v>0</v>
      </c>
      <c r="F59" s="13">
        <v>0</v>
      </c>
      <c r="G59" s="13">
        <v>700000</v>
      </c>
      <c r="H59" s="13">
        <v>0</v>
      </c>
      <c r="I59" s="12">
        <v>0</v>
      </c>
    </row>
    <row r="60" spans="2:9" x14ac:dyDescent="0.25">
      <c r="B60" s="116" t="s">
        <v>57</v>
      </c>
      <c r="C60" s="125" t="s">
        <v>23</v>
      </c>
      <c r="D60" s="88">
        <f t="shared" si="13"/>
        <v>665000</v>
      </c>
      <c r="E60" s="91">
        <v>0</v>
      </c>
      <c r="F60" s="91">
        <v>0</v>
      </c>
      <c r="G60" s="91">
        <v>500000</v>
      </c>
      <c r="H60" s="91">
        <v>0</v>
      </c>
      <c r="I60" s="17">
        <v>0</v>
      </c>
    </row>
    <row r="61" spans="2:9" x14ac:dyDescent="0.25">
      <c r="B61" s="116" t="s">
        <v>58</v>
      </c>
      <c r="C61" s="125" t="s">
        <v>23</v>
      </c>
      <c r="D61" s="88">
        <f t="shared" si="13"/>
        <v>665000</v>
      </c>
      <c r="E61" s="91">
        <v>0</v>
      </c>
      <c r="F61" s="91">
        <v>0</v>
      </c>
      <c r="G61" s="91">
        <v>500000</v>
      </c>
      <c r="H61" s="91">
        <v>0</v>
      </c>
      <c r="I61" s="17">
        <v>0</v>
      </c>
    </row>
    <row r="62" spans="2:9" x14ac:dyDescent="0.25">
      <c r="B62" s="110" t="s">
        <v>59</v>
      </c>
      <c r="C62" s="125" t="s">
        <v>23</v>
      </c>
      <c r="D62" s="88">
        <f t="shared" si="13"/>
        <v>2128000</v>
      </c>
      <c r="E62" s="91">
        <v>0</v>
      </c>
      <c r="F62" s="91">
        <v>0</v>
      </c>
      <c r="G62" s="91">
        <v>0</v>
      </c>
      <c r="H62" s="91">
        <v>0</v>
      </c>
      <c r="I62" s="17">
        <v>1600000</v>
      </c>
    </row>
    <row r="63" spans="2:9" x14ac:dyDescent="0.25">
      <c r="B63" s="110" t="s">
        <v>60</v>
      </c>
      <c r="C63" s="125" t="s">
        <v>23</v>
      </c>
      <c r="D63" s="88">
        <f t="shared" si="13"/>
        <v>1330000</v>
      </c>
      <c r="E63" s="91">
        <v>0</v>
      </c>
      <c r="F63" s="91">
        <v>0</v>
      </c>
      <c r="G63" s="91">
        <v>0</v>
      </c>
      <c r="H63" s="91">
        <v>0</v>
      </c>
      <c r="I63" s="17">
        <v>1000000</v>
      </c>
    </row>
    <row r="64" spans="2:9" x14ac:dyDescent="0.25">
      <c r="B64" s="110" t="s">
        <v>61</v>
      </c>
      <c r="C64" s="125" t="s">
        <v>23</v>
      </c>
      <c r="D64" s="88">
        <f t="shared" si="13"/>
        <v>0</v>
      </c>
      <c r="E64" s="88">
        <f t="shared" si="13"/>
        <v>0</v>
      </c>
      <c r="F64" s="88">
        <f t="shared" si="13"/>
        <v>0</v>
      </c>
      <c r="G64" s="88">
        <f t="shared" si="13"/>
        <v>0</v>
      </c>
      <c r="H64" s="88">
        <f t="shared" si="13"/>
        <v>0</v>
      </c>
      <c r="I64" s="17">
        <f t="shared" si="13"/>
        <v>0</v>
      </c>
    </row>
    <row r="65" spans="2:9" x14ac:dyDescent="0.25">
      <c r="B65" s="110" t="s">
        <v>62</v>
      </c>
      <c r="C65" s="125" t="s">
        <v>23</v>
      </c>
      <c r="D65" s="88">
        <f t="shared" si="13"/>
        <v>0</v>
      </c>
      <c r="E65" s="88">
        <f t="shared" si="13"/>
        <v>0</v>
      </c>
      <c r="F65" s="88">
        <f t="shared" si="13"/>
        <v>0</v>
      </c>
      <c r="G65" s="88">
        <f t="shared" si="13"/>
        <v>0</v>
      </c>
      <c r="H65" s="88">
        <f t="shared" si="13"/>
        <v>0</v>
      </c>
      <c r="I65" s="17">
        <f t="shared" si="13"/>
        <v>0</v>
      </c>
    </row>
    <row r="66" spans="2:9" x14ac:dyDescent="0.25">
      <c r="B66" s="110" t="s">
        <v>63</v>
      </c>
      <c r="C66" s="125" t="s">
        <v>23</v>
      </c>
      <c r="D66" s="88">
        <f t="shared" si="13"/>
        <v>0</v>
      </c>
      <c r="E66" s="88">
        <f t="shared" si="13"/>
        <v>0</v>
      </c>
      <c r="F66" s="88">
        <f t="shared" si="13"/>
        <v>0</v>
      </c>
      <c r="G66" s="88">
        <f t="shared" si="13"/>
        <v>0</v>
      </c>
      <c r="H66" s="88">
        <f t="shared" si="13"/>
        <v>0</v>
      </c>
      <c r="I66" s="17">
        <f t="shared" si="13"/>
        <v>0</v>
      </c>
    </row>
    <row r="67" spans="2:9" x14ac:dyDescent="0.25">
      <c r="B67" s="110" t="s">
        <v>64</v>
      </c>
      <c r="C67" s="125" t="s">
        <v>23</v>
      </c>
      <c r="D67" s="88">
        <f t="shared" si="13"/>
        <v>0</v>
      </c>
      <c r="E67" s="88">
        <f t="shared" si="13"/>
        <v>0</v>
      </c>
      <c r="F67" s="88">
        <f t="shared" si="13"/>
        <v>0</v>
      </c>
      <c r="G67" s="88">
        <f t="shared" si="13"/>
        <v>0</v>
      </c>
      <c r="H67" s="88">
        <f t="shared" si="13"/>
        <v>0</v>
      </c>
      <c r="I67" s="17">
        <f t="shared" si="13"/>
        <v>0</v>
      </c>
    </row>
    <row r="68" spans="2:9" x14ac:dyDescent="0.25">
      <c r="B68" s="110" t="s">
        <v>65</v>
      </c>
      <c r="C68" s="125" t="s">
        <v>23</v>
      </c>
      <c r="D68" s="88">
        <f t="shared" si="13"/>
        <v>0</v>
      </c>
      <c r="E68" s="88">
        <f t="shared" si="13"/>
        <v>0</v>
      </c>
      <c r="F68" s="88">
        <f t="shared" si="13"/>
        <v>0</v>
      </c>
      <c r="G68" s="88">
        <f t="shared" si="13"/>
        <v>0</v>
      </c>
      <c r="H68" s="88">
        <f t="shared" si="13"/>
        <v>0</v>
      </c>
      <c r="I68" s="17">
        <f t="shared" si="13"/>
        <v>0</v>
      </c>
    </row>
    <row r="69" spans="2:9" x14ac:dyDescent="0.25">
      <c r="B69" s="110" t="s">
        <v>66</v>
      </c>
      <c r="C69" s="125" t="s">
        <v>23</v>
      </c>
      <c r="D69" s="88">
        <f t="shared" si="13"/>
        <v>0</v>
      </c>
      <c r="E69" s="88">
        <f t="shared" si="13"/>
        <v>0</v>
      </c>
      <c r="F69" s="88">
        <f t="shared" si="13"/>
        <v>0</v>
      </c>
      <c r="G69" s="88">
        <f t="shared" si="13"/>
        <v>0</v>
      </c>
      <c r="H69" s="88">
        <f t="shared" si="13"/>
        <v>0</v>
      </c>
      <c r="I69" s="17">
        <f t="shared" si="13"/>
        <v>0</v>
      </c>
    </row>
    <row r="70" spans="2:9" x14ac:dyDescent="0.25">
      <c r="B70" s="110" t="s">
        <v>67</v>
      </c>
      <c r="C70" s="125" t="s">
        <v>23</v>
      </c>
      <c r="D70" s="88">
        <f t="shared" si="13"/>
        <v>0</v>
      </c>
      <c r="E70" s="88">
        <f t="shared" si="13"/>
        <v>0</v>
      </c>
      <c r="F70" s="88">
        <f t="shared" si="13"/>
        <v>0</v>
      </c>
      <c r="G70" s="88">
        <f t="shared" si="13"/>
        <v>0</v>
      </c>
      <c r="H70" s="88">
        <f t="shared" si="13"/>
        <v>0</v>
      </c>
      <c r="I70" s="17">
        <f t="shared" si="13"/>
        <v>0</v>
      </c>
    </row>
    <row r="71" spans="2:9" x14ac:dyDescent="0.25">
      <c r="B71" s="110" t="s">
        <v>68</v>
      </c>
      <c r="C71" s="125" t="s">
        <v>23</v>
      </c>
      <c r="D71" s="88">
        <f t="shared" si="13"/>
        <v>0</v>
      </c>
      <c r="E71" s="88">
        <f t="shared" si="13"/>
        <v>0</v>
      </c>
      <c r="F71" s="88">
        <f t="shared" si="13"/>
        <v>0</v>
      </c>
      <c r="G71" s="88">
        <f t="shared" si="13"/>
        <v>0</v>
      </c>
      <c r="H71" s="88">
        <f t="shared" si="13"/>
        <v>0</v>
      </c>
      <c r="I71" s="17">
        <f t="shared" si="13"/>
        <v>0</v>
      </c>
    </row>
    <row r="72" spans="2:9" x14ac:dyDescent="0.25">
      <c r="B72" s="110" t="s">
        <v>69</v>
      </c>
      <c r="C72" s="125" t="s">
        <v>23</v>
      </c>
      <c r="D72" s="88">
        <f t="shared" si="13"/>
        <v>0</v>
      </c>
      <c r="E72" s="88">
        <f t="shared" si="13"/>
        <v>0</v>
      </c>
      <c r="F72" s="88">
        <f t="shared" si="13"/>
        <v>0</v>
      </c>
      <c r="G72" s="88">
        <f t="shared" si="13"/>
        <v>0</v>
      </c>
      <c r="H72" s="88">
        <f t="shared" si="13"/>
        <v>0</v>
      </c>
      <c r="I72" s="17">
        <f t="shared" si="13"/>
        <v>0</v>
      </c>
    </row>
    <row r="73" spans="2:9" x14ac:dyDescent="0.25">
      <c r="B73" s="110" t="s">
        <v>70</v>
      </c>
      <c r="C73" s="125" t="s">
        <v>23</v>
      </c>
      <c r="D73" s="88">
        <f t="shared" si="13"/>
        <v>0</v>
      </c>
      <c r="E73" s="88">
        <f t="shared" si="13"/>
        <v>0</v>
      </c>
      <c r="F73" s="88">
        <f t="shared" si="13"/>
        <v>0</v>
      </c>
      <c r="G73" s="88">
        <f t="shared" si="13"/>
        <v>0</v>
      </c>
      <c r="H73" s="88">
        <f t="shared" si="13"/>
        <v>0</v>
      </c>
      <c r="I73" s="17">
        <f t="shared" si="13"/>
        <v>0</v>
      </c>
    </row>
    <row r="74" spans="2:9" x14ac:dyDescent="0.25">
      <c r="B74" s="110" t="s">
        <v>71</v>
      </c>
      <c r="C74" s="125" t="s">
        <v>23</v>
      </c>
      <c r="D74" s="88">
        <f t="shared" si="13"/>
        <v>0</v>
      </c>
      <c r="E74" s="88">
        <f t="shared" si="13"/>
        <v>0</v>
      </c>
      <c r="F74" s="88">
        <f t="shared" si="13"/>
        <v>0</v>
      </c>
      <c r="G74" s="88">
        <f t="shared" si="13"/>
        <v>0</v>
      </c>
      <c r="H74" s="88">
        <f t="shared" si="13"/>
        <v>0</v>
      </c>
      <c r="I74" s="17">
        <f t="shared" si="13"/>
        <v>0</v>
      </c>
    </row>
    <row r="75" spans="2:9" x14ac:dyDescent="0.25">
      <c r="B75" s="110" t="s">
        <v>72</v>
      </c>
      <c r="C75" s="125" t="s">
        <v>23</v>
      </c>
      <c r="D75" s="88">
        <f t="shared" si="13"/>
        <v>0</v>
      </c>
      <c r="E75" s="88">
        <f t="shared" si="13"/>
        <v>0</v>
      </c>
      <c r="F75" s="88">
        <f t="shared" si="13"/>
        <v>0</v>
      </c>
      <c r="G75" s="88">
        <f t="shared" si="13"/>
        <v>0</v>
      </c>
      <c r="H75" s="88">
        <f t="shared" si="13"/>
        <v>0</v>
      </c>
      <c r="I75" s="17">
        <f t="shared" si="13"/>
        <v>0</v>
      </c>
    </row>
    <row r="76" spans="2:9" x14ac:dyDescent="0.25">
      <c r="B76" s="110" t="s">
        <v>73</v>
      </c>
      <c r="C76" s="125" t="s">
        <v>23</v>
      </c>
      <c r="D76" s="88">
        <f t="shared" si="13"/>
        <v>0</v>
      </c>
      <c r="E76" s="88">
        <f t="shared" si="13"/>
        <v>0</v>
      </c>
      <c r="F76" s="88">
        <f t="shared" si="13"/>
        <v>0</v>
      </c>
      <c r="G76" s="88">
        <f t="shared" si="13"/>
        <v>0</v>
      </c>
      <c r="H76" s="88">
        <f t="shared" si="13"/>
        <v>0</v>
      </c>
      <c r="I76" s="17">
        <f t="shared" si="13"/>
        <v>0</v>
      </c>
    </row>
    <row r="77" spans="2:9" x14ac:dyDescent="0.25">
      <c r="B77" s="110" t="s">
        <v>74</v>
      </c>
      <c r="C77" s="125" t="s">
        <v>23</v>
      </c>
      <c r="D77" s="88">
        <f t="shared" si="13"/>
        <v>0</v>
      </c>
      <c r="E77" s="88">
        <f t="shared" si="13"/>
        <v>0</v>
      </c>
      <c r="F77" s="88">
        <f t="shared" si="13"/>
        <v>0</v>
      </c>
      <c r="G77" s="88">
        <f t="shared" si="13"/>
        <v>0</v>
      </c>
      <c r="H77" s="88">
        <f t="shared" si="13"/>
        <v>0</v>
      </c>
      <c r="I77" s="17">
        <f t="shared" si="13"/>
        <v>0</v>
      </c>
    </row>
    <row r="78" spans="2:9" x14ac:dyDescent="0.25">
      <c r="B78" s="110" t="s">
        <v>75</v>
      </c>
      <c r="C78" s="125" t="s">
        <v>23</v>
      </c>
      <c r="D78" s="88">
        <f t="shared" si="13"/>
        <v>0</v>
      </c>
      <c r="E78" s="88">
        <f t="shared" si="13"/>
        <v>0</v>
      </c>
      <c r="F78" s="88">
        <f t="shared" si="13"/>
        <v>0</v>
      </c>
      <c r="G78" s="88">
        <f t="shared" si="13"/>
        <v>0</v>
      </c>
      <c r="H78" s="88">
        <f t="shared" si="13"/>
        <v>0</v>
      </c>
      <c r="I78" s="17">
        <f t="shared" si="13"/>
        <v>0</v>
      </c>
    </row>
    <row r="79" spans="2:9" x14ac:dyDescent="0.25">
      <c r="B79" s="110" t="s">
        <v>76</v>
      </c>
      <c r="C79" s="125" t="s">
        <v>23</v>
      </c>
      <c r="D79" s="88">
        <f t="shared" si="13"/>
        <v>0</v>
      </c>
      <c r="E79" s="88">
        <f t="shared" si="13"/>
        <v>0</v>
      </c>
      <c r="F79" s="88">
        <f t="shared" si="13"/>
        <v>0</v>
      </c>
      <c r="G79" s="88">
        <f t="shared" si="13"/>
        <v>0</v>
      </c>
      <c r="H79" s="88">
        <f t="shared" si="13"/>
        <v>0</v>
      </c>
      <c r="I79" s="17">
        <f t="shared" si="13"/>
        <v>0</v>
      </c>
    </row>
    <row r="80" spans="2:9" x14ac:dyDescent="0.25">
      <c r="B80" s="110" t="s">
        <v>77</v>
      </c>
      <c r="C80" s="125" t="s">
        <v>23</v>
      </c>
      <c r="D80" s="88">
        <f t="shared" si="13"/>
        <v>0</v>
      </c>
      <c r="E80" s="88">
        <f t="shared" si="13"/>
        <v>0</v>
      </c>
      <c r="F80" s="88">
        <f t="shared" si="13"/>
        <v>0</v>
      </c>
      <c r="G80" s="88">
        <f t="shared" si="13"/>
        <v>0</v>
      </c>
      <c r="H80" s="88">
        <f t="shared" si="13"/>
        <v>0</v>
      </c>
      <c r="I80" s="17">
        <f t="shared" si="13"/>
        <v>0</v>
      </c>
    </row>
    <row r="81" spans="2:14" x14ac:dyDescent="0.25">
      <c r="B81" s="110" t="s">
        <v>78</v>
      </c>
      <c r="C81" s="125" t="s">
        <v>23</v>
      </c>
      <c r="D81" s="88">
        <f t="shared" si="13"/>
        <v>0</v>
      </c>
      <c r="E81" s="88">
        <f t="shared" si="13"/>
        <v>0</v>
      </c>
      <c r="F81" s="88">
        <f t="shared" si="13"/>
        <v>0</v>
      </c>
      <c r="G81" s="88">
        <f t="shared" si="13"/>
        <v>0</v>
      </c>
      <c r="H81" s="88">
        <f t="shared" si="13"/>
        <v>0</v>
      </c>
      <c r="I81" s="17">
        <f t="shared" si="13"/>
        <v>0</v>
      </c>
    </row>
    <row r="82" spans="2:14" x14ac:dyDescent="0.25">
      <c r="B82" s="110" t="s">
        <v>79</v>
      </c>
      <c r="C82" s="125" t="s">
        <v>23</v>
      </c>
      <c r="D82" s="88">
        <f t="shared" si="13"/>
        <v>0</v>
      </c>
      <c r="E82" s="88">
        <f t="shared" si="13"/>
        <v>0</v>
      </c>
      <c r="F82" s="88">
        <f t="shared" si="13"/>
        <v>0</v>
      </c>
      <c r="G82" s="88">
        <f t="shared" si="13"/>
        <v>0</v>
      </c>
      <c r="H82" s="88">
        <f t="shared" si="13"/>
        <v>0</v>
      </c>
      <c r="I82" s="17">
        <f t="shared" si="13"/>
        <v>0</v>
      </c>
    </row>
    <row r="83" spans="2:14" x14ac:dyDescent="0.25">
      <c r="B83" s="110" t="s">
        <v>80</v>
      </c>
      <c r="C83" s="125" t="s">
        <v>23</v>
      </c>
      <c r="D83" s="88">
        <f t="shared" si="13"/>
        <v>0</v>
      </c>
      <c r="E83" s="88">
        <f t="shared" si="13"/>
        <v>0</v>
      </c>
      <c r="F83" s="88">
        <f t="shared" si="13"/>
        <v>0</v>
      </c>
      <c r="G83" s="88">
        <f t="shared" si="13"/>
        <v>0</v>
      </c>
      <c r="H83" s="88">
        <f t="shared" si="13"/>
        <v>0</v>
      </c>
      <c r="I83" s="17">
        <f t="shared" si="13"/>
        <v>0</v>
      </c>
    </row>
    <row r="84" spans="2:14" x14ac:dyDescent="0.25">
      <c r="B84" s="110" t="s">
        <v>81</v>
      </c>
      <c r="C84" s="125" t="s">
        <v>23</v>
      </c>
      <c r="D84" s="88">
        <f t="shared" si="13"/>
        <v>0</v>
      </c>
      <c r="E84" s="88">
        <f t="shared" si="13"/>
        <v>0</v>
      </c>
      <c r="F84" s="88">
        <f t="shared" si="13"/>
        <v>0</v>
      </c>
      <c r="G84" s="88">
        <f t="shared" si="13"/>
        <v>0</v>
      </c>
      <c r="H84" s="88">
        <f t="shared" si="13"/>
        <v>0</v>
      </c>
      <c r="I84" s="17">
        <f t="shared" si="13"/>
        <v>0</v>
      </c>
      <c r="K84" s="19"/>
      <c r="L84" s="20"/>
      <c r="M84" s="20"/>
      <c r="N84" s="20"/>
    </row>
    <row r="85" spans="2:14" x14ac:dyDescent="0.25">
      <c r="B85" s="109" t="s">
        <v>82</v>
      </c>
      <c r="C85" s="125" t="s">
        <v>23</v>
      </c>
      <c r="D85" s="88">
        <f t="shared" si="13"/>
        <v>0</v>
      </c>
      <c r="E85" s="88">
        <f t="shared" si="13"/>
        <v>0</v>
      </c>
      <c r="F85" s="88">
        <f t="shared" si="13"/>
        <v>0</v>
      </c>
      <c r="G85" s="88">
        <f t="shared" si="13"/>
        <v>0</v>
      </c>
      <c r="H85" s="88">
        <f t="shared" si="13"/>
        <v>0</v>
      </c>
      <c r="I85" s="17">
        <f t="shared" si="13"/>
        <v>0</v>
      </c>
      <c r="K85" s="19"/>
      <c r="L85" s="20"/>
      <c r="M85" s="20"/>
      <c r="N85" s="20"/>
    </row>
    <row r="86" spans="2:14" x14ac:dyDescent="0.25">
      <c r="B86" s="109" t="s">
        <v>83</v>
      </c>
      <c r="C86" s="125" t="s">
        <v>23</v>
      </c>
      <c r="D86" s="88">
        <f t="shared" si="13"/>
        <v>0</v>
      </c>
      <c r="E86" s="88">
        <f t="shared" si="13"/>
        <v>0</v>
      </c>
      <c r="F86" s="88">
        <f t="shared" si="13"/>
        <v>0</v>
      </c>
      <c r="G86" s="88">
        <f t="shared" si="13"/>
        <v>0</v>
      </c>
      <c r="H86" s="88">
        <f t="shared" si="13"/>
        <v>0</v>
      </c>
      <c r="I86" s="17">
        <f t="shared" si="13"/>
        <v>0</v>
      </c>
      <c r="K86" s="19"/>
      <c r="L86" s="20"/>
      <c r="M86" s="20"/>
      <c r="N86" s="20"/>
    </row>
    <row r="87" spans="2:14" x14ac:dyDescent="0.25">
      <c r="B87" s="109" t="s">
        <v>84</v>
      </c>
      <c r="C87" s="125" t="s">
        <v>23</v>
      </c>
      <c r="D87" s="88">
        <f t="shared" si="13"/>
        <v>0</v>
      </c>
      <c r="E87" s="88">
        <f t="shared" si="13"/>
        <v>0</v>
      </c>
      <c r="F87" s="88">
        <f t="shared" si="13"/>
        <v>0</v>
      </c>
      <c r="G87" s="88">
        <f t="shared" si="13"/>
        <v>0</v>
      </c>
      <c r="H87" s="88">
        <f t="shared" si="13"/>
        <v>0</v>
      </c>
      <c r="I87" s="17">
        <f t="shared" si="13"/>
        <v>0</v>
      </c>
      <c r="K87" s="19"/>
      <c r="L87" s="20"/>
      <c r="M87" s="20"/>
      <c r="N87" s="20"/>
    </row>
    <row r="88" spans="2:14" x14ac:dyDescent="0.25">
      <c r="B88" s="109" t="s">
        <v>85</v>
      </c>
      <c r="C88" s="125" t="s">
        <v>23</v>
      </c>
      <c r="D88" s="88">
        <f t="shared" si="13"/>
        <v>0</v>
      </c>
      <c r="E88" s="88">
        <f t="shared" si="13"/>
        <v>0</v>
      </c>
      <c r="F88" s="88">
        <f t="shared" si="13"/>
        <v>0</v>
      </c>
      <c r="G88" s="88">
        <f t="shared" si="13"/>
        <v>0</v>
      </c>
      <c r="H88" s="88">
        <f t="shared" si="13"/>
        <v>0</v>
      </c>
      <c r="I88" s="17">
        <f t="shared" si="13"/>
        <v>0</v>
      </c>
      <c r="K88" s="19"/>
      <c r="L88" s="20"/>
      <c r="M88" s="20"/>
      <c r="N88" s="20"/>
    </row>
    <row r="89" spans="2:14" x14ac:dyDescent="0.25">
      <c r="B89" s="109" t="s">
        <v>86</v>
      </c>
      <c r="C89" s="125" t="s">
        <v>23</v>
      </c>
      <c r="D89" s="88">
        <f t="shared" si="13"/>
        <v>0</v>
      </c>
      <c r="E89" s="88">
        <f t="shared" si="13"/>
        <v>0</v>
      </c>
      <c r="F89" s="88">
        <f t="shared" si="13"/>
        <v>0</v>
      </c>
      <c r="G89" s="88">
        <f t="shared" si="13"/>
        <v>0</v>
      </c>
      <c r="H89" s="88">
        <f t="shared" si="13"/>
        <v>0</v>
      </c>
      <c r="I89" s="17">
        <f t="shared" si="13"/>
        <v>0</v>
      </c>
      <c r="K89" s="19"/>
      <c r="L89" s="20"/>
      <c r="M89" s="20"/>
      <c r="N89" s="20"/>
    </row>
    <row r="90" spans="2:14" x14ac:dyDescent="0.25">
      <c r="B90" s="109" t="s">
        <v>87</v>
      </c>
      <c r="C90" s="125" t="s">
        <v>23</v>
      </c>
      <c r="D90" s="88">
        <f t="shared" si="13"/>
        <v>0</v>
      </c>
      <c r="E90" s="88">
        <f t="shared" si="13"/>
        <v>0</v>
      </c>
      <c r="F90" s="88">
        <f t="shared" si="13"/>
        <v>0</v>
      </c>
      <c r="G90" s="88">
        <f t="shared" si="13"/>
        <v>0</v>
      </c>
      <c r="H90" s="88">
        <f t="shared" si="13"/>
        <v>0</v>
      </c>
      <c r="I90" s="17">
        <f t="shared" si="13"/>
        <v>0</v>
      </c>
      <c r="K90" s="19"/>
      <c r="L90" s="20"/>
      <c r="M90" s="20"/>
      <c r="N90" s="20"/>
    </row>
    <row r="91" spans="2:14" x14ac:dyDescent="0.25">
      <c r="B91" s="109" t="s">
        <v>88</v>
      </c>
      <c r="C91" s="125" t="s">
        <v>23</v>
      </c>
      <c r="D91" s="88">
        <f t="shared" si="13"/>
        <v>0</v>
      </c>
      <c r="E91" s="88">
        <f t="shared" si="13"/>
        <v>0</v>
      </c>
      <c r="F91" s="88">
        <f t="shared" si="13"/>
        <v>0</v>
      </c>
      <c r="G91" s="88">
        <f t="shared" si="13"/>
        <v>0</v>
      </c>
      <c r="H91" s="88">
        <f t="shared" si="13"/>
        <v>0</v>
      </c>
      <c r="I91" s="17">
        <f t="shared" si="13"/>
        <v>0</v>
      </c>
      <c r="K91" s="19"/>
      <c r="L91" s="20"/>
      <c r="M91" s="20"/>
      <c r="N91" s="20"/>
    </row>
    <row r="92" spans="2:14" ht="15.75" thickBot="1" x14ac:dyDescent="0.3">
      <c r="B92" s="117"/>
      <c r="C92" s="130"/>
      <c r="D92" s="26"/>
      <c r="E92" s="26"/>
      <c r="F92" s="26"/>
      <c r="G92" s="26"/>
      <c r="H92" s="26"/>
      <c r="I92" s="27"/>
      <c r="K92" s="19"/>
      <c r="L92" s="20"/>
      <c r="M92" s="20"/>
      <c r="N92" s="20"/>
    </row>
    <row r="93" spans="2:14" ht="19.5" thickBot="1" x14ac:dyDescent="0.35">
      <c r="B93" s="114" t="s">
        <v>91</v>
      </c>
      <c r="C93" s="152" t="s">
        <v>167</v>
      </c>
      <c r="D93" s="10">
        <f>E93+SUM(F93:I93)*1.33</f>
        <v>4990000</v>
      </c>
      <c r="E93" s="10">
        <v>1000000</v>
      </c>
      <c r="F93" s="10">
        <v>1000000</v>
      </c>
      <c r="G93" s="10">
        <v>1000000</v>
      </c>
      <c r="H93" s="10">
        <v>0</v>
      </c>
      <c r="I93" s="9">
        <v>1000000</v>
      </c>
      <c r="K93" s="19"/>
      <c r="L93" s="20"/>
      <c r="M93" s="20"/>
      <c r="N93" s="20"/>
    </row>
    <row r="94" spans="2:14" ht="15.75" thickBot="1" x14ac:dyDescent="0.3">
      <c r="B94" s="118"/>
      <c r="C94" s="131"/>
      <c r="D94" s="16"/>
      <c r="E94" s="16"/>
      <c r="F94" s="16"/>
      <c r="G94" s="16"/>
      <c r="H94" s="16"/>
      <c r="I94" s="15"/>
      <c r="K94" s="19"/>
      <c r="L94" s="20"/>
      <c r="M94" s="20"/>
      <c r="N94" s="20"/>
    </row>
    <row r="95" spans="2:14" ht="19.5" thickBot="1" x14ac:dyDescent="0.35">
      <c r="B95" s="107" t="s">
        <v>158</v>
      </c>
      <c r="C95" s="132" t="s">
        <v>8</v>
      </c>
      <c r="D95" s="74">
        <f>SUM(D96,D104,D110)</f>
        <v>52476000</v>
      </c>
      <c r="E95" s="74">
        <f t="shared" ref="E95" si="14">SUM(E96,E104,E110)</f>
        <v>3000000</v>
      </c>
      <c r="F95" s="74">
        <f>SUM(F96,F104,F110)*1.33</f>
        <v>11970000</v>
      </c>
      <c r="G95" s="74">
        <f>SUM(G96,G104,G110)*1.33</f>
        <v>4788000</v>
      </c>
      <c r="H95" s="74">
        <f>SUM(H96,H104,H110)*1.33</f>
        <v>22610000</v>
      </c>
      <c r="I95" s="86">
        <f>SUM(I96,I104,I110)*1.33</f>
        <v>10108000</v>
      </c>
      <c r="K95" s="19"/>
      <c r="L95" s="20"/>
      <c r="M95" s="20"/>
      <c r="N95" s="20"/>
    </row>
    <row r="96" spans="2:14" ht="19.5" thickBot="1" x14ac:dyDescent="0.35">
      <c r="B96" s="119" t="s">
        <v>159</v>
      </c>
      <c r="C96" s="153" t="s">
        <v>166</v>
      </c>
      <c r="D96" s="73">
        <f t="shared" ref="D96:I96" si="15">SUM(D97:D101)</f>
        <v>23807000</v>
      </c>
      <c r="E96" s="73">
        <f t="shared" si="15"/>
        <v>0</v>
      </c>
      <c r="F96" s="73">
        <f t="shared" si="15"/>
        <v>0</v>
      </c>
      <c r="G96" s="73">
        <f t="shared" si="15"/>
        <v>2300000</v>
      </c>
      <c r="H96" s="73">
        <f t="shared" si="15"/>
        <v>12000000</v>
      </c>
      <c r="I96" s="87">
        <f t="shared" si="15"/>
        <v>3600000</v>
      </c>
      <c r="K96" s="19"/>
      <c r="L96" s="20"/>
      <c r="M96" s="20"/>
      <c r="N96" s="20"/>
    </row>
    <row r="97" spans="2:14" x14ac:dyDescent="0.25">
      <c r="B97" s="109"/>
      <c r="C97" s="133"/>
      <c r="D97" s="4"/>
      <c r="E97" s="13"/>
      <c r="F97" s="13"/>
      <c r="G97" s="13"/>
      <c r="H97" s="13"/>
      <c r="I97" s="12"/>
      <c r="K97" s="19"/>
      <c r="L97" s="20"/>
      <c r="M97" s="20"/>
      <c r="N97" s="20"/>
    </row>
    <row r="98" spans="2:14" x14ac:dyDescent="0.25">
      <c r="B98" s="120" t="s">
        <v>14</v>
      </c>
      <c r="C98" s="127" t="s">
        <v>15</v>
      </c>
      <c r="D98" s="88">
        <f>SUM(E98:I98)*1.33</f>
        <v>9975000</v>
      </c>
      <c r="E98" s="89">
        <v>0</v>
      </c>
      <c r="F98" s="90">
        <v>0</v>
      </c>
      <c r="G98" s="91">
        <v>300000</v>
      </c>
      <c r="H98" s="91">
        <v>3600000</v>
      </c>
      <c r="I98" s="17">
        <v>3600000</v>
      </c>
      <c r="K98" s="19"/>
      <c r="L98" s="20"/>
      <c r="M98" s="20"/>
      <c r="N98" s="20"/>
    </row>
    <row r="99" spans="2:14" x14ac:dyDescent="0.25">
      <c r="B99" s="120" t="s">
        <v>16</v>
      </c>
      <c r="C99" s="127" t="s">
        <v>15</v>
      </c>
      <c r="D99" s="88">
        <f t="shared" ref="D99:D101" si="16">SUM(E99:I99)*1.33</f>
        <v>12236000</v>
      </c>
      <c r="E99" s="91">
        <v>0</v>
      </c>
      <c r="F99" s="91">
        <v>0</v>
      </c>
      <c r="G99" s="91">
        <v>2000000</v>
      </c>
      <c r="H99" s="91">
        <v>7200000</v>
      </c>
      <c r="I99" s="17">
        <v>0</v>
      </c>
      <c r="K99" s="19"/>
      <c r="L99" s="20"/>
      <c r="M99" s="20"/>
      <c r="N99" s="20"/>
    </row>
    <row r="100" spans="2:14" x14ac:dyDescent="0.25">
      <c r="B100" s="120" t="s">
        <v>17</v>
      </c>
      <c r="C100" s="127" t="s">
        <v>15</v>
      </c>
      <c r="D100" s="88">
        <f t="shared" si="16"/>
        <v>1596000</v>
      </c>
      <c r="E100" s="91">
        <v>0</v>
      </c>
      <c r="F100" s="91">
        <v>0</v>
      </c>
      <c r="G100" s="91">
        <v>0</v>
      </c>
      <c r="H100" s="91">
        <v>1200000</v>
      </c>
      <c r="I100" s="17">
        <v>0</v>
      </c>
      <c r="K100" s="19"/>
      <c r="L100" s="20"/>
      <c r="M100" s="20"/>
      <c r="N100" s="20"/>
    </row>
    <row r="101" spans="2:14" x14ac:dyDescent="0.25">
      <c r="B101" s="120" t="s">
        <v>139</v>
      </c>
      <c r="C101" s="127" t="s">
        <v>15</v>
      </c>
      <c r="D101" s="88">
        <f t="shared" si="16"/>
        <v>0</v>
      </c>
      <c r="E101" s="91">
        <v>0</v>
      </c>
      <c r="F101" s="91">
        <v>0</v>
      </c>
      <c r="G101" s="91">
        <v>0</v>
      </c>
      <c r="H101" s="91">
        <v>0</v>
      </c>
      <c r="I101" s="17">
        <v>0</v>
      </c>
      <c r="K101" s="19"/>
      <c r="L101" s="20"/>
      <c r="M101" s="20"/>
      <c r="N101" s="20"/>
    </row>
    <row r="102" spans="2:14" x14ac:dyDescent="0.25">
      <c r="B102" s="109"/>
      <c r="C102" s="127"/>
      <c r="D102" s="92"/>
      <c r="E102" s="91"/>
      <c r="F102" s="91"/>
      <c r="G102" s="91"/>
      <c r="H102" s="91"/>
      <c r="I102" s="17"/>
      <c r="K102" s="19"/>
      <c r="L102" s="20"/>
      <c r="M102" s="20"/>
      <c r="N102" s="20"/>
    </row>
    <row r="103" spans="2:14" ht="15.75" thickBot="1" x14ac:dyDescent="0.3">
      <c r="B103" s="110"/>
      <c r="C103" s="126"/>
      <c r="D103" s="14"/>
      <c r="E103" s="14"/>
      <c r="F103" s="14"/>
      <c r="G103" s="14"/>
      <c r="H103" s="14"/>
      <c r="I103" s="21"/>
      <c r="K103" s="19"/>
      <c r="L103" s="20"/>
      <c r="M103" s="20"/>
      <c r="N103" s="20"/>
    </row>
    <row r="104" spans="2:14" ht="19.5" thickBot="1" x14ac:dyDescent="0.35">
      <c r="B104" s="121" t="s">
        <v>160</v>
      </c>
      <c r="C104" s="154" t="s">
        <v>166</v>
      </c>
      <c r="D104" s="6">
        <f t="shared" ref="D104:I104" si="17">SUM(D105:D107)</f>
        <v>14970000</v>
      </c>
      <c r="E104" s="6">
        <f t="shared" si="17"/>
        <v>3000000</v>
      </c>
      <c r="F104" s="6">
        <f t="shared" si="17"/>
        <v>9000000</v>
      </c>
      <c r="G104" s="6">
        <f t="shared" si="17"/>
        <v>0</v>
      </c>
      <c r="H104" s="6">
        <f t="shared" si="17"/>
        <v>0</v>
      </c>
      <c r="I104" s="5">
        <f t="shared" si="17"/>
        <v>0</v>
      </c>
      <c r="K104" s="19"/>
      <c r="L104" s="20"/>
      <c r="M104" s="20"/>
      <c r="N104" s="20"/>
    </row>
    <row r="105" spans="2:14" x14ac:dyDescent="0.25">
      <c r="B105" s="109"/>
      <c r="C105" s="134"/>
      <c r="D105" s="13"/>
      <c r="E105" s="13"/>
      <c r="F105" s="13"/>
      <c r="G105" s="13"/>
      <c r="H105" s="13"/>
      <c r="I105" s="12"/>
      <c r="K105" s="19"/>
      <c r="L105" s="20"/>
      <c r="M105" s="20"/>
      <c r="N105" s="20"/>
    </row>
    <row r="106" spans="2:14" x14ac:dyDescent="0.25">
      <c r="B106" s="109" t="s">
        <v>18</v>
      </c>
      <c r="C106" s="25" t="s">
        <v>19</v>
      </c>
      <c r="D106" s="88">
        <f>E106</f>
        <v>500000</v>
      </c>
      <c r="E106" s="13">
        <v>500000</v>
      </c>
      <c r="F106" s="91">
        <v>0</v>
      </c>
      <c r="G106" s="91">
        <v>0</v>
      </c>
      <c r="H106" s="91">
        <v>0</v>
      </c>
      <c r="I106" s="17">
        <v>0</v>
      </c>
      <c r="K106" s="19"/>
      <c r="L106" s="20"/>
      <c r="M106" s="20"/>
      <c r="N106" s="20"/>
    </row>
    <row r="107" spans="2:14" x14ac:dyDescent="0.25">
      <c r="B107" s="120" t="s">
        <v>20</v>
      </c>
      <c r="C107" s="25" t="s">
        <v>19</v>
      </c>
      <c r="D107" s="88">
        <f>E107+SUM(F107:I107)*1.33</f>
        <v>14470000</v>
      </c>
      <c r="E107" s="13">
        <v>2500000</v>
      </c>
      <c r="F107" s="91">
        <v>9000000</v>
      </c>
      <c r="G107" s="91">
        <v>0</v>
      </c>
      <c r="H107" s="91">
        <v>0</v>
      </c>
      <c r="I107" s="17">
        <v>0</v>
      </c>
      <c r="K107" s="19"/>
      <c r="L107" s="20"/>
      <c r="M107" s="20"/>
      <c r="N107" s="20"/>
    </row>
    <row r="108" spans="2:14" x14ac:dyDescent="0.25">
      <c r="B108" s="110"/>
      <c r="C108" s="25"/>
      <c r="D108" s="91"/>
      <c r="E108" s="13"/>
      <c r="F108" s="91"/>
      <c r="G108" s="91"/>
      <c r="H108" s="91"/>
      <c r="I108" s="17"/>
      <c r="K108" s="19"/>
      <c r="L108" s="20"/>
      <c r="M108" s="20"/>
      <c r="N108" s="20"/>
    </row>
    <row r="109" spans="2:14" ht="15.75" thickBot="1" x14ac:dyDescent="0.3">
      <c r="B109" s="110"/>
      <c r="C109" s="126"/>
      <c r="D109" s="14"/>
      <c r="E109" s="14"/>
      <c r="F109" s="14"/>
      <c r="G109" s="14"/>
      <c r="H109" s="14"/>
      <c r="I109" s="21"/>
      <c r="K109" s="19"/>
      <c r="L109" s="20"/>
      <c r="M109" s="20"/>
      <c r="N109" s="20"/>
    </row>
    <row r="110" spans="2:14" ht="19.5" thickBot="1" x14ac:dyDescent="0.35">
      <c r="B110" s="121" t="s">
        <v>161</v>
      </c>
      <c r="C110" s="154" t="s">
        <v>166</v>
      </c>
      <c r="D110" s="6">
        <f t="shared" ref="D110:I110" si="18">SUM(D112:D115)</f>
        <v>13699000</v>
      </c>
      <c r="E110" s="6">
        <f t="shared" si="18"/>
        <v>0</v>
      </c>
      <c r="F110" s="6">
        <f t="shared" si="18"/>
        <v>0</v>
      </c>
      <c r="G110" s="6">
        <f t="shared" si="18"/>
        <v>1300000</v>
      </c>
      <c r="H110" s="6">
        <f t="shared" si="18"/>
        <v>5000000</v>
      </c>
      <c r="I110" s="5">
        <f t="shared" si="18"/>
        <v>4000000</v>
      </c>
      <c r="K110" s="19"/>
      <c r="L110" s="20"/>
      <c r="M110" s="20"/>
      <c r="N110" s="20"/>
    </row>
    <row r="111" spans="2:14" x14ac:dyDescent="0.25">
      <c r="B111" s="109"/>
      <c r="C111" s="134"/>
      <c r="D111" s="13"/>
      <c r="E111" s="13"/>
      <c r="F111" s="13"/>
      <c r="G111" s="13"/>
      <c r="H111" s="13"/>
      <c r="I111" s="12"/>
      <c r="K111" s="19"/>
      <c r="L111" s="20"/>
      <c r="M111" s="20"/>
      <c r="N111" s="20"/>
    </row>
    <row r="112" spans="2:14" x14ac:dyDescent="0.25">
      <c r="B112" s="122" t="s">
        <v>22</v>
      </c>
      <c r="C112" s="25" t="s">
        <v>23</v>
      </c>
      <c r="D112" s="88">
        <f>E112+SUM(F112:I112)*1.33</f>
        <v>6650000</v>
      </c>
      <c r="E112" s="91">
        <v>0</v>
      </c>
      <c r="F112" s="91">
        <v>0</v>
      </c>
      <c r="G112" s="91">
        <v>1000000</v>
      </c>
      <c r="H112" s="91">
        <v>4000000</v>
      </c>
      <c r="I112" s="12">
        <v>0</v>
      </c>
      <c r="K112" s="19"/>
      <c r="L112" s="20"/>
      <c r="M112" s="20"/>
      <c r="N112" s="20"/>
    </row>
    <row r="113" spans="2:14" x14ac:dyDescent="0.25">
      <c r="B113" s="122" t="s">
        <v>24</v>
      </c>
      <c r="C113" s="25" t="s">
        <v>23</v>
      </c>
      <c r="D113" s="88">
        <f t="shared" ref="D113:D115" si="19">E113+SUM(F113:I113)*1.33</f>
        <v>0</v>
      </c>
      <c r="E113" s="91">
        <v>0</v>
      </c>
      <c r="F113" s="91">
        <v>0</v>
      </c>
      <c r="G113" s="91">
        <v>0</v>
      </c>
      <c r="H113" s="91">
        <v>0</v>
      </c>
      <c r="I113" s="12">
        <v>0</v>
      </c>
      <c r="K113" s="19"/>
      <c r="L113" s="20"/>
      <c r="M113" s="20"/>
      <c r="N113" s="20"/>
    </row>
    <row r="114" spans="2:14" x14ac:dyDescent="0.25">
      <c r="B114" s="122" t="s">
        <v>25</v>
      </c>
      <c r="C114" s="25" t="s">
        <v>23</v>
      </c>
      <c r="D114" s="88">
        <f t="shared" si="19"/>
        <v>6650000</v>
      </c>
      <c r="E114" s="91">
        <v>0</v>
      </c>
      <c r="F114" s="91">
        <v>0</v>
      </c>
      <c r="G114" s="91">
        <v>0</v>
      </c>
      <c r="H114" s="91">
        <v>1000000</v>
      </c>
      <c r="I114" s="12">
        <v>4000000</v>
      </c>
      <c r="K114" s="19"/>
      <c r="L114" s="20"/>
      <c r="M114" s="20"/>
      <c r="N114" s="20"/>
    </row>
    <row r="115" spans="2:14" x14ac:dyDescent="0.25">
      <c r="B115" s="122" t="s">
        <v>26</v>
      </c>
      <c r="C115" s="25" t="s">
        <v>23</v>
      </c>
      <c r="D115" s="88">
        <f t="shared" si="19"/>
        <v>399000</v>
      </c>
      <c r="E115" s="91">
        <v>0</v>
      </c>
      <c r="F115" s="91">
        <v>0</v>
      </c>
      <c r="G115" s="91">
        <v>300000</v>
      </c>
      <c r="H115" s="91">
        <v>0</v>
      </c>
      <c r="I115" s="12">
        <v>0</v>
      </c>
      <c r="K115" s="19"/>
      <c r="L115" s="20"/>
      <c r="M115" s="20"/>
      <c r="N115" s="20"/>
    </row>
    <row r="116" spans="2:14" ht="15.75" thickBot="1" x14ac:dyDescent="0.3">
      <c r="B116" s="85"/>
      <c r="C116" s="85"/>
      <c r="D116" s="84"/>
      <c r="E116" s="84"/>
      <c r="F116" s="84"/>
      <c r="G116" s="84"/>
      <c r="H116" s="84"/>
      <c r="I116" s="24"/>
      <c r="K116" s="19"/>
      <c r="L116" s="20"/>
      <c r="M116" s="20"/>
      <c r="N116" s="20"/>
    </row>
    <row r="117" spans="2:14" ht="19.5" thickBot="1" x14ac:dyDescent="0.35">
      <c r="B117" s="138" t="s">
        <v>162</v>
      </c>
      <c r="C117" s="137" t="s">
        <v>8</v>
      </c>
      <c r="D117" s="165">
        <f>SUM(E117:I117)</f>
        <v>15039999.630000001</v>
      </c>
      <c r="E117" s="165">
        <v>2000000</v>
      </c>
      <c r="F117" s="165">
        <f>3000000*1.33</f>
        <v>3990000</v>
      </c>
      <c r="G117" s="165">
        <f>3000000*1.33</f>
        <v>3990000</v>
      </c>
      <c r="H117" s="165">
        <f>2000000*1.33</f>
        <v>2660000</v>
      </c>
      <c r="I117" s="166">
        <f>1804511*1.33</f>
        <v>2399999.6300000004</v>
      </c>
      <c r="K117" s="19"/>
      <c r="L117" s="20"/>
      <c r="M117" s="20"/>
      <c r="N117" s="20"/>
    </row>
    <row r="118" spans="2:14" ht="15.75" thickBot="1" x14ac:dyDescent="0.3">
      <c r="B118" s="23"/>
      <c r="C118" s="23"/>
      <c r="D118" s="135"/>
      <c r="E118" s="135"/>
      <c r="F118" s="135"/>
      <c r="G118" s="135"/>
      <c r="H118" s="135"/>
      <c r="I118" s="136"/>
      <c r="K118" s="19"/>
      <c r="L118" s="20"/>
      <c r="M118" s="20"/>
      <c r="N118" s="20"/>
    </row>
    <row r="119" spans="2:14" x14ac:dyDescent="0.25">
      <c r="B119" s="22"/>
      <c r="C119" s="19"/>
      <c r="D119" s="84"/>
      <c r="K119" s="19"/>
      <c r="L119" s="20"/>
      <c r="M119" s="20"/>
      <c r="N119" s="20"/>
    </row>
    <row r="120" spans="2:14" x14ac:dyDescent="0.25">
      <c r="K120" s="19"/>
      <c r="L120" s="20"/>
      <c r="M120" s="20"/>
      <c r="N120" s="20"/>
    </row>
    <row r="121" spans="2:14" x14ac:dyDescent="0.25">
      <c r="K121" s="19"/>
      <c r="L121" s="20"/>
      <c r="M121" s="20"/>
      <c r="N121" s="20"/>
    </row>
    <row r="122" spans="2:14" x14ac:dyDescent="0.25">
      <c r="K122" s="19"/>
      <c r="L122" s="20"/>
      <c r="M122" s="20"/>
      <c r="N122" s="20"/>
    </row>
    <row r="123" spans="2:14" x14ac:dyDescent="0.25">
      <c r="K123" s="19"/>
      <c r="L123" s="20"/>
      <c r="M123" s="20"/>
      <c r="N123" s="20"/>
    </row>
    <row r="124" spans="2:14" x14ac:dyDescent="0.25">
      <c r="B124" s="99"/>
      <c r="C124" s="99"/>
      <c r="D124" s="100"/>
      <c r="E124" s="100"/>
      <c r="F124" s="100"/>
      <c r="G124" s="100"/>
      <c r="H124" s="100"/>
      <c r="I124" s="100"/>
      <c r="K124" s="19"/>
      <c r="L124" s="20"/>
      <c r="M124" s="20"/>
      <c r="N124" s="20"/>
    </row>
    <row r="125" spans="2:14" x14ac:dyDescent="0.25">
      <c r="B125" s="99"/>
      <c r="C125" s="99"/>
      <c r="D125" s="100"/>
      <c r="E125" s="100"/>
      <c r="F125" s="100"/>
      <c r="G125" s="100"/>
      <c r="H125" s="100"/>
      <c r="I125" s="100"/>
      <c r="K125" s="19"/>
      <c r="L125" s="20"/>
      <c r="M125" s="20"/>
      <c r="N125" s="20"/>
    </row>
    <row r="126" spans="2:14" ht="18.75" x14ac:dyDescent="0.3">
      <c r="B126" s="101"/>
      <c r="C126" s="96"/>
      <c r="D126" s="97"/>
      <c r="E126" s="98"/>
      <c r="F126" s="98"/>
      <c r="G126" s="98"/>
      <c r="H126" s="98"/>
      <c r="I126" s="98"/>
      <c r="K126" s="19"/>
      <c r="L126" s="20"/>
      <c r="M126" s="20"/>
      <c r="N126" s="20"/>
    </row>
    <row r="127" spans="2:14" ht="18.75" x14ac:dyDescent="0.3">
      <c r="B127" s="101"/>
      <c r="C127" s="96"/>
      <c r="D127" s="97"/>
      <c r="E127" s="98"/>
      <c r="F127" s="98"/>
      <c r="G127" s="98"/>
      <c r="H127" s="98"/>
      <c r="I127" s="98"/>
      <c r="K127" s="19"/>
      <c r="L127" s="20"/>
      <c r="M127" s="20"/>
      <c r="N127" s="20"/>
    </row>
    <row r="128" spans="2:14" ht="18.75" x14ac:dyDescent="0.3">
      <c r="B128" s="101"/>
      <c r="C128" s="96"/>
      <c r="D128" s="97"/>
      <c r="E128" s="98"/>
      <c r="F128" s="98"/>
      <c r="G128" s="98"/>
      <c r="H128" s="98"/>
      <c r="I128" s="98"/>
      <c r="K128" s="19"/>
      <c r="L128" s="20"/>
      <c r="M128" s="20"/>
      <c r="N128" s="20"/>
    </row>
    <row r="129" spans="2:14" x14ac:dyDescent="0.25">
      <c r="B129" s="102"/>
      <c r="C129" s="75"/>
      <c r="D129" s="103"/>
      <c r="E129" s="103"/>
      <c r="F129" s="103"/>
      <c r="G129" s="103"/>
      <c r="H129" s="103"/>
      <c r="I129" s="103"/>
      <c r="K129" s="19"/>
      <c r="L129" s="20"/>
      <c r="M129" s="20"/>
      <c r="N129" s="20"/>
    </row>
    <row r="130" spans="2:14" x14ac:dyDescent="0.25">
      <c r="B130" s="99"/>
      <c r="C130" s="99"/>
      <c r="D130" s="100"/>
      <c r="E130" s="100"/>
      <c r="F130" s="100"/>
      <c r="G130" s="100"/>
      <c r="H130" s="100"/>
      <c r="I130" s="100"/>
      <c r="K130" s="19"/>
      <c r="L130" s="20"/>
      <c r="M130" s="20"/>
      <c r="N130" s="20"/>
    </row>
    <row r="131" spans="2:14" x14ac:dyDescent="0.25">
      <c r="B131" s="99"/>
      <c r="C131" s="99"/>
      <c r="D131" s="100"/>
      <c r="E131" s="100"/>
      <c r="F131" s="100"/>
      <c r="G131" s="100"/>
      <c r="H131" s="100"/>
      <c r="I131" s="100"/>
      <c r="K131" s="19"/>
      <c r="L131" s="20"/>
      <c r="M131" s="20"/>
      <c r="N131" s="20"/>
    </row>
    <row r="132" spans="2:14" x14ac:dyDescent="0.25">
      <c r="B132" s="99"/>
      <c r="C132" s="99"/>
      <c r="D132" s="100"/>
      <c r="E132" s="100"/>
      <c r="F132" s="100"/>
      <c r="G132" s="100"/>
      <c r="H132" s="100"/>
      <c r="I132" s="100"/>
      <c r="K132" s="19"/>
      <c r="L132" s="20"/>
      <c r="M132" s="20"/>
      <c r="N132" s="20"/>
    </row>
    <row r="133" spans="2:14" x14ac:dyDescent="0.25">
      <c r="B133" s="99"/>
      <c r="C133" s="99"/>
      <c r="D133" s="100"/>
      <c r="E133" s="100"/>
      <c r="F133" s="100"/>
      <c r="G133" s="100"/>
      <c r="H133" s="100"/>
      <c r="I133" s="100"/>
      <c r="K133" s="19"/>
      <c r="L133" s="20"/>
      <c r="M133" s="20"/>
      <c r="N133" s="20"/>
    </row>
    <row r="134" spans="2:14" x14ac:dyDescent="0.25">
      <c r="B134" s="99"/>
      <c r="C134" s="99"/>
      <c r="D134" s="100"/>
      <c r="E134" s="100"/>
      <c r="F134" s="100"/>
      <c r="G134" s="100"/>
      <c r="H134" s="100"/>
      <c r="I134" s="100"/>
      <c r="K134" s="19"/>
      <c r="L134" s="20"/>
      <c r="M134" s="20"/>
      <c r="N134" s="20"/>
    </row>
    <row r="135" spans="2:14" x14ac:dyDescent="0.25">
      <c r="B135" s="99"/>
      <c r="C135" s="99"/>
      <c r="D135" s="100"/>
      <c r="E135" s="100"/>
      <c r="F135" s="100"/>
      <c r="G135" s="100"/>
      <c r="H135" s="100"/>
      <c r="I135" s="100"/>
      <c r="K135" s="19"/>
      <c r="L135" s="20"/>
      <c r="M135" s="20"/>
      <c r="N135" s="20"/>
    </row>
    <row r="136" spans="2:14" x14ac:dyDescent="0.25">
      <c r="B136" s="99"/>
      <c r="C136" s="99"/>
      <c r="D136" s="100"/>
      <c r="E136" s="100"/>
      <c r="F136" s="100"/>
      <c r="G136" s="100"/>
      <c r="H136" s="100"/>
      <c r="I136" s="100"/>
      <c r="K136" s="19"/>
      <c r="L136" s="20"/>
      <c r="M136" s="20"/>
      <c r="N136" s="20"/>
    </row>
    <row r="137" spans="2:14" x14ac:dyDescent="0.25">
      <c r="B137" s="99"/>
      <c r="C137" s="99"/>
      <c r="D137" s="100"/>
      <c r="E137" s="100"/>
      <c r="F137" s="100"/>
      <c r="G137" s="100"/>
      <c r="H137" s="100"/>
      <c r="I137" s="100"/>
      <c r="K137" s="19"/>
      <c r="L137" s="20"/>
      <c r="M137" s="20"/>
      <c r="N137" s="20"/>
    </row>
    <row r="138" spans="2:14" x14ac:dyDescent="0.25">
      <c r="B138" s="99"/>
      <c r="C138" s="99"/>
      <c r="D138" s="100"/>
      <c r="E138" s="100"/>
      <c r="F138" s="100"/>
      <c r="G138" s="100"/>
      <c r="H138" s="100"/>
      <c r="I138" s="100"/>
    </row>
    <row r="139" spans="2:14" x14ac:dyDescent="0.25">
      <c r="B139" s="99"/>
      <c r="C139" s="99"/>
      <c r="D139" s="100"/>
      <c r="E139" s="100"/>
      <c r="F139" s="100"/>
      <c r="G139" s="100"/>
      <c r="H139" s="100"/>
      <c r="I139" s="100"/>
      <c r="K139" s="19"/>
      <c r="L139" s="20"/>
      <c r="M139" s="20"/>
      <c r="N139" s="20"/>
    </row>
    <row r="140" spans="2:14" x14ac:dyDescent="0.25">
      <c r="B140" s="99"/>
      <c r="C140" s="99"/>
      <c r="D140" s="100"/>
      <c r="E140" s="100"/>
      <c r="F140" s="100"/>
      <c r="G140" s="100"/>
      <c r="H140" s="100"/>
      <c r="I140" s="100"/>
      <c r="K140" s="19"/>
      <c r="L140" s="20"/>
      <c r="M140" s="20"/>
      <c r="N140" s="20"/>
    </row>
    <row r="141" spans="2:14" x14ac:dyDescent="0.25">
      <c r="B141" s="99"/>
      <c r="C141" s="99"/>
      <c r="D141" s="100"/>
      <c r="E141" s="100"/>
      <c r="F141" s="100"/>
      <c r="G141" s="100"/>
      <c r="H141" s="100"/>
      <c r="I141" s="100"/>
      <c r="K141" s="19"/>
      <c r="L141" s="20"/>
      <c r="M141" s="20"/>
      <c r="N141" s="20"/>
    </row>
    <row r="142" spans="2:14" x14ac:dyDescent="0.25">
      <c r="B142" s="99"/>
      <c r="C142" s="99"/>
      <c r="D142" s="100"/>
      <c r="E142" s="100"/>
      <c r="F142" s="100"/>
      <c r="G142" s="100"/>
      <c r="H142" s="100"/>
      <c r="I142" s="100"/>
      <c r="K142" s="19"/>
      <c r="L142" s="20"/>
      <c r="M142" s="20" t="s">
        <v>154</v>
      </c>
      <c r="N142" s="20"/>
    </row>
    <row r="143" spans="2:14" x14ac:dyDescent="0.25">
      <c r="B143" s="99"/>
      <c r="C143" s="99"/>
      <c r="D143" s="100"/>
      <c r="E143" s="100"/>
      <c r="F143" s="100"/>
      <c r="G143" s="100"/>
      <c r="H143" s="100"/>
      <c r="I143" s="100"/>
      <c r="K143" s="19"/>
      <c r="L143" s="20"/>
      <c r="M143" s="20"/>
      <c r="N143" s="20"/>
    </row>
    <row r="144" spans="2:14" x14ac:dyDescent="0.25">
      <c r="B144" s="99"/>
      <c r="C144" s="99"/>
      <c r="D144" s="100"/>
      <c r="E144" s="100"/>
      <c r="F144" s="100"/>
      <c r="G144" s="100"/>
      <c r="H144" s="100"/>
      <c r="I144" s="100"/>
      <c r="K144" s="19"/>
      <c r="L144" s="20"/>
      <c r="M144" s="20"/>
      <c r="N144" s="20"/>
    </row>
    <row r="145" spans="2:14" x14ac:dyDescent="0.25">
      <c r="B145" s="99"/>
      <c r="C145" s="99"/>
      <c r="D145" s="100"/>
      <c r="E145" s="100"/>
      <c r="F145" s="100"/>
      <c r="G145" s="100"/>
      <c r="H145" s="100"/>
      <c r="I145" s="100"/>
      <c r="K145" s="19"/>
      <c r="L145" s="20"/>
      <c r="M145" s="20"/>
      <c r="N145" s="20"/>
    </row>
    <row r="146" spans="2:14" x14ac:dyDescent="0.25">
      <c r="B146" s="99"/>
      <c r="C146" s="99"/>
      <c r="D146" s="100"/>
      <c r="E146" s="100"/>
      <c r="F146" s="100"/>
      <c r="G146" s="100"/>
      <c r="H146" s="100"/>
      <c r="I146" s="100"/>
    </row>
    <row r="147" spans="2:14" x14ac:dyDescent="0.25">
      <c r="B147" s="99"/>
      <c r="C147" s="99"/>
      <c r="D147" s="100"/>
      <c r="E147" s="100"/>
      <c r="F147" s="100"/>
      <c r="G147" s="100"/>
      <c r="H147" s="100"/>
      <c r="I147" s="100"/>
    </row>
    <row r="148" spans="2:14" x14ac:dyDescent="0.25">
      <c r="B148" s="99"/>
      <c r="C148" s="99"/>
      <c r="D148" s="100"/>
      <c r="E148" s="100"/>
      <c r="F148" s="100"/>
      <c r="G148" s="100"/>
      <c r="H148" s="100"/>
      <c r="I148" s="100"/>
    </row>
    <row r="149" spans="2:14" x14ac:dyDescent="0.25">
      <c r="B149" s="99"/>
      <c r="C149" s="99"/>
      <c r="D149" s="100"/>
      <c r="E149" s="100"/>
      <c r="F149" s="100"/>
      <c r="G149" s="100"/>
      <c r="H149" s="100"/>
      <c r="I149" s="100"/>
    </row>
    <row r="150" spans="2:14" x14ac:dyDescent="0.25">
      <c r="B150" s="99"/>
      <c r="C150" s="99"/>
      <c r="D150" s="100"/>
      <c r="E150" s="100"/>
      <c r="F150" s="100"/>
      <c r="G150" s="100"/>
      <c r="H150" s="100"/>
      <c r="I150" s="100"/>
    </row>
  </sheetData>
  <pageMargins left="0.7" right="0.7" top="0.75" bottom="0.75" header="0.3" footer="0.3"/>
  <pageSetup orientation="portrait" r:id="rId1"/>
  <ignoredErrors>
    <ignoredError sqref="E1:I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A44AA-99C5-45EF-8AB2-236652CCCB94}">
  <dimension ref="A1:AF166"/>
  <sheetViews>
    <sheetView zoomScale="70" zoomScaleNormal="70" workbookViewId="0">
      <selection activeCell="T23" sqref="T23"/>
    </sheetView>
  </sheetViews>
  <sheetFormatPr defaultRowHeight="15" x14ac:dyDescent="0.25"/>
  <cols>
    <col min="1" max="1" width="57.42578125" customWidth="1"/>
    <col min="5" max="5" width="11.85546875" customWidth="1"/>
    <col min="8" max="8" width="11.85546875" customWidth="1"/>
    <col min="11" max="11" width="11.85546875" customWidth="1"/>
    <col min="14" max="14" width="11.85546875" customWidth="1"/>
    <col min="17" max="17" width="11.85546875" customWidth="1"/>
    <col min="20" max="20" width="11.85546875" customWidth="1"/>
    <col min="23" max="23" width="11.85546875" customWidth="1"/>
    <col min="26" max="26" width="54.5703125" customWidth="1"/>
    <col min="27" max="27" width="19.85546875" customWidth="1"/>
    <col min="28" max="28" width="23.5703125" customWidth="1"/>
    <col min="29" max="29" width="29.140625" bestFit="1" customWidth="1"/>
    <col min="30" max="30" width="32.7109375" customWidth="1"/>
    <col min="31" max="31" width="13.85546875" customWidth="1"/>
    <col min="32" max="32" width="15.42578125" bestFit="1" customWidth="1"/>
    <col min="33" max="33" width="9.42578125" customWidth="1"/>
    <col min="34" max="34" width="7" customWidth="1"/>
    <col min="35" max="35" width="23.5703125" customWidth="1"/>
    <col min="36" max="36" width="25.85546875" bestFit="1" customWidth="1"/>
    <col min="37" max="37" width="32.85546875" customWidth="1"/>
  </cols>
  <sheetData>
    <row r="1" spans="1:32" ht="15.75" thickBot="1" x14ac:dyDescent="0.3"/>
    <row r="2" spans="1:32" ht="15.75" thickBot="1" x14ac:dyDescent="0.3">
      <c r="C2" s="260">
        <v>2024</v>
      </c>
      <c r="D2" s="261"/>
      <c r="E2" s="262"/>
      <c r="F2" s="263">
        <v>2025</v>
      </c>
      <c r="G2" s="264"/>
      <c r="H2" s="265"/>
      <c r="I2" s="266">
        <v>2026</v>
      </c>
      <c r="J2" s="267"/>
      <c r="K2" s="268"/>
      <c r="L2" s="263">
        <v>2027</v>
      </c>
      <c r="M2" s="264"/>
      <c r="N2" s="265"/>
      <c r="O2" s="266">
        <v>2028</v>
      </c>
      <c r="P2" s="267"/>
      <c r="Q2" s="268"/>
      <c r="R2" s="263">
        <v>2029</v>
      </c>
      <c r="S2" s="264"/>
      <c r="T2" s="265"/>
      <c r="U2" s="246" t="s">
        <v>93</v>
      </c>
      <c r="V2" s="247"/>
      <c r="W2" s="248"/>
    </row>
    <row r="3" spans="1:32" ht="45.75" thickBot="1" x14ac:dyDescent="0.3">
      <c r="A3" s="28" t="s">
        <v>94</v>
      </c>
      <c r="B3" s="29"/>
      <c r="C3" s="30" t="s">
        <v>95</v>
      </c>
      <c r="D3" s="31" t="s">
        <v>96</v>
      </c>
      <c r="E3" s="32" t="s">
        <v>97</v>
      </c>
      <c r="F3" s="33" t="s">
        <v>95</v>
      </c>
      <c r="G3" s="31" t="s">
        <v>96</v>
      </c>
      <c r="H3" s="32" t="s">
        <v>97</v>
      </c>
      <c r="I3" s="30" t="s">
        <v>95</v>
      </c>
      <c r="J3" s="34" t="s">
        <v>96</v>
      </c>
      <c r="K3" s="32" t="s">
        <v>97</v>
      </c>
      <c r="L3" s="33" t="s">
        <v>95</v>
      </c>
      <c r="M3" s="31" t="s">
        <v>96</v>
      </c>
      <c r="N3" s="32" t="s">
        <v>97</v>
      </c>
      <c r="O3" s="30" t="s">
        <v>95</v>
      </c>
      <c r="P3" s="31" t="s">
        <v>96</v>
      </c>
      <c r="Q3" s="32" t="s">
        <v>97</v>
      </c>
      <c r="R3" s="33" t="s">
        <v>95</v>
      </c>
      <c r="S3" s="31" t="s">
        <v>96</v>
      </c>
      <c r="T3" s="32" t="s">
        <v>97</v>
      </c>
      <c r="U3" s="30" t="s">
        <v>95</v>
      </c>
      <c r="V3" s="31" t="s">
        <v>96</v>
      </c>
      <c r="W3" s="32" t="s">
        <v>98</v>
      </c>
      <c r="Z3" s="249" t="s">
        <v>150</v>
      </c>
      <c r="AA3" s="250"/>
      <c r="AB3" s="250"/>
      <c r="AC3" s="250"/>
      <c r="AD3" s="251"/>
    </row>
    <row r="4" spans="1:32" ht="24" thickBot="1" x14ac:dyDescent="0.4">
      <c r="A4" s="35"/>
      <c r="B4" s="36"/>
      <c r="C4" s="25"/>
      <c r="D4" s="37"/>
      <c r="E4" s="38"/>
      <c r="F4" s="3"/>
      <c r="G4" s="37"/>
      <c r="H4" s="39"/>
      <c r="I4" s="25"/>
      <c r="J4" s="39"/>
      <c r="K4" s="38"/>
      <c r="L4" s="3"/>
      <c r="M4" s="37"/>
      <c r="N4" s="39"/>
      <c r="O4" s="25"/>
      <c r="P4" s="37"/>
      <c r="Q4" s="38"/>
      <c r="R4" s="3"/>
      <c r="S4" s="37"/>
      <c r="T4" s="38"/>
      <c r="U4" s="25"/>
      <c r="V4" s="37"/>
      <c r="W4" s="38"/>
      <c r="Z4" s="40" t="s">
        <v>7</v>
      </c>
      <c r="AA4" s="41" t="s">
        <v>9</v>
      </c>
      <c r="AB4" s="41" t="s">
        <v>10</v>
      </c>
      <c r="AC4" s="41" t="s">
        <v>99</v>
      </c>
      <c r="AD4" s="42" t="s">
        <v>11</v>
      </c>
    </row>
    <row r="5" spans="1:32" ht="18.75" x14ac:dyDescent="0.3">
      <c r="A5" s="106" t="s">
        <v>151</v>
      </c>
      <c r="B5" s="36"/>
      <c r="C5" s="43">
        <v>12</v>
      </c>
      <c r="D5" s="44">
        <v>0</v>
      </c>
      <c r="E5" s="45">
        <v>0</v>
      </c>
      <c r="F5" s="43">
        <v>12</v>
      </c>
      <c r="G5" s="44">
        <v>0</v>
      </c>
      <c r="H5" s="46">
        <v>6</v>
      </c>
      <c r="I5" s="43">
        <v>12</v>
      </c>
      <c r="J5" s="47">
        <v>0</v>
      </c>
      <c r="K5" s="45">
        <v>6</v>
      </c>
      <c r="L5" s="48">
        <v>12</v>
      </c>
      <c r="M5" s="44">
        <v>0</v>
      </c>
      <c r="N5" s="46">
        <v>6</v>
      </c>
      <c r="O5" s="43">
        <v>12</v>
      </c>
      <c r="P5" s="44">
        <v>0</v>
      </c>
      <c r="Q5" s="45">
        <v>6</v>
      </c>
      <c r="R5" s="49">
        <v>0</v>
      </c>
      <c r="S5" s="44">
        <v>0</v>
      </c>
      <c r="T5" s="45">
        <v>6</v>
      </c>
      <c r="U5" s="50"/>
      <c r="V5" s="51"/>
      <c r="W5" s="52">
        <f t="shared" ref="W5:W10" si="0">SUM(H5,K5,N5,Q5,T5)</f>
        <v>30</v>
      </c>
      <c r="Z5" s="197" t="s">
        <v>151</v>
      </c>
      <c r="AA5" s="198">
        <v>60000000</v>
      </c>
      <c r="AB5" s="199">
        <v>30</v>
      </c>
      <c r="AC5" s="200">
        <v>2</v>
      </c>
      <c r="AD5" s="201" t="s">
        <v>100</v>
      </c>
    </row>
    <row r="6" spans="1:32" ht="18.75" x14ac:dyDescent="0.3">
      <c r="A6" s="106" t="s">
        <v>152</v>
      </c>
      <c r="B6" s="53"/>
      <c r="C6" s="54">
        <v>1</v>
      </c>
      <c r="D6" s="55">
        <f>C6*0.1</f>
        <v>0.1</v>
      </c>
      <c r="E6" s="52">
        <v>0</v>
      </c>
      <c r="F6" s="56">
        <v>3.3250000000000002</v>
      </c>
      <c r="G6" s="55">
        <v>0.3</v>
      </c>
      <c r="H6" s="57">
        <f>C6/$AC6</f>
        <v>0.42372881355932207</v>
      </c>
      <c r="I6" s="54">
        <v>3.2</v>
      </c>
      <c r="J6" s="58">
        <v>0.3</v>
      </c>
      <c r="K6" s="59">
        <f>F6/$AC6</f>
        <v>1.4088983050847459</v>
      </c>
      <c r="L6" s="56">
        <v>1.5</v>
      </c>
      <c r="M6" s="55">
        <v>0.2</v>
      </c>
      <c r="N6" s="59">
        <f t="shared" ref="N6:N9" si="1">I6/$AC6</f>
        <v>1.3559322033898307</v>
      </c>
      <c r="O6" s="54">
        <v>1.6</v>
      </c>
      <c r="P6" s="55">
        <f>O6*0.1</f>
        <v>0.16000000000000003</v>
      </c>
      <c r="Q6" s="59">
        <f t="shared" ref="Q6:Q9" si="2">L6/$AC6</f>
        <v>0.63559322033898313</v>
      </c>
      <c r="R6" s="56">
        <v>0</v>
      </c>
      <c r="S6" s="55">
        <f>R6*0.1</f>
        <v>0</v>
      </c>
      <c r="T6" s="59">
        <f t="shared" ref="T6:T9" si="3">O6/$AC6</f>
        <v>0.67796610169491534</v>
      </c>
      <c r="U6" s="60">
        <f t="shared" ref="U6:V10" si="4">SUM(C6,F6,I6,L6,O6,R6)</f>
        <v>10.625</v>
      </c>
      <c r="V6" s="61">
        <f t="shared" si="4"/>
        <v>1.06</v>
      </c>
      <c r="W6" s="59">
        <f t="shared" si="0"/>
        <v>4.5021186440677976</v>
      </c>
      <c r="Z6" s="106" t="s">
        <v>152</v>
      </c>
      <c r="AA6" s="202">
        <v>10580000</v>
      </c>
      <c r="AB6" s="204">
        <v>4.5</v>
      </c>
      <c r="AC6" s="207">
        <v>2.36</v>
      </c>
      <c r="AD6" s="208" t="s">
        <v>100</v>
      </c>
    </row>
    <row r="7" spans="1:32" ht="18.75" x14ac:dyDescent="0.3">
      <c r="A7" s="106" t="s">
        <v>12</v>
      </c>
      <c r="B7" s="53"/>
      <c r="C7" s="54">
        <v>1</v>
      </c>
      <c r="D7" s="55">
        <f>C7*0.05</f>
        <v>0.05</v>
      </c>
      <c r="E7" s="52">
        <v>0</v>
      </c>
      <c r="F7" s="56">
        <v>4.0033000000000003</v>
      </c>
      <c r="G7" s="55">
        <v>0.2</v>
      </c>
      <c r="H7" s="57">
        <f t="shared" ref="H7:H9" si="5">C7/$AC7</f>
        <v>0.42735042735042739</v>
      </c>
      <c r="I7" s="54">
        <v>8.9</v>
      </c>
      <c r="J7" s="58">
        <v>0.4</v>
      </c>
      <c r="K7" s="59">
        <f t="shared" ref="K7:K9" si="6">F7/$AC7</f>
        <v>1.710811965811966</v>
      </c>
      <c r="L7" s="56">
        <v>0</v>
      </c>
      <c r="M7" s="55">
        <f>L7*0.05</f>
        <v>0</v>
      </c>
      <c r="N7" s="59">
        <f t="shared" si="1"/>
        <v>3.8034188034188037</v>
      </c>
      <c r="O7" s="54">
        <v>13.9</v>
      </c>
      <c r="P7" s="55">
        <f>O7*0.05</f>
        <v>0.69500000000000006</v>
      </c>
      <c r="Q7" s="59">
        <f t="shared" si="2"/>
        <v>0</v>
      </c>
      <c r="R7" s="56">
        <v>0</v>
      </c>
      <c r="S7" s="55">
        <f>R7*0.05</f>
        <v>0</v>
      </c>
      <c r="T7" s="59">
        <f t="shared" si="3"/>
        <v>5.9401709401709404</v>
      </c>
      <c r="U7" s="60">
        <f t="shared" si="4"/>
        <v>27.8033</v>
      </c>
      <c r="V7" s="61">
        <f t="shared" si="4"/>
        <v>1.3450000000000002</v>
      </c>
      <c r="W7" s="59">
        <f t="shared" si="0"/>
        <v>11.881752136752137</v>
      </c>
      <c r="Z7" s="106" t="s">
        <v>12</v>
      </c>
      <c r="AA7" s="202">
        <v>27812800</v>
      </c>
      <c r="AB7" s="204">
        <v>11.9</v>
      </c>
      <c r="AC7" s="206">
        <v>2.34</v>
      </c>
      <c r="AD7" s="208" t="s">
        <v>100</v>
      </c>
    </row>
    <row r="8" spans="1:32" ht="18.75" x14ac:dyDescent="0.3">
      <c r="A8" s="106" t="s">
        <v>163</v>
      </c>
      <c r="B8" s="53"/>
      <c r="C8" s="54">
        <v>3</v>
      </c>
      <c r="D8" s="55">
        <v>0</v>
      </c>
      <c r="E8" s="52">
        <v>0</v>
      </c>
      <c r="F8" s="56">
        <v>11.97</v>
      </c>
      <c r="G8" s="55">
        <v>0</v>
      </c>
      <c r="H8" s="62">
        <f t="shared" si="5"/>
        <v>0.4</v>
      </c>
      <c r="I8" s="54">
        <v>4.8</v>
      </c>
      <c r="J8" s="58">
        <v>0</v>
      </c>
      <c r="K8" s="59">
        <f t="shared" si="6"/>
        <v>1.5960000000000001</v>
      </c>
      <c r="L8" s="56">
        <v>22.6</v>
      </c>
      <c r="M8" s="55">
        <v>0</v>
      </c>
      <c r="N8" s="59">
        <f t="shared" si="1"/>
        <v>0.64</v>
      </c>
      <c r="O8" s="54">
        <v>10.1</v>
      </c>
      <c r="P8" s="55">
        <v>0</v>
      </c>
      <c r="Q8" s="59">
        <f t="shared" si="2"/>
        <v>3.0133333333333336</v>
      </c>
      <c r="R8" s="56">
        <v>0</v>
      </c>
      <c r="S8" s="55">
        <v>0</v>
      </c>
      <c r="T8" s="59">
        <f t="shared" si="3"/>
        <v>1.3466666666666667</v>
      </c>
      <c r="U8" s="60">
        <f t="shared" si="4"/>
        <v>52.470000000000006</v>
      </c>
      <c r="V8" s="61">
        <f t="shared" si="4"/>
        <v>0</v>
      </c>
      <c r="W8" s="63">
        <f t="shared" si="0"/>
        <v>6.9960000000000004</v>
      </c>
      <c r="Z8" s="106" t="s">
        <v>163</v>
      </c>
      <c r="AA8" s="202">
        <v>52476000</v>
      </c>
      <c r="AB8" s="204">
        <v>7</v>
      </c>
      <c r="AC8" s="206">
        <v>7.5</v>
      </c>
      <c r="AD8" s="208" t="s">
        <v>100</v>
      </c>
    </row>
    <row r="9" spans="1:32" ht="18.75" x14ac:dyDescent="0.3">
      <c r="A9" s="106" t="s">
        <v>153</v>
      </c>
      <c r="B9" s="53"/>
      <c r="C9" s="54">
        <v>2</v>
      </c>
      <c r="D9" s="55">
        <f>C9*0.1</f>
        <v>0.2</v>
      </c>
      <c r="E9" s="52">
        <v>0</v>
      </c>
      <c r="F9" s="56">
        <v>3.99</v>
      </c>
      <c r="G9" s="55">
        <v>0.4</v>
      </c>
      <c r="H9" s="57">
        <f t="shared" si="5"/>
        <v>0.39215686274509809</v>
      </c>
      <c r="I9" s="54">
        <v>4</v>
      </c>
      <c r="J9" s="58">
        <v>0.4</v>
      </c>
      <c r="K9" s="59">
        <f t="shared" si="6"/>
        <v>0.7823529411764707</v>
      </c>
      <c r="L9" s="56">
        <v>2.7</v>
      </c>
      <c r="M9" s="55">
        <f>0.3</f>
        <v>0.3</v>
      </c>
      <c r="N9" s="59">
        <f t="shared" si="1"/>
        <v>0.78431372549019618</v>
      </c>
      <c r="O9" s="54">
        <v>2.4</v>
      </c>
      <c r="P9" s="55">
        <f>O9*0.1</f>
        <v>0.24</v>
      </c>
      <c r="Q9" s="59">
        <f t="shared" si="2"/>
        <v>0.52941176470588247</v>
      </c>
      <c r="R9" s="56">
        <v>0</v>
      </c>
      <c r="S9" s="55">
        <f>R9*0.1</f>
        <v>0</v>
      </c>
      <c r="T9" s="59">
        <f t="shared" si="3"/>
        <v>0.47058823529411764</v>
      </c>
      <c r="U9" s="60">
        <f t="shared" si="4"/>
        <v>15.090000000000002</v>
      </c>
      <c r="V9" s="61">
        <f t="shared" si="4"/>
        <v>1.54</v>
      </c>
      <c r="W9" s="59">
        <f t="shared" si="0"/>
        <v>2.9588235294117653</v>
      </c>
      <c r="Z9" s="106" t="s">
        <v>153</v>
      </c>
      <c r="AA9" s="203">
        <v>15040000</v>
      </c>
      <c r="AB9" s="205">
        <v>2.9</v>
      </c>
      <c r="AC9" s="206">
        <v>5.0999999999999996</v>
      </c>
      <c r="AD9" s="209" t="s">
        <v>100</v>
      </c>
    </row>
    <row r="10" spans="1:32" ht="20.45" customHeight="1" thickBot="1" x14ac:dyDescent="0.3">
      <c r="A10" s="170" t="s">
        <v>101</v>
      </c>
      <c r="B10" s="171"/>
      <c r="C10" s="64">
        <f>SUM(C5:C9)</f>
        <v>19</v>
      </c>
      <c r="D10" s="65">
        <f>SUM(D5:D9)</f>
        <v>0.35000000000000003</v>
      </c>
      <c r="E10" s="66">
        <f>SUM(E5:E9)</f>
        <v>0</v>
      </c>
      <c r="F10" s="56">
        <f t="shared" ref="F10:Q10" si="7">SUM(F5:F9)</f>
        <v>35.2883</v>
      </c>
      <c r="G10" s="55">
        <f t="shared" si="7"/>
        <v>0.9</v>
      </c>
      <c r="H10" s="57">
        <f t="shared" si="7"/>
        <v>7.6432361036548482</v>
      </c>
      <c r="I10" s="64">
        <f t="shared" si="7"/>
        <v>32.900000000000006</v>
      </c>
      <c r="J10" s="67">
        <f t="shared" si="7"/>
        <v>1.1000000000000001</v>
      </c>
      <c r="K10" s="68">
        <f t="shared" si="7"/>
        <v>11.498063212073182</v>
      </c>
      <c r="L10" s="56">
        <f>SUM(L5:L9)</f>
        <v>38.800000000000004</v>
      </c>
      <c r="M10" s="55">
        <f t="shared" si="7"/>
        <v>0.5</v>
      </c>
      <c r="N10" s="57">
        <f t="shared" si="7"/>
        <v>12.583664732298832</v>
      </c>
      <c r="O10" s="64">
        <f t="shared" si="7"/>
        <v>40</v>
      </c>
      <c r="P10" s="65">
        <f t="shared" si="7"/>
        <v>1.0950000000000002</v>
      </c>
      <c r="Q10" s="68">
        <f t="shared" si="7"/>
        <v>10.178338318378199</v>
      </c>
      <c r="R10" s="56">
        <f>SUM(R5:R9)</f>
        <v>0</v>
      </c>
      <c r="S10" s="55">
        <f>SUM(S5:S9)</f>
        <v>0</v>
      </c>
      <c r="T10" s="59">
        <f>SUM(T5:T9)</f>
        <v>14.435391943826639</v>
      </c>
      <c r="U10" s="64">
        <f t="shared" si="4"/>
        <v>165.98830000000001</v>
      </c>
      <c r="V10" s="65">
        <f t="shared" si="4"/>
        <v>3.9450000000000003</v>
      </c>
      <c r="W10" s="68">
        <f t="shared" si="0"/>
        <v>56.338694310231695</v>
      </c>
      <c r="Z10" s="252" t="s">
        <v>8</v>
      </c>
      <c r="AA10" s="254">
        <f>SUM(AA5:AA9)</f>
        <v>165908800</v>
      </c>
      <c r="AB10" s="256">
        <f>SUM(AB5:AB9)</f>
        <v>56.3</v>
      </c>
      <c r="AC10" s="256" t="s">
        <v>13</v>
      </c>
      <c r="AD10" s="258"/>
    </row>
    <row r="11" spans="1:32" ht="15" customHeight="1" thickBot="1" x14ac:dyDescent="0.3">
      <c r="Z11" s="253"/>
      <c r="AA11" s="255"/>
      <c r="AB11" s="257"/>
      <c r="AC11" s="257"/>
      <c r="AD11" s="259"/>
    </row>
    <row r="12" spans="1:32" ht="15.75" thickTop="1" x14ac:dyDescent="0.25">
      <c r="A12" t="s">
        <v>102</v>
      </c>
      <c r="Z12" s="69"/>
      <c r="AA12" s="69"/>
      <c r="AB12" s="70"/>
      <c r="AC12" s="70"/>
    </row>
    <row r="13" spans="1:32" x14ac:dyDescent="0.25">
      <c r="Z13" t="s">
        <v>102</v>
      </c>
    </row>
    <row r="14" spans="1:32" ht="15.75" thickBot="1" x14ac:dyDescent="0.3"/>
    <row r="15" spans="1:32" ht="26.45" customHeight="1" thickTop="1" thickBot="1" x14ac:dyDescent="0.3">
      <c r="A15" s="243" t="s">
        <v>103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/>
      <c r="R15" s="71"/>
      <c r="S15" s="71"/>
      <c r="T15" s="71"/>
      <c r="U15" s="71"/>
      <c r="V15" s="71"/>
      <c r="Z15" s="269" t="s">
        <v>148</v>
      </c>
      <c r="AA15" s="270"/>
      <c r="AB15" s="270"/>
      <c r="AC15" s="270"/>
      <c r="AD15" s="270"/>
      <c r="AE15" s="270"/>
      <c r="AF15" s="271"/>
    </row>
    <row r="16" spans="1:32" ht="30.75" thickBot="1" x14ac:dyDescent="0.35">
      <c r="A16" s="172"/>
      <c r="B16" s="173">
        <v>2014</v>
      </c>
      <c r="C16" s="173">
        <v>2015</v>
      </c>
      <c r="D16" s="173">
        <v>2016</v>
      </c>
      <c r="E16" s="173">
        <v>2017</v>
      </c>
      <c r="F16" s="173">
        <v>2018</v>
      </c>
      <c r="G16" s="173">
        <v>2019</v>
      </c>
      <c r="H16" s="173">
        <v>2020</v>
      </c>
      <c r="I16" s="173">
        <v>2021</v>
      </c>
      <c r="J16" s="173">
        <v>2022</v>
      </c>
      <c r="K16" s="173">
        <v>2023</v>
      </c>
      <c r="L16" s="173">
        <v>2024</v>
      </c>
      <c r="M16" s="173">
        <v>2025</v>
      </c>
      <c r="N16" s="173">
        <v>2026</v>
      </c>
      <c r="O16" s="173">
        <v>2027</v>
      </c>
      <c r="P16" s="173">
        <v>2028</v>
      </c>
      <c r="Q16" s="174">
        <v>2029</v>
      </c>
      <c r="R16" s="71"/>
      <c r="S16" s="71"/>
      <c r="T16" s="71"/>
      <c r="U16" s="71"/>
      <c r="Z16" s="210" t="s">
        <v>104</v>
      </c>
      <c r="AA16" s="211" t="s">
        <v>105</v>
      </c>
      <c r="AB16" s="212" t="s">
        <v>106</v>
      </c>
      <c r="AC16" s="212" t="s">
        <v>107</v>
      </c>
      <c r="AD16" s="212" t="s">
        <v>108</v>
      </c>
      <c r="AE16" s="212" t="s">
        <v>109</v>
      </c>
      <c r="AF16" s="213" t="s">
        <v>110</v>
      </c>
    </row>
    <row r="17" spans="1:32" ht="19.5" thickBot="1" x14ac:dyDescent="0.35">
      <c r="A17" s="175"/>
      <c r="B17" s="176" t="s">
        <v>111</v>
      </c>
      <c r="C17" s="176" t="s">
        <v>112</v>
      </c>
      <c r="D17" s="176" t="s">
        <v>113</v>
      </c>
      <c r="E17" s="176" t="s">
        <v>114</v>
      </c>
      <c r="F17" s="176" t="s">
        <v>115</v>
      </c>
      <c r="G17" s="176" t="s">
        <v>116</v>
      </c>
      <c r="H17" s="176" t="s">
        <v>117</v>
      </c>
      <c r="I17" s="176" t="s">
        <v>118</v>
      </c>
      <c r="J17" s="176" t="s">
        <v>119</v>
      </c>
      <c r="K17" s="176" t="s">
        <v>120</v>
      </c>
      <c r="L17" s="176" t="s">
        <v>121</v>
      </c>
      <c r="M17" s="176" t="s">
        <v>122</v>
      </c>
      <c r="N17" s="176" t="s">
        <v>123</v>
      </c>
      <c r="O17" s="176" t="s">
        <v>124</v>
      </c>
      <c r="P17" s="176" t="s">
        <v>125</v>
      </c>
      <c r="Q17" s="177" t="s">
        <v>126</v>
      </c>
      <c r="R17" s="71"/>
      <c r="S17" s="71"/>
      <c r="T17" s="71"/>
      <c r="U17" s="71"/>
      <c r="Z17" s="214">
        <v>2020</v>
      </c>
      <c r="AA17" s="80"/>
      <c r="AB17" s="81"/>
      <c r="AC17" s="215">
        <v>217.4</v>
      </c>
      <c r="AD17" s="81"/>
      <c r="AE17" s="81"/>
      <c r="AF17" s="82"/>
    </row>
    <row r="18" spans="1:32" ht="18.75" x14ac:dyDescent="0.25">
      <c r="A18" s="178" t="s">
        <v>127</v>
      </c>
      <c r="B18" s="179">
        <v>505.3</v>
      </c>
      <c r="C18" s="179">
        <v>468.1</v>
      </c>
      <c r="D18" s="179">
        <v>445.8</v>
      </c>
      <c r="E18" s="179">
        <v>406.3</v>
      </c>
      <c r="F18" s="179">
        <v>484.2</v>
      </c>
      <c r="G18" s="180">
        <v>485.1</v>
      </c>
      <c r="H18" s="179">
        <v>397.4</v>
      </c>
      <c r="I18" s="179">
        <v>402.1</v>
      </c>
      <c r="J18" s="179">
        <v>490.6</v>
      </c>
      <c r="K18" s="179">
        <v>426</v>
      </c>
      <c r="L18" s="179"/>
      <c r="M18" s="179"/>
      <c r="N18" s="181"/>
      <c r="O18" s="181"/>
      <c r="P18" s="181"/>
      <c r="Q18" s="182"/>
      <c r="R18" s="71"/>
      <c r="S18" s="71"/>
      <c r="T18" s="71"/>
      <c r="U18" s="71"/>
      <c r="Z18" s="216">
        <v>2021</v>
      </c>
      <c r="AA18" s="77"/>
      <c r="AB18" s="78"/>
      <c r="AC18" s="217">
        <v>206.4</v>
      </c>
      <c r="AD18" s="78"/>
      <c r="AE18" s="78"/>
      <c r="AF18" s="79"/>
    </row>
    <row r="19" spans="1:32" ht="18.75" x14ac:dyDescent="0.3">
      <c r="A19" s="183" t="s">
        <v>107</v>
      </c>
      <c r="B19" s="184"/>
      <c r="C19" s="184"/>
      <c r="D19" s="184"/>
      <c r="E19" s="185">
        <f>AVERAGE(C18:E18)</f>
        <v>440.06666666666666</v>
      </c>
      <c r="F19" s="185">
        <f>AVERAGE(D18:F18)</f>
        <v>445.43333333333334</v>
      </c>
      <c r="G19" s="185">
        <f>AVERAGE(E18:G18)</f>
        <v>458.5333333333333</v>
      </c>
      <c r="H19" s="185">
        <f>AVERAGE(F18:H18)</f>
        <v>455.56666666666661</v>
      </c>
      <c r="I19" s="185">
        <f t="shared" ref="I19:J19" si="8">AVERAGE(G18:I18)</f>
        <v>428.2</v>
      </c>
      <c r="J19" s="185">
        <f t="shared" si="8"/>
        <v>430.0333333333333</v>
      </c>
      <c r="K19" s="185">
        <f>J19-3.71</f>
        <v>426.32333333333332</v>
      </c>
      <c r="L19" s="179">
        <f>K19-3.71</f>
        <v>422.61333333333334</v>
      </c>
      <c r="M19" s="179">
        <v>415</v>
      </c>
      <c r="N19" s="186"/>
      <c r="O19" s="186"/>
      <c r="P19" s="186"/>
      <c r="Q19" s="187"/>
      <c r="R19" s="71"/>
      <c r="S19" s="71"/>
      <c r="T19" s="71"/>
      <c r="U19" s="71"/>
      <c r="Z19" s="216">
        <v>2022</v>
      </c>
      <c r="AA19" s="77"/>
      <c r="AB19" s="78"/>
      <c r="AC19" s="217">
        <v>198.1</v>
      </c>
      <c r="AD19" s="78"/>
      <c r="AE19" s="78"/>
      <c r="AF19" s="79"/>
    </row>
    <row r="20" spans="1:32" ht="18.75" x14ac:dyDescent="0.3">
      <c r="A20" s="188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7"/>
      <c r="R20" s="71"/>
      <c r="S20" s="71"/>
      <c r="T20" s="71"/>
      <c r="U20" s="71"/>
      <c r="Z20" s="216">
        <v>2023</v>
      </c>
      <c r="AA20" s="231">
        <v>7420000</v>
      </c>
      <c r="AB20" s="232"/>
      <c r="AC20" s="217">
        <f>AC19-3.71</f>
        <v>194.39</v>
      </c>
      <c r="AD20" s="219">
        <f>AC20</f>
        <v>194.39</v>
      </c>
      <c r="AE20" s="220"/>
      <c r="AF20" s="221"/>
    </row>
    <row r="21" spans="1:32" ht="18.75" x14ac:dyDescent="0.3">
      <c r="A21" s="189" t="s">
        <v>128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79">
        <f>L19-H10</f>
        <v>414.97009722967852</v>
      </c>
      <c r="N21" s="179">
        <f>M21-K10</f>
        <v>403.47203401760532</v>
      </c>
      <c r="O21" s="179">
        <f>N21-N10</f>
        <v>390.88836928530651</v>
      </c>
      <c r="P21" s="179">
        <f>O21-Q10</f>
        <v>380.71003096692829</v>
      </c>
      <c r="Q21" s="190">
        <f>P21-T10</f>
        <v>366.27463902310166</v>
      </c>
      <c r="R21" s="71"/>
      <c r="S21" s="71"/>
      <c r="T21" s="71"/>
      <c r="U21" s="71"/>
      <c r="Z21" s="216">
        <v>2024</v>
      </c>
      <c r="AA21" s="231">
        <v>12000000</v>
      </c>
      <c r="AB21" s="233">
        <f>(AA20/AA29)+AB20</f>
        <v>3.71</v>
      </c>
      <c r="AC21" s="218"/>
      <c r="AD21" s="219">
        <f>AD20-AB21</f>
        <v>190.67999999999998</v>
      </c>
      <c r="AE21" s="83">
        <v>162018</v>
      </c>
      <c r="AF21" s="222">
        <f>AB21*$AE21</f>
        <v>601086.78</v>
      </c>
    </row>
    <row r="22" spans="1:32" ht="18.75" x14ac:dyDescent="0.3">
      <c r="A22" s="188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91"/>
      <c r="N22" s="191"/>
      <c r="O22" s="191"/>
      <c r="P22" s="191"/>
      <c r="Q22" s="192"/>
      <c r="R22" s="71"/>
      <c r="S22" s="71"/>
      <c r="T22" s="71"/>
      <c r="U22" s="71"/>
      <c r="Z22" s="216">
        <v>2025</v>
      </c>
      <c r="AA22" s="231">
        <v>12000000</v>
      </c>
      <c r="AB22" s="233">
        <f>(AA21/AA29)+AB21</f>
        <v>9.7100000000000009</v>
      </c>
      <c r="AC22" s="218"/>
      <c r="AD22" s="219">
        <f>AD20-AB22</f>
        <v>184.67999999999998</v>
      </c>
      <c r="AE22" s="83">
        <v>162018</v>
      </c>
      <c r="AF22" s="222">
        <f t="shared" ref="AF22:AF27" si="9">AB22*$AE22</f>
        <v>1573194.78</v>
      </c>
    </row>
    <row r="23" spans="1:32" ht="18.75" x14ac:dyDescent="0.3">
      <c r="A23" s="188" t="s">
        <v>129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79">
        <f>M21+(M21*0.05)</f>
        <v>435.71860209116244</v>
      </c>
      <c r="N23" s="179">
        <f>N21+(N21*0.05)</f>
        <v>423.64563571848561</v>
      </c>
      <c r="O23" s="179">
        <f>O21+(O21*0.05)</f>
        <v>410.43278774957184</v>
      </c>
      <c r="P23" s="179">
        <f>P21+(P21*0.05)</f>
        <v>399.7455325152747</v>
      </c>
      <c r="Q23" s="190">
        <f>Q21+(Q21*0.05)</f>
        <v>384.58837097425675</v>
      </c>
      <c r="R23" s="71"/>
      <c r="S23" s="71"/>
      <c r="T23" s="71"/>
      <c r="U23" s="71"/>
      <c r="Z23" s="216">
        <v>2026</v>
      </c>
      <c r="AA23" s="231">
        <v>12000000</v>
      </c>
      <c r="AB23" s="233">
        <f>(AA22/AA29)+AB22</f>
        <v>15.71</v>
      </c>
      <c r="AC23" s="218"/>
      <c r="AD23" s="219">
        <f>AD20-AB23</f>
        <v>178.67999999999998</v>
      </c>
      <c r="AE23" s="83">
        <v>162018</v>
      </c>
      <c r="AF23" s="222">
        <f t="shared" si="9"/>
        <v>2545302.7800000003</v>
      </c>
    </row>
    <row r="24" spans="1:32" ht="18.75" x14ac:dyDescent="0.3">
      <c r="A24" s="188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79"/>
      <c r="N24" s="179"/>
      <c r="O24" s="179"/>
      <c r="P24" s="179"/>
      <c r="Q24" s="190"/>
      <c r="R24" s="71"/>
      <c r="S24" s="71"/>
      <c r="T24" s="71"/>
      <c r="U24" s="71"/>
      <c r="Z24" s="216">
        <v>2027</v>
      </c>
      <c r="AA24" s="231">
        <v>12000000</v>
      </c>
      <c r="AB24" s="233">
        <f>(AA23/AA29)+AB23</f>
        <v>21.71</v>
      </c>
      <c r="AC24" s="218"/>
      <c r="AD24" s="219">
        <f>AD20-AB24</f>
        <v>172.67999999999998</v>
      </c>
      <c r="AE24" s="83">
        <v>162018</v>
      </c>
      <c r="AF24" s="222">
        <f t="shared" si="9"/>
        <v>3517410.7800000003</v>
      </c>
    </row>
    <row r="25" spans="1:32" ht="19.5" thickBot="1" x14ac:dyDescent="0.35">
      <c r="A25" s="193" t="s">
        <v>130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5">
        <f>M21-(M21*0.05)</f>
        <v>394.22159236819459</v>
      </c>
      <c r="N25" s="195">
        <f>N21-(N21*0.05)</f>
        <v>383.29843231672504</v>
      </c>
      <c r="O25" s="195">
        <f>O21-(O21*0.05)</f>
        <v>371.34395082104118</v>
      </c>
      <c r="P25" s="195">
        <f>P21-(P21*0.05)</f>
        <v>361.67452941858187</v>
      </c>
      <c r="Q25" s="196">
        <f>Q21-(Q21*0.05)</f>
        <v>347.96090707194656</v>
      </c>
      <c r="R25" s="71"/>
      <c r="S25" s="71"/>
      <c r="T25" s="71"/>
      <c r="U25" s="71"/>
      <c r="Z25" s="216">
        <v>2028</v>
      </c>
      <c r="AA25" s="231">
        <v>12000000</v>
      </c>
      <c r="AB25" s="233">
        <f>(AA24/AA29)+AB24</f>
        <v>27.71</v>
      </c>
      <c r="AC25" s="218"/>
      <c r="AD25" s="219">
        <f>AD20-AB25</f>
        <v>166.67999999999998</v>
      </c>
      <c r="AE25" s="83">
        <v>162018</v>
      </c>
      <c r="AF25" s="222">
        <f t="shared" si="9"/>
        <v>4489518.78</v>
      </c>
    </row>
    <row r="26" spans="1:32" ht="18.75" thickTop="1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Z26" s="216">
        <v>2029</v>
      </c>
      <c r="AA26" s="231"/>
      <c r="AB26" s="233">
        <f>(AA25/AA29)+AB25</f>
        <v>33.71</v>
      </c>
      <c r="AC26" s="218"/>
      <c r="AD26" s="219">
        <f>AD20-AB26</f>
        <v>160.67999999999998</v>
      </c>
      <c r="AE26" s="83">
        <v>162018</v>
      </c>
      <c r="AF26" s="222">
        <f t="shared" si="9"/>
        <v>5461626.7800000003</v>
      </c>
    </row>
    <row r="27" spans="1:32" ht="18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Z27" s="224"/>
      <c r="AA27" s="231">
        <f>SUM(AA21:AA26)</f>
        <v>60000000</v>
      </c>
      <c r="AB27" s="234">
        <f>AB26-AB21</f>
        <v>30</v>
      </c>
      <c r="AC27" s="225"/>
      <c r="AD27" s="220"/>
      <c r="AE27" s="83">
        <v>162018</v>
      </c>
      <c r="AF27" s="222">
        <f t="shared" si="9"/>
        <v>4860540</v>
      </c>
    </row>
    <row r="28" spans="1:32" ht="18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Z28" s="224"/>
      <c r="AA28" s="223"/>
      <c r="AB28" s="225"/>
      <c r="AC28" s="225"/>
      <c r="AD28" s="225"/>
      <c r="AE28" s="220"/>
      <c r="AF28" s="221"/>
    </row>
    <row r="29" spans="1:32" ht="18.75" thickBot="1" x14ac:dyDescent="0.3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Z29" s="226" t="s">
        <v>131</v>
      </c>
      <c r="AA29" s="227">
        <v>2000000</v>
      </c>
      <c r="AB29" s="228"/>
      <c r="AC29" s="228"/>
      <c r="AD29" s="228"/>
      <c r="AE29" s="229"/>
      <c r="AF29" s="230"/>
    </row>
    <row r="30" spans="1:32" ht="18.75" thickTop="1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</row>
    <row r="31" spans="1:32" ht="18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</row>
    <row r="32" spans="1:32" ht="18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</row>
    <row r="33" spans="1:22" ht="18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2" ht="18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:22" ht="18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1:22" ht="18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:22" ht="18" x14ac:dyDescent="0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1:22" ht="18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</row>
    <row r="39" spans="1:22" ht="18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</row>
    <row r="40" spans="1:22" ht="18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</row>
    <row r="41" spans="1:22" ht="18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</row>
    <row r="42" spans="1:22" ht="18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</row>
    <row r="43" spans="1:22" ht="18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</row>
    <row r="44" spans="1:22" ht="18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5" spans="1:22" ht="18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</row>
    <row r="46" spans="1:22" ht="18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1:22" ht="18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</row>
    <row r="48" spans="1:22" ht="18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49" spans="1:22" ht="18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spans="1:22" ht="18" x14ac:dyDescent="0.2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</row>
    <row r="51" spans="1:22" ht="18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</row>
    <row r="52" spans="1:22" ht="18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</row>
    <row r="53" spans="1:22" ht="18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</row>
    <row r="54" spans="1:22" ht="18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</row>
    <row r="55" spans="1:22" ht="18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</row>
    <row r="56" spans="1:22" ht="18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</row>
    <row r="57" spans="1:22" ht="18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</row>
    <row r="58" spans="1:22" ht="18" x14ac:dyDescent="0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1:22" ht="18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18" x14ac:dyDescent="0.2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</row>
    <row r="61" spans="1:22" ht="18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</row>
    <row r="62" spans="1:22" ht="18" x14ac:dyDescent="0.2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</row>
    <row r="63" spans="1:22" ht="18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</row>
    <row r="64" spans="1:22" ht="18" x14ac:dyDescent="0.2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</row>
    <row r="65" spans="1:22" ht="18" x14ac:dyDescent="0.2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</row>
    <row r="66" spans="1:22" ht="18" x14ac:dyDescent="0.2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</row>
    <row r="67" spans="1:22" ht="18" x14ac:dyDescent="0.2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</row>
    <row r="68" spans="1:22" ht="18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</row>
    <row r="69" spans="1:22" ht="18" x14ac:dyDescent="0.2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</row>
    <row r="70" spans="1:22" ht="18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</row>
    <row r="71" spans="1:22" ht="18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</row>
    <row r="72" spans="1:22" ht="18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</row>
    <row r="73" spans="1:22" ht="18" x14ac:dyDescent="0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</row>
    <row r="74" spans="1:22" ht="18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</row>
    <row r="75" spans="1:22" ht="18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</row>
    <row r="76" spans="1:22" ht="18" x14ac:dyDescent="0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</row>
    <row r="77" spans="1:22" ht="18" x14ac:dyDescent="0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</row>
    <row r="78" spans="1:22" ht="18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8" x14ac:dyDescent="0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  <row r="80" spans="1:22" ht="18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</row>
    <row r="81" spans="1:22" ht="18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</row>
    <row r="82" spans="1:22" ht="18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</row>
    <row r="83" spans="1:22" ht="18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</row>
    <row r="84" spans="1:22" ht="18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</row>
    <row r="85" spans="1:22" ht="18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</row>
    <row r="86" spans="1:22" ht="18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</row>
    <row r="87" spans="1:22" ht="18" x14ac:dyDescent="0.2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</row>
    <row r="88" spans="1:22" ht="18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</row>
    <row r="89" spans="1:22" ht="18" x14ac:dyDescent="0.2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</row>
    <row r="90" spans="1:22" ht="18" x14ac:dyDescent="0.2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</row>
    <row r="91" spans="1:22" ht="18" x14ac:dyDescent="0.2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</row>
    <row r="92" spans="1:22" ht="18" x14ac:dyDescent="0.2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</row>
    <row r="93" spans="1:22" ht="18" x14ac:dyDescent="0.2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2" ht="18" x14ac:dyDescent="0.2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</row>
    <row r="95" spans="1:22" ht="18" x14ac:dyDescent="0.2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</row>
    <row r="96" spans="1:22" ht="18" x14ac:dyDescent="0.2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</row>
    <row r="97" spans="1:22" ht="18" x14ac:dyDescent="0.2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</row>
    <row r="98" spans="1:22" ht="18" x14ac:dyDescent="0.2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</row>
    <row r="99" spans="1:22" ht="18" x14ac:dyDescent="0.2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</row>
    <row r="100" spans="1:22" ht="18" x14ac:dyDescent="0.2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</row>
    <row r="101" spans="1:22" ht="18" x14ac:dyDescent="0.2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</row>
    <row r="102" spans="1:22" ht="18" x14ac:dyDescent="0.2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</row>
    <row r="103" spans="1:22" ht="18" x14ac:dyDescent="0.2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</row>
    <row r="104" spans="1:22" ht="18" x14ac:dyDescent="0.2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</row>
    <row r="105" spans="1:22" ht="18" x14ac:dyDescent="0.2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</row>
    <row r="106" spans="1:22" ht="18" x14ac:dyDescent="0.2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</row>
    <row r="107" spans="1:22" ht="18" x14ac:dyDescent="0.2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</row>
    <row r="108" spans="1:22" ht="18" x14ac:dyDescent="0.2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</row>
    <row r="109" spans="1:22" ht="18" x14ac:dyDescent="0.2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</row>
    <row r="110" spans="1:22" ht="18" x14ac:dyDescent="0.2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</row>
    <row r="111" spans="1:22" ht="18" x14ac:dyDescent="0.2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</row>
    <row r="112" spans="1:22" ht="18" x14ac:dyDescent="0.2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</row>
    <row r="113" spans="1:22" ht="18" x14ac:dyDescent="0.2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</row>
    <row r="114" spans="1:22" ht="18" x14ac:dyDescent="0.2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</row>
    <row r="115" spans="1:22" ht="18" x14ac:dyDescent="0.2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</row>
    <row r="116" spans="1:22" ht="18" x14ac:dyDescent="0.2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</row>
    <row r="117" spans="1:22" ht="18" x14ac:dyDescent="0.2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</row>
    <row r="118" spans="1:22" ht="18" x14ac:dyDescent="0.2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</row>
    <row r="119" spans="1:22" ht="18" x14ac:dyDescent="0.2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</row>
    <row r="120" spans="1:22" ht="18" x14ac:dyDescent="0.2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</row>
    <row r="121" spans="1:22" ht="18" x14ac:dyDescent="0.2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</row>
    <row r="122" spans="1:22" ht="18" x14ac:dyDescent="0.2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</row>
    <row r="123" spans="1:22" ht="18" x14ac:dyDescent="0.2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</row>
    <row r="124" spans="1:22" ht="18" x14ac:dyDescent="0.2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</row>
    <row r="125" spans="1:22" ht="18" x14ac:dyDescent="0.2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</row>
    <row r="126" spans="1:22" ht="18" x14ac:dyDescent="0.2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</row>
    <row r="127" spans="1:22" ht="18" x14ac:dyDescent="0.2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</row>
    <row r="128" spans="1:22" ht="18" x14ac:dyDescent="0.2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</row>
    <row r="129" spans="1:22" ht="18" x14ac:dyDescent="0.2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</row>
    <row r="130" spans="1:22" ht="18" x14ac:dyDescent="0.2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</row>
    <row r="131" spans="1:22" ht="18" x14ac:dyDescent="0.2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</row>
    <row r="132" spans="1:22" ht="18" x14ac:dyDescent="0.2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</row>
    <row r="133" spans="1:22" ht="18" x14ac:dyDescent="0.2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</row>
    <row r="134" spans="1:22" ht="18" x14ac:dyDescent="0.2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</row>
    <row r="135" spans="1:22" ht="18" x14ac:dyDescent="0.2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</row>
    <row r="136" spans="1:22" ht="18" x14ac:dyDescent="0.2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</row>
    <row r="137" spans="1:22" ht="18" x14ac:dyDescent="0.2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</row>
    <row r="138" spans="1:22" ht="18" x14ac:dyDescent="0.2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</row>
    <row r="139" spans="1:22" ht="18" x14ac:dyDescent="0.2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</row>
    <row r="140" spans="1:22" ht="18" x14ac:dyDescent="0.2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</row>
    <row r="141" spans="1:22" ht="18" x14ac:dyDescent="0.2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</row>
    <row r="142" spans="1:22" ht="18" x14ac:dyDescent="0.2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</row>
    <row r="143" spans="1:22" ht="18" x14ac:dyDescent="0.2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</row>
    <row r="144" spans="1:22" ht="18" x14ac:dyDescent="0.2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</row>
    <row r="145" spans="1:22" ht="18" x14ac:dyDescent="0.2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</row>
    <row r="146" spans="1:22" ht="18" x14ac:dyDescent="0.2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</row>
    <row r="147" spans="1:22" ht="18" x14ac:dyDescent="0.2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</row>
    <row r="148" spans="1:22" ht="18" x14ac:dyDescent="0.2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</row>
    <row r="149" spans="1:22" ht="18" x14ac:dyDescent="0.2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</row>
    <row r="150" spans="1:22" ht="18" x14ac:dyDescent="0.2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</row>
    <row r="151" spans="1:22" ht="18" x14ac:dyDescent="0.2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</row>
    <row r="152" spans="1:22" ht="18" x14ac:dyDescent="0.2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</row>
    <row r="153" spans="1:22" ht="18" x14ac:dyDescent="0.2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</row>
    <row r="154" spans="1:22" ht="18" x14ac:dyDescent="0.2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</row>
    <row r="155" spans="1:22" ht="18" x14ac:dyDescent="0.2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</row>
    <row r="156" spans="1:22" ht="18" x14ac:dyDescent="0.2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</row>
    <row r="157" spans="1:22" ht="18" x14ac:dyDescent="0.2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</row>
    <row r="158" spans="1:22" ht="18" x14ac:dyDescent="0.2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</row>
    <row r="159" spans="1:22" ht="18" x14ac:dyDescent="0.2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</row>
    <row r="160" spans="1:22" ht="18" x14ac:dyDescent="0.2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</row>
    <row r="161" spans="1:22" ht="18" x14ac:dyDescent="0.2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</row>
    <row r="162" spans="1:22" ht="18" x14ac:dyDescent="0.2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</row>
    <row r="163" spans="1:22" ht="18" x14ac:dyDescent="0.2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</row>
    <row r="164" spans="1:22" ht="18" x14ac:dyDescent="0.2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</row>
    <row r="165" spans="1:22" ht="18" x14ac:dyDescent="0.2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</row>
    <row r="166" spans="1:22" ht="18" x14ac:dyDescent="0.2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</row>
  </sheetData>
  <mergeCells count="15">
    <mergeCell ref="A15:Q15"/>
    <mergeCell ref="U2:W2"/>
    <mergeCell ref="Z3:AD3"/>
    <mergeCell ref="Z10:Z11"/>
    <mergeCell ref="AA10:AA11"/>
    <mergeCell ref="AB10:AB11"/>
    <mergeCell ref="AC10:AC11"/>
    <mergeCell ref="AD10:AD11"/>
    <mergeCell ref="C2:E2"/>
    <mergeCell ref="F2:H2"/>
    <mergeCell ref="I2:K2"/>
    <mergeCell ref="L2:N2"/>
    <mergeCell ref="O2:Q2"/>
    <mergeCell ref="R2:T2"/>
    <mergeCell ref="Z15:AF15"/>
  </mergeCells>
  <pageMargins left="0.7" right="0.7" top="0.75" bottom="0.75" header="0.3" footer="0.3"/>
  <pageSetup orientation="portrait" r:id="rId1"/>
  <ignoredErrors>
    <ignoredError sqref="AA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25D81-C0B3-4707-AFAE-ABE956BA7ED2}">
  <dimension ref="A1:Q65"/>
  <sheetViews>
    <sheetView topLeftCell="A10" zoomScale="80" zoomScaleNormal="80" workbookViewId="0">
      <selection activeCell="O15" sqref="O15"/>
    </sheetView>
  </sheetViews>
  <sheetFormatPr defaultRowHeight="15" x14ac:dyDescent="0.25"/>
  <cols>
    <col min="1" max="1" width="34.42578125" customWidth="1"/>
  </cols>
  <sheetData>
    <row r="1" spans="1:17" ht="18.75" x14ac:dyDescent="0.3">
      <c r="A1" s="22"/>
      <c r="B1" s="235">
        <v>2014</v>
      </c>
      <c r="C1" s="235">
        <v>2015</v>
      </c>
      <c r="D1" s="235">
        <v>2016</v>
      </c>
      <c r="E1" s="235">
        <v>2017</v>
      </c>
      <c r="F1" s="235">
        <v>2018</v>
      </c>
      <c r="G1" s="235">
        <v>2019</v>
      </c>
      <c r="H1" s="235">
        <v>2020</v>
      </c>
      <c r="I1" s="235">
        <v>2021</v>
      </c>
      <c r="J1" s="235">
        <v>2022</v>
      </c>
      <c r="K1" s="235">
        <v>2023</v>
      </c>
      <c r="L1" s="235">
        <v>2024</v>
      </c>
      <c r="M1" s="235">
        <v>2025</v>
      </c>
      <c r="N1" s="235">
        <v>2026</v>
      </c>
      <c r="O1" s="235">
        <v>2027</v>
      </c>
      <c r="P1" s="235">
        <v>2028</v>
      </c>
      <c r="Q1" s="235">
        <v>2029</v>
      </c>
    </row>
    <row r="2" spans="1:17" ht="15.75" x14ac:dyDescent="0.25">
      <c r="A2" s="22"/>
      <c r="B2" s="236" t="s">
        <v>111</v>
      </c>
      <c r="C2" s="236" t="s">
        <v>112</v>
      </c>
      <c r="D2" s="236" t="s">
        <v>113</v>
      </c>
      <c r="E2" s="236" t="s">
        <v>114</v>
      </c>
      <c r="F2" s="236" t="s">
        <v>115</v>
      </c>
      <c r="G2" s="236" t="s">
        <v>116</v>
      </c>
      <c r="H2" s="236" t="s">
        <v>117</v>
      </c>
      <c r="I2" s="236" t="s">
        <v>118</v>
      </c>
      <c r="J2" s="236" t="s">
        <v>119</v>
      </c>
      <c r="K2" s="236" t="s">
        <v>120</v>
      </c>
      <c r="L2" s="236" t="s">
        <v>121</v>
      </c>
      <c r="M2" s="236" t="s">
        <v>122</v>
      </c>
      <c r="N2" s="236" t="s">
        <v>123</v>
      </c>
      <c r="O2" s="236" t="s">
        <v>124</v>
      </c>
      <c r="P2" s="236" t="s">
        <v>125</v>
      </c>
      <c r="Q2" s="236" t="s">
        <v>126</v>
      </c>
    </row>
    <row r="3" spans="1:17" ht="18.75" x14ac:dyDescent="0.25">
      <c r="A3" s="237" t="s">
        <v>138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2"/>
      <c r="M3" s="22"/>
      <c r="N3" s="22"/>
      <c r="O3" s="22"/>
      <c r="P3" s="22"/>
      <c r="Q3" s="22"/>
    </row>
    <row r="4" spans="1:17" x14ac:dyDescent="0.25">
      <c r="A4" s="239" t="s">
        <v>132</v>
      </c>
      <c r="B4" s="22">
        <v>505</v>
      </c>
      <c r="C4" s="22">
        <v>468</v>
      </c>
      <c r="D4" s="22">
        <v>446</v>
      </c>
      <c r="E4" s="22">
        <v>406</v>
      </c>
      <c r="F4" s="22">
        <v>484</v>
      </c>
      <c r="G4" s="22">
        <v>485</v>
      </c>
      <c r="H4" s="22">
        <v>397</v>
      </c>
      <c r="I4" s="22">
        <v>402</v>
      </c>
      <c r="J4" s="22">
        <v>491</v>
      </c>
      <c r="K4" s="22"/>
      <c r="L4" s="22"/>
      <c r="M4" s="22"/>
      <c r="N4" s="22"/>
      <c r="O4" s="22"/>
      <c r="P4" s="22"/>
      <c r="Q4" s="22"/>
    </row>
    <row r="5" spans="1:17" x14ac:dyDescent="0.25">
      <c r="A5" s="239" t="s">
        <v>133</v>
      </c>
      <c r="B5" s="22"/>
      <c r="C5" s="22"/>
      <c r="D5" s="22"/>
      <c r="E5" s="240">
        <f>AVERAGE(C4:E4)</f>
        <v>440</v>
      </c>
      <c r="F5" s="240">
        <f t="shared" ref="F5:J5" si="0">AVERAGE(D4:F4)</f>
        <v>445.33333333333331</v>
      </c>
      <c r="G5" s="240">
        <f t="shared" si="0"/>
        <v>458.33333333333331</v>
      </c>
      <c r="H5" s="240">
        <f t="shared" si="0"/>
        <v>455.33333333333331</v>
      </c>
      <c r="I5" s="240">
        <f t="shared" si="0"/>
        <v>428</v>
      </c>
      <c r="J5" s="240">
        <f t="shared" si="0"/>
        <v>430</v>
      </c>
      <c r="K5" s="22">
        <v>426</v>
      </c>
      <c r="L5" s="240">
        <v>422.61333333333334</v>
      </c>
      <c r="M5" s="22"/>
      <c r="N5" s="22"/>
      <c r="O5" s="22"/>
      <c r="P5" s="22"/>
      <c r="Q5" s="22"/>
    </row>
    <row r="6" spans="1:17" x14ac:dyDescent="0.25">
      <c r="A6" s="239" t="s">
        <v>134</v>
      </c>
      <c r="B6" s="22"/>
      <c r="C6" s="22"/>
      <c r="D6" s="22"/>
      <c r="E6" s="22"/>
      <c r="F6" s="22"/>
      <c r="G6" s="22"/>
      <c r="H6" s="22"/>
      <c r="I6" s="22"/>
      <c r="J6" s="22"/>
      <c r="K6" s="240"/>
      <c r="L6" s="240">
        <v>422.61333333333334</v>
      </c>
      <c r="M6" s="240">
        <v>414.97009722967852</v>
      </c>
      <c r="N6" s="240">
        <v>403.47203401760532</v>
      </c>
      <c r="O6" s="240">
        <v>390.88836928530651</v>
      </c>
      <c r="P6" s="240">
        <v>380.71003096692829</v>
      </c>
      <c r="Q6" s="240">
        <v>366.27463902310166</v>
      </c>
    </row>
    <row r="7" spans="1:17" x14ac:dyDescent="0.25">
      <c r="A7" s="239" t="s">
        <v>141</v>
      </c>
      <c r="B7" s="22"/>
      <c r="C7" s="22"/>
      <c r="D7" s="22"/>
      <c r="E7" s="22"/>
      <c r="F7" s="22"/>
      <c r="G7" s="22"/>
      <c r="H7" s="22"/>
      <c r="I7" s="22"/>
      <c r="J7" s="22"/>
      <c r="K7" s="240">
        <f>K5*1.05</f>
        <v>447.3</v>
      </c>
      <c r="L7" s="240">
        <f>L5*1.05</f>
        <v>443.74400000000003</v>
      </c>
      <c r="M7" s="240">
        <f>M6+(M33-M32)+(M57-M56)</f>
        <v>445.25093542449576</v>
      </c>
      <c r="N7" s="240">
        <f>N6+(N33-N32)+(N57-N56)</f>
        <v>433.17796905181893</v>
      </c>
      <c r="O7" s="240">
        <f>O6+(O33-O32)+(O57-O56)</f>
        <v>419.96512108290523</v>
      </c>
      <c r="P7" s="240">
        <f>P6+(P33-P32)+(P57-P56)</f>
        <v>409.27786584860803</v>
      </c>
      <c r="Q7" s="240">
        <f>Q6+(Q33-Q32)+(Q57-Q56)</f>
        <v>394.12070430759013</v>
      </c>
    </row>
    <row r="8" spans="1:17" x14ac:dyDescent="0.25">
      <c r="A8" s="239" t="s">
        <v>142</v>
      </c>
      <c r="B8" s="22"/>
      <c r="C8" s="22"/>
      <c r="D8" s="22"/>
      <c r="E8" s="22"/>
      <c r="F8" s="22"/>
      <c r="G8" s="22"/>
      <c r="H8" s="22"/>
      <c r="I8" s="22"/>
      <c r="J8" s="22"/>
      <c r="K8" s="240">
        <f>K5-(K5*0.05)</f>
        <v>404.7</v>
      </c>
      <c r="L8" s="240">
        <f>L5-(L5*0.05)</f>
        <v>401.48266666666666</v>
      </c>
      <c r="M8" s="240">
        <f>M6-(M32-M34)-(M56-M58)</f>
        <v>384.68925903486127</v>
      </c>
      <c r="N8" s="240">
        <f>N6-(N32-N34)-(N56-N58)</f>
        <v>373.76609898339177</v>
      </c>
      <c r="O8" s="240">
        <f>O6-(O32-O34)-(O56-O58)</f>
        <v>361.81161748770791</v>
      </c>
      <c r="P8" s="240">
        <f>P6-(P32-P34)-(P56-P58)</f>
        <v>352.14219608524854</v>
      </c>
      <c r="Q8" s="240">
        <f>Q6-(Q32-Q34)-(Q56-Q58)</f>
        <v>338.42857373861324</v>
      </c>
    </row>
    <row r="9" spans="1:17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x14ac:dyDescent="0.25">
      <c r="A28" s="23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x14ac:dyDescent="0.25">
      <c r="A29" s="237" t="s">
        <v>137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x14ac:dyDescent="0.25">
      <c r="A30" s="239" t="s">
        <v>132</v>
      </c>
      <c r="B30" s="22">
        <v>207</v>
      </c>
      <c r="C30" s="22">
        <v>167</v>
      </c>
      <c r="D30" s="22">
        <v>186</v>
      </c>
      <c r="E30" s="22">
        <v>177</v>
      </c>
      <c r="F30" s="22">
        <v>219</v>
      </c>
      <c r="G30" s="22">
        <v>250</v>
      </c>
      <c r="H30" s="22">
        <v>183</v>
      </c>
      <c r="I30" s="22">
        <v>186</v>
      </c>
      <c r="J30" s="22">
        <v>225</v>
      </c>
      <c r="K30" s="22"/>
      <c r="L30" s="22"/>
      <c r="M30" s="22"/>
      <c r="N30" s="22"/>
      <c r="O30" s="22"/>
      <c r="P30" s="22"/>
      <c r="Q30" s="22"/>
    </row>
    <row r="31" spans="1:17" x14ac:dyDescent="0.25">
      <c r="A31" s="239" t="s">
        <v>133</v>
      </c>
      <c r="B31" s="22"/>
      <c r="C31" s="22"/>
      <c r="D31" s="22"/>
      <c r="E31" s="240">
        <f>AVERAGE(C30:E30)</f>
        <v>176.66666666666666</v>
      </c>
      <c r="F31" s="240">
        <f t="shared" ref="F31:J31" si="1">AVERAGE(D30:F30)</f>
        <v>194</v>
      </c>
      <c r="G31" s="240">
        <f t="shared" si="1"/>
        <v>215.33333333333334</v>
      </c>
      <c r="H31" s="240">
        <f t="shared" si="1"/>
        <v>217.33333333333334</v>
      </c>
      <c r="I31" s="240">
        <f t="shared" si="1"/>
        <v>206.33333333333334</v>
      </c>
      <c r="J31" s="240">
        <f t="shared" si="1"/>
        <v>198</v>
      </c>
      <c r="K31" s="240">
        <v>194.39</v>
      </c>
      <c r="L31" s="240">
        <v>190.67999999999998</v>
      </c>
      <c r="M31" s="22"/>
      <c r="N31" s="22"/>
      <c r="O31" s="22"/>
      <c r="P31" s="22"/>
      <c r="Q31" s="22"/>
    </row>
    <row r="32" spans="1:17" x14ac:dyDescent="0.25">
      <c r="A32" s="239" t="s">
        <v>135</v>
      </c>
      <c r="B32" s="22"/>
      <c r="C32" s="22"/>
      <c r="D32" s="22"/>
      <c r="E32" s="22"/>
      <c r="F32" s="22"/>
      <c r="G32" s="22"/>
      <c r="H32" s="22"/>
      <c r="I32" s="22"/>
      <c r="J32" s="22"/>
      <c r="K32" s="240"/>
      <c r="L32" s="240">
        <v>190.67999999999998</v>
      </c>
      <c r="M32" s="240">
        <v>184.67999999999998</v>
      </c>
      <c r="N32" s="240">
        <v>178.67999999999998</v>
      </c>
      <c r="O32" s="240">
        <v>172.67999999999998</v>
      </c>
      <c r="P32" s="240">
        <v>166.67999999999998</v>
      </c>
      <c r="Q32" s="240">
        <v>160.67999999999998</v>
      </c>
    </row>
    <row r="33" spans="1:17" x14ac:dyDescent="0.25">
      <c r="A33" s="241" t="s">
        <v>143</v>
      </c>
      <c r="B33" s="242"/>
      <c r="C33" s="22"/>
      <c r="D33" s="22"/>
      <c r="E33" s="22"/>
      <c r="F33" s="22"/>
      <c r="G33" s="22"/>
      <c r="H33" s="22"/>
      <c r="I33" s="22"/>
      <c r="J33" s="22"/>
      <c r="K33" s="240">
        <f>K31*1.05</f>
        <v>204.1095</v>
      </c>
      <c r="L33" s="240">
        <f>L32*1.05</f>
        <v>200.214</v>
      </c>
      <c r="M33" s="240">
        <f t="shared" ref="M33:Q33" si="2">M32*1.05</f>
        <v>193.91399999999999</v>
      </c>
      <c r="N33" s="240">
        <f t="shared" si="2"/>
        <v>187.61399999999998</v>
      </c>
      <c r="O33" s="240">
        <f t="shared" si="2"/>
        <v>181.31399999999999</v>
      </c>
      <c r="P33" s="240">
        <f t="shared" si="2"/>
        <v>175.01399999999998</v>
      </c>
      <c r="Q33" s="240">
        <f t="shared" si="2"/>
        <v>168.714</v>
      </c>
    </row>
    <row r="34" spans="1:17" x14ac:dyDescent="0.25">
      <c r="A34" s="241" t="s">
        <v>144</v>
      </c>
      <c r="B34" s="22"/>
      <c r="C34" s="22"/>
      <c r="D34" s="22"/>
      <c r="E34" s="22"/>
      <c r="F34" s="22"/>
      <c r="G34" s="22"/>
      <c r="H34" s="22"/>
      <c r="I34" s="22"/>
      <c r="J34" s="22"/>
      <c r="K34" s="240">
        <f>K31-(K31*0.05)</f>
        <v>184.67049999999998</v>
      </c>
      <c r="L34" s="240">
        <f>L32-(L32*0.05)</f>
        <v>181.14599999999999</v>
      </c>
      <c r="M34" s="240">
        <f t="shared" ref="M34:Q34" si="3">M32-(M32*0.05)</f>
        <v>175.44599999999997</v>
      </c>
      <c r="N34" s="240">
        <f t="shared" si="3"/>
        <v>169.74599999999998</v>
      </c>
      <c r="O34" s="240">
        <f t="shared" si="3"/>
        <v>164.04599999999999</v>
      </c>
      <c r="P34" s="240">
        <f t="shared" si="3"/>
        <v>158.34599999999998</v>
      </c>
      <c r="Q34" s="240">
        <f t="shared" si="3"/>
        <v>152.64599999999999</v>
      </c>
    </row>
    <row r="35" spans="1:17" x14ac:dyDescent="0.25">
      <c r="A35" s="72"/>
    </row>
    <row r="53" spans="1:17" x14ac:dyDescent="0.25">
      <c r="A53" s="237" t="s">
        <v>136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x14ac:dyDescent="0.25">
      <c r="A54" s="239" t="s">
        <v>132</v>
      </c>
      <c r="B54" s="22">
        <v>505</v>
      </c>
      <c r="C54" s="22">
        <v>468</v>
      </c>
      <c r="D54" s="22">
        <v>446</v>
      </c>
      <c r="E54" s="22">
        <v>406</v>
      </c>
      <c r="F54" s="22">
        <v>484</v>
      </c>
      <c r="G54" s="22">
        <v>485</v>
      </c>
      <c r="H54" s="22">
        <v>397</v>
      </c>
      <c r="I54" s="22">
        <v>402</v>
      </c>
      <c r="J54" s="22">
        <v>491</v>
      </c>
      <c r="K54" s="22">
        <v>426</v>
      </c>
      <c r="L54" s="22"/>
      <c r="M54" s="22"/>
      <c r="N54" s="22"/>
      <c r="O54" s="22"/>
      <c r="P54" s="22"/>
      <c r="Q54" s="22"/>
    </row>
    <row r="55" spans="1:17" x14ac:dyDescent="0.25">
      <c r="A55" s="239" t="s">
        <v>133</v>
      </c>
      <c r="B55" s="22"/>
      <c r="C55" s="22"/>
      <c r="D55" s="22"/>
      <c r="E55" s="240">
        <f>AVERAGE(C54:E54)</f>
        <v>440</v>
      </c>
      <c r="F55" s="240">
        <f t="shared" ref="F55:J55" si="4">AVERAGE(D54:F54)</f>
        <v>445.33333333333331</v>
      </c>
      <c r="G55" s="240">
        <f t="shared" si="4"/>
        <v>458.33333333333331</v>
      </c>
      <c r="H55" s="240">
        <f t="shared" si="4"/>
        <v>455.33333333333331</v>
      </c>
      <c r="I55" s="240">
        <f t="shared" si="4"/>
        <v>428</v>
      </c>
      <c r="J55" s="240">
        <f t="shared" si="4"/>
        <v>430</v>
      </c>
      <c r="K55" s="240">
        <f>J55-3.71</f>
        <v>426.29</v>
      </c>
      <c r="L55" s="240">
        <f>K55-3.71</f>
        <v>422.58000000000004</v>
      </c>
      <c r="M55" s="22"/>
      <c r="N55" s="22"/>
      <c r="O55" s="22"/>
      <c r="P55" s="22"/>
      <c r="Q55" s="22"/>
    </row>
    <row r="56" spans="1:17" x14ac:dyDescent="0.25">
      <c r="A56" s="239" t="s">
        <v>145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40">
        <f>K55-3.71</f>
        <v>422.58000000000004</v>
      </c>
      <c r="M56" s="240">
        <v>420.93676389634521</v>
      </c>
      <c r="N56" s="240">
        <v>415.43870068427202</v>
      </c>
      <c r="O56" s="240">
        <v>408.85503595197321</v>
      </c>
      <c r="P56" s="240">
        <v>404.67669763359498</v>
      </c>
      <c r="Q56" s="240">
        <v>396.24130568976835</v>
      </c>
    </row>
    <row r="57" spans="1:17" x14ac:dyDescent="0.25">
      <c r="A57" s="239" t="s">
        <v>146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40">
        <f>M56*1.05</f>
        <v>441.98360209116248</v>
      </c>
      <c r="N57" s="240">
        <f t="shared" ref="N57:Q57" si="5">N56*1.05</f>
        <v>436.21063571848566</v>
      </c>
      <c r="O57" s="240">
        <f t="shared" si="5"/>
        <v>429.29778774957191</v>
      </c>
      <c r="P57" s="240">
        <f t="shared" si="5"/>
        <v>424.91053251527472</v>
      </c>
      <c r="Q57" s="240">
        <f t="shared" si="5"/>
        <v>416.05337097425678</v>
      </c>
    </row>
    <row r="58" spans="1:17" x14ac:dyDescent="0.25">
      <c r="A58" s="239" t="s">
        <v>147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40">
        <f>M56-(M56*0.05)</f>
        <v>399.88992570152794</v>
      </c>
      <c r="N58" s="240">
        <f t="shared" ref="N58:Q58" si="6">N56-(N56*0.05)</f>
        <v>394.66676565005844</v>
      </c>
      <c r="O58" s="240">
        <f t="shared" si="6"/>
        <v>388.41228415437456</v>
      </c>
      <c r="P58" s="240">
        <f t="shared" si="6"/>
        <v>384.44286275191524</v>
      </c>
      <c r="Q58" s="240">
        <f t="shared" si="6"/>
        <v>376.42924040527993</v>
      </c>
    </row>
    <row r="65" ht="15" customHeight="1" x14ac:dyDescent="0.25"/>
  </sheetData>
  <pageMargins left="0.7" right="0.7" top="0.75" bottom="0.75" header="0.3" footer="0.3"/>
  <pageSetup orientation="portrait" r:id="rId1"/>
  <ignoredErrors>
    <ignoredError sqref="E5:J5 E31:J31 E55:J5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NzRmYjJhNjYtYTZhMC00NjcyLWI2YWQtNDg4ZTVhNDgyNWQ1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azUxMjk1NjwvVXNlck5hbWU+PERhdGVUaW1lPjQvMjYvMjAyMyAxMDowMTowNiBQTTwvRGF0ZVRpbWU+PExhYmVsU3RyaW5nPkFFUCBJbnRlcm5hbDwvTGFiZWxTdHJpbmc+PC9pdGVtPjwvbGFiZWxIaXN0b3J5Pg==</Value>
</WrappedLabelHistor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74fb2a66-a6a0-4672-b6ad-488e5a4825d5" value=""/>
  <element uid="d14f5c36-f44a-4315-b438-005cfe8f069f" value=""/>
</sisl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48B43A-FAD6-47D6-BA50-632E30C973D0}">
  <ds:schemaRefs>
    <ds:schemaRef ds:uri="http://schemas.microsoft.com/sharepoint/v3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1831b8d-857f-44dd-949b-652450d1a5df"/>
    <ds:schemaRef ds:uri="5b640fb8-5a34-41c1-9307-1b790ff29a8b"/>
    <ds:schemaRef ds:uri="a1040523-5304-4b09-b6d4-64a124c994e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B717F7-731B-44DB-B25B-7B67ACB8B544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6ED381AF-9FA2-493F-9665-B0F3D098E7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3EF7C92-B761-4D78-B221-A6734081502D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847381C9-7F7E-4CE1-AABE-DFB6E92969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DRR Projected Projects</vt:lpstr>
      <vt:lpstr>DRR 5 Year Cost vs Reliability</vt:lpstr>
      <vt:lpstr>Projected Reliability - Graphs</vt:lpstr>
    </vt:vector>
  </TitlesOfParts>
  <Manager/>
  <Company>American Electric Power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k130187</dc:creator>
  <cp:keywords>AEP Internal</cp:keywords>
  <dc:description/>
  <cp:lastModifiedBy>Michael Spaeth</cp:lastModifiedBy>
  <cp:revision/>
  <dcterms:created xsi:type="dcterms:W3CDTF">2019-01-18T21:55:43Z</dcterms:created>
  <dcterms:modified xsi:type="dcterms:W3CDTF">2023-08-24T17:08:49Z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3" name="bjDocumentLabelXML-0">
    <vt:lpwstr>ames.com/2008/01/sie/internal/label"&gt;&lt;element uid="50c31824-0780-4910-87d1-eaaffd182d42" value="" /&gt;&lt;element uid="74fb2a66-a6a0-4672-b6ad-488e5a4825d5" value="" /&gt;&lt;element uid="d14f5c36-f44a-4315-b438-005cfe8f069f" value="" /&gt;&lt;/sisl&gt;</vt:lpwstr>
  </property>
  <property fmtid="{D5CDD505-2E9C-101B-9397-08002B2CF9AE}" pid="4" name="docIndexRef">
    <vt:lpwstr>8d2ac8b0-5cee-45e4-81e8-09eb27b1d908</vt:lpwstr>
  </property>
  <property fmtid="{D5CDD505-2E9C-101B-9397-08002B2CF9AE}" pid="5" name="MSIP_Label_69f43042-6bda-44b2-91eb-eca3d3d484f4_SiteId">
    <vt:lpwstr>15f3c881-6b03-4ff6-8559-77bf5177818f</vt:lpwstr>
  </property>
  <property fmtid="{D5CDD505-2E9C-101B-9397-08002B2CF9AE}" pid="6" name="MSIP_Label_69f43042-6bda-44b2-91eb-eca3d3d484f4_Name">
    <vt:lpwstr>AEP Internal</vt:lpwstr>
  </property>
  <property fmtid="{D5CDD505-2E9C-101B-9397-08002B2CF9AE}" pid="7" name="MSIP_Label_69f43042-6bda-44b2-91eb-eca3d3d484f4_Enabled">
    <vt:lpwstr>true</vt:lpwstr>
  </property>
  <property fmtid="{D5CDD505-2E9C-101B-9397-08002B2CF9AE}" pid="8" name="bjClsUserRVM">
    <vt:lpwstr>[]</vt:lpwstr>
  </property>
  <property fmtid="{D5CDD505-2E9C-101B-9397-08002B2CF9AE}" pid="9" name="bjDocumentSecurityLabel">
    <vt:lpwstr>AEP Internal</vt:lpwstr>
  </property>
  <property fmtid="{D5CDD505-2E9C-101B-9397-08002B2CF9AE}" pid="10" name="bjSaver">
    <vt:lpwstr>bxshTmcqflZEDd9vsMCiG46ffurLWiF3</vt:lpwstr>
  </property>
  <property fmtid="{D5CDD505-2E9C-101B-9397-08002B2CF9AE}" pid="11" name="bjLabelHistoryID">
    <vt:lpwstr>{FBB717F7-731B-44DB-B25B-7B67ACB8B544}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  <property fmtid="{D5CDD505-2E9C-101B-9397-08002B2CF9AE}" pid="14" name="{A44787D4-0540-4523-9961-78E4036D8C6D}">
    <vt:lpwstr>{27EFC4E8-91DA-4AB2-91E3-FAE806E899FC}</vt:lpwstr>
  </property>
</Properties>
</file>