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Farmers/2022 COS ^0 Rates 2023-00158/COSS and Rates/"/>
    </mc:Choice>
  </mc:AlternateContent>
  <xr:revisionPtr revIDLastSave="60" documentId="14_{51D51696-8525-4EFA-B734-22F2251F7C6C}" xr6:coauthVersionLast="47" xr6:coauthVersionMax="47" xr10:uidLastSave="{CDCFD083-E9F0-43BD-8A82-9DAD3FD3A0DC}"/>
  <bookViews>
    <workbookView xWindow="-108" yWindow="-108" windowWidth="23256" windowHeight="12456" xr2:uid="{00000000-000D-0000-FFFF-FFFF00000000}"/>
  </bookViews>
  <sheets>
    <sheet name="RevReq" sheetId="1" r:id="rId1"/>
    <sheet name="Adj List" sheetId="15" r:id="rId2"/>
    <sheet name="Adj BS" sheetId="17" r:id="rId3"/>
    <sheet name="Adj IS" sheetId="18" r:id="rId4"/>
    <sheet name="1.01 FAC" sheetId="8" r:id="rId5"/>
    <sheet name="1.02 ES" sheetId="9" r:id="rId6"/>
    <sheet name="1.03 Int Exp" sheetId="10" r:id="rId7"/>
    <sheet name="1.04 Depr" sheetId="11" r:id="rId8"/>
    <sheet name="1.05 ROW" sheetId="12" r:id="rId9"/>
    <sheet name="1.06 YearEndCust" sheetId="13" r:id="rId10"/>
    <sheet name="1.07 FEMA" sheetId="14" r:id="rId11"/>
    <sheet name="1.08 DonAdsDues" sheetId="7" r:id="rId12"/>
    <sheet name="1.09 Directors" sheetId="6" r:id="rId13"/>
    <sheet name="1.10 Wages &amp; Salaries" sheetId="2" r:id="rId14"/>
    <sheet name="1.11 401K" sheetId="4" r:id="rId15"/>
    <sheet name="1.12 Life Insur" sheetId="3" r:id="rId16"/>
    <sheet name="1.13 RateCase" sheetId="16" r:id="rId17"/>
    <sheet name="1.14 Outside" sheetId="19" r:id="rId18"/>
    <sheet name="1.15 GTCC" sheetId="20" r:id="rId19"/>
    <sheet name="1.16 Payroll Tx" sheetId="21" r:id="rId20"/>
  </sheets>
  <externalReferences>
    <externalReference r:id="rId21"/>
  </externalReferences>
  <definedNames>
    <definedName name="_xlnm.Print_Area" localSheetId="7">'1.04 Depr'!$A$1:$J$81</definedName>
    <definedName name="_xlnm.Print_Area" localSheetId="11">'1.08 DonAdsDues'!$A$1:$E$24</definedName>
    <definedName name="_xlnm.Print_Area" localSheetId="12">'1.09 Directors'!$A$1:$K$53</definedName>
    <definedName name="_xlnm.Print_Area" localSheetId="17">'1.14 Outside'!$A$1:$F$25</definedName>
    <definedName name="_xlnm.Print_Area" localSheetId="18">'1.15 GTCC'!$A$1:$D$19</definedName>
    <definedName name="_xlnm.Print_Area" localSheetId="19">'1.16 Payroll Tx'!$A$1:$M$112</definedName>
    <definedName name="_xlnm.Print_Area" localSheetId="2">'Adj BS'!$A$1:$F$70</definedName>
    <definedName name="_xlnm.Print_Area" localSheetId="3">'Adj IS'!$A$1:$V$42</definedName>
    <definedName name="_xlnm.Print_Area" localSheetId="1">'Adj List'!$A$1:$G$30</definedName>
    <definedName name="_xlnm.Print_Area" localSheetId="0">RevReq!$A$1:$H$62</definedName>
    <definedName name="_xlnm.Print_Titles" localSheetId="6">'1.03 Int Exp'!$1:$10</definedName>
    <definedName name="_xlnm.Print_Titles" localSheetId="7">'1.04 Depr'!$1:$7</definedName>
    <definedName name="_xlnm.Print_Titles" localSheetId="9">'1.06 YearEndCust'!$1:$7</definedName>
    <definedName name="_xlnm.Print_Titles" localSheetId="13">'1.10 Wages &amp; Salaries'!$1:$11</definedName>
    <definedName name="_xlnm.Print_Titles" localSheetId="14">'1.11 401K'!$1:$11</definedName>
    <definedName name="_xlnm.Print_Titles" localSheetId="15">'1.12 Life Insur'!$1:$10</definedName>
    <definedName name="_xlnm.Print_Titles" localSheetId="19">'1.16 Payroll Tx'!$1:$11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A60" i="1" l="1"/>
  <c r="A61" i="1" s="1"/>
  <c r="A62" i="1" s="1"/>
  <c r="A4" i="13" l="1"/>
  <c r="C12" i="12" l="1"/>
  <c r="D17" i="19"/>
  <c r="D93" i="4" l="1"/>
  <c r="D94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F88" i="4"/>
  <c r="D88" i="4"/>
  <c r="D99" i="4" s="1"/>
  <c r="C88" i="4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5" i="2"/>
  <c r="A4" i="2"/>
  <c r="G103" i="2"/>
  <c r="G97" i="2"/>
  <c r="G96" i="2"/>
  <c r="P88" i="2"/>
  <c r="O88" i="2"/>
  <c r="L88" i="2"/>
  <c r="J88" i="2"/>
  <c r="H88" i="2"/>
  <c r="E88" i="2"/>
  <c r="N87" i="2"/>
  <c r="M87" i="2"/>
  <c r="K87" i="2"/>
  <c r="N86" i="2"/>
  <c r="M86" i="2"/>
  <c r="K86" i="2"/>
  <c r="N85" i="2"/>
  <c r="M85" i="2"/>
  <c r="I85" i="2"/>
  <c r="G85" i="2"/>
  <c r="D85" i="2"/>
  <c r="N84" i="2"/>
  <c r="M84" i="2"/>
  <c r="G84" i="2"/>
  <c r="K84" i="2" s="1"/>
  <c r="D84" i="2"/>
  <c r="N83" i="2"/>
  <c r="M83" i="2"/>
  <c r="K83" i="2"/>
  <c r="N82" i="2"/>
  <c r="M82" i="2"/>
  <c r="K82" i="2"/>
  <c r="N81" i="2"/>
  <c r="M81" i="2"/>
  <c r="Q81" i="2" s="1"/>
  <c r="G81" i="2"/>
  <c r="K81" i="2" s="1"/>
  <c r="F81" i="2"/>
  <c r="D81" i="2"/>
  <c r="N80" i="2"/>
  <c r="M80" i="2"/>
  <c r="K80" i="2"/>
  <c r="N79" i="2"/>
  <c r="M79" i="2"/>
  <c r="Q79" i="2" s="1"/>
  <c r="G79" i="2"/>
  <c r="K79" i="2" s="1"/>
  <c r="F79" i="2"/>
  <c r="D79" i="2"/>
  <c r="N78" i="2"/>
  <c r="M78" i="2"/>
  <c r="G78" i="2"/>
  <c r="K78" i="2" s="1"/>
  <c r="F78" i="2"/>
  <c r="D78" i="2"/>
  <c r="N77" i="2"/>
  <c r="M77" i="2"/>
  <c r="G77" i="2"/>
  <c r="K77" i="2" s="1"/>
  <c r="D77" i="2"/>
  <c r="N76" i="2"/>
  <c r="M76" i="2"/>
  <c r="I76" i="2"/>
  <c r="G76" i="2"/>
  <c r="F76" i="2"/>
  <c r="D76" i="2"/>
  <c r="N75" i="2"/>
  <c r="M75" i="2"/>
  <c r="K75" i="2"/>
  <c r="N74" i="2"/>
  <c r="M74" i="2"/>
  <c r="K74" i="2"/>
  <c r="N73" i="2"/>
  <c r="M73" i="2"/>
  <c r="N72" i="2"/>
  <c r="M72" i="2"/>
  <c r="Q72" i="2" s="1"/>
  <c r="R72" i="2" s="1"/>
  <c r="N71" i="2"/>
  <c r="M71" i="2"/>
  <c r="K71" i="2"/>
  <c r="N70" i="2"/>
  <c r="M70" i="2"/>
  <c r="K70" i="2"/>
  <c r="N69" i="2"/>
  <c r="M69" i="2"/>
  <c r="Q69" i="2" s="1"/>
  <c r="K69" i="2"/>
  <c r="N68" i="2"/>
  <c r="M68" i="2"/>
  <c r="K68" i="2"/>
  <c r="N67" i="2"/>
  <c r="M67" i="2"/>
  <c r="K67" i="2"/>
  <c r="N66" i="2"/>
  <c r="M66" i="2"/>
  <c r="K66" i="2"/>
  <c r="N65" i="2"/>
  <c r="M65" i="2"/>
  <c r="Q65" i="2" s="1"/>
  <c r="K65" i="2"/>
  <c r="N64" i="2"/>
  <c r="M64" i="2"/>
  <c r="K64" i="2"/>
  <c r="N63" i="2"/>
  <c r="M63" i="2"/>
  <c r="K63" i="2"/>
  <c r="N62" i="2"/>
  <c r="M62" i="2"/>
  <c r="K62" i="2"/>
  <c r="N61" i="2"/>
  <c r="M61" i="2"/>
  <c r="Q61" i="2" s="1"/>
  <c r="K61" i="2"/>
  <c r="N60" i="2"/>
  <c r="M60" i="2"/>
  <c r="K60" i="2"/>
  <c r="N59" i="2"/>
  <c r="M59" i="2"/>
  <c r="K59" i="2"/>
  <c r="N58" i="2"/>
  <c r="M58" i="2"/>
  <c r="K58" i="2"/>
  <c r="N57" i="2"/>
  <c r="M57" i="2"/>
  <c r="K57" i="2"/>
  <c r="N56" i="2"/>
  <c r="M56" i="2"/>
  <c r="K56" i="2"/>
  <c r="N55" i="2"/>
  <c r="M55" i="2"/>
  <c r="K55" i="2"/>
  <c r="N54" i="2"/>
  <c r="M54" i="2"/>
  <c r="K54" i="2"/>
  <c r="N53" i="2"/>
  <c r="M53" i="2"/>
  <c r="Q53" i="2" s="1"/>
  <c r="K53" i="2"/>
  <c r="N52" i="2"/>
  <c r="M52" i="2"/>
  <c r="K52" i="2"/>
  <c r="N51" i="2"/>
  <c r="M51" i="2"/>
  <c r="K51" i="2"/>
  <c r="N50" i="2"/>
  <c r="M50" i="2"/>
  <c r="K50" i="2"/>
  <c r="N49" i="2"/>
  <c r="M49" i="2"/>
  <c r="K49" i="2"/>
  <c r="N48" i="2"/>
  <c r="M48" i="2"/>
  <c r="K48" i="2"/>
  <c r="N47" i="2"/>
  <c r="M47" i="2"/>
  <c r="K47" i="2"/>
  <c r="N46" i="2"/>
  <c r="M46" i="2"/>
  <c r="K46" i="2"/>
  <c r="N45" i="2"/>
  <c r="M45" i="2"/>
  <c r="K45" i="2"/>
  <c r="N44" i="2"/>
  <c r="M44" i="2"/>
  <c r="K44" i="2"/>
  <c r="N43" i="2"/>
  <c r="M43" i="2"/>
  <c r="K43" i="2"/>
  <c r="N42" i="2"/>
  <c r="M42" i="2"/>
  <c r="K42" i="2"/>
  <c r="N41" i="2"/>
  <c r="M41" i="2"/>
  <c r="K41" i="2"/>
  <c r="N40" i="2"/>
  <c r="M40" i="2"/>
  <c r="K40" i="2"/>
  <c r="N39" i="2"/>
  <c r="M39" i="2"/>
  <c r="K39" i="2"/>
  <c r="N38" i="2"/>
  <c r="M38" i="2"/>
  <c r="K38" i="2"/>
  <c r="N37" i="2"/>
  <c r="M37" i="2"/>
  <c r="K37" i="2"/>
  <c r="N36" i="2"/>
  <c r="M36" i="2"/>
  <c r="K36" i="2"/>
  <c r="N35" i="2"/>
  <c r="M35" i="2"/>
  <c r="K35" i="2"/>
  <c r="N34" i="2"/>
  <c r="M34" i="2"/>
  <c r="K34" i="2"/>
  <c r="N33" i="2"/>
  <c r="M33" i="2"/>
  <c r="K33" i="2"/>
  <c r="N32" i="2"/>
  <c r="M32" i="2"/>
  <c r="K32" i="2"/>
  <c r="N31" i="2"/>
  <c r="M31" i="2"/>
  <c r="K31" i="2"/>
  <c r="N30" i="2"/>
  <c r="M30" i="2"/>
  <c r="K30" i="2"/>
  <c r="N29" i="2"/>
  <c r="M29" i="2"/>
  <c r="K29" i="2"/>
  <c r="N28" i="2"/>
  <c r="M28" i="2"/>
  <c r="K28" i="2"/>
  <c r="N27" i="2"/>
  <c r="M27" i="2"/>
  <c r="K27" i="2"/>
  <c r="N26" i="2"/>
  <c r="M26" i="2"/>
  <c r="K26" i="2"/>
  <c r="N25" i="2"/>
  <c r="M25" i="2"/>
  <c r="K25" i="2"/>
  <c r="N24" i="2"/>
  <c r="M24" i="2"/>
  <c r="K24" i="2"/>
  <c r="N23" i="2"/>
  <c r="M23" i="2"/>
  <c r="K23" i="2"/>
  <c r="N22" i="2"/>
  <c r="M22" i="2"/>
  <c r="K22" i="2"/>
  <c r="N21" i="2"/>
  <c r="M21" i="2"/>
  <c r="K21" i="2"/>
  <c r="M20" i="2"/>
  <c r="Q20" i="2" s="1"/>
  <c r="R20" i="2" s="1"/>
  <c r="M19" i="2"/>
  <c r="Q19" i="2" s="1"/>
  <c r="K19" i="2"/>
  <c r="M18" i="2"/>
  <c r="Q18" i="2" s="1"/>
  <c r="K18" i="2"/>
  <c r="M17" i="2"/>
  <c r="Q17" i="2" s="1"/>
  <c r="K17" i="2"/>
  <c r="M16" i="2"/>
  <c r="Q16" i="2" s="1"/>
  <c r="K16" i="2"/>
  <c r="M15" i="2"/>
  <c r="Q15" i="2" s="1"/>
  <c r="K15" i="2"/>
  <c r="M14" i="2"/>
  <c r="Q14" i="2" s="1"/>
  <c r="K14" i="2"/>
  <c r="M13" i="2"/>
  <c r="K13" i="2"/>
  <c r="Q12" i="2"/>
  <c r="K12" i="2"/>
  <c r="B11" i="2"/>
  <c r="C11" i="2" s="1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D91" i="4" l="1"/>
  <c r="D95" i="4"/>
  <c r="D92" i="4"/>
  <c r="D98" i="4"/>
  <c r="D100" i="4" s="1"/>
  <c r="Q21" i="2"/>
  <c r="R21" i="2" s="1"/>
  <c r="Q29" i="2"/>
  <c r="R29" i="2" s="1"/>
  <c r="Q33" i="2"/>
  <c r="R33" i="2" s="1"/>
  <c r="Q44" i="2"/>
  <c r="R44" i="2" s="1"/>
  <c r="Q48" i="2"/>
  <c r="Q52" i="2"/>
  <c r="Q60" i="2"/>
  <c r="R60" i="2" s="1"/>
  <c r="Q64" i="2"/>
  <c r="R64" i="2" s="1"/>
  <c r="Q68" i="2"/>
  <c r="R68" i="2" s="1"/>
  <c r="I88" i="2"/>
  <c r="K85" i="2"/>
  <c r="Q22" i="2"/>
  <c r="R22" i="2" s="1"/>
  <c r="Q26" i="2"/>
  <c r="Q34" i="2"/>
  <c r="R34" i="2" s="1"/>
  <c r="Q38" i="2"/>
  <c r="R38" i="2" s="1"/>
  <c r="Q42" i="2"/>
  <c r="R42" i="2" s="1"/>
  <c r="Q50" i="2"/>
  <c r="R50" i="2" s="1"/>
  <c r="Q70" i="2"/>
  <c r="R70" i="2" s="1"/>
  <c r="Q78" i="2"/>
  <c r="R78" i="2" s="1"/>
  <c r="Q80" i="2"/>
  <c r="Q86" i="2"/>
  <c r="R86" i="2" s="1"/>
  <c r="R48" i="2"/>
  <c r="R52" i="2"/>
  <c r="R61" i="2"/>
  <c r="R14" i="2"/>
  <c r="R16" i="2"/>
  <c r="R18" i="2"/>
  <c r="Q23" i="2"/>
  <c r="R23" i="2" s="1"/>
  <c r="Q24" i="2"/>
  <c r="R24" i="2" s="1"/>
  <c r="Q27" i="2"/>
  <c r="R27" i="2" s="1"/>
  <c r="Q31" i="2"/>
  <c r="R31" i="2" s="1"/>
  <c r="Q36" i="2"/>
  <c r="R36" i="2" s="1"/>
  <c r="Q39" i="2"/>
  <c r="R39" i="2" s="1"/>
  <c r="Q43" i="2"/>
  <c r="R43" i="2" s="1"/>
  <c r="Q47" i="2"/>
  <c r="R47" i="2" s="1"/>
  <c r="Q55" i="2"/>
  <c r="Q59" i="2"/>
  <c r="Q63" i="2"/>
  <c r="R63" i="2" s="1"/>
  <c r="Q40" i="2"/>
  <c r="R40" i="2" s="1"/>
  <c r="R55" i="2"/>
  <c r="Q56" i="2"/>
  <c r="R56" i="2" s="1"/>
  <c r="Q28" i="2"/>
  <c r="R28" i="2" s="1"/>
  <c r="Q32" i="2"/>
  <c r="R32" i="2" s="1"/>
  <c r="Q45" i="2"/>
  <c r="R45" i="2" s="1"/>
  <c r="Q49" i="2"/>
  <c r="R49" i="2" s="1"/>
  <c r="Q54" i="2"/>
  <c r="R54" i="2" s="1"/>
  <c r="Q58" i="2"/>
  <c r="R58" i="2" s="1"/>
  <c r="Q66" i="2"/>
  <c r="R66" i="2" s="1"/>
  <c r="Q73" i="2"/>
  <c r="R73" i="2" s="1"/>
  <c r="Q74" i="2"/>
  <c r="R74" i="2" s="1"/>
  <c r="Q76" i="2"/>
  <c r="Q77" i="2"/>
  <c r="R77" i="2" s="1"/>
  <c r="Q83" i="2"/>
  <c r="R83" i="2" s="1"/>
  <c r="G99" i="2"/>
  <c r="G105" i="2" s="1"/>
  <c r="H98" i="2" s="1"/>
  <c r="R59" i="2"/>
  <c r="Q71" i="2"/>
  <c r="R71" i="2" s="1"/>
  <c r="R80" i="2"/>
  <c r="Q85" i="2"/>
  <c r="M88" i="2"/>
  <c r="R15" i="2"/>
  <c r="R19" i="2"/>
  <c r="R53" i="2"/>
  <c r="Q82" i="2"/>
  <c r="R82" i="2" s="1"/>
  <c r="R65" i="2"/>
  <c r="D88" i="2"/>
  <c r="R17" i="2"/>
  <c r="R26" i="2"/>
  <c r="R69" i="2"/>
  <c r="F88" i="2"/>
  <c r="R79" i="2"/>
  <c r="N88" i="2"/>
  <c r="Q25" i="2"/>
  <c r="R25" i="2" s="1"/>
  <c r="Q30" i="2"/>
  <c r="R30" i="2" s="1"/>
  <c r="Q35" i="2"/>
  <c r="R35" i="2" s="1"/>
  <c r="Q37" i="2"/>
  <c r="R37" i="2" s="1"/>
  <c r="Q41" i="2"/>
  <c r="R41" i="2" s="1"/>
  <c r="Q46" i="2"/>
  <c r="R46" i="2" s="1"/>
  <c r="Q51" i="2"/>
  <c r="R51" i="2" s="1"/>
  <c r="Q57" i="2"/>
  <c r="R57" i="2" s="1"/>
  <c r="Q62" i="2"/>
  <c r="R62" i="2" s="1"/>
  <c r="Q67" i="2"/>
  <c r="R67" i="2" s="1"/>
  <c r="Q75" i="2"/>
  <c r="R75" i="2" s="1"/>
  <c r="K76" i="2"/>
  <c r="Q84" i="2"/>
  <c r="R84" i="2" s="1"/>
  <c r="Q87" i="2"/>
  <c r="R87" i="2" s="1"/>
  <c r="R81" i="2"/>
  <c r="Q13" i="2"/>
  <c r="R13" i="2" s="1"/>
  <c r="R12" i="2"/>
  <c r="G88" i="2"/>
  <c r="D96" i="4" l="1"/>
  <c r="R76" i="2"/>
  <c r="H102" i="2"/>
  <c r="H101" i="2"/>
  <c r="H103" i="2" s="1"/>
  <c r="H94" i="2"/>
  <c r="H96" i="2"/>
  <c r="H97" i="2"/>
  <c r="H95" i="2"/>
  <c r="R85" i="2"/>
  <c r="K88" i="2"/>
  <c r="Q88" i="2"/>
  <c r="R88" i="2" l="1"/>
  <c r="D102" i="4"/>
  <c r="E17" i="15"/>
  <c r="H99" i="2"/>
  <c r="H105" i="2" s="1"/>
  <c r="I101" i="2"/>
  <c r="I94" i="2"/>
  <c r="I98" i="2"/>
  <c r="I95" i="2"/>
  <c r="I102" i="2"/>
  <c r="I96" i="2"/>
  <c r="I97" i="2"/>
  <c r="I99" i="2" l="1"/>
  <c r="E16" i="15" s="1"/>
  <c r="I103" i="2"/>
  <c r="I105" i="2" l="1"/>
  <c r="D32" i="14" l="1"/>
  <c r="D37" i="14" s="1"/>
  <c r="D33" i="14"/>
  <c r="D34" i="14" l="1"/>
  <c r="H61" i="1"/>
  <c r="H62" i="1" s="1"/>
  <c r="E12" i="19"/>
  <c r="E13" i="19"/>
  <c r="E14" i="19"/>
  <c r="E15" i="19"/>
  <c r="E17" i="19"/>
  <c r="E18" i="19"/>
  <c r="E19" i="19"/>
  <c r="E21" i="19"/>
  <c r="E11" i="19"/>
  <c r="J47" i="6"/>
  <c r="I47" i="6"/>
  <c r="G47" i="6"/>
  <c r="F47" i="6"/>
  <c r="H45" i="6"/>
  <c r="K45" i="6" s="1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H28" i="6"/>
  <c r="K28" i="6" s="1"/>
  <c r="H27" i="6"/>
  <c r="K27" i="6" s="1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D20" i="19"/>
  <c r="E20" i="19" s="1"/>
  <c r="D15" i="19"/>
  <c r="D13" i="19"/>
  <c r="K47" i="6" l="1"/>
  <c r="K51" i="6" s="1"/>
  <c r="E15" i="15" s="1"/>
  <c r="H47" i="6"/>
  <c r="E15" i="7" l="1"/>
  <c r="E16" i="7"/>
  <c r="E17" i="7"/>
  <c r="E18" i="7"/>
  <c r="E19" i="7"/>
  <c r="D14" i="7"/>
  <c r="E14" i="7" s="1"/>
  <c r="L13" i="21" l="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L82" i="21"/>
  <c r="L83" i="21"/>
  <c r="L84" i="21"/>
  <c r="L85" i="21"/>
  <c r="L86" i="21"/>
  <c r="L87" i="21"/>
  <c r="L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12" i="21"/>
  <c r="G87" i="21"/>
  <c r="H87" i="21" s="1"/>
  <c r="G85" i="21"/>
  <c r="H85" i="21" s="1"/>
  <c r="G80" i="21"/>
  <c r="H80" i="21" s="1"/>
  <c r="G79" i="21"/>
  <c r="H79" i="21" s="1"/>
  <c r="G78" i="21"/>
  <c r="H78" i="21" s="1"/>
  <c r="G77" i="21"/>
  <c r="H77" i="21" s="1"/>
  <c r="G74" i="21"/>
  <c r="H74" i="21" s="1"/>
  <c r="G70" i="21"/>
  <c r="H70" i="21" s="1"/>
  <c r="G69" i="21"/>
  <c r="H69" i="21" s="1"/>
  <c r="G68" i="21"/>
  <c r="H68" i="21" s="1"/>
  <c r="G64" i="21"/>
  <c r="H64" i="21" s="1"/>
  <c r="G62" i="21"/>
  <c r="H62" i="21" s="1"/>
  <c r="G58" i="21"/>
  <c r="H58" i="21" s="1"/>
  <c r="G54" i="21"/>
  <c r="H54" i="21" s="1"/>
  <c r="G53" i="21"/>
  <c r="H53" i="21" s="1"/>
  <c r="G52" i="21"/>
  <c r="H52" i="21" s="1"/>
  <c r="G47" i="21"/>
  <c r="H47" i="21" s="1"/>
  <c r="G46" i="21"/>
  <c r="H46" i="21" s="1"/>
  <c r="G45" i="21"/>
  <c r="H45" i="21" s="1"/>
  <c r="G39" i="21"/>
  <c r="H39" i="21" s="1"/>
  <c r="G38" i="21"/>
  <c r="H38" i="21" s="1"/>
  <c r="G37" i="21"/>
  <c r="H37" i="21" s="1"/>
  <c r="G31" i="21"/>
  <c r="H31" i="21" s="1"/>
  <c r="G29" i="21"/>
  <c r="H29" i="21" s="1"/>
  <c r="G23" i="21"/>
  <c r="H23" i="21" s="1"/>
  <c r="G21" i="21"/>
  <c r="H21" i="21" s="1"/>
  <c r="G16" i="21"/>
  <c r="H16" i="21" s="1"/>
  <c r="G14" i="21"/>
  <c r="H14" i="21" s="1"/>
  <c r="G13" i="21"/>
  <c r="H13" i="21" s="1"/>
  <c r="M90" i="21"/>
  <c r="G86" i="21"/>
  <c r="H86" i="21" s="1"/>
  <c r="G84" i="21"/>
  <c r="H84" i="21" s="1"/>
  <c r="G83" i="21"/>
  <c r="H83" i="21" s="1"/>
  <c r="G82" i="21"/>
  <c r="H82" i="21" s="1"/>
  <c r="G81" i="21"/>
  <c r="H81" i="21" s="1"/>
  <c r="G76" i="21"/>
  <c r="H76" i="21" s="1"/>
  <c r="G75" i="21"/>
  <c r="H75" i="21" s="1"/>
  <c r="G73" i="21"/>
  <c r="H73" i="21" s="1"/>
  <c r="G72" i="21"/>
  <c r="G71" i="21"/>
  <c r="H71" i="21" s="1"/>
  <c r="G67" i="21"/>
  <c r="H67" i="21" s="1"/>
  <c r="G66" i="21"/>
  <c r="H66" i="21" s="1"/>
  <c r="G65" i="21"/>
  <c r="H65" i="21" s="1"/>
  <c r="G63" i="21"/>
  <c r="H63" i="21" s="1"/>
  <c r="G61" i="21"/>
  <c r="H61" i="21" s="1"/>
  <c r="G60" i="21"/>
  <c r="H60" i="21" s="1"/>
  <c r="G59" i="21"/>
  <c r="H59" i="21" s="1"/>
  <c r="G57" i="21"/>
  <c r="H57" i="21" s="1"/>
  <c r="G56" i="21"/>
  <c r="H56" i="21" s="1"/>
  <c r="G55" i="21"/>
  <c r="H55" i="21" s="1"/>
  <c r="G51" i="21"/>
  <c r="H51" i="21" s="1"/>
  <c r="G50" i="21"/>
  <c r="H50" i="21" s="1"/>
  <c r="G49" i="21"/>
  <c r="H49" i="21" s="1"/>
  <c r="G48" i="21"/>
  <c r="H48" i="21" s="1"/>
  <c r="G44" i="21"/>
  <c r="H44" i="21" s="1"/>
  <c r="G43" i="21"/>
  <c r="H43" i="21" s="1"/>
  <c r="G42" i="21"/>
  <c r="H42" i="21" s="1"/>
  <c r="G41" i="21"/>
  <c r="H41" i="21" s="1"/>
  <c r="G40" i="21"/>
  <c r="H40" i="21" s="1"/>
  <c r="G36" i="21"/>
  <c r="H36" i="21" s="1"/>
  <c r="G35" i="21"/>
  <c r="H35" i="21" s="1"/>
  <c r="G34" i="21"/>
  <c r="H34" i="21" s="1"/>
  <c r="G33" i="21"/>
  <c r="H33" i="21" s="1"/>
  <c r="G32" i="21"/>
  <c r="H32" i="21" s="1"/>
  <c r="G30" i="21"/>
  <c r="H30" i="21" s="1"/>
  <c r="G28" i="21"/>
  <c r="H28" i="21" s="1"/>
  <c r="G27" i="21"/>
  <c r="H27" i="21" s="1"/>
  <c r="G26" i="21"/>
  <c r="H26" i="21" s="1"/>
  <c r="G25" i="21"/>
  <c r="H25" i="21" s="1"/>
  <c r="G24" i="21"/>
  <c r="H24" i="21" s="1"/>
  <c r="G22" i="21"/>
  <c r="H22" i="21" s="1"/>
  <c r="G20" i="21"/>
  <c r="H20" i="21" s="1"/>
  <c r="G19" i="21"/>
  <c r="H19" i="21" s="1"/>
  <c r="G18" i="21"/>
  <c r="H18" i="21" s="1"/>
  <c r="G17" i="21"/>
  <c r="H17" i="21" s="1"/>
  <c r="G15" i="21"/>
  <c r="H15" i="21" s="1"/>
  <c r="G12" i="21"/>
  <c r="H12" i="21" s="1"/>
  <c r="E11" i="21"/>
  <c r="F11" i="21" s="1"/>
  <c r="G11" i="21" s="1"/>
  <c r="H11" i="21" s="1"/>
  <c r="I11" i="21" s="1"/>
  <c r="J11" i="21" s="1"/>
  <c r="K11" i="21" s="1"/>
  <c r="L11" i="21" s="1"/>
  <c r="M11" i="21" s="1"/>
  <c r="B11" i="21"/>
  <c r="C11" i="21" s="1"/>
  <c r="A13" i="2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B4" i="21"/>
  <c r="B3" i="21"/>
  <c r="C82" i="3"/>
  <c r="H86" i="3" s="1"/>
  <c r="G81" i="3"/>
  <c r="F80" i="3"/>
  <c r="G79" i="3"/>
  <c r="F78" i="3"/>
  <c r="G77" i="3"/>
  <c r="G76" i="3"/>
  <c r="F76" i="3"/>
  <c r="G75" i="3"/>
  <c r="F74" i="3"/>
  <c r="G73" i="3"/>
  <c r="F72" i="3"/>
  <c r="G71" i="3"/>
  <c r="F70" i="3"/>
  <c r="G69" i="3"/>
  <c r="G68" i="3"/>
  <c r="F68" i="3"/>
  <c r="G67" i="3"/>
  <c r="F66" i="3"/>
  <c r="G65" i="3"/>
  <c r="F64" i="3"/>
  <c r="G63" i="3"/>
  <c r="F62" i="3"/>
  <c r="G61" i="3"/>
  <c r="G60" i="3"/>
  <c r="F60" i="3"/>
  <c r="G59" i="3"/>
  <c r="F58" i="3"/>
  <c r="G57" i="3"/>
  <c r="F56" i="3"/>
  <c r="G55" i="3"/>
  <c r="F54" i="3"/>
  <c r="G53" i="3"/>
  <c r="G52" i="3"/>
  <c r="F52" i="3"/>
  <c r="G51" i="3"/>
  <c r="F50" i="3"/>
  <c r="G49" i="3"/>
  <c r="F48" i="3"/>
  <c r="G47" i="3"/>
  <c r="F46" i="3"/>
  <c r="G45" i="3"/>
  <c r="G44" i="3"/>
  <c r="F44" i="3"/>
  <c r="G43" i="3"/>
  <c r="F42" i="3"/>
  <c r="G41" i="3"/>
  <c r="F40" i="3"/>
  <c r="G39" i="3"/>
  <c r="F38" i="3"/>
  <c r="G37" i="3"/>
  <c r="G36" i="3"/>
  <c r="F36" i="3"/>
  <c r="G35" i="3"/>
  <c r="F34" i="3"/>
  <c r="G33" i="3"/>
  <c r="G32" i="3"/>
  <c r="G31" i="3"/>
  <c r="G30" i="3"/>
  <c r="G29" i="3"/>
  <c r="G28" i="3"/>
  <c r="G27" i="3"/>
  <c r="G26" i="3"/>
  <c r="G25" i="3"/>
  <c r="F24" i="3"/>
  <c r="G23" i="3"/>
  <c r="G22" i="3"/>
  <c r="G21" i="3"/>
  <c r="G20" i="3"/>
  <c r="G19" i="3"/>
  <c r="G18" i="3"/>
  <c r="G17" i="3"/>
  <c r="G16" i="3"/>
  <c r="G15" i="3"/>
  <c r="G14" i="3"/>
  <c r="F14" i="3"/>
  <c r="G13" i="3"/>
  <c r="G12" i="3"/>
  <c r="F12" i="3"/>
  <c r="G11" i="3"/>
  <c r="H36" i="3" l="1"/>
  <c r="H68" i="3"/>
  <c r="H14" i="3"/>
  <c r="H44" i="3"/>
  <c r="H76" i="3"/>
  <c r="H52" i="3"/>
  <c r="H60" i="3"/>
  <c r="M25" i="21"/>
  <c r="H72" i="21"/>
  <c r="M72" i="21" s="1"/>
  <c r="M80" i="21"/>
  <c r="M66" i="21"/>
  <c r="M83" i="21"/>
  <c r="M81" i="21"/>
  <c r="M77" i="21"/>
  <c r="M34" i="21"/>
  <c r="L88" i="21"/>
  <c r="L92" i="21" s="1"/>
  <c r="L94" i="21" s="1"/>
  <c r="M37" i="21"/>
  <c r="M26" i="21"/>
  <c r="M60" i="21"/>
  <c r="M68" i="21"/>
  <c r="J88" i="21"/>
  <c r="J92" i="21" s="1"/>
  <c r="J94" i="21" s="1"/>
  <c r="M84" i="21"/>
  <c r="M31" i="21"/>
  <c r="M53" i="21"/>
  <c r="M74" i="21"/>
  <c r="M42" i="21"/>
  <c r="M82" i="21"/>
  <c r="M13" i="21"/>
  <c r="M58" i="21"/>
  <c r="M54" i="21"/>
  <c r="M22" i="21"/>
  <c r="M28" i="21"/>
  <c r="M63" i="21"/>
  <c r="M55" i="21"/>
  <c r="M14" i="21"/>
  <c r="M39" i="21"/>
  <c r="M62" i="21"/>
  <c r="M79" i="21"/>
  <c r="M61" i="21"/>
  <c r="M45" i="21"/>
  <c r="M38" i="21"/>
  <c r="M86" i="21"/>
  <c r="M46" i="21"/>
  <c r="M85" i="21"/>
  <c r="M15" i="21"/>
  <c r="M18" i="21"/>
  <c r="M23" i="21"/>
  <c r="M47" i="21"/>
  <c r="M69" i="21"/>
  <c r="M87" i="21"/>
  <c r="M30" i="21"/>
  <c r="M78" i="21"/>
  <c r="M71" i="21"/>
  <c r="M21" i="21"/>
  <c r="M50" i="21"/>
  <c r="M29" i="21"/>
  <c r="M52" i="21"/>
  <c r="M70" i="21"/>
  <c r="F88" i="21"/>
  <c r="F92" i="21" s="1"/>
  <c r="F94" i="21" s="1"/>
  <c r="M24" i="21"/>
  <c r="M67" i="21"/>
  <c r="M75" i="21"/>
  <c r="M19" i="21"/>
  <c r="M27" i="21"/>
  <c r="M35" i="21"/>
  <c r="M32" i="21"/>
  <c r="M43" i="21"/>
  <c r="M64" i="21"/>
  <c r="M49" i="21"/>
  <c r="M51" i="21"/>
  <c r="M20" i="21"/>
  <c r="M57" i="21"/>
  <c r="M59" i="21"/>
  <c r="M16" i="21"/>
  <c r="M33" i="21"/>
  <c r="M36" i="21"/>
  <c r="M48" i="21"/>
  <c r="M65" i="21"/>
  <c r="M40" i="21"/>
  <c r="M12" i="21"/>
  <c r="M41" i="21"/>
  <c r="M44" i="21"/>
  <c r="M56" i="21"/>
  <c r="M73" i="21"/>
  <c r="M76" i="21"/>
  <c r="M17" i="21"/>
  <c r="H12" i="3"/>
  <c r="F20" i="3"/>
  <c r="H20" i="3" s="1"/>
  <c r="F32" i="3"/>
  <c r="H32" i="3" s="1"/>
  <c r="G42" i="3"/>
  <c r="H42" i="3" s="1"/>
  <c r="H69" i="3"/>
  <c r="G74" i="3"/>
  <c r="H74" i="3" s="1"/>
  <c r="G24" i="3"/>
  <c r="H24" i="3" s="1"/>
  <c r="F18" i="3"/>
  <c r="H18" i="3" s="1"/>
  <c r="F22" i="3"/>
  <c r="H22" i="3" s="1"/>
  <c r="F26" i="3"/>
  <c r="H26" i="3" s="1"/>
  <c r="F30" i="3"/>
  <c r="H30" i="3" s="1"/>
  <c r="G34" i="3"/>
  <c r="H34" i="3" s="1"/>
  <c r="G50" i="3"/>
  <c r="H50" i="3" s="1"/>
  <c r="H61" i="3"/>
  <c r="G66" i="3"/>
  <c r="H66" i="3" s="1"/>
  <c r="G40" i="3"/>
  <c r="H40" i="3" s="1"/>
  <c r="G56" i="3"/>
  <c r="H56" i="3" s="1"/>
  <c r="G72" i="3"/>
  <c r="H72" i="3" s="1"/>
  <c r="G46" i="3"/>
  <c r="H46" i="3" s="1"/>
  <c r="G62" i="3"/>
  <c r="H62" i="3" s="1"/>
  <c r="G78" i="3"/>
  <c r="H78" i="3" s="1"/>
  <c r="F16" i="3"/>
  <c r="H16" i="3" s="1"/>
  <c r="F28" i="3"/>
  <c r="H28" i="3" s="1"/>
  <c r="G48" i="3"/>
  <c r="H48" i="3" s="1"/>
  <c r="G64" i="3"/>
  <c r="H64" i="3" s="1"/>
  <c r="G80" i="3"/>
  <c r="H80" i="3" s="1"/>
  <c r="G38" i="3"/>
  <c r="H38" i="3" s="1"/>
  <c r="G54" i="3"/>
  <c r="H54" i="3" s="1"/>
  <c r="G70" i="3"/>
  <c r="H70" i="3" s="1"/>
  <c r="G58" i="3"/>
  <c r="H58" i="3" s="1"/>
  <c r="F11" i="3"/>
  <c r="H11" i="3" s="1"/>
  <c r="F13" i="3"/>
  <c r="H13" i="3" s="1"/>
  <c r="F15" i="3"/>
  <c r="H15" i="3" s="1"/>
  <c r="F17" i="3"/>
  <c r="H17" i="3" s="1"/>
  <c r="F19" i="3"/>
  <c r="H19" i="3" s="1"/>
  <c r="F21" i="3"/>
  <c r="H21" i="3" s="1"/>
  <c r="F23" i="3"/>
  <c r="H23" i="3" s="1"/>
  <c r="F25" i="3"/>
  <c r="H25" i="3" s="1"/>
  <c r="F27" i="3"/>
  <c r="H27" i="3" s="1"/>
  <c r="F29" i="3"/>
  <c r="H29" i="3" s="1"/>
  <c r="F31" i="3"/>
  <c r="H31" i="3" s="1"/>
  <c r="F33" i="3"/>
  <c r="H33" i="3" s="1"/>
  <c r="F35" i="3"/>
  <c r="H35" i="3" s="1"/>
  <c r="F37" i="3"/>
  <c r="H37" i="3" s="1"/>
  <c r="F39" i="3"/>
  <c r="H39" i="3" s="1"/>
  <c r="F41" i="3"/>
  <c r="H41" i="3" s="1"/>
  <c r="F43" i="3"/>
  <c r="H43" i="3" s="1"/>
  <c r="F45" i="3"/>
  <c r="H45" i="3" s="1"/>
  <c r="F47" i="3"/>
  <c r="H47" i="3" s="1"/>
  <c r="F49" i="3"/>
  <c r="H49" i="3" s="1"/>
  <c r="F51" i="3"/>
  <c r="H51" i="3" s="1"/>
  <c r="F53" i="3"/>
  <c r="H53" i="3" s="1"/>
  <c r="F55" i="3"/>
  <c r="H55" i="3" s="1"/>
  <c r="F57" i="3"/>
  <c r="H57" i="3" s="1"/>
  <c r="F59" i="3"/>
  <c r="H59" i="3" s="1"/>
  <c r="F61" i="3"/>
  <c r="F63" i="3"/>
  <c r="H63" i="3" s="1"/>
  <c r="F65" i="3"/>
  <c r="H65" i="3" s="1"/>
  <c r="F67" i="3"/>
  <c r="H67" i="3" s="1"/>
  <c r="F69" i="3"/>
  <c r="F71" i="3"/>
  <c r="H71" i="3" s="1"/>
  <c r="F73" i="3"/>
  <c r="H73" i="3" s="1"/>
  <c r="F75" i="3"/>
  <c r="H75" i="3" s="1"/>
  <c r="F77" i="3"/>
  <c r="H77" i="3" s="1"/>
  <c r="F79" i="3"/>
  <c r="H79" i="3" s="1"/>
  <c r="F81" i="3"/>
  <c r="H81" i="3" s="1"/>
  <c r="H88" i="21" l="1"/>
  <c r="H92" i="21" s="1"/>
  <c r="H94" i="21" s="1"/>
  <c r="M94" i="21" s="1"/>
  <c r="H82" i="3"/>
  <c r="H84" i="3" s="1"/>
  <c r="H88" i="3" s="1"/>
  <c r="H90" i="3" s="1"/>
  <c r="E86" i="3" l="1"/>
  <c r="E93" i="3"/>
  <c r="E88" i="3"/>
  <c r="E94" i="3"/>
  <c r="E89" i="3"/>
  <c r="E87" i="3"/>
  <c r="E90" i="3"/>
  <c r="M92" i="21"/>
  <c r="M107" i="21"/>
  <c r="M106" i="21"/>
  <c r="M103" i="21"/>
  <c r="M102" i="21"/>
  <c r="M101" i="21"/>
  <c r="M100" i="21"/>
  <c r="M99" i="21"/>
  <c r="M104" i="21" s="1"/>
  <c r="E95" i="3" l="1"/>
  <c r="E91" i="3"/>
  <c r="E22" i="15"/>
  <c r="R23" i="18" s="1"/>
  <c r="M108" i="21"/>
  <c r="M110" i="21" s="1"/>
  <c r="E18" i="15" l="1"/>
  <c r="E97" i="3"/>
  <c r="A12" i="19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D22" i="19"/>
  <c r="E22" i="19" s="1"/>
  <c r="C16" i="19"/>
  <c r="D16" i="19" s="1"/>
  <c r="E16" i="19" s="1"/>
  <c r="C14" i="19"/>
  <c r="D23" i="19" l="1"/>
  <c r="C23" i="19"/>
  <c r="E23" i="19" l="1"/>
  <c r="E20" i="15" s="1"/>
  <c r="P23" i="18" s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E73" i="11" l="1"/>
  <c r="E78" i="11" s="1"/>
  <c r="F75" i="11" s="1"/>
  <c r="F59" i="11"/>
  <c r="H59" i="11" s="1"/>
  <c r="J59" i="11" s="1"/>
  <c r="G56" i="11"/>
  <c r="F55" i="11"/>
  <c r="E55" i="11"/>
  <c r="H54" i="11"/>
  <c r="J54" i="11" s="1"/>
  <c r="I53" i="11"/>
  <c r="H53" i="11"/>
  <c r="H52" i="11"/>
  <c r="J52" i="11" s="1"/>
  <c r="I51" i="11"/>
  <c r="I55" i="11" s="1"/>
  <c r="H51" i="11"/>
  <c r="H50" i="11"/>
  <c r="J50" i="11" s="1"/>
  <c r="H49" i="11"/>
  <c r="J49" i="11" s="1"/>
  <c r="H48" i="11"/>
  <c r="J48" i="11" s="1"/>
  <c r="H47" i="11"/>
  <c r="I43" i="11"/>
  <c r="F43" i="11"/>
  <c r="E43" i="11"/>
  <c r="H42" i="11"/>
  <c r="J42" i="11" s="1"/>
  <c r="H41" i="11"/>
  <c r="J41" i="11" s="1"/>
  <c r="H40" i="11"/>
  <c r="J40" i="11" s="1"/>
  <c r="H39" i="11"/>
  <c r="J39" i="11" s="1"/>
  <c r="H38" i="11"/>
  <c r="J38" i="11" s="1"/>
  <c r="H37" i="11"/>
  <c r="J37" i="11" s="1"/>
  <c r="H36" i="11"/>
  <c r="J36" i="11" s="1"/>
  <c r="H35" i="11"/>
  <c r="J35" i="11" s="1"/>
  <c r="H34" i="11"/>
  <c r="J34" i="11" s="1"/>
  <c r="H33" i="11"/>
  <c r="J33" i="11" s="1"/>
  <c r="H32" i="11"/>
  <c r="J32" i="11" s="1"/>
  <c r="H31" i="11"/>
  <c r="J31" i="11" s="1"/>
  <c r="H30" i="11"/>
  <c r="J30" i="11" s="1"/>
  <c r="H29" i="11"/>
  <c r="J29" i="11" s="1"/>
  <c r="H28" i="11"/>
  <c r="J28" i="11" s="1"/>
  <c r="H27" i="11"/>
  <c r="J27" i="11" s="1"/>
  <c r="H26" i="11"/>
  <c r="J26" i="11" s="1"/>
  <c r="H25" i="11"/>
  <c r="J25" i="11" s="1"/>
  <c r="H24" i="11"/>
  <c r="J24" i="11" s="1"/>
  <c r="H23" i="11"/>
  <c r="J23" i="11" s="1"/>
  <c r="H22" i="11"/>
  <c r="I19" i="11"/>
  <c r="F19" i="11"/>
  <c r="E19" i="11"/>
  <c r="H18" i="11"/>
  <c r="J18" i="11" s="1"/>
  <c r="H17" i="11"/>
  <c r="J17" i="11" s="1"/>
  <c r="H16" i="11"/>
  <c r="J16" i="11" s="1"/>
  <c r="I13" i="11"/>
  <c r="F13" i="11"/>
  <c r="E13" i="11"/>
  <c r="H12" i="11"/>
  <c r="J12" i="11" s="1"/>
  <c r="J13" i="11" s="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J51" i="11" l="1"/>
  <c r="H13" i="11"/>
  <c r="F56" i="11"/>
  <c r="F62" i="11" s="1"/>
  <c r="J19" i="11"/>
  <c r="E56" i="11"/>
  <c r="E62" i="11" s="1"/>
  <c r="H43" i="11"/>
  <c r="H55" i="11"/>
  <c r="J53" i="11"/>
  <c r="I56" i="11"/>
  <c r="I62" i="11" s="1"/>
  <c r="G75" i="11"/>
  <c r="G76" i="11" s="1"/>
  <c r="F76" i="11"/>
  <c r="F72" i="11"/>
  <c r="G72" i="11" s="1"/>
  <c r="J22" i="11"/>
  <c r="J43" i="11" s="1"/>
  <c r="J47" i="11"/>
  <c r="F70" i="11"/>
  <c r="G70" i="11" s="1"/>
  <c r="H19" i="11"/>
  <c r="F68" i="11"/>
  <c r="F71" i="11"/>
  <c r="G71" i="11" s="1"/>
  <c r="F69" i="11"/>
  <c r="G69" i="11" s="1"/>
  <c r="J55" i="11" l="1"/>
  <c r="H56" i="11"/>
  <c r="H62" i="11" s="1"/>
  <c r="J56" i="11"/>
  <c r="G68" i="11"/>
  <c r="G73" i="11" s="1"/>
  <c r="J60" i="11" s="1"/>
  <c r="J62" i="11" s="1"/>
  <c r="E10" i="15" s="1"/>
  <c r="D24" i="1" s="1"/>
  <c r="F73" i="11"/>
  <c r="F78" i="11" s="1"/>
  <c r="G78" i="11" l="1"/>
  <c r="A12" i="14" l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D30" i="14"/>
  <c r="E69" i="10" l="1"/>
  <c r="E68" i="10"/>
  <c r="E67" i="10"/>
  <c r="E66" i="10"/>
  <c r="E65" i="10"/>
  <c r="E64" i="10"/>
  <c r="E63" i="10"/>
  <c r="E62" i="10"/>
  <c r="E61" i="10"/>
  <c r="E60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E11" i="10"/>
  <c r="E71" i="10" l="1"/>
  <c r="E75" i="10" s="1"/>
  <c r="E9" i="15" s="1"/>
  <c r="E25" i="1"/>
  <c r="F25" i="1" l="1"/>
  <c r="G25" i="1"/>
  <c r="H25" i="1"/>
  <c r="U45" i="18"/>
  <c r="A1" i="18" l="1"/>
  <c r="E54" i="1"/>
  <c r="F54" i="1" s="1"/>
  <c r="G54" i="1" s="1"/>
  <c r="H54" i="1" s="1"/>
  <c r="R6" i="18" l="1"/>
  <c r="R4" i="18"/>
  <c r="R9" i="18" l="1"/>
  <c r="Q6" i="18"/>
  <c r="Q4" i="18"/>
  <c r="Q24" i="18"/>
  <c r="Q31" i="18" s="1"/>
  <c r="Q45" i="18" s="1"/>
  <c r="Q12" i="18"/>
  <c r="Q44" i="18" s="1"/>
  <c r="D11" i="20"/>
  <c r="D15" i="20" s="1"/>
  <c r="F21" i="15" s="1"/>
  <c r="A12" i="20"/>
  <c r="A13" i="20" s="1"/>
  <c r="A14" i="20" s="1"/>
  <c r="A15" i="20" s="1"/>
  <c r="A5" i="20"/>
  <c r="A4" i="20"/>
  <c r="G35" i="13"/>
  <c r="F35" i="13"/>
  <c r="G25" i="13"/>
  <c r="G30" i="13" s="1"/>
  <c r="F25" i="13"/>
  <c r="F30" i="13" s="1"/>
  <c r="A5" i="13"/>
  <c r="Q37" i="18" l="1"/>
  <c r="Q40" i="18" s="1"/>
  <c r="Q46" i="18" s="1"/>
  <c r="Q47" i="18" s="1"/>
  <c r="D38" i="1"/>
  <c r="Q33" i="18"/>
  <c r="F27" i="13"/>
  <c r="F31" i="13" s="1"/>
  <c r="F36" i="13" s="1"/>
  <c r="G27" i="13"/>
  <c r="G31" i="13" s="1"/>
  <c r="G36" i="13" s="1"/>
  <c r="Q42" i="18" l="1"/>
  <c r="Q48" i="18" s="1"/>
  <c r="H31" i="13"/>
  <c r="H36" i="13"/>
  <c r="F47" i="13" s="1"/>
  <c r="F49" i="13" s="1"/>
  <c r="D12" i="15" s="1"/>
  <c r="H10" i="18" l="1"/>
  <c r="P6" i="18" l="1"/>
  <c r="P4" i="18"/>
  <c r="V9" i="18"/>
  <c r="P12" i="18"/>
  <c r="P44" i="18" s="1"/>
  <c r="P24" i="18"/>
  <c r="P31" i="18" s="1"/>
  <c r="P45" i="18" s="1"/>
  <c r="A5" i="19"/>
  <c r="A4" i="19"/>
  <c r="P37" i="18" l="1"/>
  <c r="P40" i="18" s="1"/>
  <c r="P46" i="18" s="1"/>
  <c r="P47" i="18" s="1"/>
  <c r="E8" i="17"/>
  <c r="P33" i="18"/>
  <c r="E10" i="17" l="1"/>
  <c r="E44" i="17"/>
  <c r="V37" i="18"/>
  <c r="P42" i="18"/>
  <c r="P48" i="18" s="1"/>
  <c r="M23" i="18"/>
  <c r="M24" i="18" s="1"/>
  <c r="M31" i="18" s="1"/>
  <c r="M45" i="18" s="1"/>
  <c r="O6" i="18"/>
  <c r="N6" i="18"/>
  <c r="M6" i="18"/>
  <c r="L6" i="18"/>
  <c r="K6" i="18"/>
  <c r="J6" i="18"/>
  <c r="I6" i="18"/>
  <c r="H6" i="18"/>
  <c r="G6" i="18"/>
  <c r="F6" i="18"/>
  <c r="E6" i="18"/>
  <c r="O4" i="18"/>
  <c r="N4" i="18"/>
  <c r="M4" i="18"/>
  <c r="L4" i="18"/>
  <c r="K4" i="18"/>
  <c r="J4" i="18"/>
  <c r="I4" i="18"/>
  <c r="H4" i="18"/>
  <c r="G4" i="18"/>
  <c r="F4" i="18"/>
  <c r="D6" i="18"/>
  <c r="C6" i="18"/>
  <c r="C4" i="18"/>
  <c r="D4" i="18"/>
  <c r="E4" i="18"/>
  <c r="T40" i="18"/>
  <c r="S40" i="18"/>
  <c r="R40" i="18"/>
  <c r="O40" i="18"/>
  <c r="O46" i="18" s="1"/>
  <c r="N40" i="18"/>
  <c r="N46" i="18" s="1"/>
  <c r="M40" i="18"/>
  <c r="M46" i="18" s="1"/>
  <c r="L40" i="18"/>
  <c r="L46" i="18" s="1"/>
  <c r="K40" i="18"/>
  <c r="K46" i="18" s="1"/>
  <c r="J40" i="18"/>
  <c r="J46" i="18" s="1"/>
  <c r="I40" i="18"/>
  <c r="I46" i="18" s="1"/>
  <c r="H40" i="18"/>
  <c r="H46" i="18" s="1"/>
  <c r="G40" i="18"/>
  <c r="G46" i="18" s="1"/>
  <c r="F40" i="18"/>
  <c r="F46" i="18" s="1"/>
  <c r="E40" i="18"/>
  <c r="E46" i="18" s="1"/>
  <c r="D40" i="18"/>
  <c r="D46" i="18" s="1"/>
  <c r="C40" i="18"/>
  <c r="C46" i="18" s="1"/>
  <c r="V39" i="18"/>
  <c r="V38" i="18"/>
  <c r="V35" i="18"/>
  <c r="V30" i="18"/>
  <c r="V29" i="18"/>
  <c r="V27" i="18"/>
  <c r="T24" i="18"/>
  <c r="T31" i="18" s="1"/>
  <c r="T45" i="18" s="1"/>
  <c r="S24" i="18"/>
  <c r="S31" i="18" s="1"/>
  <c r="S45" i="18" s="1"/>
  <c r="R24" i="18"/>
  <c r="R31" i="18" s="1"/>
  <c r="R45" i="18" s="1"/>
  <c r="V22" i="18"/>
  <c r="V21" i="18"/>
  <c r="V20" i="18"/>
  <c r="V18" i="18"/>
  <c r="F24" i="18"/>
  <c r="E24" i="18"/>
  <c r="V15" i="18"/>
  <c r="T12" i="18"/>
  <c r="S12" i="18"/>
  <c r="S44" i="18" s="1"/>
  <c r="R12" i="18"/>
  <c r="O12" i="18"/>
  <c r="N12" i="18"/>
  <c r="N44" i="18" s="1"/>
  <c r="M12" i="18"/>
  <c r="L12" i="18"/>
  <c r="K12" i="18"/>
  <c r="J12" i="18"/>
  <c r="J44" i="18" s="1"/>
  <c r="I12" i="18"/>
  <c r="G12" i="18"/>
  <c r="V11" i="18"/>
  <c r="F12" i="18"/>
  <c r="E12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E58" i="17"/>
  <c r="D58" i="17"/>
  <c r="F56" i="17"/>
  <c r="D10" i="17"/>
  <c r="F10" i="17" s="1"/>
  <c r="A1" i="17"/>
  <c r="F69" i="17"/>
  <c r="F68" i="17"/>
  <c r="E66" i="17"/>
  <c r="D66" i="17"/>
  <c r="F65" i="17"/>
  <c r="F64" i="17"/>
  <c r="F63" i="17"/>
  <c r="F62" i="17"/>
  <c r="F61" i="17"/>
  <c r="F60" i="17"/>
  <c r="F57" i="17"/>
  <c r="E54" i="17"/>
  <c r="D54" i="17"/>
  <c r="F53" i="17"/>
  <c r="F52" i="17"/>
  <c r="F51" i="17"/>
  <c r="F50" i="17"/>
  <c r="F49" i="17"/>
  <c r="E47" i="17"/>
  <c r="E70" i="17" s="1"/>
  <c r="D47" i="17"/>
  <c r="F46" i="17"/>
  <c r="F45" i="17"/>
  <c r="F44" i="17"/>
  <c r="F42" i="17"/>
  <c r="F41" i="17"/>
  <c r="F36" i="17"/>
  <c r="F35" i="17"/>
  <c r="E33" i="17"/>
  <c r="D33" i="17"/>
  <c r="F32" i="17"/>
  <c r="F31" i="17"/>
  <c r="F30" i="17"/>
  <c r="F29" i="17"/>
  <c r="F28" i="17"/>
  <c r="F27" i="17"/>
  <c r="F26" i="17"/>
  <c r="F25" i="17"/>
  <c r="F24" i="17"/>
  <c r="F23" i="17"/>
  <c r="E21" i="17"/>
  <c r="D21" i="17"/>
  <c r="F20" i="17"/>
  <c r="F19" i="17"/>
  <c r="F18" i="17"/>
  <c r="F17" i="17"/>
  <c r="F16" i="17"/>
  <c r="F15" i="17"/>
  <c r="F14" i="17"/>
  <c r="E12" i="17"/>
  <c r="F11" i="17"/>
  <c r="F9" i="17"/>
  <c r="F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D6" i="17"/>
  <c r="E6" i="17" s="1"/>
  <c r="D70" i="17" l="1"/>
  <c r="F58" i="17"/>
  <c r="E38" i="17"/>
  <c r="R33" i="18"/>
  <c r="R42" i="18" s="1"/>
  <c r="T33" i="18"/>
  <c r="T42" i="18"/>
  <c r="V46" i="18"/>
  <c r="S47" i="18"/>
  <c r="E44" i="18"/>
  <c r="F44" i="18"/>
  <c r="M33" i="18"/>
  <c r="M42" i="18" s="1"/>
  <c r="H12" i="18"/>
  <c r="S33" i="18"/>
  <c r="S42" i="18" s="1"/>
  <c r="V40" i="18"/>
  <c r="F38" i="15" s="1"/>
  <c r="G44" i="18"/>
  <c r="K44" i="18"/>
  <c r="O44" i="18"/>
  <c r="T44" i="18"/>
  <c r="L44" i="18"/>
  <c r="I44" i="18"/>
  <c r="M44" i="18"/>
  <c r="M47" i="18" s="1"/>
  <c r="R44" i="18"/>
  <c r="F54" i="17"/>
  <c r="F66" i="17"/>
  <c r="F47" i="17"/>
  <c r="F33" i="17"/>
  <c r="F21" i="17"/>
  <c r="F12" i="17"/>
  <c r="D12" i="17"/>
  <c r="D38" i="17" s="1"/>
  <c r="F70" i="17" l="1"/>
  <c r="L69" i="17" s="1"/>
  <c r="R47" i="18"/>
  <c r="R48" i="18" s="1"/>
  <c r="T47" i="18"/>
  <c r="T48" i="18" s="1"/>
  <c r="S48" i="18"/>
  <c r="M48" i="18"/>
  <c r="H44" i="18"/>
  <c r="F38" i="17"/>
  <c r="L68" i="17" s="1"/>
  <c r="L70" i="17" l="1"/>
  <c r="A5" i="16" l="1"/>
  <c r="A4" i="16"/>
  <c r="D15" i="16"/>
  <c r="D17" i="16" s="1"/>
  <c r="D19" i="16" s="1"/>
  <c r="D23" i="16" s="1"/>
  <c r="D25" i="16" s="1"/>
  <c r="E19" i="15" s="1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O23" i="18" l="1"/>
  <c r="O24" i="18" s="1"/>
  <c r="O31" i="18" s="1"/>
  <c r="O45" i="18" s="1"/>
  <c r="O47" i="18" l="1"/>
  <c r="O33" i="18"/>
  <c r="O42" i="18" s="1"/>
  <c r="O48" i="18" l="1"/>
  <c r="A1" i="15" l="1"/>
  <c r="G29" i="15"/>
  <c r="G28" i="15"/>
  <c r="G27" i="15"/>
  <c r="G26" i="15"/>
  <c r="G25" i="15"/>
  <c r="G24" i="15"/>
  <c r="G23" i="15"/>
  <c r="G22" i="15"/>
  <c r="G21" i="15"/>
  <c r="G20" i="15"/>
  <c r="G19" i="15"/>
  <c r="G17" i="15"/>
  <c r="F30" i="15"/>
  <c r="X40" i="18" s="1"/>
  <c r="D5" i="15"/>
  <c r="E5" i="15" s="1"/>
  <c r="F5" i="15" s="1"/>
  <c r="G5" i="15" s="1"/>
  <c r="A5" i="14"/>
  <c r="A4" i="14"/>
  <c r="D25" i="14"/>
  <c r="E13" i="15" s="1"/>
  <c r="I19" i="18" l="1"/>
  <c r="I24" i="18" s="1"/>
  <c r="I31" i="18" s="1"/>
  <c r="I45" i="18" s="1"/>
  <c r="I47" i="18" s="1"/>
  <c r="G13" i="15"/>
  <c r="X46" i="18"/>
  <c r="F39" i="15"/>
  <c r="I33" i="18" l="1"/>
  <c r="I42" i="18" s="1"/>
  <c r="I48" i="18" s="1"/>
  <c r="A5" i="12"/>
  <c r="A4" i="12"/>
  <c r="C14" i="12"/>
  <c r="E11" i="15" s="1"/>
  <c r="D17" i="1" s="1"/>
  <c r="A13" i="12"/>
  <c r="A14" i="12" s="1"/>
  <c r="G19" i="18" l="1"/>
  <c r="G11" i="15"/>
  <c r="G24" i="18" l="1"/>
  <c r="V19" i="18"/>
  <c r="G31" i="18" l="1"/>
  <c r="A4" i="11"/>
  <c r="A3" i="11"/>
  <c r="G45" i="18" l="1"/>
  <c r="G33" i="18"/>
  <c r="B5" i="10"/>
  <c r="B4" i="10"/>
  <c r="G42" i="18" l="1"/>
  <c r="G47" i="18"/>
  <c r="A5" i="9"/>
  <c r="A4" i="9"/>
  <c r="H25" i="9"/>
  <c r="H27" i="9" s="1"/>
  <c r="H31" i="9" s="1"/>
  <c r="E8" i="15" s="1"/>
  <c r="D17" i="18" s="1"/>
  <c r="D24" i="18" s="1"/>
  <c r="D31" i="18" s="1"/>
  <c r="D45" i="18" s="1"/>
  <c r="F25" i="9"/>
  <c r="G55" i="13" s="1"/>
  <c r="C14" i="9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F27" i="9" l="1"/>
  <c r="F31" i="9" s="1"/>
  <c r="D8" i="15" s="1"/>
  <c r="D10" i="18" s="1"/>
  <c r="D12" i="18" s="1"/>
  <c r="F26" i="18"/>
  <c r="G10" i="15"/>
  <c r="G48" i="18"/>
  <c r="G8" i="15" l="1"/>
  <c r="E28" i="18"/>
  <c r="G9" i="15"/>
  <c r="D33" i="18"/>
  <c r="D42" i="18" s="1"/>
  <c r="D44" i="18"/>
  <c r="D47" i="18" s="1"/>
  <c r="V26" i="18"/>
  <c r="F31" i="18"/>
  <c r="A4" i="8"/>
  <c r="A5" i="8"/>
  <c r="H25" i="8"/>
  <c r="H27" i="8" s="1"/>
  <c r="H31" i="8" s="1"/>
  <c r="E7" i="15" s="1"/>
  <c r="F25" i="8"/>
  <c r="G54" i="13" s="1"/>
  <c r="C14" i="8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E21" i="7"/>
  <c r="E14" i="15" s="1"/>
  <c r="A15" i="7"/>
  <c r="A16" i="7" s="1"/>
  <c r="A17" i="7" s="1"/>
  <c r="A18" i="7" s="1"/>
  <c r="A19" i="7" s="1"/>
  <c r="A20" i="7" s="1"/>
  <c r="A21" i="7" s="1"/>
  <c r="F27" i="8" l="1"/>
  <c r="F31" i="8" s="1"/>
  <c r="D7" i="15" s="1"/>
  <c r="C10" i="18" s="1"/>
  <c r="G56" i="13"/>
  <c r="F39" i="13" s="1"/>
  <c r="F45" i="18"/>
  <c r="F47" i="18" s="1"/>
  <c r="F33" i="18"/>
  <c r="F42" i="18" s="1"/>
  <c r="D48" i="18"/>
  <c r="J23" i="18"/>
  <c r="G14" i="15"/>
  <c r="C17" i="18"/>
  <c r="V28" i="18"/>
  <c r="E31" i="18"/>
  <c r="D30" i="15" l="1"/>
  <c r="D10" i="1" s="1"/>
  <c r="G7" i="15"/>
  <c r="G39" i="13"/>
  <c r="F40" i="13"/>
  <c r="J24" i="18"/>
  <c r="J31" i="18" s="1"/>
  <c r="E45" i="18"/>
  <c r="E47" i="18" s="1"/>
  <c r="E33" i="18"/>
  <c r="E42" i="18" s="1"/>
  <c r="C24" i="18"/>
  <c r="V17" i="18"/>
  <c r="V10" i="18"/>
  <c r="C12" i="18"/>
  <c r="F48" i="18"/>
  <c r="G40" i="13" l="1"/>
  <c r="C31" i="18"/>
  <c r="E48" i="18"/>
  <c r="C44" i="18"/>
  <c r="V12" i="18"/>
  <c r="C33" i="18"/>
  <c r="J33" i="18"/>
  <c r="J42" i="18" s="1"/>
  <c r="J45" i="18"/>
  <c r="J47" i="18" s="1"/>
  <c r="H40" i="13" l="1"/>
  <c r="G47" i="13" s="1"/>
  <c r="G49" i="13" s="1"/>
  <c r="E12" i="15" s="1"/>
  <c r="J48" i="18"/>
  <c r="C42" i="18"/>
  <c r="D38" i="15"/>
  <c r="D39" i="15" s="1"/>
  <c r="X12" i="18"/>
  <c r="V44" i="18"/>
  <c r="X44" i="18" s="1"/>
  <c r="C45" i="18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" i="7"/>
  <c r="A4" i="7"/>
  <c r="H16" i="18" l="1"/>
  <c r="H24" i="18" s="1"/>
  <c r="H31" i="18" s="1"/>
  <c r="D15" i="1"/>
  <c r="G12" i="15"/>
  <c r="V16" i="18"/>
  <c r="C47" i="18"/>
  <c r="H45" i="18" l="1"/>
  <c r="H47" i="18" s="1"/>
  <c r="H33" i="18"/>
  <c r="H42" i="18" s="1"/>
  <c r="C48" i="18"/>
  <c r="H48" i="18" l="1"/>
  <c r="A4" i="6"/>
  <c r="A5" i="6"/>
  <c r="D21" i="1" l="1"/>
  <c r="K23" i="18" l="1"/>
  <c r="G15" i="15"/>
  <c r="K24" i="18" l="1"/>
  <c r="K31" i="18" l="1"/>
  <c r="K45" i="18" l="1"/>
  <c r="K33" i="18"/>
  <c r="K42" i="18" l="1"/>
  <c r="K47" i="18"/>
  <c r="K48" i="18" l="1"/>
  <c r="B4" i="3" l="1"/>
  <c r="B3" i="3"/>
  <c r="E38" i="1" l="1"/>
  <c r="C49" i="1"/>
  <c r="E48" i="1"/>
  <c r="E39" i="1"/>
  <c r="E37" i="1"/>
  <c r="E36" i="1"/>
  <c r="E35" i="1"/>
  <c r="E29" i="1"/>
  <c r="E28" i="1"/>
  <c r="E27" i="1"/>
  <c r="E26" i="1"/>
  <c r="E24" i="1"/>
  <c r="C22" i="1"/>
  <c r="C31" i="1" s="1"/>
  <c r="E20" i="1"/>
  <c r="E19" i="1"/>
  <c r="E18" i="1"/>
  <c r="E17" i="1"/>
  <c r="E16" i="1"/>
  <c r="E15" i="1"/>
  <c r="D12" i="1"/>
  <c r="D35" i="15" s="1"/>
  <c r="D36" i="15" s="1"/>
  <c r="C12" i="1"/>
  <c r="E11" i="1"/>
  <c r="F11" i="1" s="1"/>
  <c r="G11" i="1" s="1"/>
  <c r="H11" i="1" s="1"/>
  <c r="E10" i="1"/>
  <c r="H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C8" i="1"/>
  <c r="D8" i="1" s="1"/>
  <c r="F18" i="1" l="1"/>
  <c r="H18" i="1"/>
  <c r="G18" i="1"/>
  <c r="F19" i="1"/>
  <c r="H19" i="1"/>
  <c r="G19" i="1"/>
  <c r="F36" i="1"/>
  <c r="G36" i="1"/>
  <c r="H36" i="1"/>
  <c r="F39" i="1"/>
  <c r="G39" i="1"/>
  <c r="H39" i="1"/>
  <c r="F29" i="1"/>
  <c r="G29" i="1"/>
  <c r="H29" i="1"/>
  <c r="F15" i="1"/>
  <c r="G15" i="1"/>
  <c r="H15" i="1"/>
  <c r="F26" i="1"/>
  <c r="H26" i="1"/>
  <c r="G26" i="1"/>
  <c r="F16" i="1"/>
  <c r="G16" i="1"/>
  <c r="H16" i="1"/>
  <c r="H12" i="1"/>
  <c r="F35" i="1"/>
  <c r="H35" i="1"/>
  <c r="G35" i="1"/>
  <c r="F20" i="1"/>
  <c r="G20" i="1"/>
  <c r="H20" i="1"/>
  <c r="F37" i="1"/>
  <c r="H37" i="1"/>
  <c r="G37" i="1"/>
  <c r="F24" i="1"/>
  <c r="G24" i="1"/>
  <c r="H24" i="1"/>
  <c r="F28" i="1"/>
  <c r="G28" i="1"/>
  <c r="H28" i="1"/>
  <c r="H38" i="1"/>
  <c r="G38" i="1"/>
  <c r="H17" i="1"/>
  <c r="G17" i="1"/>
  <c r="H27" i="1"/>
  <c r="G27" i="1"/>
  <c r="A24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25" i="1"/>
  <c r="E43" i="1"/>
  <c r="E55" i="1" s="1"/>
  <c r="C55" i="1"/>
  <c r="C56" i="1" s="1"/>
  <c r="N23" i="18"/>
  <c r="N24" i="18" s="1"/>
  <c r="N31" i="18" s="1"/>
  <c r="G18" i="15"/>
  <c r="F27" i="1"/>
  <c r="F49" i="1" s="1"/>
  <c r="F35" i="15"/>
  <c r="F36" i="15" s="1"/>
  <c r="E12" i="1"/>
  <c r="F38" i="1"/>
  <c r="E49" i="1"/>
  <c r="C50" i="1"/>
  <c r="C33" i="1"/>
  <c r="F17" i="1"/>
  <c r="H49" i="1" l="1"/>
  <c r="F43" i="1"/>
  <c r="H43" i="1" s="1"/>
  <c r="H55" i="1" s="1"/>
  <c r="G43" i="1"/>
  <c r="N45" i="18"/>
  <c r="N47" i="18" s="1"/>
  <c r="N33" i="18"/>
  <c r="N42" i="18" s="1"/>
  <c r="F55" i="1"/>
  <c r="L23" i="18"/>
  <c r="G16" i="15"/>
  <c r="G30" i="15" s="1"/>
  <c r="E30" i="15"/>
  <c r="C44" i="1"/>
  <c r="C41" i="1"/>
  <c r="C57" i="1" s="1"/>
  <c r="N48" i="18" l="1"/>
  <c r="G49" i="1"/>
  <c r="G55" i="1"/>
  <c r="D22" i="1"/>
  <c r="D31" i="1" s="1"/>
  <c r="E21" i="1"/>
  <c r="L24" i="18"/>
  <c r="V23" i="18"/>
  <c r="C45" i="1"/>
  <c r="C46" i="1"/>
  <c r="C51" i="1"/>
  <c r="H21" i="1" l="1"/>
  <c r="H22" i="1" s="1"/>
  <c r="H31" i="1" s="1"/>
  <c r="G21" i="1"/>
  <c r="L31" i="18"/>
  <c r="V24" i="18"/>
  <c r="F21" i="1"/>
  <c r="E22" i="1"/>
  <c r="E31" i="1" s="1"/>
  <c r="E56" i="1" s="1"/>
  <c r="E35" i="15"/>
  <c r="E36" i="15" s="1"/>
  <c r="D33" i="1"/>
  <c r="D41" i="1" s="1"/>
  <c r="G35" i="15" l="1"/>
  <c r="H33" i="1"/>
  <c r="H56" i="1"/>
  <c r="H50" i="1"/>
  <c r="E50" i="1"/>
  <c r="E33" i="1"/>
  <c r="G22" i="1"/>
  <c r="G31" i="1" s="1"/>
  <c r="G56" i="1" s="1"/>
  <c r="F22" i="1"/>
  <c r="F31" i="1" s="1"/>
  <c r="F56" i="1" s="1"/>
  <c r="L45" i="18"/>
  <c r="L33" i="18"/>
  <c r="V31" i="18"/>
  <c r="H44" i="1" l="1"/>
  <c r="H58" i="1" s="1"/>
  <c r="H41" i="1"/>
  <c r="L47" i="18"/>
  <c r="V45" i="18"/>
  <c r="X45" i="18" s="1"/>
  <c r="E38" i="15"/>
  <c r="E39" i="15" s="1"/>
  <c r="X31" i="18"/>
  <c r="L42" i="18"/>
  <c r="V42" i="18" s="1"/>
  <c r="V33" i="18"/>
  <c r="F50" i="1"/>
  <c r="E41" i="1"/>
  <c r="E44" i="1"/>
  <c r="E58" i="1" s="1"/>
  <c r="G50" i="1"/>
  <c r="E57" i="1" l="1"/>
  <c r="H46" i="1"/>
  <c r="H52" i="1" s="1"/>
  <c r="H51" i="1"/>
  <c r="H57" i="1"/>
  <c r="H45" i="1"/>
  <c r="G38" i="15"/>
  <c r="G39" i="15" s="1"/>
  <c r="X42" i="18"/>
  <c r="E51" i="1"/>
  <c r="F61" i="1" s="1"/>
  <c r="F62" i="1" s="1"/>
  <c r="E45" i="1"/>
  <c r="E46" i="1"/>
  <c r="E52" i="1" s="1"/>
  <c r="L48" i="18"/>
  <c r="V47" i="18"/>
  <c r="G61" i="1" l="1"/>
  <c r="F10" i="1"/>
  <c r="F12" i="1" s="1"/>
  <c r="F33" i="1" s="1"/>
  <c r="G36" i="15"/>
  <c r="V48" i="18"/>
  <c r="X47" i="18"/>
  <c r="G10" i="1" l="1"/>
  <c r="G12" i="1" s="1"/>
  <c r="G62" i="1"/>
  <c r="F44" i="1"/>
  <c r="F58" i="1" s="1"/>
  <c r="F41" i="1"/>
  <c r="F57" i="1" s="1"/>
  <c r="G33" i="1" l="1"/>
  <c r="F51" i="1"/>
  <c r="F45" i="1"/>
  <c r="F46" i="1"/>
  <c r="F52" i="1" s="1"/>
  <c r="G41" i="1" l="1"/>
  <c r="G44" i="1"/>
  <c r="G58" i="1" l="1"/>
  <c r="G57" i="1"/>
  <c r="G46" i="1"/>
  <c r="G52" i="1" s="1"/>
  <c r="G45" i="1"/>
  <c r="G51" i="1"/>
</calcChain>
</file>

<file path=xl/sharedStrings.xml><?xml version="1.0" encoding="utf-8"?>
<sst xmlns="http://schemas.openxmlformats.org/spreadsheetml/2006/main" count="1213" uniqueCount="655">
  <si>
    <t>Statement of Operations &amp; Revenue Requirement</t>
  </si>
  <si>
    <t>Actual Rates</t>
  </si>
  <si>
    <t>Pro Forma</t>
  </si>
  <si>
    <t>Present Rates</t>
  </si>
  <si>
    <t>Proposed Rates</t>
  </si>
  <si>
    <t>Line</t>
  </si>
  <si>
    <t>Description</t>
  </si>
  <si>
    <t>Actual Test Yr</t>
  </si>
  <si>
    <t>Adjustment</t>
  </si>
  <si>
    <t>Adj Test Yr</t>
  </si>
  <si>
    <t>#</t>
  </si>
  <si>
    <t>(4)</t>
  </si>
  <si>
    <t>(5)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</si>
  <si>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</si>
  <si>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</si>
  <si>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</si>
  <si>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</si>
  <si>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</si>
  <si>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</si>
  <si>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</si>
  <si>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</si>
  <si>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</si>
  <si>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</si>
  <si>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</si>
  <si>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</si>
  <si>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</si>
  <si>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</si>
  <si>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</si>
  <si>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</si>
  <si>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</si>
  <si>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</si>
  <si>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</si>
  <si>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</si>
  <si>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</si>
  <si>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</si>
  <si>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</si>
  <si>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</si>
  <si>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</si>
  <si>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</si>
  <si>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</si>
  <si>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</si>
  <si>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</si>
  <si>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</si>
  <si>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</si>
  <si>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</si>
  <si>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</si>
  <si>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(6)</t>
  </si>
  <si>
    <t>Target OTIER</t>
  </si>
  <si>
    <t>Based on TIER</t>
  </si>
  <si>
    <t>Based on OTIER</t>
  </si>
  <si>
    <t>Revenue Requirement at Target TIER</t>
  </si>
  <si>
    <t>Revenue Deficiency at Target TIER</t>
  </si>
  <si>
    <t xml:space="preserve">Variance from Target OTIER </t>
  </si>
  <si>
    <t>Variance from Target TIER</t>
  </si>
  <si>
    <t>Wages &amp; Salaries</t>
  </si>
  <si>
    <t>Hours Worked</t>
  </si>
  <si>
    <t>Actual Test Year Wages</t>
  </si>
  <si>
    <t>Pro Forma Wages at 2,080 Hours</t>
  </si>
  <si>
    <t>Pro Forma Adjustment</t>
  </si>
  <si>
    <t>Note</t>
  </si>
  <si>
    <t>Regular</t>
  </si>
  <si>
    <t>Overtime</t>
  </si>
  <si>
    <t>Total</t>
  </si>
  <si>
    <t>E</t>
  </si>
  <si>
    <t xml:space="preserve"> </t>
  </si>
  <si>
    <t>C</t>
  </si>
  <si>
    <t>A</t>
  </si>
  <si>
    <t>D</t>
  </si>
  <si>
    <t>B</t>
  </si>
  <si>
    <t>Retired</t>
  </si>
  <si>
    <t>Reference Schedule:  1.12</t>
  </si>
  <si>
    <t>(1)</t>
  </si>
  <si>
    <t>(2)</t>
  </si>
  <si>
    <t>(3)</t>
  </si>
  <si>
    <t>Employee</t>
  </si>
  <si>
    <t>(7)</t>
  </si>
  <si>
    <t>(8)</t>
  </si>
  <si>
    <t>Reference Schedule:  1.11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</si>
  <si>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</si>
  <si>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</si>
  <si>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</si>
  <si>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</si>
  <si>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</si>
  <si>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</si>
  <si>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</si>
  <si>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</si>
  <si>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</si>
  <si>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</si>
  <si>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</si>
  <si>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</si>
  <si>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 Forma Amount</t>
  </si>
  <si>
    <t>Reference Schedule:  1.09</t>
  </si>
  <si>
    <t>Item</t>
  </si>
  <si>
    <t>Directors Expenses Test Year</t>
  </si>
  <si>
    <t>Reference Schedule:  1.08</t>
  </si>
  <si>
    <t>Donations, Promotional Advertising &amp; Dues</t>
  </si>
  <si>
    <t>Amount</t>
  </si>
  <si>
    <t>Account</t>
  </si>
  <si>
    <t>Excluded</t>
  </si>
  <si>
    <t>NRECA Dues</t>
  </si>
  <si>
    <t>KEC Dues</t>
  </si>
  <si>
    <t xml:space="preserve">KY Living </t>
  </si>
  <si>
    <t>Donations</t>
  </si>
  <si>
    <t>This adjustment removes charitable donations, promotional advertising expenses, and dues from the revenue requirement consistent with standard Commission practices.</t>
  </si>
  <si>
    <t>Reference Schedule:  1.01</t>
  </si>
  <si>
    <t xml:space="preserve">Fuel Adjustment Clause </t>
  </si>
  <si>
    <t>Year</t>
  </si>
  <si>
    <t>Month</t>
  </si>
  <si>
    <t>Revenue</t>
  </si>
  <si>
    <t>Expense</t>
  </si>
  <si>
    <t>TOTAL</t>
  </si>
  <si>
    <t>Test Year Amount</t>
  </si>
  <si>
    <t>Pro Forma Year Amount</t>
  </si>
  <si>
    <t>This adjustment removes the FAC revenues and expenses from the test period.</t>
  </si>
  <si>
    <t>Reference Schedule:  1.02</t>
  </si>
  <si>
    <t>Environmental Surcharge</t>
  </si>
  <si>
    <t>This adjustment removes the Envionmental Surcharge revenues and expenses from the test period.</t>
  </si>
  <si>
    <t>Interest Expense</t>
  </si>
  <si>
    <t>Lender</t>
  </si>
  <si>
    <t>Rate</t>
  </si>
  <si>
    <t>Interest</t>
  </si>
  <si>
    <t>This adjustment normalizes the interest on Interest Expense from test year to recent amounts.</t>
  </si>
  <si>
    <t>Reference Schedule:  1.03</t>
  </si>
  <si>
    <t>Depreciation Expense Normalization</t>
  </si>
  <si>
    <t>Acct #</t>
  </si>
  <si>
    <t>Fully Depr Items</t>
  </si>
  <si>
    <t>Normalized Expense</t>
  </si>
  <si>
    <t>Test Year Expense</t>
  </si>
  <si>
    <t>Pro Forma Adj</t>
  </si>
  <si>
    <t>Distribution Plant</t>
  </si>
  <si>
    <t>Services</t>
  </si>
  <si>
    <t>Subtotal</t>
  </si>
  <si>
    <t>General Plant</t>
  </si>
  <si>
    <t>Miscellaneous</t>
  </si>
  <si>
    <t>This adjustment normalizes depreciation expenses by replacing test year actual expenses with test year end balances (less any fully depreciated items) at approved depreciation rates.</t>
  </si>
  <si>
    <t>Reference Schedule:  1.04</t>
  </si>
  <si>
    <t>Right of Way</t>
  </si>
  <si>
    <t>Account 593</t>
  </si>
  <si>
    <t>Cost</t>
  </si>
  <si>
    <t>Test Year Right of Way expense</t>
  </si>
  <si>
    <t>Reference Schedule:  1.05</t>
  </si>
  <si>
    <t>FEMA Credit</t>
  </si>
  <si>
    <t xml:space="preserve">Pro Forma Adjustment </t>
  </si>
  <si>
    <t>Reference Schedule:  1.07</t>
  </si>
  <si>
    <t>Storm Expense - FEMA</t>
  </si>
  <si>
    <t>was recovered in 2022 thru FEMA.</t>
  </si>
  <si>
    <t>Summary of Pro Forma Adjustments</t>
  </si>
  <si>
    <t>Non-Operating Income</t>
  </si>
  <si>
    <t>Net Margin</t>
  </si>
  <si>
    <t>Donations, Promo Ads &amp; Dues</t>
  </si>
  <si>
    <t>401k Contributions</t>
  </si>
  <si>
    <t>Rate Case Costs</t>
  </si>
  <si>
    <t>Year End Customers</t>
  </si>
  <si>
    <t>Depreciation Normalization</t>
  </si>
  <si>
    <t>Directors Expenses</t>
  </si>
  <si>
    <t xml:space="preserve">Right of Way </t>
  </si>
  <si>
    <t>reserved</t>
  </si>
  <si>
    <t>Checks</t>
  </si>
  <si>
    <t>Variance</t>
  </si>
  <si>
    <t>This adjustment adds back to expense.  This expense</t>
  </si>
  <si>
    <t>Rate Case Expenses</t>
  </si>
  <si>
    <t>Consulting - Catalyst Consulting LLC</t>
  </si>
  <si>
    <t>Advertising / Notices</t>
  </si>
  <si>
    <t>Total Amount</t>
  </si>
  <si>
    <t>Amortization Period (Years)</t>
  </si>
  <si>
    <t>Annual Amortization Amount</t>
  </si>
  <si>
    <t>This adjustment estimates the rate case costs amortized over a 3 year period, consistent with standard Commission practice.</t>
  </si>
  <si>
    <t>Reference Schedule:  1.13</t>
  </si>
  <si>
    <t>Legal - Honaker Law Office PLLC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</si>
  <si>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</si>
  <si>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</si>
  <si>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</si>
  <si>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</si>
  <si>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</si>
  <si>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</si>
  <si>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 xml:space="preserve">   Total Utility Plant</t>
  </si>
  <si>
    <t>Accum Provision for Depr and Amort</t>
  </si>
  <si>
    <t>Net Utility Plant</t>
  </si>
  <si>
    <t>Investment in Subsidiary Companies</t>
  </si>
  <si>
    <t>Investment in Assoc Org - Patr Capital</t>
  </si>
  <si>
    <t>Investment in Assoc Org - Other Gen Fnd</t>
  </si>
  <si>
    <t>Investment in Assoc Org - Non Gen Fnd</t>
  </si>
  <si>
    <t>Investment in Economic Development Projects</t>
  </si>
  <si>
    <t>Other Investment</t>
  </si>
  <si>
    <t>Special Funds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</si>
  <si>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</si>
  <si>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</si>
  <si>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</si>
  <si>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</si>
  <si>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</si>
  <si>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</si>
  <si>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</si>
  <si>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</si>
  <si>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</si>
  <si>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</si>
  <si>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</si>
  <si>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</si>
  <si>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</si>
  <si>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</si>
  <si>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</si>
  <si>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</si>
  <si>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</si>
  <si>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</si>
  <si>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Prior Year</t>
  </si>
  <si>
    <t>Operating Margins - Current Year</t>
  </si>
  <si>
    <t>Non-Operating Margins</t>
  </si>
  <si>
    <t>Other Margins &amp; Equities</t>
  </si>
  <si>
    <t>Total Margins &amp; Equities</t>
  </si>
  <si>
    <t>Long Term Debt - REA (Net)</t>
  </si>
  <si>
    <t>Long Term Debt - FFB - RUS GUAR</t>
  </si>
  <si>
    <t>Long Term Debt - Other - REA GUAR</t>
  </si>
  <si>
    <t>Long Term Debt - Other (Net)</t>
  </si>
  <si>
    <t>Total Long Term Debt</t>
  </si>
  <si>
    <t>Accum Operating Provisions</t>
  </si>
  <si>
    <t>Notes Payable</t>
  </si>
  <si>
    <t>Accounts Payable</t>
  </si>
  <si>
    <t>Consumer Deposits</t>
  </si>
  <si>
    <t>Current Maturities LTD</t>
  </si>
  <si>
    <t>Current Maturities LTD - Econ Dev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</si>
  <si>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</si>
  <si>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</si>
  <si>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</si>
  <si>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</si>
  <si>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</si>
  <si>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Payments - Unapplied</t>
  </si>
  <si>
    <t>Obligation under Capital Lease</t>
  </si>
  <si>
    <t>Total Other Noncurr Liability</t>
  </si>
  <si>
    <t>Summary of Adjustments to Test Year Statement of Operations</t>
  </si>
  <si>
    <t xml:space="preserve">Reference Schedule &gt;     </t>
  </si>
  <si>
    <t xml:space="preserve">Item  &gt;     </t>
  </si>
  <si>
    <t>Var from Adj List</t>
  </si>
  <si>
    <t>Operating Revenues:</t>
  </si>
  <si>
    <t>Base Rates</t>
  </si>
  <si>
    <t>Rate Riders</t>
  </si>
  <si>
    <t>Total Revenues</t>
  </si>
  <si>
    <t xml:space="preserve">        Base Rates</t>
  </si>
  <si>
    <t xml:space="preserve">        Rate Riders</t>
  </si>
  <si>
    <t>Distribution - Operations</t>
  </si>
  <si>
    <t>Distribution - Maintenance</t>
  </si>
  <si>
    <t>Consumer Accounts</t>
  </si>
  <si>
    <t>Sales</t>
  </si>
  <si>
    <t>Administrative and General</t>
  </si>
  <si>
    <t xml:space="preserve">    Total Operating Expenses</t>
  </si>
  <si>
    <t>Depreciation</t>
  </si>
  <si>
    <t>Interest on Long Term Debt</t>
  </si>
  <si>
    <t>Interest Expense - Other</t>
  </si>
  <si>
    <t>Income(Loss) from Equity Invstmts</t>
  </si>
  <si>
    <t>Total Non-Operating Margins</t>
  </si>
  <si>
    <t>Revenue Adj</t>
  </si>
  <si>
    <t>Expense Adj</t>
  </si>
  <si>
    <t>Non Oper Adj</t>
  </si>
  <si>
    <t>Net Adj</t>
  </si>
  <si>
    <t>Fuel Adjustment Clause</t>
  </si>
  <si>
    <t>Sum from Rev Req page</t>
  </si>
  <si>
    <t>Sum from Adj IS page</t>
  </si>
  <si>
    <t>Reference Schedule:  1.14</t>
  </si>
  <si>
    <t>Reference Schedule:  1.06</t>
  </si>
  <si>
    <t>Year-End Customers</t>
  </si>
  <si>
    <t>Average</t>
  </si>
  <si>
    <t>End of Period Increase over Avg</t>
  </si>
  <si>
    <t>Total kWh</t>
  </si>
  <si>
    <t>Average kWh</t>
  </si>
  <si>
    <t>Year-End kWh Adjustment</t>
  </si>
  <si>
    <t>(continued)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</si>
  <si>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</si>
  <si>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</si>
  <si>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</si>
  <si>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</si>
  <si>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</si>
  <si>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</si>
  <si>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</si>
  <si>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</si>
  <si>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</si>
  <si>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</si>
  <si>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</si>
  <si>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</si>
  <si>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</si>
  <si>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</si>
  <si>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</si>
  <si>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</si>
  <si>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>Reference Schedule:  1.15</t>
  </si>
  <si>
    <t xml:space="preserve">This adjustment removes G&amp;T capital credits </t>
  </si>
  <si>
    <t>consistent with Commission practice.</t>
  </si>
  <si>
    <t>Margins at Target OTIER</t>
  </si>
  <si>
    <t>Revenue Requirement at Target OTIER</t>
  </si>
  <si>
    <t>Revenue Deficiency at Target OTIER</t>
  </si>
  <si>
    <t>check:</t>
  </si>
  <si>
    <t>Assets</t>
  </si>
  <si>
    <t>Liab</t>
  </si>
  <si>
    <t>Diff</t>
  </si>
  <si>
    <t>Ref Schedule</t>
  </si>
  <si>
    <t>FARMERS RECC</t>
  </si>
  <si>
    <t>For the 12 Months Ended December 31, 2022</t>
  </si>
  <si>
    <t>Taxes - Property &amp; Gross Recpts</t>
  </si>
  <si>
    <t>Balance</t>
  </si>
  <si>
    <t>FFB-2-1</t>
  </si>
  <si>
    <t>FFB-2-2</t>
  </si>
  <si>
    <t>FFB-2-3</t>
  </si>
  <si>
    <t>FFB-2-4</t>
  </si>
  <si>
    <t>FFB-2-5</t>
  </si>
  <si>
    <t>FFB-2-6</t>
  </si>
  <si>
    <t>FFB-2-7</t>
  </si>
  <si>
    <t>FFB-2-8</t>
  </si>
  <si>
    <t>FFB-3-1</t>
  </si>
  <si>
    <t>FFB-3-2</t>
  </si>
  <si>
    <t>FFB-3-3</t>
  </si>
  <si>
    <t>FFB-3-4</t>
  </si>
  <si>
    <t>FFB-3-5</t>
  </si>
  <si>
    <t>FFB-3-6</t>
  </si>
  <si>
    <t>FFB-3-7</t>
  </si>
  <si>
    <t>FFB-3-8</t>
  </si>
  <si>
    <t>FFB-3-9</t>
  </si>
  <si>
    <t>FFB-4-1</t>
  </si>
  <si>
    <t>FFB-4-2</t>
  </si>
  <si>
    <t>FFB-4-3</t>
  </si>
  <si>
    <t>FFB-4-4</t>
  </si>
  <si>
    <t>FFB-4-5</t>
  </si>
  <si>
    <t>FFB-4-6</t>
  </si>
  <si>
    <t>FFB-4-7</t>
  </si>
  <si>
    <t>FFB-4-8</t>
  </si>
  <si>
    <t>FFB-4-9</t>
  </si>
  <si>
    <t>FFB-4-10</t>
  </si>
  <si>
    <t>FFB-4-11</t>
  </si>
  <si>
    <t>FFB-4-12</t>
  </si>
  <si>
    <t>FFB-4-13</t>
  </si>
  <si>
    <t>FFB-5-1</t>
  </si>
  <si>
    <t>FFB-5-2</t>
  </si>
  <si>
    <t>FFB-5-3</t>
  </si>
  <si>
    <t>FFB-5-4</t>
  </si>
  <si>
    <t>FFB-5-5</t>
  </si>
  <si>
    <t>FFB-5-6</t>
  </si>
  <si>
    <t>FFB-5-7</t>
  </si>
  <si>
    <t>FFB-5-8</t>
  </si>
  <si>
    <t>FFB-5-9</t>
  </si>
  <si>
    <t>FFB-5-10</t>
  </si>
  <si>
    <t>FFB-5-11</t>
  </si>
  <si>
    <t>FFB-5-12</t>
  </si>
  <si>
    <t>FFB-5-13</t>
  </si>
  <si>
    <t>FFB-5-14</t>
  </si>
  <si>
    <t>FFB-6-1</t>
  </si>
  <si>
    <t>FFB-6-2</t>
  </si>
  <si>
    <t>FFB-6-3</t>
  </si>
  <si>
    <t>FFB-6-4</t>
  </si>
  <si>
    <t>FFB-6-5</t>
  </si>
  <si>
    <t>CFC 9016-001</t>
  </si>
  <si>
    <t>CFC 9017-001</t>
  </si>
  <si>
    <t>CFC 9018-001</t>
  </si>
  <si>
    <t>CFC 9018-002</t>
  </si>
  <si>
    <t>CFC 9018-003</t>
  </si>
  <si>
    <t>CFC 9020-011</t>
  </si>
  <si>
    <t>CFC 9020-012</t>
  </si>
  <si>
    <t>CFC 9022-001</t>
  </si>
  <si>
    <t>REDLG Loan</t>
  </si>
  <si>
    <t>Dec 2021 Storms</t>
  </si>
  <si>
    <t xml:space="preserve">FEMA May 2022 - disbursement 1: </t>
  </si>
  <si>
    <t>FEMA June 2022 - disbursement 2:</t>
  </si>
  <si>
    <t>Test Yr Ending Bal</t>
  </si>
  <si>
    <t>Intangible Plant</t>
  </si>
  <si>
    <t>Misc. Intangible Plan</t>
  </si>
  <si>
    <t>Fuel Holders, Producers/ACC</t>
  </si>
  <si>
    <t>Generators</t>
  </si>
  <si>
    <t>Accessory Electric Equipment</t>
  </si>
  <si>
    <t>SCADA/Load Management</t>
  </si>
  <si>
    <t>Poles, Towers &amp; Fixtures</t>
  </si>
  <si>
    <t>O/H Conductors &amp; Devices</t>
  </si>
  <si>
    <t>U/G Conductors &amp; Devices</t>
  </si>
  <si>
    <t>Line Transformers</t>
  </si>
  <si>
    <t>Meters - Traditional</t>
  </si>
  <si>
    <t>AMR-TWAC-Meter</t>
  </si>
  <si>
    <t>AMR-TWAC-Receiver-Equip</t>
  </si>
  <si>
    <t>AMR-TWAC-Transformers</t>
  </si>
  <si>
    <t>AMR-TWAC-Computer</t>
  </si>
  <si>
    <t>AMR-TWAC-Control Link</t>
  </si>
  <si>
    <t>Install/Cust. Premise</t>
  </si>
  <si>
    <t>Install/Cust. Premise LED</t>
  </si>
  <si>
    <t>St Lights &amp; Sign Sys</t>
  </si>
  <si>
    <t>Street Lighting/City of Glasgow</t>
  </si>
  <si>
    <t>Street Lighting/City--Cave City</t>
  </si>
  <si>
    <t>Street Lighting/Metcalfe County</t>
  </si>
  <si>
    <t>Street Lighting/Munfordville</t>
  </si>
  <si>
    <t>Street Lighting/Edmonton</t>
  </si>
  <si>
    <t>Street Lighting/Barren County</t>
  </si>
  <si>
    <t>Land and Land Rights</t>
  </si>
  <si>
    <t>Structures &amp; Improvements</t>
  </si>
  <si>
    <t>Office Furniture &amp; Equipment</t>
  </si>
  <si>
    <t>Tools, Shop, Garage &amp; Equipment</t>
  </si>
  <si>
    <t>Laboratory Equipment</t>
  </si>
  <si>
    <t>Power Operated Equipment</t>
  </si>
  <si>
    <t>Communications Equipment</t>
  </si>
  <si>
    <t>Temp Service/Cons Prem</t>
  </si>
  <si>
    <t>Distribution &amp; General Subtotal</t>
  </si>
  <si>
    <t>Transporation Charged to Clearing</t>
  </si>
  <si>
    <t>Transportation</t>
  </si>
  <si>
    <t>Allocation of Clearing to O&amp;M</t>
  </si>
  <si>
    <t>A+B</t>
  </si>
  <si>
    <t>This adjustment normalizes depreciation expenses by replacing test year actual expenses with test year end balances, less any fully depreciated items, at approved depreciation rates.</t>
  </si>
  <si>
    <t>Labor $</t>
  </si>
  <si>
    <t>Alloc</t>
  </si>
  <si>
    <t>Depr $</t>
  </si>
  <si>
    <t>580-589</t>
  </si>
  <si>
    <t>Operations</t>
  </si>
  <si>
    <t>590-598</t>
  </si>
  <si>
    <t>Maintenance</t>
  </si>
  <si>
    <t>901-905</t>
  </si>
  <si>
    <t>907-912</t>
  </si>
  <si>
    <t>920-935</t>
  </si>
  <si>
    <t>Administrative &amp; General</t>
  </si>
  <si>
    <t>Capital</t>
  </si>
  <si>
    <t>Balance Sheet Accounts</t>
  </si>
  <si>
    <t>Pro Forma Right of Way expense</t>
  </si>
  <si>
    <t>This adjustment adds to expense for ROW management</t>
  </si>
  <si>
    <t xml:space="preserve">Schedule R - Residential Rate </t>
  </si>
  <si>
    <t>Schedule C - Comm. &amp; Indust. Service Rate &lt; 50 kW</t>
  </si>
  <si>
    <t>Outside Services</t>
  </si>
  <si>
    <t xml:space="preserve">Financial Audit - Campbell, Myers &amp; Rutledge </t>
  </si>
  <si>
    <t>Form 990 Completion - Campbell, Myers &amp; Rutledge</t>
  </si>
  <si>
    <t>NRECA Pension Plan Review - Campbell, Myers &amp; Rutledge</t>
  </si>
  <si>
    <t>Corporate Attorney - Woodford Gardner</t>
  </si>
  <si>
    <t>Goss Samford - Legal Matters</t>
  </si>
  <si>
    <t>President &amp; CEO Search - Internal Innovations</t>
  </si>
  <si>
    <t>Wage &amp; Comp Plan Update - Intandem LLC</t>
  </si>
  <si>
    <t>ROW/Payroll Contract Reviews - English, Lucas &amp; Priest</t>
  </si>
  <si>
    <t>Review of Commercial Rates - Catalyst Consulting</t>
  </si>
  <si>
    <t>Contract Review - Honaker Law Office</t>
  </si>
  <si>
    <t xml:space="preserve">     TOTAL</t>
  </si>
  <si>
    <t>Booked Amount</t>
  </si>
  <si>
    <t>Non-Recurring Amount</t>
  </si>
  <si>
    <t>Hired After January 1, 2012</t>
  </si>
  <si>
    <t>Employer Contribution</t>
  </si>
  <si>
    <t>Pension</t>
  </si>
  <si>
    <t>401k</t>
  </si>
  <si>
    <t>S1/R7</t>
  </si>
  <si>
    <t>S2</t>
  </si>
  <si>
    <t>S3</t>
  </si>
  <si>
    <t>S4</t>
  </si>
  <si>
    <t>S5</t>
  </si>
  <si>
    <t>S6</t>
  </si>
  <si>
    <t>S7</t>
  </si>
  <si>
    <t>S8</t>
  </si>
  <si>
    <t>S9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</si>
  <si>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</si>
  <si>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</si>
  <si>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</si>
  <si>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</si>
  <si>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</si>
  <si>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</si>
  <si>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</si>
  <si>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</si>
  <si>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</si>
  <si>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</si>
  <si>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</si>
  <si>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</si>
  <si>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</si>
  <si>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</si>
  <si>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</si>
  <si>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</si>
  <si>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</si>
  <si>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</si>
  <si>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</si>
  <si>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</si>
  <si>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</si>
  <si>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</si>
  <si>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</si>
  <si>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</si>
  <si>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</si>
  <si>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</si>
  <si>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</si>
  <si>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</si>
  <si>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</si>
  <si>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</si>
  <si>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</si>
  <si>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</si>
  <si>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</si>
  <si>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</si>
  <si>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</si>
  <si>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</si>
  <si>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</si>
  <si>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</si>
  <si>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</si>
  <si>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</si>
  <si>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</si>
  <si>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</si>
  <si>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</si>
  <si>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</si>
  <si>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</si>
  <si>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</si>
  <si>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</si>
  <si>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</si>
  <si>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</si>
  <si>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</si>
  <si>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</si>
  <si>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</si>
  <si>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</si>
  <si>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PT1</t>
  </si>
  <si>
    <t>PT2</t>
  </si>
  <si>
    <t>R1</t>
  </si>
  <si>
    <t>R2</t>
  </si>
  <si>
    <t>R3</t>
  </si>
  <si>
    <t>R4</t>
  </si>
  <si>
    <t>R5</t>
  </si>
  <si>
    <t>R6</t>
  </si>
  <si>
    <t>T1</t>
  </si>
  <si>
    <t>T2</t>
  </si>
  <si>
    <t>T3</t>
  </si>
  <si>
    <t>T4</t>
  </si>
  <si>
    <t>GRAND TOTALS</t>
  </si>
  <si>
    <t>Definition</t>
  </si>
  <si>
    <t>S</t>
  </si>
  <si>
    <t>Salaried</t>
  </si>
  <si>
    <t>H</t>
  </si>
  <si>
    <t>Hourly</t>
  </si>
  <si>
    <t>PT</t>
  </si>
  <si>
    <t>Part-Time</t>
  </si>
  <si>
    <t>R</t>
  </si>
  <si>
    <t>T</t>
  </si>
  <si>
    <t>Terminated</t>
  </si>
  <si>
    <t>Hired Before January 1, 2012</t>
  </si>
  <si>
    <t>Ref</t>
  </si>
  <si>
    <t>ID / Ref</t>
  </si>
  <si>
    <t>Life Insurance</t>
  </si>
  <si>
    <t>F</t>
  </si>
  <si>
    <t>G</t>
  </si>
  <si>
    <t>(D * 2)</t>
  </si>
  <si>
    <t>((F-E)/F)*B</t>
  </si>
  <si>
    <t>Total Premium</t>
  </si>
  <si>
    <t>Ending 2022 Rate</t>
  </si>
  <si>
    <t>Ending 2022 Salary</t>
  </si>
  <si>
    <t>Lesser of $50k or Salary</t>
  </si>
  <si>
    <t>Coverage - 2x Salary</t>
  </si>
  <si>
    <t>Amount to Exclude</t>
  </si>
  <si>
    <t>Allowed Total</t>
  </si>
  <si>
    <t>This adjustment removes life insurance premiums greater than the employee annual salary or $50,000.</t>
  </si>
  <si>
    <t>Payroll Taxes</t>
  </si>
  <si>
    <t>Social Security</t>
  </si>
  <si>
    <t>Medicare</t>
  </si>
  <si>
    <t>Federal Unemployment</t>
  </si>
  <si>
    <t>State Unemployment</t>
  </si>
  <si>
    <t>Normalized</t>
  </si>
  <si>
    <t>Up To</t>
  </si>
  <si>
    <t>At</t>
  </si>
  <si>
    <t>All</t>
  </si>
  <si>
    <t>(5)+(7)+</t>
  </si>
  <si>
    <t>Wages</t>
  </si>
  <si>
    <t>(9)+(11)</t>
  </si>
  <si>
    <t>R7</t>
  </si>
  <si>
    <t>R8</t>
  </si>
  <si>
    <t>Difference</t>
  </si>
  <si>
    <t>Allocation to Accounts</t>
  </si>
  <si>
    <t>907-910</t>
  </si>
  <si>
    <t xml:space="preserve">Expense Adjustment &gt; </t>
  </si>
  <si>
    <t>101-120</t>
  </si>
  <si>
    <t>231-283</t>
  </si>
  <si>
    <t>Capitalized</t>
  </si>
  <si>
    <t>This adjustment updates Payroll Tax to correspond to normalized wage adjustment.</t>
  </si>
  <si>
    <t>Community Support</t>
  </si>
  <si>
    <t>Annual Meeting</t>
  </si>
  <si>
    <t>Exclusion</t>
  </si>
  <si>
    <t>This adjustment removes non-recurring outside services in Acct 923.</t>
  </si>
  <si>
    <t>Comment</t>
  </si>
  <si>
    <t xml:space="preserve">Annual </t>
  </si>
  <si>
    <t>Every 5 years</t>
  </si>
  <si>
    <t>Non recurring</t>
  </si>
  <si>
    <t>Check/ACH</t>
  </si>
  <si>
    <t>Associations -</t>
  </si>
  <si>
    <t xml:space="preserve">CEO  </t>
  </si>
  <si>
    <t>Board</t>
  </si>
  <si>
    <t>Payee</t>
  </si>
  <si>
    <t>Date</t>
  </si>
  <si>
    <t>Number</t>
  </si>
  <si>
    <t>Other Mtgs</t>
  </si>
  <si>
    <t>Review</t>
  </si>
  <si>
    <t>Search</t>
  </si>
  <si>
    <t>Pac</t>
  </si>
  <si>
    <t>Other</t>
  </si>
  <si>
    <t>FAULKNER CORNELIUS</t>
  </si>
  <si>
    <t>02/21/22</t>
  </si>
  <si>
    <t>FRECC BRD MTG 02/17/22-FAULKNER</t>
  </si>
  <si>
    <t>HAWKINS PAUL C</t>
  </si>
  <si>
    <t>FRECC BRD MTG 02/17/22/HAWKINS</t>
  </si>
  <si>
    <t>LONDON RANDY</t>
  </si>
  <si>
    <t>FRECC BRD MTG 02/17/22/LONDON</t>
  </si>
  <si>
    <t>WILLIAMS BRANDI</t>
  </si>
  <si>
    <t>FRECC BRD MTG 02/17/22-WILLIAMS</t>
  </si>
  <si>
    <t>03/15/22</t>
  </si>
  <si>
    <t>NRECA POWERXCHANGE/FAULKNER</t>
  </si>
  <si>
    <t>03/17/22</t>
  </si>
  <si>
    <t>FRECC BRD MTG 03/17/22-LONDON</t>
  </si>
  <si>
    <t>SMITH RONNIE D</t>
  </si>
  <si>
    <t>FRECC BRD MTG 03/17/22-SMITH</t>
  </si>
  <si>
    <t>FRECC BRD MTG 03/17/22-WILLIAMS</t>
  </si>
  <si>
    <t>LUECAL CONSULTING</t>
  </si>
  <si>
    <t>03/25/22</t>
  </si>
  <si>
    <t>BOARD GOVERNANCE REVIEW</t>
  </si>
  <si>
    <t>06/17/22</t>
  </si>
  <si>
    <t>FRECC BRD MTG 06/16/22-HAWKINS</t>
  </si>
  <si>
    <t>MARTIN C F  JR</t>
  </si>
  <si>
    <t>07/25/22</t>
  </si>
  <si>
    <t>FRECC BRD MTG 07/21/22-MARTIN</t>
  </si>
  <si>
    <t>08/19/22</t>
  </si>
  <si>
    <t>FRECC BRD MTG 08/18/22-FAULKNER</t>
  </si>
  <si>
    <t>FRECC BRD MTG 08/18/22-LONDON</t>
  </si>
  <si>
    <t>SEXTON RANDY D</t>
  </si>
  <si>
    <t>FRECC BRD MTG 08/18/22-SEXTON</t>
  </si>
  <si>
    <t>FRECC BRD MTG 08/18/22-SMITH</t>
  </si>
  <si>
    <t>09/16/22</t>
  </si>
  <si>
    <t>FRECC BRD MTG 09/15/22-HAWKINS</t>
  </si>
  <si>
    <t>10/31/22</t>
  </si>
  <si>
    <t>FRECC BRD MTG 10/27/22-HAWKINS</t>
  </si>
  <si>
    <t>CDW DIRECT  LLC</t>
  </si>
  <si>
    <t>MORAKI LICENSE/BOARD IPADS</t>
  </si>
  <si>
    <t>11/25/22</t>
  </si>
  <si>
    <t>FRECC BRD MTG NOV-FAULKNER</t>
  </si>
  <si>
    <t>FRECC BRD MTG NOV-HAWKINS</t>
  </si>
  <si>
    <t>FRECC BRD MTG NOV-LONDON</t>
  </si>
  <si>
    <t>FRECC BRD MTG NOV-MARTIN</t>
  </si>
  <si>
    <t>FRECC BRD MTG NOV-SEXTON</t>
  </si>
  <si>
    <t>FRECC BRD MTG NOV-SMITH</t>
  </si>
  <si>
    <t>DIRECTOR'S PER DIEM</t>
  </si>
  <si>
    <t>11/28/22</t>
  </si>
  <si>
    <t>DIRECTOR'S/CHRISTMAS GIFT</t>
  </si>
  <si>
    <t>12/20/22</t>
  </si>
  <si>
    <t>FRECC BRD MTG 12/15/22/FAULKNER</t>
  </si>
  <si>
    <t>FRECC BRD MTG 12/15/22/HAWKINS</t>
  </si>
  <si>
    <t>Governance</t>
  </si>
  <si>
    <t>Test Year Inclusions</t>
  </si>
  <si>
    <t>This adjustment removes Director expenses that must be excluded per the Streamlined Rate Case Pilot Program.</t>
  </si>
  <si>
    <t>FEMA - Income Statement</t>
  </si>
  <si>
    <t>FEMA - Balance Sheet</t>
  </si>
  <si>
    <t>*</t>
  </si>
  <si>
    <t>**</t>
  </si>
  <si>
    <t xml:space="preserve">Annualized Cost </t>
  </si>
  <si>
    <t>2022 Actual Test Year</t>
  </si>
  <si>
    <t>Farmers RECC</t>
  </si>
  <si>
    <t>Current Wage Rate</t>
  </si>
  <si>
    <t>PSC Reference</t>
  </si>
  <si>
    <t>Vac P.Out</t>
  </si>
  <si>
    <t>Hired after 2022</t>
  </si>
  <si>
    <t>Labor Expense Summary</t>
  </si>
  <si>
    <t>Utility Plant</t>
  </si>
  <si>
    <t>Current &amp; Accrued Liabilities</t>
  </si>
  <si>
    <t>Reference Schedule:  1.10</t>
  </si>
  <si>
    <t>For The 12 Months Ended December 31, 2022</t>
  </si>
  <si>
    <t xml:space="preserve">PSC   </t>
  </si>
  <si>
    <t>Reference</t>
  </si>
  <si>
    <t>Employer Contributions - 401k</t>
  </si>
  <si>
    <t>Every 3 years</t>
  </si>
  <si>
    <t>Air Permits/Compliance - Kenvirons (generators)</t>
  </si>
  <si>
    <t>Post-Retirement Audit - Jones, Nale &amp; Mattingly</t>
  </si>
  <si>
    <t>Increase $</t>
  </si>
  <si>
    <t>Increase %</t>
  </si>
  <si>
    <t>Based on 4% Cap</t>
  </si>
  <si>
    <t>Reference Schedule:  1.16</t>
  </si>
  <si>
    <t>Potential Rates</t>
  </si>
  <si>
    <t>1.85 OTIER</t>
  </si>
  <si>
    <t>4%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</si>
</sst>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m/d/yy;@"/>
    <numFmt numFmtId="169" formatCode="0.000%"/>
    <numFmt numFmtId="170" formatCode="0.0%"/>
    <numFmt numFmtId="171" formatCode="_(&quot;$&quot;* #,##0.00000_);_(&quot;$&quot;* \(#,##0.00000\);_(&quot;$&quot;* &quot;-&quot;??_);_(@_)"/>
    <numFmt numFmtId="172" formatCode="_(* #,##0.00000_);_(* \(#,##0.00000\);_(* &quot;-&quot;??_);_(@_)"/>
    <numFmt numFmtId="173" formatCode="###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P-TIMES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P-TIMES"/>
    </font>
    <font>
      <u/>
      <sz val="11"/>
      <name val="Arial"/>
      <family val="2"/>
    </font>
    <font>
      <b/>
      <u/>
      <sz val="10"/>
      <color theme="1"/>
      <name val="Arial"/>
      <family val="2"/>
    </font>
    <font>
      <sz val="10"/>
      <color indexed="0"/>
      <name val="Arial"/>
      <family val="2"/>
    </font>
    <font>
      <u/>
      <sz val="10"/>
      <color indexed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4" fillId="0" borderId="0"/>
  </cellStyleXfs>
  <cellXfs count="3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0" fontId="4" fillId="0" borderId="0" xfId="0" applyFont="1"/>
    <xf numFmtId="165" fontId="3" fillId="0" borderId="0" xfId="0" applyNumberFormat="1" applyFont="1"/>
    <xf numFmtId="165" fontId="3" fillId="0" borderId="0" xfId="1" applyNumberFormat="1" applyFont="1" applyFill="1"/>
    <xf numFmtId="0" fontId="3" fillId="0" borderId="2" xfId="0" applyFont="1" applyBorder="1"/>
    <xf numFmtId="165" fontId="3" fillId="0" borderId="2" xfId="1" applyNumberFormat="1" applyFont="1" applyFill="1" applyBorder="1"/>
    <xf numFmtId="43" fontId="3" fillId="0" borderId="0" xfId="1" applyFont="1" applyFill="1"/>
    <xf numFmtId="0" fontId="3" fillId="0" borderId="3" xfId="0" applyFont="1" applyBorder="1"/>
    <xf numFmtId="165" fontId="3" fillId="0" borderId="3" xfId="1" applyNumberFormat="1" applyFont="1" applyFill="1" applyBorder="1"/>
    <xf numFmtId="0" fontId="3" fillId="0" borderId="4" xfId="0" applyFont="1" applyBorder="1"/>
    <xf numFmtId="165" fontId="3" fillId="0" borderId="4" xfId="1" applyNumberFormat="1" applyFont="1" applyFill="1" applyBorder="1"/>
    <xf numFmtId="43" fontId="3" fillId="0" borderId="0" xfId="0" applyNumberFormat="1" applyFont="1"/>
    <xf numFmtId="166" fontId="3" fillId="0" borderId="0" xfId="0" applyNumberFormat="1" applyFont="1"/>
    <xf numFmtId="10" fontId="3" fillId="0" borderId="0" xfId="3" applyNumberFormat="1" applyFont="1" applyFill="1"/>
    <xf numFmtId="165" fontId="3" fillId="0" borderId="0" xfId="1" applyNumberFormat="1" applyFont="1" applyFill="1" applyBorder="1"/>
    <xf numFmtId="0" fontId="3" fillId="0" borderId="0" xfId="0" applyFont="1" applyAlignment="1">
      <alignment horizontal="right"/>
    </xf>
    <xf numFmtId="43" fontId="3" fillId="0" borderId="0" xfId="1" applyFont="1" applyFill="1" applyBorder="1"/>
    <xf numFmtId="43" fontId="3" fillId="0" borderId="0" xfId="1" applyFont="1"/>
    <xf numFmtId="10" fontId="3" fillId="0" borderId="0" xfId="3" applyNumberFormat="1" applyFont="1" applyAlignment="1">
      <alignment horizontal="right"/>
    </xf>
    <xf numFmtId="0" fontId="6" fillId="0" borderId="0" xfId="4" applyFont="1" applyAlignment="1">
      <alignment horizontal="right"/>
    </xf>
    <xf numFmtId="0" fontId="2" fillId="0" borderId="0" xfId="4" applyFont="1" applyAlignment="1">
      <alignment horizontal="right"/>
    </xf>
    <xf numFmtId="0" fontId="3" fillId="0" borderId="0" xfId="4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66" fontId="3" fillId="0" borderId="0" xfId="2" applyNumberFormat="1" applyFont="1"/>
    <xf numFmtId="0" fontId="0" fillId="0" borderId="0" xfId="0" applyAlignment="1">
      <alignment horizontal="center"/>
    </xf>
    <xf numFmtId="0" fontId="6" fillId="0" borderId="0" xfId="4" applyFont="1"/>
    <xf numFmtId="0" fontId="8" fillId="0" borderId="0" xfId="4" applyFont="1"/>
    <xf numFmtId="0" fontId="3" fillId="0" borderId="2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65" fontId="9" fillId="0" borderId="0" xfId="1" applyNumberFormat="1" applyFont="1"/>
    <xf numFmtId="0" fontId="8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left"/>
    </xf>
    <xf numFmtId="43" fontId="8" fillId="0" borderId="0" xfId="1" applyFont="1"/>
    <xf numFmtId="0" fontId="8" fillId="0" borderId="4" xfId="0" applyFont="1" applyBorder="1"/>
    <xf numFmtId="43" fontId="9" fillId="0" borderId="0" xfId="1" applyFont="1"/>
    <xf numFmtId="0" fontId="8" fillId="0" borderId="2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167" fontId="8" fillId="0" borderId="0" xfId="0" applyNumberFormat="1" applyFont="1"/>
    <xf numFmtId="167" fontId="9" fillId="0" borderId="0" xfId="0" quotePrefix="1" applyNumberFormat="1" applyFont="1" applyAlignment="1">
      <alignment horizontal="center"/>
    </xf>
    <xf numFmtId="167" fontId="8" fillId="0" borderId="1" xfId="0" quotePrefix="1" applyNumberFormat="1" applyFont="1" applyBorder="1" applyAlignment="1">
      <alignment horizontal="center"/>
    </xf>
    <xf numFmtId="0" fontId="2" fillId="0" borderId="0" xfId="4" applyFont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2" xfId="2" applyNumberFormat="1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166" fontId="3" fillId="0" borderId="4" xfId="0" applyNumberFormat="1" applyFont="1" applyBorder="1"/>
    <xf numFmtId="166" fontId="3" fillId="0" borderId="4" xfId="2" applyNumberFormat="1" applyFont="1" applyBorder="1"/>
    <xf numFmtId="0" fontId="8" fillId="0" borderId="1" xfId="0" applyFont="1" applyBorder="1"/>
    <xf numFmtId="40" fontId="8" fillId="0" borderId="0" xfId="1" applyNumberFormat="1" applyFont="1" applyBorder="1" applyProtection="1">
      <protection locked="0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40" fontId="8" fillId="0" borderId="0" xfId="0" applyNumberFormat="1" applyFont="1" applyProtection="1">
      <protection locked="0"/>
    </xf>
    <xf numFmtId="40" fontId="8" fillId="0" borderId="0" xfId="1" applyNumberFormat="1" applyFont="1" applyFill="1" applyBorder="1"/>
    <xf numFmtId="165" fontId="8" fillId="0" borderId="0" xfId="1" applyNumberFormat="1" applyFont="1" applyBorder="1"/>
    <xf numFmtId="165" fontId="8" fillId="0" borderId="0" xfId="1" applyNumberFormat="1" applyFont="1"/>
    <xf numFmtId="0" fontId="8" fillId="0" borderId="1" xfId="0" applyFont="1" applyBorder="1" applyAlignment="1">
      <alignment horizontal="center"/>
    </xf>
    <xf numFmtId="166" fontId="8" fillId="0" borderId="0" xfId="2" applyNumberFormat="1" applyFont="1" applyFill="1"/>
    <xf numFmtId="165" fontId="8" fillId="0" borderId="0" xfId="1" applyNumberFormat="1" applyFont="1" applyAlignment="1">
      <alignment horizontal="center"/>
    </xf>
    <xf numFmtId="0" fontId="8" fillId="0" borderId="0" xfId="0" quotePrefix="1" applyFont="1"/>
    <xf numFmtId="0" fontId="8" fillId="0" borderId="0" xfId="0" applyFont="1" applyAlignment="1">
      <alignment vertical="top" wrapText="1"/>
    </xf>
    <xf numFmtId="40" fontId="8" fillId="0" borderId="0" xfId="1" applyNumberFormat="1" applyFont="1" applyFill="1" applyBorder="1" applyProtection="1">
      <protection locked="0"/>
    </xf>
    <xf numFmtId="0" fontId="8" fillId="0" borderId="0" xfId="0" applyFont="1" applyAlignment="1">
      <alignment horizontal="center" wrapText="1"/>
    </xf>
    <xf numFmtId="41" fontId="3" fillId="0" borderId="0" xfId="0" applyNumberFormat="1" applyFont="1"/>
    <xf numFmtId="10" fontId="3" fillId="0" borderId="0" xfId="0" applyNumberFormat="1" applyFont="1"/>
    <xf numFmtId="170" fontId="3" fillId="0" borderId="0" xfId="0" applyNumberFormat="1" applyFont="1"/>
    <xf numFmtId="41" fontId="8" fillId="0" borderId="0" xfId="0" applyNumberFormat="1" applyFo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left"/>
    </xf>
    <xf numFmtId="166" fontId="8" fillId="0" borderId="0" xfId="2" quotePrefix="1" applyNumberFormat="1" applyFont="1" applyBorder="1" applyAlignment="1">
      <alignment horizontal="center"/>
    </xf>
    <xf numFmtId="0" fontId="12" fillId="0" borderId="0" xfId="0" applyFont="1"/>
    <xf numFmtId="0" fontId="8" fillId="0" borderId="1" xfId="0" quotePrefix="1" applyFont="1" applyBorder="1" applyAlignment="1">
      <alignment horizontal="left"/>
    </xf>
    <xf numFmtId="166" fontId="8" fillId="0" borderId="0" xfId="2" applyNumberFormat="1" applyFont="1" applyBorder="1" applyProtection="1">
      <protection locked="0"/>
    </xf>
    <xf numFmtId="0" fontId="8" fillId="0" borderId="1" xfId="0" applyFont="1" applyBorder="1" applyAlignment="1">
      <alignment horizontal="center" wrapText="1"/>
    </xf>
    <xf numFmtId="164" fontId="3" fillId="0" borderId="0" xfId="0" quotePrefix="1" applyNumberFormat="1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/>
    <xf numFmtId="165" fontId="8" fillId="0" borderId="0" xfId="1" applyNumberFormat="1" applyFont="1" applyFill="1"/>
    <xf numFmtId="2" fontId="8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40" fontId="9" fillId="0" borderId="0" xfId="1" applyNumberFormat="1" applyFont="1" applyBorder="1" applyProtection="1">
      <protection locked="0"/>
    </xf>
    <xf numFmtId="166" fontId="8" fillId="0" borderId="2" xfId="2" applyNumberFormat="1" applyFont="1" applyFill="1" applyBorder="1"/>
    <xf numFmtId="166" fontId="8" fillId="0" borderId="0" xfId="2" applyNumberFormat="1" applyFont="1" applyFill="1" applyBorder="1"/>
    <xf numFmtId="166" fontId="8" fillId="0" borderId="0" xfId="2" applyNumberFormat="1" applyFont="1"/>
    <xf numFmtId="40" fontId="9" fillId="0" borderId="0" xfId="0" applyNumberFormat="1" applyFont="1" applyProtection="1">
      <protection locked="0"/>
    </xf>
    <xf numFmtId="166" fontId="8" fillId="0" borderId="4" xfId="2" applyNumberFormat="1" applyFont="1" applyBorder="1"/>
    <xf numFmtId="40" fontId="9" fillId="0" borderId="0" xfId="1" applyNumberFormat="1" applyFont="1" applyFill="1" applyBorder="1"/>
    <xf numFmtId="165" fontId="9" fillId="0" borderId="0" xfId="1" applyNumberFormat="1" applyFont="1" applyBorder="1"/>
    <xf numFmtId="40" fontId="9" fillId="0" borderId="0" xfId="1" applyNumberFormat="1" applyFont="1" applyFill="1" applyBorder="1" applyProtection="1">
      <protection locked="0"/>
    </xf>
    <xf numFmtId="165" fontId="6" fillId="0" borderId="0" xfId="1" applyNumberFormat="1" applyFont="1" applyFill="1" applyAlignment="1"/>
    <xf numFmtId="0" fontId="16" fillId="0" borderId="0" xfId="0" applyFont="1" applyAlignment="1">
      <alignment horizontal="right"/>
    </xf>
    <xf numFmtId="165" fontId="6" fillId="0" borderId="0" xfId="1" applyNumberFormat="1" applyFont="1" applyFill="1" applyAlignment="1">
      <alignment horizontal="center"/>
    </xf>
    <xf numFmtId="0" fontId="13" fillId="0" borderId="0" xfId="0" applyFont="1"/>
    <xf numFmtId="0" fontId="17" fillId="0" borderId="0" xfId="0" applyFont="1"/>
    <xf numFmtId="165" fontId="3" fillId="0" borderId="0" xfId="1" applyNumberFormat="1" applyFont="1" applyProtection="1"/>
    <xf numFmtId="165" fontId="3" fillId="0" borderId="2" xfId="1" applyNumberFormat="1" applyFont="1" applyBorder="1" applyProtection="1"/>
    <xf numFmtId="165" fontId="3" fillId="0" borderId="0" xfId="1" applyNumberFormat="1" applyFont="1" applyFill="1" applyProtection="1"/>
    <xf numFmtId="165" fontId="3" fillId="0" borderId="4" xfId="1" applyNumberFormat="1" applyFont="1" applyBorder="1" applyProtection="1"/>
    <xf numFmtId="165" fontId="3" fillId="0" borderId="0" xfId="1" applyNumberFormat="1" applyFont="1" applyBorder="1" applyProtection="1"/>
    <xf numFmtId="0" fontId="17" fillId="0" borderId="0" xfId="0" applyFont="1" applyAlignment="1">
      <alignment horizontal="left"/>
    </xf>
    <xf numFmtId="0" fontId="18" fillId="0" borderId="0" xfId="0" applyFont="1"/>
    <xf numFmtId="165" fontId="0" fillId="0" borderId="0" xfId="1" applyNumberFormat="1" applyFont="1" applyFill="1"/>
    <xf numFmtId="165" fontId="3" fillId="0" borderId="1" xfId="1" applyNumberFormat="1" applyFont="1" applyBorder="1" applyProtection="1"/>
    <xf numFmtId="0" fontId="19" fillId="0" borderId="0" xfId="5" applyFont="1" applyAlignment="1">
      <alignment horizontal="center"/>
    </xf>
    <xf numFmtId="0" fontId="15" fillId="0" borderId="0" xfId="5" applyFont="1" applyAlignment="1">
      <alignment horizontal="centerContinuous"/>
    </xf>
    <xf numFmtId="0" fontId="19" fillId="0" borderId="0" xfId="5" applyFont="1" applyAlignment="1">
      <alignment horizontal="centerContinuous"/>
    </xf>
    <xf numFmtId="0" fontId="19" fillId="0" borderId="0" xfId="5" applyFont="1" applyAlignment="1">
      <alignment horizontal="right"/>
    </xf>
    <xf numFmtId="0" fontId="19" fillId="0" borderId="0" xfId="5" applyFont="1"/>
    <xf numFmtId="0" fontId="20" fillId="0" borderId="0" xfId="5" applyFont="1"/>
    <xf numFmtId="0" fontId="20" fillId="0" borderId="0" xfId="5" applyFont="1" applyAlignment="1">
      <alignment horizontal="center"/>
    </xf>
    <xf numFmtId="2" fontId="19" fillId="0" borderId="0" xfId="5" applyNumberFormat="1" applyFont="1" applyAlignment="1">
      <alignment horizontal="center"/>
    </xf>
    <xf numFmtId="0" fontId="21" fillId="0" borderId="0" xfId="5" applyFont="1" applyAlignment="1">
      <alignment horizontal="centerContinuous"/>
    </xf>
    <xf numFmtId="0" fontId="19" fillId="0" borderId="1" xfId="5" applyFont="1" applyBorder="1" applyAlignment="1">
      <alignment horizontal="center" wrapText="1"/>
    </xf>
    <xf numFmtId="0" fontId="19" fillId="0" borderId="1" xfId="5" applyFont="1" applyBorder="1" applyAlignment="1">
      <alignment horizontal="right" vertical="center"/>
    </xf>
    <xf numFmtId="0" fontId="20" fillId="0" borderId="1" xfId="5" applyFont="1" applyBorder="1" applyAlignment="1">
      <alignment horizontal="center" wrapText="1"/>
    </xf>
    <xf numFmtId="37" fontId="19" fillId="0" borderId="0" xfId="5" applyNumberFormat="1" applyFont="1"/>
    <xf numFmtId="0" fontId="21" fillId="0" borderId="0" xfId="5" applyFont="1"/>
    <xf numFmtId="165" fontId="19" fillId="0" borderId="0" xfId="1" applyNumberFormat="1" applyFont="1" applyFill="1"/>
    <xf numFmtId="0" fontId="19" fillId="0" borderId="6" xfId="5" applyFont="1" applyBorder="1"/>
    <xf numFmtId="0" fontId="19" fillId="0" borderId="7" xfId="5" applyFont="1" applyBorder="1"/>
    <xf numFmtId="37" fontId="8" fillId="0" borderId="0" xfId="0" applyNumberFormat="1" applyFont="1"/>
    <xf numFmtId="165" fontId="3" fillId="2" borderId="0" xfId="0" applyNumberFormat="1" applyFont="1" applyFill="1"/>
    <xf numFmtId="0" fontId="3" fillId="2" borderId="0" xfId="0" applyFont="1" applyFill="1"/>
    <xf numFmtId="165" fontId="3" fillId="0" borderId="2" xfId="1" applyNumberFormat="1" applyFont="1" applyBorder="1"/>
    <xf numFmtId="0" fontId="3" fillId="0" borderId="0" xfId="0" applyFont="1" applyAlignment="1">
      <alignment horizontal="left" vertical="center"/>
    </xf>
    <xf numFmtId="165" fontId="3" fillId="0" borderId="0" xfId="1" applyNumberFormat="1" applyFont="1" applyBorder="1"/>
    <xf numFmtId="171" fontId="3" fillId="0" borderId="0" xfId="2" applyNumberFormat="1" applyFont="1" applyBorder="1"/>
    <xf numFmtId="172" fontId="3" fillId="0" borderId="0" xfId="1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6" fontId="3" fillId="0" borderId="8" xfId="2" applyNumberFormat="1" applyFont="1" applyBorder="1"/>
    <xf numFmtId="166" fontId="2" fillId="0" borderId="1" xfId="2" applyNumberFormat="1" applyFont="1" applyBorder="1" applyAlignment="1">
      <alignment horizontal="right"/>
    </xf>
    <xf numFmtId="0" fontId="2" fillId="0" borderId="1" xfId="0" applyFont="1" applyBorder="1"/>
    <xf numFmtId="0" fontId="8" fillId="0" borderId="2" xfId="0" applyFont="1" applyBorder="1" applyAlignment="1">
      <alignment horizontal="left"/>
    </xf>
    <xf numFmtId="0" fontId="0" fillId="3" borderId="0" xfId="0" applyFill="1"/>
    <xf numFmtId="165" fontId="0" fillId="3" borderId="0" xfId="0" applyNumberFormat="1" applyFill="1"/>
    <xf numFmtId="0" fontId="15" fillId="0" borderId="0" xfId="5" applyFont="1"/>
    <xf numFmtId="0" fontId="15" fillId="0" borderId="0" xfId="5" applyFont="1" applyAlignment="1">
      <alignment horizontal="left"/>
    </xf>
    <xf numFmtId="165" fontId="19" fillId="0" borderId="0" xfId="1" applyNumberFormat="1" applyFont="1"/>
    <xf numFmtId="165" fontId="19" fillId="0" borderId="1" xfId="1" applyNumberFormat="1" applyFont="1" applyBorder="1"/>
    <xf numFmtId="165" fontId="19" fillId="0" borderId="6" xfId="1" applyNumberFormat="1" applyFont="1" applyBorder="1"/>
    <xf numFmtId="165" fontId="19" fillId="0" borderId="0" xfId="1" applyNumberFormat="1" applyFont="1" applyAlignment="1">
      <alignment horizontal="right"/>
    </xf>
    <xf numFmtId="165" fontId="19" fillId="0" borderId="7" xfId="1" applyNumberFormat="1" applyFont="1" applyBorder="1"/>
    <xf numFmtId="166" fontId="8" fillId="0" borderId="2" xfId="0" quotePrefix="1" applyNumberFormat="1" applyFont="1" applyBorder="1" applyAlignment="1">
      <alignment horizontal="center"/>
    </xf>
    <xf numFmtId="166" fontId="8" fillId="0" borderId="0" xfId="1" applyNumberFormat="1" applyFont="1" applyBorder="1" applyProtection="1">
      <protection locked="0"/>
    </xf>
    <xf numFmtId="167" fontId="8" fillId="0" borderId="0" xfId="0" quotePrefix="1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5" fontId="8" fillId="0" borderId="0" xfId="0" applyNumberFormat="1" applyFont="1"/>
    <xf numFmtId="43" fontId="3" fillId="0" borderId="0" xfId="1" applyFont="1" applyAlignment="1">
      <alignment horizontal="center" wrapText="1"/>
    </xf>
    <xf numFmtId="0" fontId="4" fillId="0" borderId="0" xfId="0" applyFont="1" applyAlignment="1">
      <alignment horizontal="left"/>
    </xf>
    <xf numFmtId="43" fontId="3" fillId="0" borderId="0" xfId="1" applyFont="1" applyBorder="1" applyAlignment="1" applyProtection="1">
      <alignment horizontal="center"/>
    </xf>
    <xf numFmtId="10" fontId="3" fillId="0" borderId="0" xfId="3" applyNumberFormat="1" applyFont="1" applyBorder="1" applyProtection="1"/>
    <xf numFmtId="41" fontId="3" fillId="0" borderId="2" xfId="0" applyNumberFormat="1" applyFont="1" applyBorder="1"/>
    <xf numFmtId="10" fontId="3" fillId="0" borderId="0" xfId="3" applyNumberFormat="1" applyFont="1"/>
    <xf numFmtId="43" fontId="3" fillId="0" borderId="0" xfId="1" applyFont="1" applyBorder="1" applyAlignment="1" applyProtection="1">
      <alignment horizontal="left"/>
    </xf>
    <xf numFmtId="0" fontId="3" fillId="0" borderId="3" xfId="0" applyFont="1" applyBorder="1" applyAlignment="1">
      <alignment horizontal="right"/>
    </xf>
    <xf numFmtId="41" fontId="3" fillId="0" borderId="3" xfId="0" applyNumberFormat="1" applyFont="1" applyBorder="1"/>
    <xf numFmtId="43" fontId="3" fillId="0" borderId="3" xfId="1" applyFont="1" applyBorder="1" applyAlignment="1" applyProtection="1">
      <alignment horizontal="left"/>
    </xf>
    <xf numFmtId="10" fontId="3" fillId="0" borderId="3" xfId="0" applyNumberFormat="1" applyFont="1" applyBorder="1"/>
    <xf numFmtId="166" fontId="3" fillId="0" borderId="3" xfId="2" applyNumberFormat="1" applyFont="1" applyBorder="1"/>
    <xf numFmtId="41" fontId="3" fillId="0" borderId="4" xfId="0" applyNumberFormat="1" applyFont="1" applyBorder="1"/>
    <xf numFmtId="41" fontId="2" fillId="0" borderId="4" xfId="0" applyNumberFormat="1" applyFont="1" applyBorder="1"/>
    <xf numFmtId="43" fontId="3" fillId="0" borderId="0" xfId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wrapText="1"/>
    </xf>
    <xf numFmtId="166" fontId="3" fillId="0" borderId="0" xfId="2" applyNumberFormat="1" applyFont="1" applyBorder="1" applyProtection="1"/>
    <xf numFmtId="170" fontId="3" fillId="0" borderId="0" xfId="3" applyNumberFormat="1" applyFont="1" applyFill="1" applyBorder="1" applyProtection="1"/>
    <xf numFmtId="166" fontId="3" fillId="0" borderId="5" xfId="2" applyNumberFormat="1" applyFont="1" applyBorder="1" applyAlignment="1" applyProtection="1">
      <alignment horizontal="center"/>
    </xf>
    <xf numFmtId="170" fontId="3" fillId="0" borderId="2" xfId="3" applyNumberFormat="1" applyFont="1" applyFill="1" applyBorder="1" applyProtection="1"/>
    <xf numFmtId="166" fontId="3" fillId="0" borderId="0" xfId="2" applyNumberFormat="1" applyFont="1" applyBorder="1" applyAlignment="1" applyProtection="1">
      <alignment horizontal="center"/>
    </xf>
    <xf numFmtId="166" fontId="3" fillId="0" borderId="2" xfId="2" applyNumberFormat="1" applyFont="1" applyBorder="1" applyAlignment="1" applyProtection="1">
      <alignment horizontal="center"/>
    </xf>
    <xf numFmtId="170" fontId="3" fillId="0" borderId="0" xfId="3" applyNumberFormat="1" applyFont="1" applyBorder="1" applyProtection="1"/>
    <xf numFmtId="0" fontId="3" fillId="0" borderId="4" xfId="0" applyFont="1" applyBorder="1" applyAlignment="1">
      <alignment horizontal="center"/>
    </xf>
    <xf numFmtId="166" fontId="3" fillId="0" borderId="4" xfId="2" applyNumberFormat="1" applyFont="1" applyBorder="1" applyAlignment="1" applyProtection="1">
      <alignment horizontal="center"/>
    </xf>
    <xf numFmtId="170" fontId="3" fillId="0" borderId="4" xfId="3" applyNumberFormat="1" applyFont="1" applyBorder="1" applyProtection="1"/>
    <xf numFmtId="0" fontId="22" fillId="0" borderId="0" xfId="0" applyFont="1" applyAlignment="1">
      <alignment horizontal="center" wrapText="1"/>
    </xf>
    <xf numFmtId="44" fontId="3" fillId="0" borderId="0" xfId="0" applyNumberFormat="1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3" fontId="8" fillId="0" borderId="0" xfId="0" applyNumberFormat="1" applyFont="1"/>
    <xf numFmtId="0" fontId="2" fillId="0" borderId="1" xfId="0" applyFont="1" applyBorder="1" applyAlignment="1">
      <alignment horizontal="center" wrapText="1"/>
    </xf>
    <xf numFmtId="173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165" fontId="2" fillId="0" borderId="2" xfId="1" applyNumberFormat="1" applyFont="1" applyBorder="1"/>
    <xf numFmtId="43" fontId="8" fillId="0" borderId="0" xfId="1" applyFont="1" applyFill="1"/>
    <xf numFmtId="165" fontId="3" fillId="0" borderId="0" xfId="1" applyNumberFormat="1" applyFont="1"/>
    <xf numFmtId="165" fontId="8" fillId="0" borderId="1" xfId="1" applyNumberFormat="1" applyFont="1" applyFill="1" applyBorder="1"/>
    <xf numFmtId="43" fontId="8" fillId="0" borderId="1" xfId="1" applyFont="1" applyFill="1" applyBorder="1"/>
    <xf numFmtId="165" fontId="3" fillId="0" borderId="1" xfId="1" applyNumberFormat="1" applyFont="1" applyBorder="1"/>
    <xf numFmtId="165" fontId="3" fillId="0" borderId="1" xfId="1" applyNumberFormat="1" applyFont="1" applyFill="1" applyBorder="1"/>
    <xf numFmtId="0" fontId="2" fillId="0" borderId="4" xfId="0" applyFont="1" applyBorder="1" applyAlignment="1">
      <alignment horizontal="right"/>
    </xf>
    <xf numFmtId="166" fontId="2" fillId="0" borderId="4" xfId="0" applyNumberFormat="1" applyFont="1" applyBorder="1"/>
    <xf numFmtId="0" fontId="23" fillId="0" borderId="0" xfId="0" applyFont="1" applyAlignment="1" applyProtection="1">
      <alignment horizontal="center"/>
      <protection locked="0"/>
    </xf>
    <xf numFmtId="168" fontId="23" fillId="0" borderId="0" xfId="0" applyNumberFormat="1" applyFont="1" applyAlignment="1" applyProtection="1">
      <alignment horizontal="center"/>
      <protection locked="0"/>
    </xf>
    <xf numFmtId="0" fontId="3" fillId="0" borderId="0" xfId="4" quotePrefix="1" applyFont="1" applyAlignment="1">
      <alignment horizontal="left"/>
    </xf>
    <xf numFmtId="0" fontId="3" fillId="0" borderId="0" xfId="4" quotePrefix="1" applyFont="1" applyAlignment="1">
      <alignment horizontal="center"/>
    </xf>
    <xf numFmtId="165" fontId="8" fillId="0" borderId="1" xfId="1" applyNumberFormat="1" applyFont="1" applyBorder="1"/>
    <xf numFmtId="43" fontId="8" fillId="0" borderId="0" xfId="1" applyFont="1" applyBorder="1"/>
    <xf numFmtId="166" fontId="8" fillId="0" borderId="0" xfId="1" applyNumberFormat="1" applyFont="1" applyFill="1"/>
    <xf numFmtId="166" fontId="8" fillId="0" borderId="0" xfId="1" applyNumberFormat="1" applyFont="1"/>
    <xf numFmtId="166" fontId="8" fillId="0" borderId="0" xfId="1" applyNumberFormat="1" applyFont="1" applyBorder="1"/>
    <xf numFmtId="166" fontId="8" fillId="0" borderId="2" xfId="2" applyNumberFormat="1" applyFont="1" applyBorder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1" xfId="1" applyNumberFormat="1" applyFont="1" applyBorder="1"/>
    <xf numFmtId="166" fontId="8" fillId="0" borderId="0" xfId="1" applyNumberFormat="1" applyFont="1" applyFill="1" applyBorder="1"/>
    <xf numFmtId="166" fontId="8" fillId="0" borderId="0" xfId="2" applyNumberFormat="1" applyFont="1" applyFill="1" applyBorder="1" applyAlignment="1" applyProtection="1">
      <protection locked="0"/>
    </xf>
    <xf numFmtId="165" fontId="8" fillId="0" borderId="2" xfId="1" applyNumberFormat="1" applyFont="1" applyBorder="1"/>
    <xf numFmtId="165" fontId="8" fillId="0" borderId="2" xfId="1" applyNumberFormat="1" applyFont="1" applyFill="1" applyBorder="1"/>
    <xf numFmtId="165" fontId="8" fillId="0" borderId="0" xfId="1" applyNumberFormat="1" applyFont="1" applyFill="1" applyBorder="1"/>
    <xf numFmtId="165" fontId="6" fillId="0" borderId="4" xfId="1" applyNumberFormat="1" applyFont="1" applyFill="1" applyBorder="1"/>
    <xf numFmtId="166" fontId="8" fillId="0" borderId="2" xfId="2" applyNumberFormat="1" applyFont="1" applyFill="1" applyBorder="1" applyAlignment="1" applyProtection="1">
      <protection locked="0"/>
    </xf>
    <xf numFmtId="10" fontId="3" fillId="0" borderId="0" xfId="3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166" fontId="3" fillId="0" borderId="0" xfId="2" applyNumberFormat="1" applyFont="1" applyFill="1" applyAlignment="1">
      <alignment horizontal="right"/>
    </xf>
    <xf numFmtId="43" fontId="3" fillId="0" borderId="5" xfId="1" applyFont="1" applyFill="1" applyBorder="1"/>
    <xf numFmtId="0" fontId="8" fillId="0" borderId="0" xfId="4" applyFont="1" applyAlignment="1">
      <alignment horizontal="left"/>
    </xf>
    <xf numFmtId="0" fontId="24" fillId="0" borderId="0" xfId="0" applyFont="1" applyAlignment="1" applyProtection="1">
      <alignment horizontal="center"/>
      <protection locked="0"/>
    </xf>
    <xf numFmtId="168" fontId="24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8" fillId="0" borderId="18" xfId="0" applyFont="1" applyBorder="1" applyAlignment="1">
      <alignment horizontal="left"/>
    </xf>
    <xf numFmtId="49" fontId="8" fillId="0" borderId="18" xfId="0" applyNumberFormat="1" applyFont="1" applyBorder="1" applyAlignment="1">
      <alignment horizontal="center"/>
    </xf>
    <xf numFmtId="165" fontId="8" fillId="0" borderId="18" xfId="1" applyNumberFormat="1" applyFont="1" applyFill="1" applyBorder="1"/>
    <xf numFmtId="43" fontId="8" fillId="0" borderId="18" xfId="1" applyFont="1" applyFill="1" applyBorder="1"/>
    <xf numFmtId="165" fontId="3" fillId="0" borderId="18" xfId="1" applyNumberFormat="1" applyFont="1" applyBorder="1"/>
    <xf numFmtId="165" fontId="3" fillId="0" borderId="18" xfId="1" applyNumberFormat="1" applyFont="1" applyFill="1" applyBorder="1"/>
    <xf numFmtId="0" fontId="8" fillId="0" borderId="20" xfId="0" applyFont="1" applyBorder="1" applyAlignment="1">
      <alignment horizontal="left"/>
    </xf>
    <xf numFmtId="0" fontId="8" fillId="0" borderId="20" xfId="0" applyFont="1" applyBorder="1" applyAlignment="1">
      <alignment horizontal="center"/>
    </xf>
    <xf numFmtId="165" fontId="8" fillId="0" borderId="20" xfId="1" applyNumberFormat="1" applyFont="1" applyFill="1" applyBorder="1"/>
    <xf numFmtId="43" fontId="8" fillId="0" borderId="20" xfId="1" applyFont="1" applyFill="1" applyBorder="1"/>
    <xf numFmtId="165" fontId="3" fillId="0" borderId="20" xfId="1" applyNumberFormat="1" applyFont="1" applyBorder="1"/>
    <xf numFmtId="165" fontId="3" fillId="0" borderId="20" xfId="1" applyNumberFormat="1" applyFont="1" applyFill="1" applyBorder="1"/>
    <xf numFmtId="49" fontId="8" fillId="0" borderId="2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4" xfId="0" quotePrefix="1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6" fontId="3" fillId="0" borderId="15" xfId="0" applyNumberFormat="1" applyFont="1" applyBorder="1" applyAlignment="1">
      <alignment horizontal="center"/>
    </xf>
    <xf numFmtId="10" fontId="3" fillId="0" borderId="14" xfId="0" applyNumberFormat="1" applyFont="1" applyBorder="1" applyAlignment="1">
      <alignment horizontal="center"/>
    </xf>
    <xf numFmtId="6" fontId="3" fillId="0" borderId="0" xfId="0" applyNumberFormat="1" applyFont="1" applyAlignment="1">
      <alignment horizontal="center"/>
    </xf>
    <xf numFmtId="6" fontId="3" fillId="0" borderId="14" xfId="0" applyNumberFormat="1" applyFont="1" applyBorder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64" fontId="3" fillId="0" borderId="9" xfId="0" quotePrefix="1" applyNumberFormat="1" applyFont="1" applyBorder="1" applyAlignment="1">
      <alignment horizontal="center"/>
    </xf>
    <xf numFmtId="164" fontId="3" fillId="0" borderId="3" xfId="0" quotePrefix="1" applyNumberFormat="1" applyFont="1" applyBorder="1" applyAlignment="1">
      <alignment horizontal="center"/>
    </xf>
    <xf numFmtId="164" fontId="3" fillId="0" borderId="10" xfId="0" quotePrefix="1" applyNumberFormat="1" applyFont="1" applyBorder="1" applyAlignment="1">
      <alignment horizontal="center"/>
    </xf>
    <xf numFmtId="164" fontId="3" fillId="0" borderId="5" xfId="0" quotePrefix="1" applyNumberFormat="1" applyFont="1" applyBorder="1" applyAlignment="1">
      <alignment horizontal="center"/>
    </xf>
    <xf numFmtId="0" fontId="8" fillId="0" borderId="18" xfId="0" applyFont="1" applyBorder="1"/>
    <xf numFmtId="165" fontId="8" fillId="0" borderId="18" xfId="1" applyNumberFormat="1" applyFont="1" applyBorder="1"/>
    <xf numFmtId="165" fontId="8" fillId="0" borderId="18" xfId="0" applyNumberFormat="1" applyFont="1" applyBorder="1"/>
    <xf numFmtId="0" fontId="8" fillId="0" borderId="20" xfId="0" applyFont="1" applyBorder="1"/>
    <xf numFmtId="165" fontId="8" fillId="0" borderId="20" xfId="1" applyNumberFormat="1" applyFont="1" applyBorder="1"/>
    <xf numFmtId="165" fontId="8" fillId="0" borderId="20" xfId="0" applyNumberFormat="1" applyFont="1" applyBorder="1"/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0" fontId="3" fillId="0" borderId="2" xfId="3" applyNumberFormat="1" applyFont="1" applyBorder="1" applyProtection="1"/>
    <xf numFmtId="166" fontId="2" fillId="0" borderId="5" xfId="0" applyNumberFormat="1" applyFont="1" applyBorder="1"/>
    <xf numFmtId="166" fontId="3" fillId="0" borderId="2" xfId="0" applyNumberFormat="1" applyFont="1" applyBorder="1"/>
    <xf numFmtId="166" fontId="3" fillId="0" borderId="4" xfId="2" applyNumberFormat="1" applyFont="1" applyBorder="1" applyAlignment="1" applyProtection="1"/>
    <xf numFmtId="0" fontId="2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5" xfId="0" applyFont="1" applyBorder="1"/>
    <xf numFmtId="0" fontId="6" fillId="0" borderId="1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65" fontId="8" fillId="0" borderId="19" xfId="1" applyNumberFormat="1" applyFont="1" applyFill="1" applyBorder="1"/>
    <xf numFmtId="165" fontId="8" fillId="0" borderId="18" xfId="1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165" fontId="8" fillId="0" borderId="21" xfId="1" applyNumberFormat="1" applyFont="1" applyFill="1" applyBorder="1"/>
    <xf numFmtId="165" fontId="8" fillId="0" borderId="20" xfId="1" applyNumberFormat="1" applyFont="1" applyBorder="1" applyAlignment="1">
      <alignment horizontal="center"/>
    </xf>
    <xf numFmtId="165" fontId="8" fillId="0" borderId="20" xfId="1" applyNumberFormat="1" applyFont="1" applyFill="1" applyBorder="1" applyAlignment="1">
      <alignment horizontal="center"/>
    </xf>
    <xf numFmtId="165" fontId="8" fillId="0" borderId="0" xfId="1" applyNumberFormat="1" applyFont="1" applyFill="1" applyAlignment="1">
      <alignment horizontal="center"/>
    </xf>
    <xf numFmtId="165" fontId="8" fillId="0" borderId="14" xfId="1" applyNumberFormat="1" applyFont="1" applyFill="1" applyBorder="1"/>
    <xf numFmtId="165" fontId="8" fillId="0" borderId="17" xfId="1" applyNumberFormat="1" applyFont="1" applyFill="1" applyBorder="1"/>
    <xf numFmtId="165" fontId="2" fillId="0" borderId="17" xfId="1" applyNumberFormat="1" applyFont="1" applyFill="1" applyBorder="1"/>
    <xf numFmtId="166" fontId="3" fillId="0" borderId="4" xfId="2" applyNumberFormat="1" applyFont="1" applyFill="1" applyBorder="1" applyAlignment="1" applyProtection="1"/>
    <xf numFmtId="44" fontId="8" fillId="0" borderId="0" xfId="0" applyNumberFormat="1" applyFont="1"/>
    <xf numFmtId="166" fontId="8" fillId="0" borderId="0" xfId="0" applyNumberFormat="1" applyFont="1"/>
    <xf numFmtId="166" fontId="3" fillId="0" borderId="0" xfId="2" applyNumberFormat="1" applyFont="1" applyFill="1" applyBorder="1" applyProtection="1"/>
    <xf numFmtId="166" fontId="3" fillId="0" borderId="2" xfId="2" applyNumberFormat="1" applyFont="1" applyFill="1" applyBorder="1" applyAlignment="1" applyProtection="1">
      <alignment horizontal="center"/>
    </xf>
    <xf numFmtId="166" fontId="3" fillId="0" borderId="0" xfId="2" applyNumberFormat="1" applyFont="1" applyFill="1" applyBorder="1" applyAlignment="1" applyProtection="1">
      <alignment horizontal="center"/>
    </xf>
    <xf numFmtId="166" fontId="3" fillId="0" borderId="4" xfId="2" applyNumberFormat="1" applyFont="1" applyFill="1" applyBorder="1" applyAlignment="1" applyProtection="1">
      <alignment horizontal="center"/>
    </xf>
    <xf numFmtId="44" fontId="8" fillId="0" borderId="0" xfId="2" applyFont="1"/>
    <xf numFmtId="165" fontId="8" fillId="0" borderId="4" xfId="0" applyNumberFormat="1" applyFont="1" applyBorder="1"/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169" fontId="3" fillId="0" borderId="0" xfId="3" applyNumberFormat="1" applyFont="1" applyFill="1" applyBorder="1" applyAlignment="1">
      <alignment horizontal="center"/>
    </xf>
    <xf numFmtId="169" fontId="8" fillId="0" borderId="0" xfId="3" applyNumberFormat="1" applyFont="1" applyFill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left"/>
    </xf>
    <xf numFmtId="165" fontId="8" fillId="0" borderId="4" xfId="1" applyNumberFormat="1" applyFont="1" applyBorder="1"/>
    <xf numFmtId="165" fontId="8" fillId="0" borderId="4" xfId="1" applyNumberFormat="1" applyFont="1" applyBorder="1" applyAlignment="1">
      <alignment horizontal="center"/>
    </xf>
    <xf numFmtId="0" fontId="6" fillId="0" borderId="4" xfId="0" applyFont="1" applyBorder="1"/>
    <xf numFmtId="165" fontId="6" fillId="0" borderId="4" xfId="1" applyNumberFormat="1" applyFont="1" applyBorder="1"/>
    <xf numFmtId="165" fontId="6" fillId="0" borderId="4" xfId="1" applyNumberFormat="1" applyFont="1" applyBorder="1" applyAlignment="1">
      <alignment horizontal="center"/>
    </xf>
    <xf numFmtId="10" fontId="2" fillId="0" borderId="0" xfId="3" applyNumberFormat="1" applyFont="1" applyAlignment="1">
      <alignment horizontal="center"/>
    </xf>
    <xf numFmtId="166" fontId="3" fillId="0" borderId="5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0" xfId="4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4000000}"/>
    <cellStyle name="Normal 3" xfId="5" xr:uid="{00000000-0005-0000-0000-000005000000}"/>
    <cellStyle name="Percent" xfId="3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c385686f0d07d2/Documents/CATALYST%20Consulting/Clients/Taylor/2021%20COS%20%5e0%20Rates/COSS%20%5e0%20Rates/TCRECC-RevReq-2022-v1.xlsx" TargetMode="External"/><Relationship Id="rId1" Type="http://schemas.openxmlformats.org/officeDocument/2006/relationships/externalLinkPath" Target="TCRECC-RevReq-2022-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Int Exp"/>
      <sheetName val="1.04 Depr"/>
      <sheetName val="1.05 ROW"/>
      <sheetName val="1.06 YearEndCust"/>
      <sheetName val="1.07 FEMA"/>
      <sheetName val="1.08 DonAdsDues"/>
      <sheetName val="1.09 Directors"/>
      <sheetName val="1.10 Wages &amp; Salaries"/>
      <sheetName val="1.11 401K"/>
      <sheetName val="1.12 Health"/>
      <sheetName val="1.13 RateCase"/>
    </sheetNames>
    <sheetDataSet>
      <sheetData sheetId="0">
        <row r="1">
          <cell r="A1" t="str">
            <v>TAYLOR COUNTY RECC</v>
          </cell>
        </row>
        <row r="3">
          <cell r="A3" t="str">
            <v>For the 12 Months Ended December 31, 2021</v>
          </cell>
        </row>
      </sheetData>
      <sheetData sheetId="1"/>
      <sheetData sheetId="2"/>
      <sheetData sheetId="3"/>
      <sheetData sheetId="4">
        <row r="25">
          <cell r="F25">
            <v>-1856811.3599999999</v>
          </cell>
        </row>
      </sheetData>
      <sheetData sheetId="5">
        <row r="25">
          <cell r="F25">
            <v>5909709.5700000003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view="pageBreakPreview" topLeftCell="A25" zoomScale="75" zoomScaleNormal="75" zoomScaleSheetLayoutView="75" workbookViewId="0">
      <selection activeCell="D68" sqref="D68"/>
    </sheetView>
  </sheetViews>
  <sheetFormatPr defaultColWidth="9.109375" defaultRowHeight="13.2"/>
  <cols>
    <col min="1" max="1" width="5" style="5" customWidth="1"/>
    <col min="2" max="2" width="34.44140625" style="2" customWidth="1"/>
    <col min="3" max="4" width="14" style="2" customWidth="1"/>
    <col min="5" max="5" width="15.77734375" style="2" customWidth="1"/>
    <col min="6" max="6" width="18.44140625" style="2" hidden="1" customWidth="1"/>
    <col min="7" max="7" width="18.109375" style="2" customWidth="1"/>
    <col min="8" max="8" width="18.5546875" style="2" customWidth="1"/>
    <col min="9" max="9" width="13.6640625" style="2" bestFit="1" customWidth="1"/>
    <col min="10" max="10" width="15.109375" style="2" bestFit="1" customWidth="1"/>
    <col min="11" max="12" width="9.109375" style="2"/>
    <col min="13" max="13" width="14.44140625" style="2" bestFit="1" customWidth="1"/>
    <col min="14" max="16384" width="9.109375" style="2"/>
  </cols>
  <sheetData>
    <row r="1" spans="1:13">
      <c r="A1" s="1" t="s">
        <v>291</v>
      </c>
      <c r="B1" s="1"/>
      <c r="C1" s="1"/>
      <c r="D1" s="1"/>
      <c r="E1" s="1"/>
    </row>
    <row r="2" spans="1:13">
      <c r="A2" s="1" t="s">
        <v>0</v>
      </c>
      <c r="B2" s="1"/>
      <c r="C2" s="1"/>
      <c r="D2" s="1"/>
      <c r="E2" s="1"/>
    </row>
    <row r="3" spans="1:13">
      <c r="A3" s="1" t="s">
        <v>292</v>
      </c>
      <c r="B3" s="1"/>
      <c r="C3" s="1"/>
      <c r="D3" s="1"/>
      <c r="E3" s="1"/>
      <c r="I3" s="9"/>
    </row>
    <row r="4" spans="1:13">
      <c r="A4" s="3"/>
      <c r="E4" s="4"/>
    </row>
    <row r="5" spans="1:13">
      <c r="A5" s="3"/>
      <c r="E5" s="4"/>
      <c r="F5" s="25"/>
      <c r="G5" s="324" t="s">
        <v>653</v>
      </c>
      <c r="H5" s="3" t="s">
        <v>654</v>
      </c>
    </row>
    <row r="6" spans="1:13">
      <c r="C6" s="3" t="s">
        <v>1</v>
      </c>
      <c r="D6" s="3" t="s">
        <v>2</v>
      </c>
      <c r="E6" s="3" t="s">
        <v>3</v>
      </c>
      <c r="F6" s="3" t="s">
        <v>4</v>
      </c>
      <c r="G6" s="3" t="s">
        <v>652</v>
      </c>
      <c r="H6" s="3" t="s">
        <v>4</v>
      </c>
    </row>
    <row r="7" spans="1:13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9</v>
      </c>
      <c r="G7" s="3" t="s">
        <v>9</v>
      </c>
      <c r="H7" s="3" t="s">
        <v>9</v>
      </c>
    </row>
    <row r="8" spans="1:13" s="1" customFormat="1">
      <c r="A8" s="6" t="s">
        <v>10</v>
      </c>
      <c r="B8" s="7">
        <v>1</v>
      </c>
      <c r="C8" s="7">
        <f>B8+1</f>
        <v>2</v>
      </c>
      <c r="D8" s="7">
        <f>C8+1</f>
        <v>3</v>
      </c>
      <c r="E8" s="7" t="s">
        <v>11</v>
      </c>
      <c r="F8" s="7"/>
      <c r="G8" s="7" t="s">
        <v>12</v>
      </c>
      <c r="H8" s="7" t="s">
        <v>46</v>
      </c>
      <c r="J8" s="2"/>
    </row>
    <row r="9" spans="1:13">
      <c r="A9" s="5">
        <v>1</v>
      </c>
      <c r="B9" s="8" t="s">
        <v>13</v>
      </c>
      <c r="C9" s="9"/>
    </row>
    <row r="10" spans="1:13">
      <c r="A10" s="5">
        <f>A9+1</f>
        <v>2</v>
      </c>
      <c r="B10" s="2" t="s">
        <v>14</v>
      </c>
      <c r="C10" s="10">
        <v>60386322.979999997</v>
      </c>
      <c r="D10" s="10">
        <f>'Adj List'!D30</f>
        <v>-12390897.68</v>
      </c>
      <c r="E10" s="10">
        <f>C10+D10</f>
        <v>47995425.299999997</v>
      </c>
      <c r="F10" s="10">
        <f>E10+F61</f>
        <v>50701317.263282463</v>
      </c>
      <c r="G10" s="10">
        <f>E10+G61</f>
        <v>51111757.81328246</v>
      </c>
      <c r="H10" s="10">
        <f>E10+H61</f>
        <v>50410878.2192</v>
      </c>
      <c r="I10" s="9"/>
      <c r="M10" s="9"/>
    </row>
    <row r="11" spans="1:13">
      <c r="A11" s="5">
        <f t="shared" ref="A11:A62" si="0">A10+1</f>
        <v>3</v>
      </c>
      <c r="B11" s="2" t="s">
        <v>15</v>
      </c>
      <c r="C11" s="10">
        <v>740784.55</v>
      </c>
      <c r="D11" s="10">
        <v>0</v>
      </c>
      <c r="E11" s="10">
        <f>C11+D11</f>
        <v>740784.55</v>
      </c>
      <c r="F11" s="10">
        <f>E11</f>
        <v>740784.55</v>
      </c>
      <c r="G11" s="10">
        <f>F11</f>
        <v>740784.55</v>
      </c>
      <c r="H11" s="10">
        <f>G11</f>
        <v>740784.55</v>
      </c>
      <c r="M11" s="9"/>
    </row>
    <row r="12" spans="1:13">
      <c r="A12" s="5">
        <f t="shared" si="0"/>
        <v>4</v>
      </c>
      <c r="B12" s="11" t="s">
        <v>16</v>
      </c>
      <c r="C12" s="12">
        <f t="shared" ref="C12:H12" si="1">SUM(C10:C11)</f>
        <v>61127107.529999994</v>
      </c>
      <c r="D12" s="12">
        <f t="shared" si="1"/>
        <v>-12390897.68</v>
      </c>
      <c r="E12" s="12">
        <f t="shared" si="1"/>
        <v>48736209.849999994</v>
      </c>
      <c r="F12" s="12">
        <f t="shared" si="1"/>
        <v>51442101.81328246</v>
      </c>
      <c r="G12" s="12">
        <f t="shared" si="1"/>
        <v>51852542.363282457</v>
      </c>
      <c r="H12" s="12">
        <f t="shared" si="1"/>
        <v>51151662.769199997</v>
      </c>
      <c r="I12" s="9"/>
      <c r="M12" s="9"/>
    </row>
    <row r="13" spans="1:13">
      <c r="A13" s="5">
        <f t="shared" si="0"/>
        <v>5</v>
      </c>
      <c r="C13" s="10"/>
      <c r="D13" s="10"/>
      <c r="E13" s="10"/>
      <c r="F13" s="10"/>
      <c r="G13" s="10"/>
      <c r="H13" s="10"/>
      <c r="I13" s="9"/>
      <c r="K13" s="9"/>
      <c r="M13" s="9"/>
    </row>
    <row r="14" spans="1:13">
      <c r="A14" s="5">
        <f t="shared" si="0"/>
        <v>6</v>
      </c>
      <c r="B14" s="8" t="s">
        <v>17</v>
      </c>
      <c r="C14" s="10"/>
      <c r="D14" s="10"/>
      <c r="E14" s="10"/>
      <c r="F14" s="10"/>
      <c r="G14" s="10"/>
      <c r="H14" s="10"/>
      <c r="I14" s="9"/>
      <c r="M14" s="9"/>
    </row>
    <row r="15" spans="1:13">
      <c r="A15" s="5">
        <f t="shared" si="0"/>
        <v>7</v>
      </c>
      <c r="B15" s="2" t="s">
        <v>18</v>
      </c>
      <c r="C15" s="10">
        <v>45844519</v>
      </c>
      <c r="D15" s="10">
        <f>'Adj List'!E7+'Adj List'!E8+'Adj List'!E12</f>
        <v>-12399832.15</v>
      </c>
      <c r="E15" s="10">
        <f>C15+D15</f>
        <v>33444686.850000001</v>
      </c>
      <c r="F15" s="10">
        <f>E15</f>
        <v>33444686.850000001</v>
      </c>
      <c r="G15" s="10">
        <f>E15</f>
        <v>33444686.850000001</v>
      </c>
      <c r="H15" s="10">
        <f>E15</f>
        <v>33444686.850000001</v>
      </c>
      <c r="I15" s="9"/>
      <c r="J15" s="9"/>
      <c r="M15" s="9"/>
    </row>
    <row r="16" spans="1:13">
      <c r="A16" s="5">
        <f t="shared" si="0"/>
        <v>8</v>
      </c>
      <c r="B16" s="2" t="s">
        <v>19</v>
      </c>
      <c r="C16" s="10">
        <v>1762215</v>
      </c>
      <c r="D16" s="10">
        <v>0</v>
      </c>
      <c r="E16" s="10">
        <f t="shared" ref="E16:E21" si="2">C16+D16</f>
        <v>1762215</v>
      </c>
      <c r="F16" s="10">
        <f t="shared" ref="F16:F21" si="3">E16</f>
        <v>1762215</v>
      </c>
      <c r="G16" s="10">
        <f t="shared" ref="G16:G21" si="4">E16</f>
        <v>1762215</v>
      </c>
      <c r="H16" s="10">
        <f t="shared" ref="H16:H21" si="5">E16</f>
        <v>1762215</v>
      </c>
      <c r="I16" s="9"/>
      <c r="J16" s="9"/>
      <c r="M16" s="9"/>
    </row>
    <row r="17" spans="1:13">
      <c r="A17" s="5">
        <f t="shared" si="0"/>
        <v>9</v>
      </c>
      <c r="B17" s="2" t="s">
        <v>20</v>
      </c>
      <c r="C17" s="10">
        <v>3383090</v>
      </c>
      <c r="D17" s="10">
        <f>'Adj List'!E13+'Adj List'!E11</f>
        <v>1351757.88</v>
      </c>
      <c r="E17" s="10">
        <f t="shared" si="2"/>
        <v>4734847.88</v>
      </c>
      <c r="F17" s="10">
        <f t="shared" si="3"/>
        <v>4734847.88</v>
      </c>
      <c r="G17" s="10">
        <f t="shared" si="4"/>
        <v>4734847.88</v>
      </c>
      <c r="H17" s="10">
        <f t="shared" si="5"/>
        <v>4734847.88</v>
      </c>
      <c r="I17" s="9"/>
      <c r="J17" s="9"/>
      <c r="M17" s="9"/>
    </row>
    <row r="18" spans="1:13">
      <c r="A18" s="5">
        <f t="shared" si="0"/>
        <v>10</v>
      </c>
      <c r="B18" s="2" t="s">
        <v>21</v>
      </c>
      <c r="C18" s="10">
        <v>1377839</v>
      </c>
      <c r="D18" s="10">
        <v>0</v>
      </c>
      <c r="E18" s="10">
        <f t="shared" si="2"/>
        <v>1377839</v>
      </c>
      <c r="F18" s="10">
        <f t="shared" si="3"/>
        <v>1377839</v>
      </c>
      <c r="G18" s="10">
        <f t="shared" si="4"/>
        <v>1377839</v>
      </c>
      <c r="H18" s="10">
        <f t="shared" si="5"/>
        <v>1377839</v>
      </c>
      <c r="I18" s="9"/>
      <c r="J18" s="9"/>
      <c r="M18" s="9"/>
    </row>
    <row r="19" spans="1:13">
      <c r="A19" s="5">
        <f t="shared" si="0"/>
        <v>11</v>
      </c>
      <c r="B19" s="2" t="s">
        <v>22</v>
      </c>
      <c r="C19" s="10">
        <v>117260</v>
      </c>
      <c r="D19" s="10">
        <v>0</v>
      </c>
      <c r="E19" s="10">
        <f t="shared" si="2"/>
        <v>117260</v>
      </c>
      <c r="F19" s="10">
        <f t="shared" si="3"/>
        <v>117260</v>
      </c>
      <c r="G19" s="10">
        <f t="shared" si="4"/>
        <v>117260</v>
      </c>
      <c r="H19" s="10">
        <f t="shared" si="5"/>
        <v>117260</v>
      </c>
      <c r="I19" s="9"/>
      <c r="J19" s="9"/>
      <c r="M19" s="9"/>
    </row>
    <row r="20" spans="1:13">
      <c r="A20" s="5">
        <f t="shared" si="0"/>
        <v>12</v>
      </c>
      <c r="B20" s="2" t="s">
        <v>23</v>
      </c>
      <c r="C20" s="10">
        <v>0</v>
      </c>
      <c r="D20" s="10">
        <v>0</v>
      </c>
      <c r="E20" s="10">
        <f t="shared" si="2"/>
        <v>0</v>
      </c>
      <c r="F20" s="10">
        <f t="shared" si="3"/>
        <v>0</v>
      </c>
      <c r="G20" s="10">
        <f t="shared" si="4"/>
        <v>0</v>
      </c>
      <c r="H20" s="10">
        <f t="shared" si="5"/>
        <v>0</v>
      </c>
      <c r="I20" s="9"/>
      <c r="J20" s="9"/>
      <c r="M20" s="9"/>
    </row>
    <row r="21" spans="1:13">
      <c r="A21" s="5">
        <f t="shared" si="0"/>
        <v>13</v>
      </c>
      <c r="B21" s="2" t="s">
        <v>24</v>
      </c>
      <c r="C21" s="10">
        <v>2176147</v>
      </c>
      <c r="D21" s="10">
        <f>'Adj List'!E14+'Adj List'!E15+'Adj List'!E16+'Adj List'!E17+'Adj List'!E18+'Adj List'!E19+'Adj List'!E20+'Adj List'!E22</f>
        <v>-367790.87671754323</v>
      </c>
      <c r="E21" s="10">
        <f t="shared" si="2"/>
        <v>1808356.1232824568</v>
      </c>
      <c r="F21" s="10">
        <f t="shared" si="3"/>
        <v>1808356.1232824568</v>
      </c>
      <c r="G21" s="10">
        <f t="shared" si="4"/>
        <v>1808356.1232824568</v>
      </c>
      <c r="H21" s="10">
        <f t="shared" si="5"/>
        <v>1808356.1232824568</v>
      </c>
      <c r="I21" s="9"/>
      <c r="J21" s="9"/>
      <c r="M21" s="9"/>
    </row>
    <row r="22" spans="1:13">
      <c r="A22" s="5">
        <f t="shared" si="0"/>
        <v>14</v>
      </c>
      <c r="B22" s="11" t="s">
        <v>25</v>
      </c>
      <c r="C22" s="12">
        <f>SUM(C15:C21)</f>
        <v>54661070</v>
      </c>
      <c r="D22" s="12">
        <f t="shared" ref="D22:F22" si="6">SUM(D15:D21)</f>
        <v>-11415865.146717543</v>
      </c>
      <c r="E22" s="12">
        <f>SUM(E15:E21)</f>
        <v>43245204.853282459</v>
      </c>
      <c r="F22" s="12">
        <f t="shared" si="6"/>
        <v>43245204.853282459</v>
      </c>
      <c r="G22" s="12">
        <f t="shared" ref="G22:H22" si="7">SUM(G15:G21)</f>
        <v>43245204.853282459</v>
      </c>
      <c r="H22" s="12">
        <f t="shared" si="7"/>
        <v>43245204.853282459</v>
      </c>
      <c r="I22" s="9"/>
      <c r="J22" s="9"/>
      <c r="M22" s="9"/>
    </row>
    <row r="23" spans="1:13">
      <c r="A23" s="5">
        <f t="shared" si="0"/>
        <v>15</v>
      </c>
      <c r="C23" s="10"/>
      <c r="D23" s="10"/>
      <c r="E23" s="10"/>
      <c r="F23" s="10"/>
      <c r="G23" s="10"/>
      <c r="H23" s="10"/>
      <c r="I23" s="9"/>
      <c r="J23" s="9"/>
      <c r="M23" s="9"/>
    </row>
    <row r="24" spans="1:13">
      <c r="A24" s="5">
        <f t="shared" si="0"/>
        <v>16</v>
      </c>
      <c r="B24" s="2" t="s">
        <v>26</v>
      </c>
      <c r="C24" s="10">
        <v>3728106</v>
      </c>
      <c r="D24" s="10">
        <f>'Adj List'!E10</f>
        <v>126591.96000000005</v>
      </c>
      <c r="E24" s="10">
        <f t="shared" ref="E24:E29" si="8">C24+D24</f>
        <v>3854697.96</v>
      </c>
      <c r="F24" s="10">
        <f>E24</f>
        <v>3854697.96</v>
      </c>
      <c r="G24" s="10">
        <f>E24</f>
        <v>3854697.96</v>
      </c>
      <c r="H24" s="10">
        <f>E24</f>
        <v>3854697.96</v>
      </c>
      <c r="I24" s="9"/>
      <c r="J24" s="9"/>
      <c r="M24" s="9"/>
    </row>
    <row r="25" spans="1:13">
      <c r="A25" s="5">
        <f>A23+1</f>
        <v>16</v>
      </c>
      <c r="B25" s="2" t="s">
        <v>293</v>
      </c>
      <c r="C25" s="10">
        <v>817969</v>
      </c>
      <c r="D25" s="10"/>
      <c r="E25" s="10">
        <f t="shared" si="8"/>
        <v>817969</v>
      </c>
      <c r="F25" s="10">
        <f t="shared" ref="F25" si="9">E25</f>
        <v>817969</v>
      </c>
      <c r="G25" s="10">
        <f t="shared" ref="G25:G29" si="10">E25</f>
        <v>817969</v>
      </c>
      <c r="H25" s="10">
        <f t="shared" ref="H25:H29" si="11">E25</f>
        <v>817969</v>
      </c>
      <c r="I25" s="9"/>
      <c r="J25" s="9"/>
      <c r="M25" s="9"/>
    </row>
    <row r="26" spans="1:13">
      <c r="A26" s="5">
        <f>A24+1</f>
        <v>17</v>
      </c>
      <c r="B26" s="2" t="s">
        <v>27</v>
      </c>
      <c r="C26" s="10">
        <v>55623</v>
      </c>
      <c r="D26" s="10"/>
      <c r="E26" s="10">
        <f t="shared" si="8"/>
        <v>55623</v>
      </c>
      <c r="F26" s="10">
        <f t="shared" ref="F26:F29" si="12">E26</f>
        <v>55623</v>
      </c>
      <c r="G26" s="10">
        <f t="shared" si="10"/>
        <v>55623</v>
      </c>
      <c r="H26" s="10">
        <f t="shared" si="11"/>
        <v>55623</v>
      </c>
      <c r="I26" s="9"/>
      <c r="J26" s="9"/>
      <c r="M26" s="9"/>
    </row>
    <row r="27" spans="1:13">
      <c r="A27" s="5">
        <f t="shared" si="0"/>
        <v>18</v>
      </c>
      <c r="B27" s="2" t="s">
        <v>28</v>
      </c>
      <c r="C27" s="10">
        <v>1800708</v>
      </c>
      <c r="D27" s="10">
        <v>284255</v>
      </c>
      <c r="E27" s="10">
        <f t="shared" si="8"/>
        <v>2084963</v>
      </c>
      <c r="F27" s="10">
        <f t="shared" si="12"/>
        <v>2084963</v>
      </c>
      <c r="G27" s="10">
        <f t="shared" si="10"/>
        <v>2084963</v>
      </c>
      <c r="H27" s="10">
        <f t="shared" si="11"/>
        <v>2084963</v>
      </c>
      <c r="I27" s="9"/>
      <c r="J27" s="9"/>
      <c r="M27" s="9"/>
    </row>
    <row r="28" spans="1:13">
      <c r="A28" s="5">
        <f t="shared" si="0"/>
        <v>19</v>
      </c>
      <c r="B28" s="2" t="s">
        <v>29</v>
      </c>
      <c r="C28" s="10">
        <v>38836</v>
      </c>
      <c r="D28" s="10"/>
      <c r="E28" s="10">
        <f t="shared" si="8"/>
        <v>38836</v>
      </c>
      <c r="F28" s="10">
        <f t="shared" si="12"/>
        <v>38836</v>
      </c>
      <c r="G28" s="10">
        <f t="shared" si="10"/>
        <v>38836</v>
      </c>
      <c r="H28" s="10">
        <f t="shared" si="11"/>
        <v>38836</v>
      </c>
      <c r="I28" s="9"/>
      <c r="J28" s="9"/>
      <c r="M28" s="9"/>
    </row>
    <row r="29" spans="1:13">
      <c r="A29" s="5">
        <f t="shared" si="0"/>
        <v>20</v>
      </c>
      <c r="B29" s="2" t="s">
        <v>30</v>
      </c>
      <c r="C29" s="10">
        <v>10100</v>
      </c>
      <c r="D29" s="10"/>
      <c r="E29" s="10">
        <f t="shared" si="8"/>
        <v>10100</v>
      </c>
      <c r="F29" s="10">
        <f t="shared" si="12"/>
        <v>10100</v>
      </c>
      <c r="G29" s="10">
        <f t="shared" si="10"/>
        <v>10100</v>
      </c>
      <c r="H29" s="10">
        <f t="shared" si="11"/>
        <v>10100</v>
      </c>
      <c r="I29" s="9"/>
      <c r="J29" s="9"/>
      <c r="M29" s="9"/>
    </row>
    <row r="30" spans="1:13">
      <c r="A30" s="5">
        <f t="shared" si="0"/>
        <v>21</v>
      </c>
      <c r="C30" s="10"/>
      <c r="D30" s="10"/>
      <c r="E30" s="10"/>
      <c r="F30" s="10"/>
      <c r="G30" s="10"/>
      <c r="H30" s="10"/>
      <c r="I30" s="9"/>
      <c r="J30" s="9"/>
      <c r="M30" s="9"/>
    </row>
    <row r="31" spans="1:13">
      <c r="A31" s="5">
        <f t="shared" si="0"/>
        <v>22</v>
      </c>
      <c r="B31" s="14" t="s">
        <v>31</v>
      </c>
      <c r="C31" s="15">
        <f t="shared" ref="C31:F31" si="13">SUM(C22:C29)</f>
        <v>61112412</v>
      </c>
      <c r="D31" s="15">
        <f t="shared" si="13"/>
        <v>-11005018.186717542</v>
      </c>
      <c r="E31" s="15">
        <f t="shared" si="13"/>
        <v>50107393.81328246</v>
      </c>
      <c r="F31" s="15">
        <f t="shared" si="13"/>
        <v>50107393.81328246</v>
      </c>
      <c r="G31" s="15">
        <f t="shared" ref="G31:H31" si="14">SUM(G22:G29)</f>
        <v>50107393.81328246</v>
      </c>
      <c r="H31" s="15">
        <f t="shared" si="14"/>
        <v>50107393.81328246</v>
      </c>
      <c r="I31" s="9"/>
      <c r="J31" s="9"/>
      <c r="M31" s="9"/>
    </row>
    <row r="32" spans="1:13">
      <c r="A32" s="5">
        <f t="shared" si="0"/>
        <v>23</v>
      </c>
      <c r="C32" s="10"/>
      <c r="D32" s="10"/>
      <c r="E32" s="10"/>
      <c r="F32" s="10"/>
      <c r="G32" s="10"/>
      <c r="H32" s="10"/>
      <c r="I32" s="9"/>
      <c r="J32" s="9"/>
      <c r="M32" s="9"/>
    </row>
    <row r="33" spans="1:13" ht="13.8" thickBot="1">
      <c r="A33" s="5">
        <f t="shared" si="0"/>
        <v>24</v>
      </c>
      <c r="B33" s="16" t="s">
        <v>32</v>
      </c>
      <c r="C33" s="17">
        <f t="shared" ref="C33:F33" si="15">C12-C31</f>
        <v>14695.529999993742</v>
      </c>
      <c r="D33" s="17">
        <f t="shared" si="15"/>
        <v>-1385879.4932824578</v>
      </c>
      <c r="E33" s="17">
        <f t="shared" si="15"/>
        <v>-1371183.9632824659</v>
      </c>
      <c r="F33" s="17">
        <f t="shared" si="15"/>
        <v>1334708</v>
      </c>
      <c r="G33" s="17">
        <f t="shared" ref="G33:H33" si="16">G12-G31</f>
        <v>1745148.549999997</v>
      </c>
      <c r="H33" s="17">
        <f t="shared" si="16"/>
        <v>1044268.9559175372</v>
      </c>
      <c r="I33" s="9"/>
      <c r="J33" s="9"/>
      <c r="M33" s="9"/>
    </row>
    <row r="34" spans="1:13" ht="13.8" thickTop="1">
      <c r="A34" s="5">
        <f t="shared" si="0"/>
        <v>25</v>
      </c>
      <c r="C34" s="10"/>
      <c r="D34" s="10"/>
      <c r="E34" s="10"/>
      <c r="F34" s="10"/>
      <c r="G34" s="10"/>
      <c r="H34" s="10"/>
      <c r="I34" s="9"/>
      <c r="J34" s="9"/>
      <c r="M34" s="9"/>
    </row>
    <row r="35" spans="1:13">
      <c r="A35" s="5">
        <f t="shared" si="0"/>
        <v>26</v>
      </c>
      <c r="B35" s="2" t="s">
        <v>33</v>
      </c>
      <c r="C35" s="10">
        <v>59725</v>
      </c>
      <c r="D35" s="10"/>
      <c r="E35" s="10">
        <f>C35+D35</f>
        <v>59725</v>
      </c>
      <c r="F35" s="10">
        <f t="shared" ref="F35:F39" si="17">E35</f>
        <v>59725</v>
      </c>
      <c r="G35" s="10">
        <f>E35</f>
        <v>59725</v>
      </c>
      <c r="H35" s="10">
        <f>E35</f>
        <v>59725</v>
      </c>
      <c r="I35" s="9"/>
      <c r="J35" s="9"/>
      <c r="M35" s="9"/>
    </row>
    <row r="36" spans="1:13">
      <c r="A36" s="5" t="s">
        <v>34</v>
      </c>
      <c r="B36" s="2" t="s">
        <v>35</v>
      </c>
      <c r="C36" s="10">
        <v>484635</v>
      </c>
      <c r="D36" s="10"/>
      <c r="E36" s="10">
        <f>C36+D36</f>
        <v>484635</v>
      </c>
      <c r="F36" s="10">
        <f t="shared" si="17"/>
        <v>484635</v>
      </c>
      <c r="G36" s="10">
        <f t="shared" ref="G36:G39" si="18">E36</f>
        <v>484635</v>
      </c>
      <c r="H36" s="10">
        <f t="shared" ref="H36:H39" si="19">E36</f>
        <v>484635</v>
      </c>
      <c r="I36" s="9"/>
      <c r="J36" s="9"/>
      <c r="M36" s="9"/>
    </row>
    <row r="37" spans="1:13">
      <c r="A37" s="5">
        <f>A35+1</f>
        <v>27</v>
      </c>
      <c r="B37" s="2" t="s">
        <v>36</v>
      </c>
      <c r="C37" s="10">
        <v>41944</v>
      </c>
      <c r="D37" s="10"/>
      <c r="E37" s="10">
        <f>C37+D37</f>
        <v>41944</v>
      </c>
      <c r="F37" s="10">
        <f t="shared" si="17"/>
        <v>41944</v>
      </c>
      <c r="G37" s="10">
        <f t="shared" si="18"/>
        <v>41944</v>
      </c>
      <c r="H37" s="10">
        <f t="shared" si="19"/>
        <v>41944</v>
      </c>
      <c r="I37" s="9"/>
      <c r="J37" s="9"/>
      <c r="M37" s="9"/>
    </row>
    <row r="38" spans="1:13">
      <c r="A38" s="5">
        <f t="shared" si="0"/>
        <v>28</v>
      </c>
      <c r="B38" s="2" t="s">
        <v>37</v>
      </c>
      <c r="C38" s="10">
        <v>1516655</v>
      </c>
      <c r="D38" s="10">
        <f>'Adj List'!F21</f>
        <v>-1516655</v>
      </c>
      <c r="E38" s="10">
        <f>C38+D38</f>
        <v>0</v>
      </c>
      <c r="F38" s="10">
        <f t="shared" si="17"/>
        <v>0</v>
      </c>
      <c r="G38" s="10">
        <f t="shared" si="18"/>
        <v>0</v>
      </c>
      <c r="H38" s="10">
        <f t="shared" si="19"/>
        <v>0</v>
      </c>
      <c r="I38" s="9"/>
      <c r="J38" s="9"/>
      <c r="M38" s="9"/>
    </row>
    <row r="39" spans="1:13">
      <c r="A39" s="5">
        <f t="shared" si="0"/>
        <v>29</v>
      </c>
      <c r="B39" s="2" t="s">
        <v>38</v>
      </c>
      <c r="C39" s="10">
        <v>163951</v>
      </c>
      <c r="D39" s="10"/>
      <c r="E39" s="10">
        <f>C39+D39</f>
        <v>163951</v>
      </c>
      <c r="F39" s="10">
        <f t="shared" si="17"/>
        <v>163951</v>
      </c>
      <c r="G39" s="10">
        <f t="shared" si="18"/>
        <v>163951</v>
      </c>
      <c r="H39" s="10">
        <f t="shared" si="19"/>
        <v>163951</v>
      </c>
      <c r="I39" s="9"/>
      <c r="J39" s="9"/>
      <c r="M39" s="9"/>
    </row>
    <row r="40" spans="1:13">
      <c r="A40" s="5">
        <f t="shared" si="0"/>
        <v>30</v>
      </c>
      <c r="C40" s="10"/>
      <c r="D40" s="10"/>
      <c r="E40" s="10"/>
      <c r="F40" s="10"/>
      <c r="G40" s="10"/>
      <c r="H40" s="10"/>
      <c r="I40" s="9"/>
      <c r="J40" s="9"/>
      <c r="M40" s="9"/>
    </row>
    <row r="41" spans="1:13" ht="13.8" thickBot="1">
      <c r="A41" s="5">
        <f t="shared" si="0"/>
        <v>31</v>
      </c>
      <c r="B41" s="16" t="s">
        <v>39</v>
      </c>
      <c r="C41" s="17">
        <f t="shared" ref="C41:F41" si="20">C33+SUM(C35:C39)</f>
        <v>2281605.5299999937</v>
      </c>
      <c r="D41" s="17">
        <f t="shared" si="20"/>
        <v>-2902534.4932824578</v>
      </c>
      <c r="E41" s="17">
        <f t="shared" si="20"/>
        <v>-620928.96328246593</v>
      </c>
      <c r="F41" s="17">
        <f t="shared" si="20"/>
        <v>2084963</v>
      </c>
      <c r="G41" s="17">
        <f t="shared" ref="G41:H41" si="21">G33+SUM(G35:G39)</f>
        <v>2495403.549999997</v>
      </c>
      <c r="H41" s="17">
        <f t="shared" si="21"/>
        <v>1794523.9559175372</v>
      </c>
      <c r="I41" s="9"/>
      <c r="J41" s="9"/>
      <c r="M41" s="9"/>
    </row>
    <row r="42" spans="1:13" ht="13.8" thickTop="1">
      <c r="A42" s="5">
        <f t="shared" si="0"/>
        <v>32</v>
      </c>
      <c r="C42" s="10"/>
      <c r="D42" s="10"/>
      <c r="E42" s="10"/>
      <c r="F42" s="10"/>
      <c r="G42" s="10"/>
      <c r="H42" s="10"/>
      <c r="I42" s="9"/>
      <c r="J42" s="9"/>
    </row>
    <row r="43" spans="1:13">
      <c r="A43" s="5">
        <f t="shared" si="0"/>
        <v>33</v>
      </c>
      <c r="B43" s="2" t="s">
        <v>40</v>
      </c>
      <c r="C43" s="10">
        <v>27070</v>
      </c>
      <c r="D43" s="10"/>
      <c r="E43" s="10">
        <f>C43+D43</f>
        <v>27070</v>
      </c>
      <c r="F43" s="10">
        <f>E43</f>
        <v>27070</v>
      </c>
      <c r="G43" s="10">
        <f>E43</f>
        <v>27070</v>
      </c>
      <c r="H43" s="10">
        <f>F43</f>
        <v>27070</v>
      </c>
      <c r="I43" s="9"/>
      <c r="J43" s="9"/>
    </row>
    <row r="44" spans="1:13">
      <c r="A44" s="5">
        <f t="shared" si="0"/>
        <v>34</v>
      </c>
      <c r="B44" s="2" t="s">
        <v>41</v>
      </c>
      <c r="C44" s="13">
        <f>(C33+C43+C27)/C27</f>
        <v>1.0231939492688398</v>
      </c>
      <c r="D44" s="10"/>
      <c r="E44" s="13">
        <f>(E33+E43+E27)/E27</f>
        <v>0.35532958461015091</v>
      </c>
      <c r="F44" s="13">
        <f>(F33+F43+F27)/F27</f>
        <v>1.6531425257906256</v>
      </c>
      <c r="G44" s="238">
        <f>(G33+G43+G27)/G27</f>
        <v>1.8499999999999985</v>
      </c>
      <c r="H44" s="238">
        <f>(H33+H43+H27)/H27</f>
        <v>1.5138407520505339</v>
      </c>
      <c r="I44" s="24"/>
      <c r="J44" s="24"/>
    </row>
    <row r="45" spans="1:13">
      <c r="A45" s="5">
        <f t="shared" si="0"/>
        <v>35</v>
      </c>
      <c r="B45" s="2" t="s">
        <v>42</v>
      </c>
      <c r="C45" s="13">
        <f>(C41+C27)/C27</f>
        <v>2.2670602507458142</v>
      </c>
      <c r="D45" s="10"/>
      <c r="E45" s="13">
        <f>(E41+E27)/E27</f>
        <v>0.70218705881952537</v>
      </c>
      <c r="F45" s="238">
        <f>(F41+F27)/F27</f>
        <v>2</v>
      </c>
      <c r="G45" s="23">
        <f>(G41+G27)/G27</f>
        <v>2.1968574742093732</v>
      </c>
      <c r="H45" s="23">
        <f>(H41+H27)/H27</f>
        <v>1.8606982262599083</v>
      </c>
      <c r="I45" s="24"/>
      <c r="J45" s="24"/>
    </row>
    <row r="46" spans="1:13">
      <c r="A46" s="5">
        <f t="shared" si="0"/>
        <v>36</v>
      </c>
      <c r="B46" s="2" t="s">
        <v>43</v>
      </c>
      <c r="C46" s="13">
        <f>(C27+C41-C38)/C27</f>
        <v>1.4248054265322272</v>
      </c>
      <c r="D46" s="10"/>
      <c r="E46" s="13">
        <f>(E27+E41-E38)/E27</f>
        <v>0.70218705881952537</v>
      </c>
      <c r="F46" s="13">
        <f>(F27+F41-F38)/F27</f>
        <v>2</v>
      </c>
      <c r="G46" s="13">
        <f>(G27+G41-G38)/G27</f>
        <v>2.1968574742093732</v>
      </c>
      <c r="H46" s="13">
        <f>(H27+H41-H38)/H27</f>
        <v>1.8606982262599083</v>
      </c>
      <c r="I46" s="24"/>
      <c r="J46" s="24"/>
    </row>
    <row r="47" spans="1:13">
      <c r="A47" s="5">
        <f t="shared" si="0"/>
        <v>37</v>
      </c>
      <c r="I47" s="9"/>
      <c r="J47" s="9"/>
    </row>
    <row r="48" spans="1:13" hidden="1">
      <c r="A48" s="5">
        <f t="shared" si="0"/>
        <v>38</v>
      </c>
      <c r="B48" s="2" t="s">
        <v>44</v>
      </c>
      <c r="C48" s="13">
        <v>2</v>
      </c>
      <c r="D48" s="10"/>
      <c r="E48" s="13">
        <f>C48</f>
        <v>2</v>
      </c>
      <c r="F48" s="13">
        <v>2</v>
      </c>
      <c r="G48" s="13">
        <v>2</v>
      </c>
      <c r="H48" s="13">
        <v>2</v>
      </c>
      <c r="I48" s="9"/>
      <c r="J48" s="9"/>
    </row>
    <row r="49" spans="1:13" hidden="1">
      <c r="A49" s="5">
        <f t="shared" si="0"/>
        <v>39</v>
      </c>
      <c r="B49" s="2" t="s">
        <v>45</v>
      </c>
      <c r="C49" s="10">
        <f>C48*C27-C27</f>
        <v>1800708</v>
      </c>
      <c r="D49" s="10"/>
      <c r="E49" s="10">
        <f>E48*E27-E27</f>
        <v>2084963</v>
      </c>
      <c r="F49" s="10">
        <f>F48*F27-F27</f>
        <v>2084963</v>
      </c>
      <c r="G49" s="10">
        <f>G48*G27-G27</f>
        <v>2084963</v>
      </c>
      <c r="H49" s="10">
        <f>H48*H27-H27</f>
        <v>2084963</v>
      </c>
      <c r="I49" s="9"/>
      <c r="J49" s="9"/>
    </row>
    <row r="50" spans="1:13" hidden="1">
      <c r="A50" s="5">
        <f t="shared" si="0"/>
        <v>40</v>
      </c>
      <c r="B50" s="2" t="s">
        <v>50</v>
      </c>
      <c r="C50" s="10">
        <f>C31+C49</f>
        <v>62913120</v>
      </c>
      <c r="D50" s="10"/>
      <c r="E50" s="10">
        <f>E31+E49</f>
        <v>52192356.81328246</v>
      </c>
      <c r="F50" s="10">
        <f>F31+F49</f>
        <v>52192356.81328246</v>
      </c>
      <c r="G50" s="10">
        <f>G31+G49</f>
        <v>52192356.81328246</v>
      </c>
      <c r="H50" s="10">
        <f>H31+H49</f>
        <v>52192356.81328246</v>
      </c>
      <c r="I50" s="9"/>
      <c r="J50" s="9"/>
      <c r="M50" s="19"/>
    </row>
    <row r="51" spans="1:13" hidden="1">
      <c r="A51" s="5">
        <f t="shared" si="0"/>
        <v>41</v>
      </c>
      <c r="B51" s="2" t="s">
        <v>51</v>
      </c>
      <c r="C51" s="10">
        <f>C49-C41</f>
        <v>-480897.52999999374</v>
      </c>
      <c r="D51" s="10"/>
      <c r="E51" s="21">
        <f>E49-E41</f>
        <v>2705891.9632824659</v>
      </c>
      <c r="F51" s="10">
        <f>F49-F41</f>
        <v>0</v>
      </c>
      <c r="G51" s="10">
        <f>G49-G41</f>
        <v>-410440.54999999702</v>
      </c>
      <c r="H51" s="10">
        <f>H49-H41</f>
        <v>290439.04408246279</v>
      </c>
      <c r="I51" s="9"/>
      <c r="J51" s="9"/>
    </row>
    <row r="52" spans="1:13" hidden="1">
      <c r="A52" s="5">
        <f t="shared" si="0"/>
        <v>42</v>
      </c>
      <c r="B52" s="2" t="s">
        <v>53</v>
      </c>
      <c r="C52" s="20"/>
      <c r="D52" s="22"/>
      <c r="E52" s="23">
        <f>ROUND(E46-C48,2)</f>
        <v>-1.3</v>
      </c>
      <c r="F52" s="23">
        <f>ROUND(F46-C48,2)</f>
        <v>0</v>
      </c>
      <c r="G52" s="23">
        <f>ROUND(G46-C48,2)</f>
        <v>0.2</v>
      </c>
      <c r="H52" s="23">
        <f>ROUND(H46-D48,2)</f>
        <v>1.86</v>
      </c>
      <c r="I52" s="9"/>
      <c r="J52" s="9"/>
    </row>
    <row r="53" spans="1:13" hidden="1">
      <c r="A53" s="5">
        <f t="shared" si="0"/>
        <v>43</v>
      </c>
      <c r="I53" s="24"/>
      <c r="J53" s="24"/>
    </row>
    <row r="54" spans="1:13">
      <c r="A54" s="5">
        <f t="shared" si="0"/>
        <v>44</v>
      </c>
      <c r="B54" s="2" t="s">
        <v>47</v>
      </c>
      <c r="C54" s="2">
        <v>1.85</v>
      </c>
      <c r="E54" s="2">
        <f>C54</f>
        <v>1.85</v>
      </c>
      <c r="F54" s="2">
        <f>E54</f>
        <v>1.85</v>
      </c>
      <c r="G54" s="2">
        <f>F54</f>
        <v>1.85</v>
      </c>
      <c r="H54" s="2">
        <f>G54</f>
        <v>1.85</v>
      </c>
      <c r="I54" s="24"/>
      <c r="J54" s="24"/>
    </row>
    <row r="55" spans="1:13">
      <c r="A55" s="5">
        <f t="shared" si="0"/>
        <v>45</v>
      </c>
      <c r="B55" s="2" t="s">
        <v>283</v>
      </c>
      <c r="C55" s="9">
        <f>C54*C27-C27-C43+SUM(C35:C39)</f>
        <v>3770441.8000000003</v>
      </c>
      <c r="D55" s="9"/>
      <c r="E55" s="9">
        <f>E54*E27-E27-E43+SUM(E35:E39)</f>
        <v>2495403.5500000003</v>
      </c>
      <c r="F55" s="9">
        <f>F54*F27-F27-F43+SUM(F35:F39)</f>
        <v>2495403.5500000003</v>
      </c>
      <c r="G55" s="9">
        <f>G54*G27-G27-G43+SUM(G35:G39)</f>
        <v>2495403.5500000003</v>
      </c>
      <c r="H55" s="9">
        <f>H54*H27-H27-H43+SUM(H35:H39)</f>
        <v>2495403.5500000003</v>
      </c>
    </row>
    <row r="56" spans="1:13">
      <c r="A56" s="5">
        <f t="shared" si="0"/>
        <v>46</v>
      </c>
      <c r="B56" s="2" t="s">
        <v>284</v>
      </c>
      <c r="C56" s="9">
        <f>C31+C55</f>
        <v>64882853.799999997</v>
      </c>
      <c r="E56" s="9">
        <f t="shared" ref="E56:G56" si="22">E31+E55</f>
        <v>52602797.363282457</v>
      </c>
      <c r="F56" s="9">
        <f t="shared" si="22"/>
        <v>52602797.363282457</v>
      </c>
      <c r="G56" s="9">
        <f t="shared" si="22"/>
        <v>52602797.363282457</v>
      </c>
      <c r="H56" s="9">
        <f t="shared" ref="H56" si="23">H31+H55</f>
        <v>52602797.363282457</v>
      </c>
    </row>
    <row r="57" spans="1:13">
      <c r="A57" s="5">
        <f t="shared" si="0"/>
        <v>47</v>
      </c>
      <c r="B57" s="2" t="s">
        <v>285</v>
      </c>
      <c r="C57" s="9">
        <f>C55-C41</f>
        <v>1488836.2700000065</v>
      </c>
      <c r="D57" s="9"/>
      <c r="E57" s="9">
        <f>E55-E41</f>
        <v>3116332.5132824662</v>
      </c>
      <c r="F57" s="9">
        <f>F55-F41</f>
        <v>410440.55000000028</v>
      </c>
      <c r="G57" s="9">
        <f>G55-G41</f>
        <v>0</v>
      </c>
      <c r="H57" s="9">
        <f>H55-H41</f>
        <v>700879.59408246307</v>
      </c>
    </row>
    <row r="58" spans="1:13">
      <c r="A58" s="5">
        <f t="shared" si="0"/>
        <v>48</v>
      </c>
      <c r="B58" s="2" t="s">
        <v>52</v>
      </c>
      <c r="E58" s="24">
        <f>E44-E54</f>
        <v>-1.4946704153898491</v>
      </c>
      <c r="F58" s="24">
        <f t="shared" ref="F58:G58" si="24">F44-F54</f>
        <v>-0.19685747420937449</v>
      </c>
      <c r="G58" s="24">
        <f t="shared" si="24"/>
        <v>0</v>
      </c>
      <c r="H58" s="24">
        <f t="shared" ref="H58" si="25">H44-H54</f>
        <v>-0.33615924794946617</v>
      </c>
    </row>
    <row r="59" spans="1:13">
      <c r="A59" s="5">
        <f t="shared" si="0"/>
        <v>49</v>
      </c>
    </row>
    <row r="60" spans="1:13">
      <c r="A60" s="5">
        <f t="shared" si="0"/>
        <v>50</v>
      </c>
      <c r="F60" s="236" t="s">
        <v>48</v>
      </c>
      <c r="G60" s="236" t="s">
        <v>49</v>
      </c>
      <c r="H60" s="236" t="s">
        <v>650</v>
      </c>
    </row>
    <row r="61" spans="1:13">
      <c r="A61" s="5">
        <f t="shared" si="0"/>
        <v>51</v>
      </c>
      <c r="B61" s="2" t="s">
        <v>648</v>
      </c>
      <c r="F61" s="237">
        <f>E51</f>
        <v>2705891.9632824659</v>
      </c>
      <c r="G61" s="237">
        <f>E57</f>
        <v>3116332.5132824662</v>
      </c>
      <c r="H61" s="325">
        <f>0.04*C10</f>
        <v>2415452.9191999999</v>
      </c>
      <c r="I61" s="19">
        <f>H61-G61</f>
        <v>-700879.59408246633</v>
      </c>
    </row>
    <row r="62" spans="1:13">
      <c r="A62" s="5">
        <f t="shared" si="0"/>
        <v>52</v>
      </c>
      <c r="B62" s="2" t="s">
        <v>649</v>
      </c>
      <c r="F62" s="235">
        <f>F61/C10</f>
        <v>4.4809682553095004E-2</v>
      </c>
      <c r="G62" s="235">
        <f>G61/C10</f>
        <v>5.160659499527067E-2</v>
      </c>
      <c r="H62" s="235">
        <f>H61/C10</f>
        <v>0.04</v>
      </c>
    </row>
  </sheetData>
  <pageMargins left="0.7" right="0.7" top="0.75" bottom="0.75" header="0.3" footer="0.3"/>
  <pageSetup scale="75" orientation="portrait" r:id="rId1"/>
  <headerFooter>
    <oddFooter>&amp;RExhibit  JW-2
Page &amp;P of &amp;N</oddFooter>
  </headerFooter>
  <ignoredErrors>
    <ignoredError sqref="E8 G8:H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9"/>
  <sheetViews>
    <sheetView view="pageBreakPreview" zoomScale="60" zoomScaleNormal="100" workbookViewId="0">
      <selection activeCell="L59" sqref="L59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13.33203125" style="2" customWidth="1"/>
    <col min="4" max="4" width="10.88671875" style="2" customWidth="1"/>
    <col min="5" max="5" width="4.109375" style="2" customWidth="1"/>
    <col min="6" max="6" width="15.109375" style="2" customWidth="1"/>
    <col min="7" max="7" width="14.33203125" style="2" customWidth="1"/>
    <col min="8" max="8" width="16.21875" style="2" customWidth="1"/>
    <col min="9" max="16384" width="9.109375" style="2"/>
  </cols>
  <sheetData>
    <row r="1" spans="1:9">
      <c r="H1" s="27" t="s">
        <v>256</v>
      </c>
    </row>
    <row r="3" spans="1:9">
      <c r="H3" s="27"/>
    </row>
    <row r="4" spans="1:9">
      <c r="A4" s="327" t="str">
        <f>RevReq!A1</f>
        <v>FARMERS RECC</v>
      </c>
      <c r="B4" s="327"/>
      <c r="C4" s="327"/>
      <c r="D4" s="327"/>
      <c r="E4" s="327"/>
      <c r="F4" s="327"/>
      <c r="G4" s="327"/>
      <c r="H4" s="327"/>
    </row>
    <row r="5" spans="1:9">
      <c r="A5" s="327" t="str">
        <f>[1]RevReq!A3</f>
        <v>For the 12 Months Ended December 31, 2021</v>
      </c>
      <c r="B5" s="327"/>
      <c r="C5" s="327"/>
      <c r="D5" s="327"/>
      <c r="E5" s="327"/>
      <c r="F5" s="327"/>
      <c r="G5" s="327"/>
      <c r="H5" s="327"/>
      <c r="I5" s="58"/>
    </row>
    <row r="6" spans="1:9">
      <c r="A6" s="58"/>
      <c r="B6" s="58"/>
      <c r="C6" s="58"/>
      <c r="D6" s="58"/>
      <c r="E6" s="58"/>
      <c r="F6" s="58"/>
      <c r="G6" s="58"/>
      <c r="H6" s="58"/>
      <c r="I6" s="58"/>
    </row>
    <row r="7" spans="1:9">
      <c r="A7" s="328" t="s">
        <v>257</v>
      </c>
      <c r="B7" s="328"/>
      <c r="C7" s="328"/>
      <c r="D7" s="328"/>
      <c r="E7" s="328"/>
      <c r="F7" s="328"/>
      <c r="G7" s="328"/>
      <c r="H7" s="328"/>
    </row>
    <row r="9" spans="1:9" ht="52.8">
      <c r="A9" s="5" t="s">
        <v>5</v>
      </c>
      <c r="C9" s="5" t="s">
        <v>106</v>
      </c>
      <c r="D9" s="5" t="s">
        <v>107</v>
      </c>
      <c r="E9" s="5"/>
      <c r="F9" s="29" t="s">
        <v>411</v>
      </c>
      <c r="G9" s="29" t="s">
        <v>412</v>
      </c>
      <c r="H9" s="5" t="s">
        <v>62</v>
      </c>
    </row>
    <row r="10" spans="1:9">
      <c r="A10" s="30" t="s">
        <v>10</v>
      </c>
      <c r="C10" s="59" t="s">
        <v>71</v>
      </c>
      <c r="D10" s="59" t="s">
        <v>72</v>
      </c>
      <c r="E10" s="5"/>
      <c r="F10" s="59" t="s">
        <v>73</v>
      </c>
      <c r="G10" s="59" t="s">
        <v>11</v>
      </c>
      <c r="H10" s="59" t="s">
        <v>12</v>
      </c>
    </row>
    <row r="11" spans="1:9">
      <c r="A11" s="5"/>
    </row>
    <row r="12" spans="1:9">
      <c r="A12" s="5"/>
    </row>
    <row r="13" spans="1:9">
      <c r="A13" s="5">
        <v>1</v>
      </c>
      <c r="C13" s="5">
        <v>2022</v>
      </c>
      <c r="D13" s="5" t="s">
        <v>78</v>
      </c>
      <c r="E13" s="32"/>
      <c r="F13" s="209">
        <v>22518</v>
      </c>
      <c r="G13" s="209">
        <v>1703</v>
      </c>
      <c r="H13" s="144"/>
    </row>
    <row r="14" spans="1:9">
      <c r="A14" s="5">
        <v>2</v>
      </c>
      <c r="C14" s="5">
        <v>2022</v>
      </c>
      <c r="D14" s="5" t="s">
        <v>79</v>
      </c>
      <c r="E14" s="32"/>
      <c r="F14" s="209">
        <v>22539</v>
      </c>
      <c r="G14" s="209">
        <v>1702</v>
      </c>
      <c r="H14" s="145"/>
    </row>
    <row r="15" spans="1:9">
      <c r="A15" s="5">
        <v>3</v>
      </c>
      <c r="C15" s="5">
        <v>2022</v>
      </c>
      <c r="D15" s="5" t="s">
        <v>80</v>
      </c>
      <c r="E15" s="32"/>
      <c r="F15" s="209">
        <v>22603</v>
      </c>
      <c r="G15" s="209">
        <v>1763</v>
      </c>
      <c r="H15" s="145"/>
    </row>
    <row r="16" spans="1:9">
      <c r="A16" s="5">
        <v>4</v>
      </c>
      <c r="C16" s="5">
        <v>2022</v>
      </c>
      <c r="D16" s="5" t="s">
        <v>81</v>
      </c>
      <c r="E16" s="32"/>
      <c r="F16" s="209">
        <v>22542</v>
      </c>
      <c r="G16" s="209">
        <v>1700</v>
      </c>
      <c r="H16" s="145"/>
    </row>
    <row r="17" spans="1:8">
      <c r="A17" s="5">
        <v>5</v>
      </c>
      <c r="C17" s="5">
        <v>2022</v>
      </c>
      <c r="D17" s="5" t="s">
        <v>82</v>
      </c>
      <c r="E17" s="32"/>
      <c r="F17" s="209">
        <v>22558</v>
      </c>
      <c r="G17" s="209">
        <v>1708</v>
      </c>
      <c r="H17" s="145"/>
    </row>
    <row r="18" spans="1:8">
      <c r="A18" s="5">
        <v>6</v>
      </c>
      <c r="C18" s="5">
        <v>2022</v>
      </c>
      <c r="D18" s="5" t="s">
        <v>83</v>
      </c>
      <c r="E18" s="32"/>
      <c r="F18" s="209">
        <v>22656</v>
      </c>
      <c r="G18" s="209">
        <v>1718</v>
      </c>
      <c r="H18" s="145"/>
    </row>
    <row r="19" spans="1:8">
      <c r="A19" s="5">
        <v>7</v>
      </c>
      <c r="C19" s="5">
        <v>2022</v>
      </c>
      <c r="D19" s="5" t="s">
        <v>84</v>
      </c>
      <c r="E19" s="32"/>
      <c r="F19" s="209">
        <v>22641</v>
      </c>
      <c r="G19" s="209">
        <v>1717</v>
      </c>
      <c r="H19" s="145"/>
    </row>
    <row r="20" spans="1:8">
      <c r="A20" s="5">
        <v>8</v>
      </c>
      <c r="C20" s="5">
        <v>2022</v>
      </c>
      <c r="D20" s="5" t="s">
        <v>85</v>
      </c>
      <c r="E20" s="32"/>
      <c r="F20" s="209">
        <v>22668</v>
      </c>
      <c r="G20" s="209">
        <v>1729</v>
      </c>
      <c r="H20" s="145"/>
    </row>
    <row r="21" spans="1:8">
      <c r="A21" s="5">
        <v>9</v>
      </c>
      <c r="C21" s="5">
        <v>2022</v>
      </c>
      <c r="D21" s="5" t="s">
        <v>86</v>
      </c>
      <c r="E21" s="32"/>
      <c r="F21" s="209">
        <v>22702</v>
      </c>
      <c r="G21" s="209">
        <v>1741</v>
      </c>
      <c r="H21" s="145"/>
    </row>
    <row r="22" spans="1:8">
      <c r="A22" s="5">
        <v>10</v>
      </c>
      <c r="C22" s="5">
        <v>2022</v>
      </c>
      <c r="D22" s="5" t="s">
        <v>87</v>
      </c>
      <c r="E22" s="32"/>
      <c r="F22" s="209">
        <v>22671</v>
      </c>
      <c r="G22" s="209">
        <v>1701</v>
      </c>
      <c r="H22" s="145"/>
    </row>
    <row r="23" spans="1:8">
      <c r="A23" s="5">
        <v>11</v>
      </c>
      <c r="C23" s="5">
        <v>2022</v>
      </c>
      <c r="D23" s="5" t="s">
        <v>88</v>
      </c>
      <c r="E23" s="32"/>
      <c r="F23" s="209">
        <v>22686</v>
      </c>
      <c r="G23" s="209">
        <v>1704</v>
      </c>
      <c r="H23" s="145"/>
    </row>
    <row r="24" spans="1:8">
      <c r="A24" s="5">
        <v>12</v>
      </c>
      <c r="C24" s="5">
        <v>2022</v>
      </c>
      <c r="D24" s="5" t="s">
        <v>89</v>
      </c>
      <c r="E24" s="32"/>
      <c r="F24" s="209">
        <v>22777</v>
      </c>
      <c r="G24" s="209">
        <v>1705</v>
      </c>
      <c r="H24" s="145"/>
    </row>
    <row r="25" spans="1:8">
      <c r="A25" s="5">
        <v>13</v>
      </c>
      <c r="C25" s="60" t="s">
        <v>258</v>
      </c>
      <c r="D25" s="11"/>
      <c r="E25" s="62"/>
      <c r="F25" s="146">
        <f>ROUND(AVERAGE(F13:F24),0)</f>
        <v>22630</v>
      </c>
      <c r="G25" s="146">
        <f>ROUND(AVERAGE(G13:G24),0)</f>
        <v>1716</v>
      </c>
      <c r="H25" s="145"/>
    </row>
    <row r="26" spans="1:8">
      <c r="A26" s="5">
        <v>14</v>
      </c>
    </row>
    <row r="27" spans="1:8">
      <c r="A27" s="5">
        <v>15</v>
      </c>
      <c r="C27" s="147" t="s">
        <v>259</v>
      </c>
      <c r="E27" s="62"/>
      <c r="F27" s="148">
        <f>F24-F25</f>
        <v>147</v>
      </c>
      <c r="G27" s="148">
        <f t="shared" ref="G27" si="0">G24-G25</f>
        <v>-11</v>
      </c>
      <c r="H27" s="145"/>
    </row>
    <row r="28" spans="1:8">
      <c r="A28" s="5">
        <v>16</v>
      </c>
      <c r="D28" s="5"/>
      <c r="E28" s="62"/>
      <c r="F28" s="62"/>
      <c r="G28" s="62"/>
    </row>
    <row r="29" spans="1:8">
      <c r="A29" s="5">
        <v>17</v>
      </c>
      <c r="C29" s="2" t="s">
        <v>260</v>
      </c>
      <c r="D29" s="5"/>
      <c r="E29" s="62"/>
      <c r="F29" s="148">
        <v>294735688</v>
      </c>
      <c r="G29" s="148">
        <v>32075927</v>
      </c>
      <c r="H29" s="145"/>
    </row>
    <row r="30" spans="1:8">
      <c r="A30" s="5">
        <v>18</v>
      </c>
      <c r="C30" s="2" t="s">
        <v>261</v>
      </c>
      <c r="D30" s="5"/>
      <c r="E30" s="62"/>
      <c r="F30" s="148">
        <f>F29/F25</f>
        <v>13024.11347768449</v>
      </c>
      <c r="G30" s="148">
        <f t="shared" ref="G30" si="1">G29/G25</f>
        <v>18692.265151515152</v>
      </c>
      <c r="H30" s="145"/>
    </row>
    <row r="31" spans="1:8">
      <c r="A31" s="5">
        <v>19</v>
      </c>
      <c r="C31" s="2" t="s">
        <v>262</v>
      </c>
      <c r="D31" s="5"/>
      <c r="E31" s="62"/>
      <c r="F31" s="148">
        <f>F30*F27</f>
        <v>1914544.6812196202</v>
      </c>
      <c r="G31" s="148">
        <f t="shared" ref="G31" si="2">G30*G27</f>
        <v>-205614.91666666669</v>
      </c>
      <c r="H31" s="9">
        <f>SUM(F31:G31)</f>
        <v>1708929.7645529534</v>
      </c>
    </row>
    <row r="32" spans="1:8">
      <c r="A32" s="5">
        <v>20</v>
      </c>
      <c r="D32" s="5"/>
      <c r="E32" s="62"/>
      <c r="F32" s="62"/>
      <c r="G32" s="62"/>
    </row>
    <row r="33" spans="1:8">
      <c r="A33" s="5">
        <v>21</v>
      </c>
      <c r="C33" s="1" t="s">
        <v>264</v>
      </c>
      <c r="D33" s="5"/>
      <c r="E33" s="62"/>
      <c r="F33" s="62"/>
      <c r="G33" s="62"/>
    </row>
    <row r="34" spans="1:8">
      <c r="A34" s="5">
        <v>22</v>
      </c>
      <c r="C34" s="2" t="s">
        <v>265</v>
      </c>
      <c r="D34" s="5"/>
      <c r="E34" s="62"/>
      <c r="F34" s="63">
        <v>29447975.360000007</v>
      </c>
      <c r="G34" s="63">
        <v>3072968.9299999997</v>
      </c>
      <c r="H34" s="145"/>
    </row>
    <row r="35" spans="1:8">
      <c r="A35" s="5">
        <v>23</v>
      </c>
      <c r="C35" s="2" t="s">
        <v>266</v>
      </c>
      <c r="D35" s="5"/>
      <c r="E35" s="62"/>
      <c r="F35" s="149">
        <f>F34/F29</f>
        <v>9.9913164774263805E-2</v>
      </c>
      <c r="G35" s="149">
        <f>G34/G29</f>
        <v>9.5802965569786958E-2</v>
      </c>
      <c r="H35" s="145"/>
    </row>
    <row r="36" spans="1:8">
      <c r="A36" s="5">
        <v>24</v>
      </c>
      <c r="C36" s="2" t="s">
        <v>267</v>
      </c>
      <c r="D36" s="5"/>
      <c r="E36" s="62"/>
      <c r="F36" s="62">
        <f>F35*F31</f>
        <v>191288.21820238628</v>
      </c>
      <c r="G36" s="62">
        <f>G35*G31</f>
        <v>-19698.518782051284</v>
      </c>
      <c r="H36" s="9">
        <f>SUM(F36:G36)</f>
        <v>171589.699420335</v>
      </c>
    </row>
    <row r="37" spans="1:8">
      <c r="A37" s="5">
        <v>25</v>
      </c>
      <c r="D37" s="5"/>
      <c r="E37" s="62"/>
      <c r="F37" s="62"/>
      <c r="G37" s="62"/>
    </row>
    <row r="38" spans="1:8">
      <c r="A38" s="5">
        <v>26</v>
      </c>
      <c r="C38" s="1" t="s">
        <v>268</v>
      </c>
      <c r="D38" s="5"/>
      <c r="E38" s="62"/>
      <c r="F38" s="62"/>
      <c r="G38" s="62"/>
    </row>
    <row r="39" spans="1:8">
      <c r="A39" s="5">
        <v>27</v>
      </c>
      <c r="C39" s="2" t="s">
        <v>269</v>
      </c>
      <c r="D39" s="5"/>
      <c r="E39" s="62"/>
      <c r="F39" s="150">
        <f>G56/G57</f>
        <v>6.3604634859720233E-2</v>
      </c>
      <c r="G39" s="150">
        <f>F39</f>
        <v>6.3604634859720233E-2</v>
      </c>
      <c r="H39" s="145"/>
    </row>
    <row r="40" spans="1:8">
      <c r="A40" s="5">
        <v>28</v>
      </c>
      <c r="C40" s="2" t="s">
        <v>270</v>
      </c>
      <c r="D40" s="5"/>
      <c r="E40" s="62"/>
      <c r="F40" s="62">
        <f>F39*F31</f>
        <v>121773.91537159341</v>
      </c>
      <c r="G40" s="62">
        <f>G39*G31</f>
        <v>-13078.061696295139</v>
      </c>
      <c r="H40" s="9">
        <f>SUM(F40:G40)</f>
        <v>108695.85367529828</v>
      </c>
    </row>
    <row r="41" spans="1:8" ht="13.8" thickBot="1">
      <c r="A41" s="5">
        <v>29</v>
      </c>
      <c r="C41" s="151"/>
      <c r="D41" s="152"/>
      <c r="E41" s="153"/>
      <c r="F41" s="153"/>
      <c r="G41" s="153"/>
      <c r="H41" s="151"/>
    </row>
    <row r="42" spans="1:8" ht="13.8" thickTop="1">
      <c r="A42" s="5"/>
      <c r="C42" s="2" t="s">
        <v>263</v>
      </c>
      <c r="D42" s="5"/>
      <c r="E42" s="62"/>
      <c r="F42" s="62"/>
      <c r="G42" s="62"/>
    </row>
    <row r="43" spans="1:8">
      <c r="A43" s="5">
        <v>30</v>
      </c>
      <c r="D43" s="5"/>
      <c r="E43" s="62"/>
    </row>
    <row r="44" spans="1:8">
      <c r="A44" s="5">
        <v>31</v>
      </c>
      <c r="E44" s="62"/>
      <c r="F44" s="154" t="s">
        <v>271</v>
      </c>
      <c r="G44" s="154" t="s">
        <v>109</v>
      </c>
    </row>
    <row r="45" spans="1:8">
      <c r="A45" s="5">
        <v>32</v>
      </c>
      <c r="C45" s="2" t="s">
        <v>111</v>
      </c>
      <c r="E45" s="62"/>
      <c r="F45" s="63">
        <v>0</v>
      </c>
      <c r="G45" s="63">
        <v>0</v>
      </c>
    </row>
    <row r="46" spans="1:8">
      <c r="A46" s="5">
        <v>33</v>
      </c>
      <c r="E46" s="62"/>
      <c r="F46" s="62"/>
    </row>
    <row r="47" spans="1:8">
      <c r="A47" s="5">
        <v>34</v>
      </c>
      <c r="C47" s="2" t="s">
        <v>112</v>
      </c>
      <c r="E47" s="32"/>
      <c r="F47" s="32">
        <f>H36</f>
        <v>171589.699420335</v>
      </c>
      <c r="G47" s="32">
        <f>H40</f>
        <v>108695.85367529828</v>
      </c>
    </row>
    <row r="48" spans="1:8">
      <c r="A48" s="5">
        <v>35</v>
      </c>
    </row>
    <row r="49" spans="1:8" ht="13.8" thickBot="1">
      <c r="A49" s="5">
        <v>36</v>
      </c>
      <c r="C49" s="16" t="s">
        <v>8</v>
      </c>
      <c r="D49" s="16"/>
      <c r="E49" s="64"/>
      <c r="F49" s="65">
        <f>ROUND(F47-F45,2)</f>
        <v>171589.7</v>
      </c>
      <c r="G49" s="65">
        <f>ROUND(G47-G45,2)</f>
        <v>108695.85</v>
      </c>
    </row>
    <row r="50" spans="1:8" ht="13.8" thickTop="1">
      <c r="A50" s="5">
        <v>37</v>
      </c>
    </row>
    <row r="51" spans="1:8">
      <c r="A51" s="5">
        <v>38</v>
      </c>
    </row>
    <row r="52" spans="1:8">
      <c r="A52" s="5">
        <v>39</v>
      </c>
      <c r="C52" s="37" t="s">
        <v>272</v>
      </c>
      <c r="G52" s="155" t="s">
        <v>273</v>
      </c>
    </row>
    <row r="53" spans="1:8">
      <c r="A53" s="5">
        <v>40</v>
      </c>
      <c r="C53" s="2" t="s">
        <v>274</v>
      </c>
      <c r="D53" s="5"/>
      <c r="E53" s="62"/>
      <c r="G53" s="62">
        <v>45844519</v>
      </c>
    </row>
    <row r="54" spans="1:8">
      <c r="A54" s="5">
        <v>41</v>
      </c>
      <c r="C54" s="2" t="s">
        <v>275</v>
      </c>
      <c r="D54" s="5"/>
      <c r="E54" s="62"/>
      <c r="G54" s="62">
        <f>-'1.01 FAC'!F25</f>
        <v>-6746654.9899999993</v>
      </c>
    </row>
    <row r="55" spans="1:8">
      <c r="A55" s="5">
        <v>42</v>
      </c>
      <c r="C55" s="2" t="s">
        <v>276</v>
      </c>
      <c r="D55" s="5"/>
      <c r="E55" s="62"/>
      <c r="G55" s="62">
        <f>-'1.02 ES'!F25</f>
        <v>-5815832.3899999987</v>
      </c>
    </row>
    <row r="56" spans="1:8">
      <c r="A56" s="5">
        <v>44</v>
      </c>
      <c r="C56" s="2" t="s">
        <v>277</v>
      </c>
      <c r="D56" s="5"/>
      <c r="E56" s="62"/>
      <c r="G56" s="62">
        <f>SUM(G53:G55)</f>
        <v>33282031.619999997</v>
      </c>
    </row>
    <row r="57" spans="1:8">
      <c r="A57" s="5">
        <v>45</v>
      </c>
      <c r="C57" s="2" t="s">
        <v>278</v>
      </c>
      <c r="D57" s="5"/>
      <c r="E57" s="62"/>
      <c r="G57" s="148">
        <v>523264251</v>
      </c>
    </row>
    <row r="59" spans="1:8" ht="27.6" customHeight="1">
      <c r="C59" s="329" t="s">
        <v>279</v>
      </c>
      <c r="D59" s="329"/>
      <c r="E59" s="329"/>
      <c r="F59" s="329"/>
      <c r="G59" s="329"/>
      <c r="H59" s="186"/>
    </row>
  </sheetData>
  <mergeCells count="4">
    <mergeCell ref="A4:H4"/>
    <mergeCell ref="A5:H5"/>
    <mergeCell ref="A7:H7"/>
    <mergeCell ref="C59:G59"/>
  </mergeCells>
  <printOptions horizontalCentered="1"/>
  <pageMargins left="0.7" right="0.7" top="0.75" bottom="0.75" header="0.3" footer="0.3"/>
  <pageSetup fitToHeight="0" orientation="portrait" r:id="rId1"/>
  <headerFooter>
    <oddFooter>&amp;RExhibit  JW-2
Page &amp;P of &amp;N</oddFooter>
  </headerFooter>
  <rowBreaks count="1" manualBreakCount="1">
    <brk id="41" max="16383" man="1"/>
  </rowBreaks>
  <ignoredErrors>
    <ignoredError sqref="C10:H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4"/>
  <sheetViews>
    <sheetView view="pageBreakPreview" zoomScale="60" zoomScaleNormal="100" workbookViewId="0">
      <selection activeCell="D68" sqref="D68"/>
    </sheetView>
  </sheetViews>
  <sheetFormatPr defaultColWidth="8.88671875" defaultRowHeight="13.2"/>
  <cols>
    <col min="1" max="1" width="5.44140625" style="38" customWidth="1"/>
    <col min="2" max="2" width="24.6640625" style="38" customWidth="1"/>
    <col min="3" max="3" width="13.44140625" style="38" customWidth="1"/>
    <col min="4" max="4" width="19.6640625" style="38" customWidth="1"/>
    <col min="5" max="10" width="18.109375" style="38" customWidth="1"/>
    <col min="11" max="11" width="10.5546875" style="38" bestFit="1" customWidth="1"/>
    <col min="12" max="16384" width="8.88671875" style="38"/>
  </cols>
  <sheetData>
    <row r="1" spans="1:11">
      <c r="D1" s="26" t="s">
        <v>143</v>
      </c>
    </row>
    <row r="2" spans="1:11">
      <c r="J2" s="26"/>
    </row>
    <row r="3" spans="1:11">
      <c r="J3" s="26"/>
    </row>
    <row r="4" spans="1:11">
      <c r="A4" s="331" t="str">
        <f>RevReq!A1</f>
        <v>FARMERS RECC</v>
      </c>
      <c r="B4" s="331"/>
      <c r="C4" s="331"/>
      <c r="D4" s="331"/>
      <c r="E4" s="34"/>
      <c r="F4" s="34"/>
      <c r="G4" s="34"/>
      <c r="H4" s="34"/>
      <c r="I4" s="34"/>
      <c r="J4" s="34"/>
    </row>
    <row r="5" spans="1:11">
      <c r="A5" s="331" t="str">
        <f>RevReq!A3</f>
        <v>For the 12 Months Ended December 31, 2022</v>
      </c>
      <c r="B5" s="331"/>
      <c r="C5" s="331"/>
      <c r="D5" s="331"/>
      <c r="E5" s="34"/>
      <c r="F5" s="34"/>
      <c r="G5" s="34"/>
      <c r="H5" s="34"/>
      <c r="I5" s="34"/>
      <c r="J5" s="34"/>
      <c r="K5" s="34"/>
    </row>
    <row r="6" spans="1:1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>
      <c r="A7" s="328" t="s">
        <v>144</v>
      </c>
      <c r="B7" s="328"/>
      <c r="C7" s="328"/>
      <c r="D7" s="328"/>
      <c r="E7" s="37"/>
      <c r="F7" s="37"/>
      <c r="G7" s="37"/>
      <c r="H7" s="37"/>
      <c r="I7" s="37"/>
      <c r="J7" s="37"/>
    </row>
    <row r="9" spans="1:11">
      <c r="A9" s="46"/>
      <c r="B9" s="40"/>
      <c r="C9" s="40"/>
      <c r="D9" s="81" t="s">
        <v>98</v>
      </c>
      <c r="E9" s="68"/>
      <c r="F9" s="68"/>
      <c r="G9" s="68"/>
      <c r="H9" s="68"/>
      <c r="I9" s="68"/>
      <c r="J9" s="68"/>
    </row>
    <row r="10" spans="1:11">
      <c r="A10" s="90" t="s">
        <v>10</v>
      </c>
      <c r="B10" s="75" t="s">
        <v>92</v>
      </c>
      <c r="C10" s="75" t="s">
        <v>97</v>
      </c>
      <c r="D10" s="92" t="s">
        <v>127</v>
      </c>
      <c r="E10" s="69"/>
      <c r="F10" s="69"/>
      <c r="G10" s="69"/>
      <c r="H10" s="69"/>
      <c r="I10" s="69"/>
      <c r="J10" s="69"/>
    </row>
    <row r="11" spans="1:11">
      <c r="A11" s="46">
        <v>1</v>
      </c>
      <c r="B11" s="38" t="s">
        <v>353</v>
      </c>
      <c r="C11" s="40"/>
      <c r="D11" s="91"/>
      <c r="E11" s="167"/>
      <c r="F11" s="67"/>
      <c r="G11" s="67"/>
      <c r="H11" s="67"/>
      <c r="I11" s="67"/>
      <c r="J11" s="67"/>
      <c r="K11" s="67"/>
    </row>
    <row r="12" spans="1:11">
      <c r="A12" s="46">
        <f>A11+1</f>
        <v>2</v>
      </c>
      <c r="C12" s="208">
        <v>583</v>
      </c>
      <c r="D12" s="222">
        <v>2369.2399999999998</v>
      </c>
      <c r="E12" s="167"/>
      <c r="F12" s="67"/>
      <c r="G12" s="67"/>
      <c r="H12" s="67"/>
      <c r="I12" s="67"/>
      <c r="J12" s="67"/>
      <c r="K12" s="67"/>
    </row>
    <row r="13" spans="1:11">
      <c r="A13" s="46">
        <f t="shared" ref="A13:A37" si="0">A12+1</f>
        <v>3</v>
      </c>
      <c r="C13" s="208">
        <v>588</v>
      </c>
      <c r="D13" s="222">
        <v>407.82</v>
      </c>
      <c r="E13" s="167"/>
      <c r="F13" s="67"/>
      <c r="G13" s="67"/>
      <c r="H13" s="67"/>
      <c r="I13" s="67"/>
      <c r="J13" s="67"/>
      <c r="K13" s="67"/>
    </row>
    <row r="14" spans="1:11">
      <c r="A14" s="46">
        <f t="shared" si="0"/>
        <v>4</v>
      </c>
      <c r="C14" s="208">
        <v>593</v>
      </c>
      <c r="D14" s="222">
        <v>39374.239999999998</v>
      </c>
      <c r="E14" s="167"/>
      <c r="F14" s="67"/>
      <c r="G14" s="67"/>
      <c r="H14" s="67"/>
      <c r="I14" s="67"/>
      <c r="J14" s="67"/>
      <c r="K14" s="67"/>
    </row>
    <row r="15" spans="1:11">
      <c r="A15" s="46">
        <f t="shared" si="0"/>
        <v>5</v>
      </c>
      <c r="C15" s="208">
        <v>593.01</v>
      </c>
      <c r="D15" s="222">
        <v>4651.6099999999997</v>
      </c>
      <c r="E15" s="167"/>
      <c r="F15" s="67"/>
      <c r="G15" s="67"/>
      <c r="H15" s="67"/>
      <c r="I15" s="67"/>
      <c r="J15" s="67"/>
      <c r="K15" s="67"/>
    </row>
    <row r="16" spans="1:11">
      <c r="A16" s="46">
        <f t="shared" si="0"/>
        <v>6</v>
      </c>
      <c r="C16" s="208">
        <v>593.03</v>
      </c>
      <c r="D16" s="222">
        <v>6297.67</v>
      </c>
      <c r="E16" s="167"/>
      <c r="F16" s="67"/>
      <c r="G16" s="67"/>
      <c r="H16" s="67"/>
      <c r="I16" s="67"/>
      <c r="J16" s="67"/>
      <c r="K16" s="67"/>
    </row>
    <row r="17" spans="1:11">
      <c r="A17" s="46">
        <f t="shared" si="0"/>
        <v>7</v>
      </c>
      <c r="C17" s="208">
        <v>593.1</v>
      </c>
      <c r="D17" s="222">
        <v>1153.46</v>
      </c>
      <c r="E17" s="167"/>
      <c r="F17" s="67"/>
      <c r="G17" s="67"/>
      <c r="H17" s="67"/>
      <c r="I17" s="67"/>
      <c r="J17" s="67"/>
      <c r="K17" s="67"/>
    </row>
    <row r="18" spans="1:11">
      <c r="A18" s="46">
        <f t="shared" si="0"/>
        <v>8</v>
      </c>
      <c r="C18" s="208">
        <v>593.21</v>
      </c>
      <c r="D18" s="222">
        <v>1128.06</v>
      </c>
      <c r="E18" s="167"/>
      <c r="F18" s="67"/>
      <c r="G18" s="67"/>
      <c r="H18" s="67"/>
      <c r="I18" s="67"/>
      <c r="J18" s="67"/>
      <c r="K18" s="67"/>
    </row>
    <row r="19" spans="1:11">
      <c r="A19" s="46">
        <f t="shared" si="0"/>
        <v>9</v>
      </c>
      <c r="C19" s="208">
        <v>903</v>
      </c>
      <c r="D19" s="222">
        <v>2138.3200000000002</v>
      </c>
      <c r="E19" s="167"/>
      <c r="F19" s="67"/>
      <c r="G19" s="67"/>
      <c r="H19" s="67"/>
      <c r="I19" s="67"/>
      <c r="J19" s="67"/>
      <c r="K19" s="67"/>
    </row>
    <row r="20" spans="1:11">
      <c r="A20" s="46">
        <f t="shared" si="0"/>
        <v>10</v>
      </c>
      <c r="C20" s="208">
        <v>908</v>
      </c>
      <c r="D20" s="222">
        <v>1332.93</v>
      </c>
      <c r="E20" s="167"/>
      <c r="F20" s="67"/>
      <c r="G20" s="67"/>
      <c r="H20" s="67"/>
      <c r="I20" s="67"/>
      <c r="J20" s="67"/>
      <c r="K20" s="67"/>
    </row>
    <row r="21" spans="1:11">
      <c r="A21" s="46">
        <f t="shared" si="0"/>
        <v>11</v>
      </c>
      <c r="C21" s="208">
        <v>920</v>
      </c>
      <c r="D21" s="222">
        <v>7266.8600000000006</v>
      </c>
      <c r="E21" s="167"/>
      <c r="F21" s="67"/>
      <c r="G21" s="67"/>
      <c r="H21" s="67"/>
      <c r="I21" s="67"/>
      <c r="J21" s="67"/>
      <c r="K21" s="67"/>
    </row>
    <row r="22" spans="1:11">
      <c r="A22" s="46">
        <f t="shared" si="0"/>
        <v>12</v>
      </c>
      <c r="C22" s="208">
        <v>930.2</v>
      </c>
      <c r="D22" s="222">
        <v>874.46</v>
      </c>
      <c r="E22" s="167"/>
      <c r="F22" s="67"/>
      <c r="G22" s="67"/>
      <c r="H22" s="67"/>
      <c r="I22" s="67"/>
      <c r="J22" s="67"/>
      <c r="K22" s="67"/>
    </row>
    <row r="23" spans="1:11">
      <c r="A23" s="46">
        <f t="shared" si="0"/>
        <v>13</v>
      </c>
      <c r="C23" s="47">
        <v>108.8</v>
      </c>
      <c r="D23" s="223">
        <v>30724.18</v>
      </c>
      <c r="E23" s="167"/>
      <c r="F23" s="67"/>
      <c r="G23" s="67"/>
      <c r="H23" s="67"/>
      <c r="I23" s="67"/>
      <c r="J23" s="67"/>
      <c r="K23" s="67"/>
    </row>
    <row r="24" spans="1:11">
      <c r="A24" s="46">
        <f t="shared" si="0"/>
        <v>14</v>
      </c>
      <c r="C24" s="47">
        <v>107.2</v>
      </c>
      <c r="D24" s="224">
        <v>89675.57</v>
      </c>
      <c r="E24" s="167"/>
      <c r="F24" s="67"/>
      <c r="G24" s="67"/>
      <c r="H24" s="67"/>
      <c r="I24" s="67"/>
      <c r="J24" s="67"/>
      <c r="K24" s="67"/>
    </row>
    <row r="25" spans="1:11">
      <c r="A25" s="46">
        <f t="shared" si="0"/>
        <v>15</v>
      </c>
      <c r="B25" s="50" t="s">
        <v>62</v>
      </c>
      <c r="C25" s="50"/>
      <c r="D25" s="225">
        <f>SUM(D11:D24)</f>
        <v>187394.42</v>
      </c>
      <c r="E25" s="167"/>
      <c r="F25" s="67"/>
      <c r="G25" s="67"/>
      <c r="H25" s="67"/>
      <c r="I25" s="67"/>
      <c r="J25" s="67"/>
    </row>
    <row r="26" spans="1:11">
      <c r="A26" s="46">
        <f t="shared" si="0"/>
        <v>16</v>
      </c>
      <c r="D26" s="167"/>
      <c r="E26" s="167"/>
      <c r="F26" s="67"/>
      <c r="G26" s="67"/>
      <c r="H26" s="67"/>
      <c r="I26" s="67"/>
      <c r="J26" s="67"/>
    </row>
    <row r="27" spans="1:11">
      <c r="A27" s="46">
        <f t="shared" si="0"/>
        <v>17</v>
      </c>
      <c r="B27" s="71"/>
      <c r="C27" s="71"/>
      <c r="D27" s="226"/>
      <c r="E27" s="226"/>
      <c r="F27" s="71"/>
      <c r="G27" s="71"/>
      <c r="H27" s="67"/>
      <c r="I27" s="67"/>
      <c r="J27" s="67"/>
    </row>
    <row r="28" spans="1:11">
      <c r="A28" s="46">
        <f t="shared" si="0"/>
        <v>18</v>
      </c>
      <c r="B28" s="38" t="s">
        <v>354</v>
      </c>
      <c r="D28" s="224">
        <v>80170.05</v>
      </c>
      <c r="E28" s="226"/>
      <c r="F28" s="71"/>
      <c r="G28" s="71"/>
      <c r="H28" s="67"/>
      <c r="I28" s="67"/>
      <c r="J28" s="67"/>
    </row>
    <row r="29" spans="1:11">
      <c r="A29" s="46">
        <f t="shared" si="0"/>
        <v>19</v>
      </c>
      <c r="B29" s="66" t="s">
        <v>355</v>
      </c>
      <c r="C29" s="66"/>
      <c r="D29" s="227">
        <v>107224.37</v>
      </c>
      <c r="E29" s="228"/>
      <c r="F29" s="72"/>
      <c r="G29" s="72"/>
      <c r="H29" s="72"/>
      <c r="I29" s="72"/>
      <c r="J29" s="72"/>
    </row>
    <row r="30" spans="1:11">
      <c r="A30" s="46">
        <f t="shared" si="0"/>
        <v>20</v>
      </c>
      <c r="B30" s="38" t="s">
        <v>62</v>
      </c>
      <c r="D30" s="224">
        <f>SUM(D28:D29)</f>
        <v>187394.41999999998</v>
      </c>
      <c r="E30" s="224"/>
      <c r="F30" s="73"/>
    </row>
    <row r="31" spans="1:11">
      <c r="A31" s="46">
        <f t="shared" si="0"/>
        <v>21</v>
      </c>
      <c r="B31" s="73"/>
      <c r="C31" s="73"/>
      <c r="D31" s="224"/>
      <c r="E31" s="224"/>
      <c r="F31" s="73"/>
    </row>
    <row r="32" spans="1:11">
      <c r="A32" s="46">
        <f t="shared" si="0"/>
        <v>22</v>
      </c>
      <c r="B32" s="73" t="s">
        <v>626</v>
      </c>
      <c r="C32" s="73"/>
      <c r="D32" s="224">
        <f>SUM(D12:D22)</f>
        <v>66994.67</v>
      </c>
      <c r="E32" s="224"/>
      <c r="F32" s="73"/>
    </row>
    <row r="33" spans="1:6">
      <c r="A33" s="46">
        <f t="shared" si="0"/>
        <v>23</v>
      </c>
      <c r="B33" s="220" t="s">
        <v>627</v>
      </c>
      <c r="C33" s="220"/>
      <c r="D33" s="227">
        <f>SUM(D23:D24)</f>
        <v>120399.75</v>
      </c>
      <c r="E33" s="224"/>
      <c r="F33" s="73"/>
    </row>
    <row r="34" spans="1:6">
      <c r="A34" s="46">
        <f t="shared" si="0"/>
        <v>24</v>
      </c>
      <c r="B34" s="73" t="s">
        <v>62</v>
      </c>
      <c r="C34" s="73"/>
      <c r="D34" s="224">
        <f>D32+D33</f>
        <v>187394.41999999998</v>
      </c>
      <c r="E34" s="224"/>
      <c r="F34" s="73"/>
    </row>
    <row r="35" spans="1:6">
      <c r="A35" s="46">
        <f t="shared" si="0"/>
        <v>25</v>
      </c>
      <c r="B35" s="73"/>
      <c r="C35" s="73"/>
      <c r="D35" s="224"/>
      <c r="E35" s="224"/>
      <c r="F35" s="73"/>
    </row>
    <row r="36" spans="1:6">
      <c r="A36" s="46">
        <f t="shared" si="0"/>
        <v>26</v>
      </c>
      <c r="B36" s="73"/>
      <c r="C36" s="73"/>
      <c r="D36" s="224"/>
      <c r="E36" s="224"/>
      <c r="F36" s="73"/>
    </row>
    <row r="37" spans="1:6">
      <c r="A37" s="46">
        <f t="shared" si="0"/>
        <v>27</v>
      </c>
      <c r="B37" s="38" t="s">
        <v>142</v>
      </c>
      <c r="D37" s="229">
        <f>D32</f>
        <v>66994.67</v>
      </c>
      <c r="E37" s="223"/>
      <c r="F37" s="74"/>
    </row>
    <row r="38" spans="1:6">
      <c r="B38" s="74"/>
      <c r="C38" s="74"/>
      <c r="D38" s="74"/>
      <c r="E38" s="74"/>
      <c r="F38" s="74"/>
    </row>
    <row r="39" spans="1:6">
      <c r="A39" s="38" t="s">
        <v>159</v>
      </c>
      <c r="B39" s="72"/>
      <c r="C39" s="72"/>
      <c r="D39" s="74"/>
      <c r="E39" s="74"/>
      <c r="F39" s="74"/>
    </row>
    <row r="40" spans="1:6">
      <c r="A40" s="38" t="s">
        <v>145</v>
      </c>
      <c r="B40" s="73"/>
      <c r="C40" s="73"/>
      <c r="D40" s="74"/>
      <c r="E40" s="74"/>
      <c r="F40" s="47"/>
    </row>
    <row r="41" spans="1:6">
      <c r="B41" s="74"/>
      <c r="C41" s="74"/>
      <c r="D41" s="74"/>
      <c r="E41" s="74"/>
      <c r="F41" s="74"/>
    </row>
    <row r="42" spans="1:6">
      <c r="B42" s="74"/>
      <c r="C42" s="74"/>
      <c r="D42" s="74"/>
      <c r="E42" s="74"/>
      <c r="F42" s="74"/>
    </row>
    <row r="43" spans="1:6">
      <c r="B43" s="74"/>
      <c r="C43" s="74"/>
      <c r="D43" s="74"/>
      <c r="E43" s="74"/>
      <c r="F43" s="74"/>
    </row>
    <row r="44" spans="1:6">
      <c r="B44" s="74"/>
      <c r="C44" s="74"/>
      <c r="D44" s="74"/>
      <c r="E44" s="74"/>
      <c r="F44" s="74"/>
    </row>
    <row r="45" spans="1:6">
      <c r="B45" s="74"/>
      <c r="C45" s="74"/>
      <c r="D45" s="74"/>
    </row>
    <row r="46" spans="1:6">
      <c r="B46" s="74"/>
      <c r="C46" s="74"/>
      <c r="D46" s="74"/>
    </row>
    <row r="47" spans="1:6">
      <c r="B47" s="74"/>
      <c r="C47" s="74"/>
      <c r="D47" s="74"/>
    </row>
    <row r="48" spans="1:6">
      <c r="B48" s="74"/>
      <c r="C48" s="74"/>
      <c r="D48" s="74"/>
    </row>
    <row r="49" spans="2:4">
      <c r="B49" s="74"/>
      <c r="C49" s="74"/>
      <c r="D49" s="74"/>
    </row>
    <row r="50" spans="2:4">
      <c r="B50" s="74"/>
      <c r="C50" s="74"/>
      <c r="D50" s="74"/>
    </row>
    <row r="51" spans="2:4">
      <c r="B51" s="74"/>
      <c r="C51" s="74"/>
      <c r="D51" s="74"/>
    </row>
    <row r="52" spans="2:4">
      <c r="B52" s="74"/>
      <c r="C52" s="74"/>
      <c r="D52" s="74"/>
    </row>
    <row r="53" spans="2:4">
      <c r="B53" s="74"/>
      <c r="C53" s="74"/>
      <c r="D53" s="74"/>
    </row>
    <row r="54" spans="2:4">
      <c r="B54" s="74"/>
      <c r="C54" s="74"/>
      <c r="D54" s="74"/>
    </row>
  </sheetData>
  <mergeCells count="3">
    <mergeCell ref="A4:D4"/>
    <mergeCell ref="A5:D5"/>
    <mergeCell ref="A7:D7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D25:D26" unlockedFormula="1"/>
    <ignoredError sqref="D32:D3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4"/>
  <sheetViews>
    <sheetView view="pageBreakPreview" zoomScale="60" zoomScaleNormal="100" workbookViewId="0">
      <selection activeCell="D68" sqref="D68"/>
    </sheetView>
  </sheetViews>
  <sheetFormatPr defaultColWidth="8.88671875" defaultRowHeight="13.2"/>
  <cols>
    <col min="1" max="1" width="7.88671875" style="38" customWidth="1"/>
    <col min="2" max="2" width="28.88671875" style="38" customWidth="1"/>
    <col min="3" max="3" width="14.6640625" style="38" customWidth="1"/>
    <col min="4" max="4" width="16.5546875" style="38" customWidth="1"/>
    <col min="5" max="5" width="16.5546875" style="55" customWidth="1"/>
    <col min="6" max="16384" width="8.88671875" style="38"/>
  </cols>
  <sheetData>
    <row r="1" spans="1:16" ht="15" customHeight="1">
      <c r="A1" s="40"/>
      <c r="E1" s="26" t="s">
        <v>94</v>
      </c>
      <c r="F1" s="55" t="s">
        <v>64</v>
      </c>
      <c r="H1" s="26"/>
      <c r="M1" s="40"/>
      <c r="O1" s="26"/>
    </row>
    <row r="2" spans="1:16" ht="20.25" customHeight="1">
      <c r="G2" s="26"/>
      <c r="H2" s="26"/>
    </row>
    <row r="3" spans="1:16">
      <c r="G3" s="26"/>
      <c r="H3" s="26"/>
    </row>
    <row r="4" spans="1:16">
      <c r="A4" s="331" t="str">
        <f>RevReq!A1</f>
        <v>FARMERS RECC</v>
      </c>
      <c r="B4" s="331"/>
      <c r="C4" s="331"/>
      <c r="D4" s="331"/>
      <c r="E4" s="331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>
      <c r="A5" s="331" t="str">
        <f>RevReq!A3</f>
        <v>For the 12 Months Ended December 31, 2022</v>
      </c>
      <c r="B5" s="331"/>
      <c r="C5" s="331"/>
      <c r="D5" s="331"/>
      <c r="E5" s="331"/>
      <c r="F5" s="34"/>
      <c r="G5" s="34"/>
      <c r="H5" s="34"/>
      <c r="I5" s="34"/>
      <c r="J5" s="34"/>
      <c r="K5" s="34"/>
      <c r="L5" s="34"/>
      <c r="M5" s="34"/>
      <c r="N5" s="34"/>
      <c r="O5" s="34"/>
    </row>
    <row r="7" spans="1:16" s="35" customFormat="1" ht="15" customHeight="1">
      <c r="A7" s="328" t="s">
        <v>95</v>
      </c>
      <c r="B7" s="328"/>
      <c r="C7" s="328"/>
      <c r="D7" s="328"/>
      <c r="E7" s="328"/>
      <c r="F7" s="37"/>
      <c r="G7" s="37"/>
      <c r="H7" s="37"/>
      <c r="I7" s="37"/>
      <c r="J7" s="37"/>
      <c r="K7" s="37"/>
      <c r="L7" s="37"/>
      <c r="M7" s="37"/>
      <c r="N7" s="37"/>
      <c r="O7" s="37"/>
    </row>
    <row r="10" spans="1:16">
      <c r="B10" s="70"/>
      <c r="C10" s="70"/>
      <c r="D10" s="70" t="s">
        <v>62</v>
      </c>
      <c r="E10" s="168"/>
      <c r="F10" s="68"/>
      <c r="G10" s="68"/>
      <c r="H10" s="68"/>
      <c r="I10" s="68"/>
      <c r="J10" s="68"/>
      <c r="K10" s="68"/>
      <c r="L10" s="68"/>
      <c r="M10" s="68"/>
    </row>
    <row r="11" spans="1:16" s="52" customFormat="1">
      <c r="A11" s="40" t="s">
        <v>5</v>
      </c>
      <c r="B11" s="40" t="s">
        <v>92</v>
      </c>
      <c r="C11" s="40" t="s">
        <v>97</v>
      </c>
      <c r="D11" s="40" t="s">
        <v>96</v>
      </c>
      <c r="E11" s="169" t="s">
        <v>556</v>
      </c>
      <c r="F11" s="68"/>
      <c r="G11" s="68"/>
      <c r="H11" s="68"/>
      <c r="I11" s="68"/>
      <c r="J11" s="68"/>
      <c r="K11" s="68"/>
      <c r="L11" s="68"/>
      <c r="M11" s="68"/>
    </row>
    <row r="12" spans="1:16" s="52" customFormat="1">
      <c r="A12" s="75" t="s">
        <v>10</v>
      </c>
      <c r="B12" s="54" t="s">
        <v>71</v>
      </c>
      <c r="C12" s="54" t="s">
        <v>72</v>
      </c>
      <c r="D12" s="54" t="s">
        <v>73</v>
      </c>
      <c r="E12" s="57" t="s">
        <v>11</v>
      </c>
      <c r="F12" s="68"/>
      <c r="G12" s="68"/>
      <c r="H12" s="68"/>
      <c r="I12" s="68"/>
      <c r="J12" s="68"/>
      <c r="K12" s="68"/>
      <c r="L12" s="68"/>
      <c r="M12" s="68"/>
    </row>
    <row r="14" spans="1:16">
      <c r="A14" s="40">
        <v>1</v>
      </c>
      <c r="B14" s="38" t="s">
        <v>555</v>
      </c>
      <c r="C14" s="47">
        <v>930.21</v>
      </c>
      <c r="D14" s="170">
        <f>21458.28-4851.29</f>
        <v>16606.989999999998</v>
      </c>
      <c r="E14" s="170">
        <f>-D14</f>
        <v>-16606.989999999998</v>
      </c>
    </row>
    <row r="15" spans="1:16">
      <c r="A15" s="40">
        <f>A14+1</f>
        <v>2</v>
      </c>
      <c r="B15" s="38" t="s">
        <v>102</v>
      </c>
      <c r="C15" s="47">
        <v>426.1</v>
      </c>
      <c r="D15" s="170">
        <v>9675</v>
      </c>
      <c r="E15" s="170">
        <f t="shared" ref="E15:E19" si="0">-D15</f>
        <v>-9675</v>
      </c>
    </row>
    <row r="16" spans="1:16">
      <c r="A16" s="40">
        <f t="shared" ref="A16:A21" si="1">A15+1</f>
        <v>3</v>
      </c>
      <c r="B16" s="38" t="s">
        <v>100</v>
      </c>
      <c r="C16" s="47">
        <v>930.1</v>
      </c>
      <c r="D16" s="170">
        <v>12697</v>
      </c>
      <c r="E16" s="170">
        <f t="shared" si="0"/>
        <v>-12697</v>
      </c>
    </row>
    <row r="17" spans="1:11">
      <c r="A17" s="40">
        <f t="shared" si="1"/>
        <v>4</v>
      </c>
      <c r="B17" s="38" t="s">
        <v>101</v>
      </c>
      <c r="C17" s="47">
        <v>930.1</v>
      </c>
      <c r="D17" s="170">
        <v>123534.39</v>
      </c>
      <c r="E17" s="170">
        <f t="shared" si="0"/>
        <v>-123534.39</v>
      </c>
    </row>
    <row r="18" spans="1:11">
      <c r="A18" s="40">
        <f t="shared" si="1"/>
        <v>5</v>
      </c>
      <c r="B18" s="38" t="s">
        <v>99</v>
      </c>
      <c r="C18" s="47">
        <v>930.2</v>
      </c>
      <c r="D18" s="170">
        <v>71394.710000000006</v>
      </c>
      <c r="E18" s="170">
        <f t="shared" si="0"/>
        <v>-71394.710000000006</v>
      </c>
    </row>
    <row r="19" spans="1:11">
      <c r="A19" s="40">
        <f t="shared" si="1"/>
        <v>6</v>
      </c>
      <c r="B19" s="38" t="s">
        <v>554</v>
      </c>
      <c r="C19" s="47">
        <v>930.23</v>
      </c>
      <c r="D19" s="170">
        <v>51023.93</v>
      </c>
      <c r="E19" s="170">
        <f t="shared" si="0"/>
        <v>-51023.93</v>
      </c>
    </row>
    <row r="20" spans="1:11">
      <c r="A20" s="40">
        <f t="shared" si="1"/>
        <v>7</v>
      </c>
    </row>
    <row r="21" spans="1:11">
      <c r="A21" s="40">
        <f t="shared" si="1"/>
        <v>8</v>
      </c>
      <c r="B21" s="38" t="s">
        <v>62</v>
      </c>
      <c r="E21" s="170">
        <f>SUM(E14:E20)</f>
        <v>-284932.02</v>
      </c>
    </row>
    <row r="24" spans="1:11" ht="46.2" customHeight="1">
      <c r="B24" s="330" t="s">
        <v>103</v>
      </c>
      <c r="C24" s="330"/>
      <c r="D24" s="330"/>
      <c r="E24" s="330"/>
      <c r="F24" s="74"/>
      <c r="G24" s="74"/>
      <c r="H24" s="74"/>
      <c r="I24" s="74"/>
      <c r="J24" s="74"/>
      <c r="K24" s="74"/>
    </row>
  </sheetData>
  <sortState xmlns:xlrd2="http://schemas.microsoft.com/office/spreadsheetml/2017/richdata2" ref="A14:S20">
    <sortCondition ref="B14:B20"/>
  </sortState>
  <mergeCells count="4">
    <mergeCell ref="A4:E4"/>
    <mergeCell ref="A5:E5"/>
    <mergeCell ref="A7:E7"/>
    <mergeCell ref="B24:E24"/>
  </mergeCells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2:E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3"/>
  <sheetViews>
    <sheetView view="pageBreakPreview" topLeftCell="A7" zoomScale="60" zoomScaleNormal="100" workbookViewId="0">
      <selection activeCell="D68" sqref="D68"/>
    </sheetView>
  </sheetViews>
  <sheetFormatPr defaultColWidth="9.109375" defaultRowHeight="13.2"/>
  <cols>
    <col min="1" max="1" width="5.33203125" style="38" customWidth="1"/>
    <col min="2" max="2" width="21.6640625" style="38" bestFit="1" customWidth="1"/>
    <col min="3" max="3" width="9" style="38" bestFit="1" customWidth="1"/>
    <col min="4" max="4" width="11.21875" style="38" bestFit="1" customWidth="1"/>
    <col min="5" max="5" width="34.33203125" style="38" bestFit="1" customWidth="1"/>
    <col min="6" max="6" width="13.44140625" style="38" bestFit="1" customWidth="1"/>
    <col min="7" max="7" width="12" style="38" bestFit="1" customWidth="1"/>
    <col min="8" max="8" width="7.5546875" style="38" bestFit="1" customWidth="1"/>
    <col min="9" max="9" width="6.44140625" style="38" bestFit="1" customWidth="1"/>
    <col min="10" max="10" width="6" style="38" bestFit="1" customWidth="1"/>
    <col min="11" max="11" width="13.6640625" style="38" customWidth="1"/>
    <col min="12" max="12" width="14" style="38" bestFit="1" customWidth="1"/>
    <col min="13" max="16384" width="9.109375" style="38"/>
  </cols>
  <sheetData>
    <row r="1" spans="1:13">
      <c r="K1" s="26" t="s">
        <v>91</v>
      </c>
    </row>
    <row r="4" spans="1:13">
      <c r="A4" s="331" t="str">
        <f>RevReq!A1</f>
        <v>FARMERS RECC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3">
      <c r="A5" s="331" t="str">
        <f>RevReq!A3</f>
        <v>For the 12 Months Ended December 31, 2022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6" spans="1:1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3">
      <c r="A7" s="328" t="s">
        <v>93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</row>
    <row r="9" spans="1:13">
      <c r="B9" s="216"/>
      <c r="C9" s="217"/>
      <c r="D9" s="216" t="s">
        <v>562</v>
      </c>
      <c r="E9" s="216"/>
      <c r="F9" s="216" t="s">
        <v>563</v>
      </c>
      <c r="G9" s="216" t="s">
        <v>623</v>
      </c>
      <c r="H9" s="216" t="s">
        <v>564</v>
      </c>
      <c r="I9" s="216" t="s">
        <v>565</v>
      </c>
      <c r="J9" s="216"/>
    </row>
    <row r="10" spans="1:13">
      <c r="A10" s="45" t="s">
        <v>10</v>
      </c>
      <c r="B10" s="240" t="s">
        <v>566</v>
      </c>
      <c r="C10" s="241" t="s">
        <v>567</v>
      </c>
      <c r="D10" s="240" t="s">
        <v>568</v>
      </c>
      <c r="E10" s="240" t="s">
        <v>6</v>
      </c>
      <c r="F10" s="240" t="s">
        <v>569</v>
      </c>
      <c r="G10" s="240" t="s">
        <v>570</v>
      </c>
      <c r="H10" s="240" t="s">
        <v>571</v>
      </c>
      <c r="I10" s="242" t="s">
        <v>572</v>
      </c>
      <c r="J10" s="240" t="s">
        <v>573</v>
      </c>
      <c r="K10" s="243" t="s">
        <v>110</v>
      </c>
      <c r="L10" s="311"/>
      <c r="M10" s="311"/>
    </row>
    <row r="11" spans="1:13">
      <c r="A11" s="46"/>
      <c r="F11" s="47"/>
      <c r="G11" s="47"/>
      <c r="H11" s="47"/>
      <c r="I11" s="47"/>
      <c r="J11" s="47"/>
      <c r="K11" s="208"/>
      <c r="L11" s="311"/>
      <c r="M11" s="311"/>
    </row>
    <row r="12" spans="1:13">
      <c r="A12" s="46">
        <v>1</v>
      </c>
      <c r="B12" s="218" t="s">
        <v>574</v>
      </c>
      <c r="C12" s="218" t="s">
        <v>575</v>
      </c>
      <c r="D12" s="219">
        <v>54157</v>
      </c>
      <c r="E12" s="218" t="s">
        <v>576</v>
      </c>
      <c r="F12" s="74">
        <v>600</v>
      </c>
      <c r="G12" s="74"/>
      <c r="H12" s="74"/>
      <c r="I12" s="74"/>
      <c r="J12" s="74"/>
      <c r="K12" s="100">
        <f t="shared" ref="K12:K19" si="0">F12</f>
        <v>600</v>
      </c>
      <c r="L12" s="311"/>
      <c r="M12" s="311"/>
    </row>
    <row r="13" spans="1:13">
      <c r="A13" s="46">
        <f t="shared" ref="A13:A51" si="1">1+A12</f>
        <v>2</v>
      </c>
      <c r="B13" s="218" t="s">
        <v>577</v>
      </c>
      <c r="C13" s="218" t="s">
        <v>575</v>
      </c>
      <c r="D13" s="219">
        <v>54158</v>
      </c>
      <c r="E13" s="218" t="s">
        <v>578</v>
      </c>
      <c r="F13" s="74">
        <v>600</v>
      </c>
      <c r="G13" s="74"/>
      <c r="H13" s="74"/>
      <c r="I13" s="74"/>
      <c r="J13" s="74"/>
      <c r="K13" s="100">
        <f t="shared" si="0"/>
        <v>600</v>
      </c>
      <c r="L13" s="311"/>
      <c r="M13" s="311"/>
    </row>
    <row r="14" spans="1:13">
      <c r="A14" s="46">
        <f t="shared" si="1"/>
        <v>3</v>
      </c>
      <c r="B14" s="218" t="s">
        <v>579</v>
      </c>
      <c r="C14" s="218" t="s">
        <v>575</v>
      </c>
      <c r="D14" s="219">
        <v>54159</v>
      </c>
      <c r="E14" s="218" t="s">
        <v>580</v>
      </c>
      <c r="F14" s="74">
        <v>600</v>
      </c>
      <c r="G14" s="74"/>
      <c r="H14" s="74"/>
      <c r="I14" s="74"/>
      <c r="J14" s="74"/>
      <c r="K14" s="100">
        <f t="shared" si="0"/>
        <v>600</v>
      </c>
      <c r="L14" s="311"/>
      <c r="M14" s="311"/>
    </row>
    <row r="15" spans="1:13">
      <c r="A15" s="46">
        <f t="shared" si="1"/>
        <v>4</v>
      </c>
      <c r="B15" s="218" t="s">
        <v>581</v>
      </c>
      <c r="C15" s="218" t="s">
        <v>575</v>
      </c>
      <c r="D15" s="219">
        <v>54163</v>
      </c>
      <c r="E15" s="218" t="s">
        <v>582</v>
      </c>
      <c r="F15" s="74">
        <v>600</v>
      </c>
      <c r="G15" s="74"/>
      <c r="H15" s="74"/>
      <c r="I15" s="74"/>
      <c r="J15" s="74"/>
      <c r="K15" s="100">
        <f t="shared" si="0"/>
        <v>600</v>
      </c>
      <c r="L15" s="311"/>
      <c r="M15" s="311"/>
    </row>
    <row r="16" spans="1:13">
      <c r="A16" s="46">
        <f t="shared" si="1"/>
        <v>5</v>
      </c>
      <c r="B16" s="218" t="s">
        <v>574</v>
      </c>
      <c r="C16" s="218" t="s">
        <v>583</v>
      </c>
      <c r="D16" s="219">
        <v>54293</v>
      </c>
      <c r="E16" s="218" t="s">
        <v>584</v>
      </c>
      <c r="F16" s="74">
        <v>600</v>
      </c>
      <c r="G16" s="74"/>
      <c r="H16" s="74"/>
      <c r="I16" s="74"/>
      <c r="J16" s="74"/>
      <c r="K16" s="100">
        <f t="shared" si="0"/>
        <v>600</v>
      </c>
      <c r="L16" s="311"/>
      <c r="M16" s="311"/>
    </row>
    <row r="17" spans="1:14">
      <c r="A17" s="46">
        <f t="shared" si="1"/>
        <v>6</v>
      </c>
      <c r="B17" s="218" t="s">
        <v>579</v>
      </c>
      <c r="C17" s="218" t="s">
        <v>585</v>
      </c>
      <c r="D17" s="219">
        <v>54334</v>
      </c>
      <c r="E17" s="218" t="s">
        <v>586</v>
      </c>
      <c r="F17" s="74">
        <v>900</v>
      </c>
      <c r="G17" s="74"/>
      <c r="H17" s="74"/>
      <c r="I17" s="74"/>
      <c r="J17" s="74"/>
      <c r="K17" s="100">
        <f t="shared" si="0"/>
        <v>900</v>
      </c>
      <c r="L17" s="311"/>
      <c r="M17" s="311"/>
    </row>
    <row r="18" spans="1:14">
      <c r="A18" s="46">
        <f t="shared" si="1"/>
        <v>7</v>
      </c>
      <c r="B18" s="218" t="s">
        <v>587</v>
      </c>
      <c r="C18" s="218" t="s">
        <v>585</v>
      </c>
      <c r="D18" s="219">
        <v>54337</v>
      </c>
      <c r="E18" s="218" t="s">
        <v>588</v>
      </c>
      <c r="F18" s="74">
        <v>900</v>
      </c>
      <c r="G18" s="74"/>
      <c r="H18" s="74"/>
      <c r="I18" s="74"/>
      <c r="J18" s="74"/>
      <c r="K18" s="100">
        <f t="shared" si="0"/>
        <v>900</v>
      </c>
      <c r="L18" s="311"/>
      <c r="M18" s="311"/>
    </row>
    <row r="19" spans="1:14">
      <c r="A19" s="46">
        <f t="shared" si="1"/>
        <v>8</v>
      </c>
      <c r="B19" s="218" t="s">
        <v>581</v>
      </c>
      <c r="C19" s="218" t="s">
        <v>585</v>
      </c>
      <c r="D19" s="219">
        <v>54338</v>
      </c>
      <c r="E19" s="218" t="s">
        <v>589</v>
      </c>
      <c r="F19" s="74">
        <v>1800</v>
      </c>
      <c r="G19" s="74"/>
      <c r="H19" s="74"/>
      <c r="I19" s="74"/>
      <c r="J19" s="74"/>
      <c r="K19" s="100">
        <f t="shared" si="0"/>
        <v>1800</v>
      </c>
      <c r="L19" s="311"/>
      <c r="M19" s="311"/>
    </row>
    <row r="20" spans="1:14">
      <c r="A20" s="46">
        <f t="shared" si="1"/>
        <v>9</v>
      </c>
      <c r="B20" s="218" t="s">
        <v>590</v>
      </c>
      <c r="C20" s="218" t="s">
        <v>591</v>
      </c>
      <c r="D20" s="219">
        <v>54400</v>
      </c>
      <c r="E20" s="218" t="s">
        <v>592</v>
      </c>
      <c r="F20" s="74"/>
      <c r="G20" s="74">
        <v>11595.97</v>
      </c>
      <c r="H20" s="74"/>
      <c r="I20" s="74"/>
      <c r="J20" s="74"/>
      <c r="K20" s="100">
        <f>G20</f>
        <v>11595.97</v>
      </c>
      <c r="L20" s="311"/>
      <c r="M20" s="311"/>
    </row>
    <row r="21" spans="1:14">
      <c r="A21" s="46">
        <f t="shared" si="1"/>
        <v>10</v>
      </c>
      <c r="B21" s="218" t="s">
        <v>577</v>
      </c>
      <c r="C21" s="218" t="s">
        <v>593</v>
      </c>
      <c r="D21" s="219">
        <v>54895</v>
      </c>
      <c r="E21" s="218" t="s">
        <v>594</v>
      </c>
      <c r="F21" s="74">
        <v>150</v>
      </c>
      <c r="G21" s="74"/>
      <c r="H21" s="74"/>
      <c r="I21" s="74"/>
      <c r="J21" s="74"/>
      <c r="K21" s="99">
        <f t="shared" ref="K21:K26" si="2">F21</f>
        <v>150</v>
      </c>
      <c r="L21" s="311"/>
      <c r="M21" s="311"/>
    </row>
    <row r="22" spans="1:14">
      <c r="A22" s="46">
        <f t="shared" si="1"/>
        <v>11</v>
      </c>
      <c r="B22" s="218" t="s">
        <v>595</v>
      </c>
      <c r="C22" s="218" t="s">
        <v>596</v>
      </c>
      <c r="D22" s="219">
        <v>55141</v>
      </c>
      <c r="E22" s="218" t="s">
        <v>597</v>
      </c>
      <c r="F22" s="74">
        <v>150</v>
      </c>
      <c r="G22" s="74"/>
      <c r="H22" s="74"/>
      <c r="I22" s="74"/>
      <c r="J22" s="74"/>
      <c r="K22" s="99">
        <f t="shared" si="2"/>
        <v>150</v>
      </c>
      <c r="L22" s="311"/>
      <c r="M22" s="311"/>
    </row>
    <row r="23" spans="1:14">
      <c r="A23" s="46">
        <f t="shared" si="1"/>
        <v>12</v>
      </c>
      <c r="B23" s="218" t="s">
        <v>574</v>
      </c>
      <c r="C23" s="218" t="s">
        <v>598</v>
      </c>
      <c r="D23" s="219">
        <v>55298</v>
      </c>
      <c r="E23" s="218" t="s">
        <v>599</v>
      </c>
      <c r="F23" s="74">
        <v>600</v>
      </c>
      <c r="G23" s="74"/>
      <c r="H23" s="74"/>
      <c r="I23" s="74"/>
      <c r="J23" s="74"/>
      <c r="K23" s="99">
        <f t="shared" si="2"/>
        <v>600</v>
      </c>
      <c r="L23" s="311"/>
      <c r="M23" s="311"/>
    </row>
    <row r="24" spans="1:14">
      <c r="A24" s="46">
        <f t="shared" si="1"/>
        <v>13</v>
      </c>
      <c r="B24" s="218" t="s">
        <v>579</v>
      </c>
      <c r="C24" s="218" t="s">
        <v>598</v>
      </c>
      <c r="D24" s="219">
        <v>55300</v>
      </c>
      <c r="E24" s="218" t="s">
        <v>600</v>
      </c>
      <c r="F24" s="74">
        <v>900</v>
      </c>
      <c r="G24" s="74"/>
      <c r="H24" s="74"/>
      <c r="I24" s="74"/>
      <c r="J24" s="74"/>
      <c r="K24" s="99">
        <f t="shared" si="2"/>
        <v>900</v>
      </c>
    </row>
    <row r="25" spans="1:14">
      <c r="A25" s="46">
        <f t="shared" si="1"/>
        <v>14</v>
      </c>
      <c r="B25" s="218" t="s">
        <v>601</v>
      </c>
      <c r="C25" s="218" t="s">
        <v>598</v>
      </c>
      <c r="D25" s="219">
        <v>55302</v>
      </c>
      <c r="E25" s="218" t="s">
        <v>602</v>
      </c>
      <c r="F25" s="74">
        <v>600</v>
      </c>
      <c r="G25" s="74"/>
      <c r="H25" s="74"/>
      <c r="I25" s="74"/>
      <c r="J25" s="74"/>
      <c r="K25" s="99">
        <f t="shared" si="2"/>
        <v>600</v>
      </c>
    </row>
    <row r="26" spans="1:14">
      <c r="A26" s="46">
        <f t="shared" si="1"/>
        <v>15</v>
      </c>
      <c r="B26" s="218" t="s">
        <v>587</v>
      </c>
      <c r="C26" s="218" t="s">
        <v>598</v>
      </c>
      <c r="D26" s="219">
        <v>55303</v>
      </c>
      <c r="E26" s="218" t="s">
        <v>603</v>
      </c>
      <c r="F26" s="74">
        <v>600</v>
      </c>
      <c r="G26" s="74"/>
      <c r="H26" s="74"/>
      <c r="I26" s="74"/>
      <c r="J26" s="74"/>
      <c r="K26" s="99">
        <f t="shared" si="2"/>
        <v>600</v>
      </c>
    </row>
    <row r="27" spans="1:14">
      <c r="A27" s="46">
        <f t="shared" si="1"/>
        <v>16</v>
      </c>
      <c r="B27" s="218" t="s">
        <v>577</v>
      </c>
      <c r="C27" s="218" t="s">
        <v>604</v>
      </c>
      <c r="D27" s="219">
        <v>55446</v>
      </c>
      <c r="E27" s="218" t="s">
        <v>605</v>
      </c>
      <c r="F27" s="74"/>
      <c r="G27" s="74"/>
      <c r="H27" s="74">
        <f>192.5+342.5+192.5</f>
        <v>727.5</v>
      </c>
      <c r="I27" s="74"/>
      <c r="J27" s="74"/>
      <c r="K27" s="99">
        <f>H27</f>
        <v>727.5</v>
      </c>
    </row>
    <row r="28" spans="1:14">
      <c r="A28" s="46">
        <f t="shared" si="1"/>
        <v>17</v>
      </c>
      <c r="B28" s="218" t="s">
        <v>577</v>
      </c>
      <c r="C28" s="218" t="s">
        <v>606</v>
      </c>
      <c r="D28" s="219">
        <v>55719</v>
      </c>
      <c r="E28" s="218" t="s">
        <v>607</v>
      </c>
      <c r="F28" s="74"/>
      <c r="G28" s="74"/>
      <c r="H28" s="74">
        <f>300+422.51</f>
        <v>722.51</v>
      </c>
      <c r="I28" s="74"/>
      <c r="J28" s="74"/>
      <c r="K28" s="99">
        <f>H28</f>
        <v>722.51</v>
      </c>
    </row>
    <row r="29" spans="1:14" ht="14.25" customHeight="1">
      <c r="A29" s="46">
        <f t="shared" si="1"/>
        <v>18</v>
      </c>
      <c r="B29" s="218" t="s">
        <v>608</v>
      </c>
      <c r="C29" s="218" t="s">
        <v>606</v>
      </c>
      <c r="D29" s="219">
        <v>55831</v>
      </c>
      <c r="E29" s="218" t="s">
        <v>609</v>
      </c>
      <c r="F29" s="74"/>
      <c r="G29" s="74"/>
      <c r="H29" s="74"/>
      <c r="I29" s="74">
        <v>768.3</v>
      </c>
      <c r="J29" s="74"/>
      <c r="K29" s="99">
        <f>I29</f>
        <v>768.3</v>
      </c>
      <c r="L29" s="43"/>
      <c r="M29" s="43"/>
      <c r="N29" s="43"/>
    </row>
    <row r="30" spans="1:14">
      <c r="A30" s="46">
        <f t="shared" si="1"/>
        <v>19</v>
      </c>
      <c r="B30" s="218" t="s">
        <v>574</v>
      </c>
      <c r="C30" s="218" t="s">
        <v>610</v>
      </c>
      <c r="D30" s="219">
        <v>55893</v>
      </c>
      <c r="E30" s="218" t="s">
        <v>611</v>
      </c>
      <c r="F30" s="74"/>
      <c r="G30" s="74"/>
      <c r="H30" s="74">
        <v>632.5</v>
      </c>
      <c r="I30" s="74"/>
      <c r="J30" s="74"/>
      <c r="K30" s="99">
        <f t="shared" ref="K30:K36" si="3">H30</f>
        <v>632.5</v>
      </c>
    </row>
    <row r="31" spans="1:14">
      <c r="A31" s="46">
        <f t="shared" si="1"/>
        <v>20</v>
      </c>
      <c r="B31" s="218" t="s">
        <v>577</v>
      </c>
      <c r="C31" s="218" t="s">
        <v>610</v>
      </c>
      <c r="D31" s="219">
        <v>55894</v>
      </c>
      <c r="E31" s="218" t="s">
        <v>612</v>
      </c>
      <c r="F31" s="74"/>
      <c r="G31" s="74"/>
      <c r="H31" s="74">
        <v>1066.8900000000001</v>
      </c>
      <c r="I31" s="74"/>
      <c r="J31" s="74"/>
      <c r="K31" s="99">
        <f t="shared" si="3"/>
        <v>1066.8900000000001</v>
      </c>
    </row>
    <row r="32" spans="1:14">
      <c r="A32" s="46">
        <f t="shared" si="1"/>
        <v>21</v>
      </c>
      <c r="B32" s="218" t="s">
        <v>579</v>
      </c>
      <c r="C32" s="218" t="s">
        <v>610</v>
      </c>
      <c r="D32" s="219">
        <v>55895</v>
      </c>
      <c r="E32" s="218" t="s">
        <v>613</v>
      </c>
      <c r="F32" s="74"/>
      <c r="G32" s="74"/>
      <c r="H32" s="74">
        <v>687.5</v>
      </c>
      <c r="I32" s="74"/>
      <c r="J32" s="74"/>
      <c r="K32" s="99">
        <f t="shared" si="3"/>
        <v>687.5</v>
      </c>
    </row>
    <row r="33" spans="1:11">
      <c r="A33" s="46">
        <f t="shared" si="1"/>
        <v>22</v>
      </c>
      <c r="B33" s="218" t="s">
        <v>595</v>
      </c>
      <c r="C33" s="218" t="s">
        <v>610</v>
      </c>
      <c r="D33" s="219">
        <v>55896</v>
      </c>
      <c r="E33" s="218" t="s">
        <v>614</v>
      </c>
      <c r="F33" s="74"/>
      <c r="G33" s="74"/>
      <c r="H33" s="74">
        <v>687.5</v>
      </c>
      <c r="I33" s="74"/>
      <c r="J33" s="74"/>
      <c r="K33" s="99">
        <f t="shared" si="3"/>
        <v>687.5</v>
      </c>
    </row>
    <row r="34" spans="1:11">
      <c r="A34" s="46">
        <f t="shared" si="1"/>
        <v>23</v>
      </c>
      <c r="B34" s="218" t="s">
        <v>601</v>
      </c>
      <c r="C34" s="218" t="s">
        <v>610</v>
      </c>
      <c r="D34" s="219">
        <v>55897</v>
      </c>
      <c r="E34" s="218" t="s">
        <v>615</v>
      </c>
      <c r="F34" s="74"/>
      <c r="G34" s="74"/>
      <c r="H34" s="74">
        <v>680</v>
      </c>
      <c r="I34" s="74"/>
      <c r="J34" s="74"/>
      <c r="K34" s="99">
        <f t="shared" si="3"/>
        <v>680</v>
      </c>
    </row>
    <row r="35" spans="1:11">
      <c r="A35" s="46">
        <f t="shared" si="1"/>
        <v>24</v>
      </c>
      <c r="B35" s="218" t="s">
        <v>587</v>
      </c>
      <c r="C35" s="218" t="s">
        <v>610</v>
      </c>
      <c r="D35" s="219">
        <v>55898</v>
      </c>
      <c r="E35" s="218" t="s">
        <v>616</v>
      </c>
      <c r="F35" s="74"/>
      <c r="G35" s="74"/>
      <c r="H35" s="74">
        <v>677.5</v>
      </c>
      <c r="I35" s="74"/>
      <c r="J35" s="74"/>
      <c r="K35" s="99">
        <f t="shared" si="3"/>
        <v>677.5</v>
      </c>
    </row>
    <row r="36" spans="1:11">
      <c r="A36" s="46">
        <f t="shared" si="1"/>
        <v>25</v>
      </c>
      <c r="B36" s="218" t="s">
        <v>581</v>
      </c>
      <c r="C36" s="218" t="s">
        <v>610</v>
      </c>
      <c r="D36" s="219">
        <v>55899</v>
      </c>
      <c r="E36" s="218" t="s">
        <v>617</v>
      </c>
      <c r="F36" s="74"/>
      <c r="G36" s="74"/>
      <c r="H36" s="74">
        <v>637.5</v>
      </c>
      <c r="I36" s="74"/>
      <c r="J36" s="74"/>
      <c r="K36" s="99">
        <f t="shared" si="3"/>
        <v>637.5</v>
      </c>
    </row>
    <row r="37" spans="1:11">
      <c r="A37" s="46">
        <f t="shared" si="1"/>
        <v>26</v>
      </c>
      <c r="B37" s="218" t="s">
        <v>577</v>
      </c>
      <c r="C37" s="218" t="s">
        <v>618</v>
      </c>
      <c r="D37" s="219">
        <v>55903</v>
      </c>
      <c r="E37" s="218" t="s">
        <v>619</v>
      </c>
      <c r="F37" s="74"/>
      <c r="G37" s="74"/>
      <c r="H37" s="74"/>
      <c r="I37" s="74"/>
      <c r="J37" s="74">
        <v>100</v>
      </c>
      <c r="K37" s="99">
        <f t="shared" ref="K37:K43" si="4">J37</f>
        <v>100</v>
      </c>
    </row>
    <row r="38" spans="1:11">
      <c r="A38" s="46">
        <f t="shared" si="1"/>
        <v>27</v>
      </c>
      <c r="B38" s="218" t="s">
        <v>579</v>
      </c>
      <c r="C38" s="218" t="s">
        <v>618</v>
      </c>
      <c r="D38" s="219">
        <v>55904</v>
      </c>
      <c r="E38" s="218" t="s">
        <v>619</v>
      </c>
      <c r="F38" s="74"/>
      <c r="G38" s="74"/>
      <c r="H38" s="74"/>
      <c r="I38" s="74"/>
      <c r="J38" s="74">
        <v>100</v>
      </c>
      <c r="K38" s="99">
        <f t="shared" si="4"/>
        <v>100</v>
      </c>
    </row>
    <row r="39" spans="1:11">
      <c r="A39" s="46">
        <f t="shared" si="1"/>
        <v>28</v>
      </c>
      <c r="B39" s="218" t="s">
        <v>595</v>
      </c>
      <c r="C39" s="218" t="s">
        <v>618</v>
      </c>
      <c r="D39" s="219">
        <v>55905</v>
      </c>
      <c r="E39" s="218" t="s">
        <v>619</v>
      </c>
      <c r="F39" s="74"/>
      <c r="G39" s="74"/>
      <c r="H39" s="74"/>
      <c r="I39" s="74"/>
      <c r="J39" s="74">
        <v>100</v>
      </c>
      <c r="K39" s="99">
        <f t="shared" si="4"/>
        <v>100</v>
      </c>
    </row>
    <row r="40" spans="1:11">
      <c r="A40" s="46">
        <f t="shared" si="1"/>
        <v>29</v>
      </c>
      <c r="B40" s="218" t="s">
        <v>601</v>
      </c>
      <c r="C40" s="218" t="s">
        <v>618</v>
      </c>
      <c r="D40" s="219">
        <v>55906</v>
      </c>
      <c r="E40" s="218" t="s">
        <v>619</v>
      </c>
      <c r="F40" s="74"/>
      <c r="G40" s="74"/>
      <c r="H40" s="74"/>
      <c r="I40" s="74"/>
      <c r="J40" s="74">
        <v>100</v>
      </c>
      <c r="K40" s="99">
        <f t="shared" si="4"/>
        <v>100</v>
      </c>
    </row>
    <row r="41" spans="1:11">
      <c r="A41" s="46">
        <f t="shared" si="1"/>
        <v>30</v>
      </c>
      <c r="B41" s="218" t="s">
        <v>587</v>
      </c>
      <c r="C41" s="218" t="s">
        <v>618</v>
      </c>
      <c r="D41" s="219">
        <v>55907</v>
      </c>
      <c r="E41" s="218" t="s">
        <v>619</v>
      </c>
      <c r="F41" s="74"/>
      <c r="G41" s="74"/>
      <c r="H41" s="74"/>
      <c r="I41" s="74"/>
      <c r="J41" s="74">
        <v>100</v>
      </c>
      <c r="K41" s="99">
        <f t="shared" si="4"/>
        <v>100</v>
      </c>
    </row>
    <row r="42" spans="1:11">
      <c r="A42" s="46">
        <f t="shared" si="1"/>
        <v>31</v>
      </c>
      <c r="B42" s="218" t="s">
        <v>581</v>
      </c>
      <c r="C42" s="218" t="s">
        <v>618</v>
      </c>
      <c r="D42" s="219">
        <v>55908</v>
      </c>
      <c r="E42" s="218" t="s">
        <v>619</v>
      </c>
      <c r="F42" s="74"/>
      <c r="G42" s="74"/>
      <c r="H42" s="74"/>
      <c r="I42" s="74"/>
      <c r="J42" s="74">
        <v>100</v>
      </c>
      <c r="K42" s="99">
        <f t="shared" si="4"/>
        <v>100</v>
      </c>
    </row>
    <row r="43" spans="1:11">
      <c r="A43" s="46">
        <f t="shared" si="1"/>
        <v>32</v>
      </c>
      <c r="B43" s="218" t="s">
        <v>574</v>
      </c>
      <c r="C43" s="218" t="s">
        <v>618</v>
      </c>
      <c r="D43" s="219">
        <v>55901</v>
      </c>
      <c r="E43" s="218" t="s">
        <v>619</v>
      </c>
      <c r="F43" s="74"/>
      <c r="G43" s="74"/>
      <c r="H43" s="74"/>
      <c r="I43" s="74"/>
      <c r="J43" s="74">
        <v>100</v>
      </c>
      <c r="K43" s="99">
        <f t="shared" si="4"/>
        <v>100</v>
      </c>
    </row>
    <row r="44" spans="1:11">
      <c r="A44" s="46">
        <f t="shared" si="1"/>
        <v>33</v>
      </c>
      <c r="B44" s="218" t="s">
        <v>574</v>
      </c>
      <c r="C44" s="218" t="s">
        <v>620</v>
      </c>
      <c r="D44" s="219">
        <v>56046</v>
      </c>
      <c r="E44" s="218" t="s">
        <v>621</v>
      </c>
      <c r="F44" s="74">
        <v>1200</v>
      </c>
      <c r="G44" s="74"/>
      <c r="H44" s="74"/>
      <c r="I44" s="74"/>
      <c r="J44" s="74"/>
      <c r="K44" s="99">
        <f>F44</f>
        <v>1200</v>
      </c>
    </row>
    <row r="45" spans="1:11">
      <c r="A45" s="46">
        <f t="shared" si="1"/>
        <v>34</v>
      </c>
      <c r="B45" s="218" t="s">
        <v>577</v>
      </c>
      <c r="C45" s="218" t="s">
        <v>620</v>
      </c>
      <c r="D45" s="219">
        <v>56047</v>
      </c>
      <c r="E45" s="218" t="s">
        <v>622</v>
      </c>
      <c r="F45" s="74"/>
      <c r="G45" s="74"/>
      <c r="H45" s="74">
        <f>150</f>
        <v>150</v>
      </c>
      <c r="I45" s="74"/>
      <c r="J45" s="74"/>
      <c r="K45" s="99">
        <f>H45</f>
        <v>150</v>
      </c>
    </row>
    <row r="46" spans="1:11">
      <c r="A46" s="46">
        <f t="shared" si="1"/>
        <v>35</v>
      </c>
      <c r="F46" s="73"/>
      <c r="G46" s="73"/>
      <c r="H46" s="73"/>
      <c r="I46" s="73"/>
      <c r="J46" s="73"/>
      <c r="K46" s="99"/>
    </row>
    <row r="47" spans="1:11">
      <c r="A47" s="46">
        <f t="shared" si="1"/>
        <v>36</v>
      </c>
      <c r="B47" s="50" t="s">
        <v>624</v>
      </c>
      <c r="C47" s="50"/>
      <c r="D47" s="50"/>
      <c r="E47" s="50"/>
      <c r="F47" s="230">
        <f t="shared" ref="F47:K47" si="5">SUM(F11:F45)</f>
        <v>10800</v>
      </c>
      <c r="G47" s="230">
        <f t="shared" si="5"/>
        <v>11595.97</v>
      </c>
      <c r="H47" s="230">
        <f t="shared" si="5"/>
        <v>6669.4000000000005</v>
      </c>
      <c r="I47" s="230">
        <f t="shared" si="5"/>
        <v>768.3</v>
      </c>
      <c r="J47" s="230">
        <f t="shared" si="5"/>
        <v>700</v>
      </c>
      <c r="K47" s="231">
        <f t="shared" si="5"/>
        <v>30533.67</v>
      </c>
    </row>
    <row r="48" spans="1:11">
      <c r="A48" s="46">
        <f t="shared" si="1"/>
        <v>37</v>
      </c>
      <c r="F48" s="99"/>
      <c r="G48" s="99"/>
      <c r="H48" s="99"/>
      <c r="I48" s="99"/>
      <c r="J48" s="99"/>
      <c r="K48" s="99"/>
    </row>
    <row r="49" spans="1:11">
      <c r="A49" s="46">
        <f t="shared" si="1"/>
        <v>38</v>
      </c>
      <c r="B49" s="38" t="s">
        <v>90</v>
      </c>
      <c r="F49" s="99"/>
      <c r="G49" s="99"/>
      <c r="H49" s="99"/>
      <c r="I49" s="99"/>
      <c r="J49" s="99"/>
      <c r="K49" s="232">
        <v>0</v>
      </c>
    </row>
    <row r="50" spans="1:11">
      <c r="A50" s="46">
        <f t="shared" si="1"/>
        <v>39</v>
      </c>
      <c r="F50" s="99"/>
      <c r="G50" s="99"/>
      <c r="H50" s="99"/>
      <c r="I50" s="99"/>
      <c r="J50" s="99"/>
      <c r="K50" s="232"/>
    </row>
    <row r="51" spans="1:11" ht="13.8" thickBot="1">
      <c r="A51" s="46">
        <f t="shared" si="1"/>
        <v>40</v>
      </c>
      <c r="B51" s="48" t="s">
        <v>8</v>
      </c>
      <c r="C51" s="48"/>
      <c r="D51" s="48"/>
      <c r="E51" s="48"/>
      <c r="F51" s="312"/>
      <c r="G51" s="312"/>
      <c r="H51" s="312"/>
      <c r="I51" s="312"/>
      <c r="J51" s="312"/>
      <c r="K51" s="233">
        <f>K49-K47</f>
        <v>-30533.67</v>
      </c>
    </row>
    <row r="52" spans="1:11" ht="13.8" thickTop="1"/>
    <row r="53" spans="1:11">
      <c r="B53" s="38" t="s">
        <v>625</v>
      </c>
    </row>
  </sheetData>
  <mergeCells count="3">
    <mergeCell ref="A4:K4"/>
    <mergeCell ref="A5:K5"/>
    <mergeCell ref="A7:K7"/>
  </mergeCells>
  <printOptions horizontalCentered="1"/>
  <pageMargins left="0.7" right="0.7" top="0.75" bottom="0.75" header="0.3" footer="0.3"/>
  <pageSetup scale="70" orientation="landscape" r:id="rId1"/>
  <headerFooter>
    <oddFooter>&amp;RExhibit  JW-2
Page &amp;P of &amp;N</oddFooter>
  </headerFooter>
  <ignoredErrors>
    <ignoredError sqref="K20 K29" formula="1"/>
    <ignoredError sqref="C12:C45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106"/>
  <sheetViews>
    <sheetView view="pageBreakPreview" zoomScale="60" zoomScaleNormal="100" workbookViewId="0">
      <selection activeCell="V24" sqref="V24"/>
    </sheetView>
  </sheetViews>
  <sheetFormatPr defaultColWidth="9.109375" defaultRowHeight="13.2"/>
  <cols>
    <col min="1" max="1" width="9.109375" style="38"/>
    <col min="2" max="2" width="14.109375" style="38" bestFit="1" customWidth="1"/>
    <col min="3" max="3" width="16.21875" style="38" customWidth="1"/>
    <col min="4" max="4" width="12.44140625" style="38" customWidth="1"/>
    <col min="5" max="5" width="8.88671875" style="38" customWidth="1"/>
    <col min="6" max="6" width="10.109375" style="38" customWidth="1"/>
    <col min="7" max="7" width="14" style="38" customWidth="1"/>
    <col min="8" max="9" width="12.44140625" style="38" customWidth="1"/>
    <col min="10" max="10" width="9.44140625" style="38" customWidth="1"/>
    <col min="11" max="11" width="14" style="38" bestFit="1" customWidth="1"/>
    <col min="12" max="12" width="10.44140625" style="38" bestFit="1" customWidth="1"/>
    <col min="13" max="13" width="14" style="38" bestFit="1" customWidth="1"/>
    <col min="14" max="14" width="12.44140625" style="38" bestFit="1" customWidth="1"/>
    <col min="15" max="15" width="12.77734375" style="38" hidden="1" customWidth="1"/>
    <col min="16" max="16" width="9.44140625" style="38" hidden="1" customWidth="1"/>
    <col min="17" max="17" width="14" style="38" bestFit="1" customWidth="1"/>
    <col min="18" max="18" width="13.5546875" style="38" customWidth="1"/>
    <col min="19" max="16384" width="9.109375" style="38"/>
  </cols>
  <sheetData>
    <row r="1" spans="1:18">
      <c r="R1" s="26" t="s">
        <v>640</v>
      </c>
    </row>
    <row r="2" spans="1:18">
      <c r="B2" s="40"/>
    </row>
    <row r="3" spans="1:18">
      <c r="B3" s="40"/>
    </row>
    <row r="4" spans="1:18">
      <c r="A4" s="331" t="str">
        <f>RevReq!A1</f>
        <v>FARMERS RECC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</row>
    <row r="5" spans="1:18">
      <c r="A5" s="331" t="str">
        <f>RevReq!A3</f>
        <v>For the 12 Months Ended December 31, 2022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</row>
    <row r="6" spans="1:18">
      <c r="B6" s="40"/>
    </row>
    <row r="7" spans="1:18">
      <c r="B7" s="328" t="s">
        <v>54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</row>
    <row r="8" spans="1:18">
      <c r="B8" s="51"/>
    </row>
    <row r="9" spans="1:18">
      <c r="B9" s="333" t="s">
        <v>74</v>
      </c>
      <c r="C9" s="333"/>
      <c r="D9" s="334" t="s">
        <v>55</v>
      </c>
      <c r="E9" s="334"/>
      <c r="F9" s="334"/>
      <c r="G9" s="334" t="s">
        <v>56</v>
      </c>
      <c r="H9" s="334"/>
      <c r="I9" s="334"/>
      <c r="J9" s="334"/>
      <c r="K9" s="334"/>
      <c r="L9" s="332" t="s">
        <v>633</v>
      </c>
      <c r="M9" s="334" t="s">
        <v>57</v>
      </c>
      <c r="N9" s="334"/>
      <c r="O9" s="334"/>
      <c r="P9" s="334"/>
      <c r="Q9" s="334"/>
      <c r="R9" s="332" t="s">
        <v>58</v>
      </c>
    </row>
    <row r="10" spans="1:18">
      <c r="A10" s="282" t="s">
        <v>5</v>
      </c>
      <c r="B10" s="5" t="s">
        <v>634</v>
      </c>
      <c r="C10" s="5" t="s">
        <v>59</v>
      </c>
      <c r="D10" s="29" t="s">
        <v>60</v>
      </c>
      <c r="E10" s="29" t="s">
        <v>61</v>
      </c>
      <c r="F10" s="29" t="s">
        <v>635</v>
      </c>
      <c r="G10" s="29" t="s">
        <v>60</v>
      </c>
      <c r="H10" s="29" t="s">
        <v>61</v>
      </c>
      <c r="I10" s="29" t="s">
        <v>635</v>
      </c>
      <c r="J10" s="29" t="s">
        <v>573</v>
      </c>
      <c r="K10" s="29" t="s">
        <v>62</v>
      </c>
      <c r="L10" s="332"/>
      <c r="M10" s="29" t="s">
        <v>60</v>
      </c>
      <c r="N10" s="29" t="s">
        <v>61</v>
      </c>
      <c r="O10" s="29" t="s">
        <v>635</v>
      </c>
      <c r="P10" s="29" t="s">
        <v>573</v>
      </c>
      <c r="Q10" s="29" t="s">
        <v>62</v>
      </c>
      <c r="R10" s="332"/>
    </row>
    <row r="11" spans="1:18">
      <c r="A11" s="75" t="s">
        <v>10</v>
      </c>
      <c r="B11" s="31">
        <f>1</f>
        <v>1</v>
      </c>
      <c r="C11" s="31">
        <f t="shared" ref="C11:R11" si="0">B11+1</f>
        <v>2</v>
      </c>
      <c r="D11" s="31">
        <f t="shared" si="0"/>
        <v>3</v>
      </c>
      <c r="E11" s="31">
        <f t="shared" si="0"/>
        <v>4</v>
      </c>
      <c r="F11" s="31">
        <f t="shared" si="0"/>
        <v>5</v>
      </c>
      <c r="G11" s="31">
        <f t="shared" si="0"/>
        <v>6</v>
      </c>
      <c r="H11" s="31">
        <f t="shared" si="0"/>
        <v>7</v>
      </c>
      <c r="I11" s="31">
        <f t="shared" si="0"/>
        <v>8</v>
      </c>
      <c r="J11" s="31">
        <f t="shared" si="0"/>
        <v>9</v>
      </c>
      <c r="K11" s="31">
        <f t="shared" si="0"/>
        <v>10</v>
      </c>
      <c r="L11" s="31">
        <f t="shared" si="0"/>
        <v>11</v>
      </c>
      <c r="M11" s="31">
        <f t="shared" si="0"/>
        <v>12</v>
      </c>
      <c r="N11" s="31">
        <f t="shared" si="0"/>
        <v>13</v>
      </c>
      <c r="O11" s="31">
        <f t="shared" si="0"/>
        <v>14</v>
      </c>
      <c r="P11" s="31">
        <f t="shared" si="0"/>
        <v>15</v>
      </c>
      <c r="Q11" s="31">
        <f t="shared" si="0"/>
        <v>16</v>
      </c>
      <c r="R11" s="31">
        <f t="shared" si="0"/>
        <v>17</v>
      </c>
    </row>
    <row r="12" spans="1:18">
      <c r="A12" s="293">
        <v>1</v>
      </c>
      <c r="B12" s="245" t="s">
        <v>431</v>
      </c>
      <c r="C12" s="245"/>
      <c r="D12" s="277">
        <v>2080</v>
      </c>
      <c r="E12" s="246"/>
      <c r="F12" s="277"/>
      <c r="G12" s="246">
        <v>227420.04</v>
      </c>
      <c r="H12" s="277">
        <v>0</v>
      </c>
      <c r="I12" s="277"/>
      <c r="J12" s="277"/>
      <c r="K12" s="277">
        <f t="shared" ref="K12:K19" si="1">SUM(G12:J12)</f>
        <v>227420.04</v>
      </c>
      <c r="L12" s="247">
        <v>0</v>
      </c>
      <c r="M12" s="277">
        <v>0</v>
      </c>
      <c r="N12" s="277"/>
      <c r="O12" s="277"/>
      <c r="P12" s="277"/>
      <c r="Q12" s="277">
        <f>SUM(M12:P12)</f>
        <v>0</v>
      </c>
      <c r="R12" s="248">
        <f t="shared" ref="R12:R43" si="2">Q12-K12</f>
        <v>-227420.04</v>
      </c>
    </row>
    <row r="13" spans="1:18">
      <c r="A13" s="251">
        <f>A12+1</f>
        <v>2</v>
      </c>
      <c r="B13" s="251" t="s">
        <v>432</v>
      </c>
      <c r="C13" s="251"/>
      <c r="D13" s="280">
        <v>2080</v>
      </c>
      <c r="E13" s="252"/>
      <c r="F13" s="280"/>
      <c r="G13" s="252">
        <v>127126.24</v>
      </c>
      <c r="H13" s="280">
        <v>0</v>
      </c>
      <c r="I13" s="280"/>
      <c r="J13" s="280"/>
      <c r="K13" s="280">
        <f t="shared" si="1"/>
        <v>127126.24</v>
      </c>
      <c r="L13" s="253">
        <v>63.401000000000003</v>
      </c>
      <c r="M13" s="280">
        <f t="shared" ref="M13:M44" si="3">L13*2080</f>
        <v>131874.08000000002</v>
      </c>
      <c r="N13" s="280"/>
      <c r="O13" s="280"/>
      <c r="P13" s="280"/>
      <c r="Q13" s="280">
        <f t="shared" ref="Q13:Q79" si="4">SUM(M13:P13)</f>
        <v>131874.08000000002</v>
      </c>
      <c r="R13" s="254">
        <f t="shared" si="2"/>
        <v>4747.8400000000111</v>
      </c>
    </row>
    <row r="14" spans="1:18">
      <c r="A14" s="251">
        <f t="shared" ref="A14:A77" si="5">A13+1</f>
        <v>3</v>
      </c>
      <c r="B14" s="256" t="s">
        <v>433</v>
      </c>
      <c r="C14" s="256"/>
      <c r="D14" s="280">
        <v>2080</v>
      </c>
      <c r="E14" s="252"/>
      <c r="F14" s="280"/>
      <c r="G14" s="252">
        <v>119902.22</v>
      </c>
      <c r="H14" s="280">
        <v>0</v>
      </c>
      <c r="I14" s="280"/>
      <c r="J14" s="280"/>
      <c r="K14" s="280">
        <f t="shared" si="1"/>
        <v>119902.22</v>
      </c>
      <c r="L14" s="253">
        <v>59.881999999999998</v>
      </c>
      <c r="M14" s="280">
        <f t="shared" si="3"/>
        <v>124554.56</v>
      </c>
      <c r="N14" s="280"/>
      <c r="O14" s="280"/>
      <c r="P14" s="280"/>
      <c r="Q14" s="280">
        <f t="shared" si="4"/>
        <v>124554.56</v>
      </c>
      <c r="R14" s="254">
        <f t="shared" si="2"/>
        <v>4652.3399999999965</v>
      </c>
    </row>
    <row r="15" spans="1:18">
      <c r="A15" s="251">
        <f t="shared" si="5"/>
        <v>4</v>
      </c>
      <c r="B15" s="256" t="s">
        <v>434</v>
      </c>
      <c r="C15" s="256"/>
      <c r="D15" s="280">
        <v>2080</v>
      </c>
      <c r="E15" s="252"/>
      <c r="F15" s="280"/>
      <c r="G15" s="252">
        <v>127163.85</v>
      </c>
      <c r="H15" s="280">
        <v>0</v>
      </c>
      <c r="I15" s="280"/>
      <c r="J15" s="280"/>
      <c r="K15" s="280">
        <f t="shared" si="1"/>
        <v>127163.85</v>
      </c>
      <c r="L15" s="253">
        <v>63.353999999999999</v>
      </c>
      <c r="M15" s="280">
        <f t="shared" si="3"/>
        <v>131776.32000000001</v>
      </c>
      <c r="N15" s="280"/>
      <c r="O15" s="280"/>
      <c r="P15" s="280"/>
      <c r="Q15" s="280">
        <f t="shared" si="4"/>
        <v>131776.32000000001</v>
      </c>
      <c r="R15" s="254">
        <f t="shared" si="2"/>
        <v>4612.4700000000012</v>
      </c>
    </row>
    <row r="16" spans="1:18">
      <c r="A16" s="251">
        <f t="shared" si="5"/>
        <v>5</v>
      </c>
      <c r="B16" s="256" t="s">
        <v>435</v>
      </c>
      <c r="C16" s="256"/>
      <c r="D16" s="280">
        <v>2080</v>
      </c>
      <c r="E16" s="252"/>
      <c r="F16" s="280"/>
      <c r="G16" s="252">
        <v>107238.52</v>
      </c>
      <c r="H16" s="280">
        <v>0</v>
      </c>
      <c r="I16" s="280"/>
      <c r="J16" s="280"/>
      <c r="K16" s="280">
        <f t="shared" si="1"/>
        <v>107238.52</v>
      </c>
      <c r="L16" s="253">
        <v>54.837000000000003</v>
      </c>
      <c r="M16" s="280">
        <f t="shared" si="3"/>
        <v>114060.96</v>
      </c>
      <c r="N16" s="280"/>
      <c r="O16" s="280"/>
      <c r="P16" s="280"/>
      <c r="Q16" s="280">
        <f t="shared" si="4"/>
        <v>114060.96</v>
      </c>
      <c r="R16" s="254">
        <f t="shared" si="2"/>
        <v>6822.4400000000023</v>
      </c>
    </row>
    <row r="17" spans="1:18">
      <c r="A17" s="251">
        <f t="shared" si="5"/>
        <v>6</v>
      </c>
      <c r="B17" s="251" t="s">
        <v>436</v>
      </c>
      <c r="C17" s="251"/>
      <c r="D17" s="280">
        <v>2080</v>
      </c>
      <c r="E17" s="252"/>
      <c r="F17" s="280"/>
      <c r="G17" s="252">
        <v>92838.12</v>
      </c>
      <c r="H17" s="280">
        <v>0</v>
      </c>
      <c r="I17" s="280"/>
      <c r="J17" s="280"/>
      <c r="K17" s="280">
        <f t="shared" si="1"/>
        <v>92838.12</v>
      </c>
      <c r="L17" s="253">
        <v>46.37</v>
      </c>
      <c r="M17" s="280">
        <f t="shared" si="3"/>
        <v>96449.599999999991</v>
      </c>
      <c r="N17" s="280"/>
      <c r="O17" s="280"/>
      <c r="P17" s="280"/>
      <c r="Q17" s="280">
        <f t="shared" si="4"/>
        <v>96449.599999999991</v>
      </c>
      <c r="R17" s="254">
        <f t="shared" si="2"/>
        <v>3611.4799999999959</v>
      </c>
    </row>
    <row r="18" spans="1:18">
      <c r="A18" s="251">
        <f t="shared" si="5"/>
        <v>7</v>
      </c>
      <c r="B18" s="256" t="s">
        <v>437</v>
      </c>
      <c r="C18" s="256"/>
      <c r="D18" s="280">
        <v>2080</v>
      </c>
      <c r="E18" s="252"/>
      <c r="F18" s="280"/>
      <c r="G18" s="252">
        <v>87118.88</v>
      </c>
      <c r="H18" s="280">
        <v>0</v>
      </c>
      <c r="I18" s="280"/>
      <c r="J18" s="280"/>
      <c r="K18" s="280">
        <f t="shared" si="1"/>
        <v>87118.88</v>
      </c>
      <c r="L18" s="253">
        <v>43.869</v>
      </c>
      <c r="M18" s="280">
        <f t="shared" si="3"/>
        <v>91247.52</v>
      </c>
      <c r="N18" s="280"/>
      <c r="O18" s="280"/>
      <c r="P18" s="280"/>
      <c r="Q18" s="280">
        <f t="shared" si="4"/>
        <v>91247.52</v>
      </c>
      <c r="R18" s="254">
        <f t="shared" si="2"/>
        <v>4128.6399999999994</v>
      </c>
    </row>
    <row r="19" spans="1:18">
      <c r="A19" s="251">
        <f t="shared" si="5"/>
        <v>8</v>
      </c>
      <c r="B19" s="251" t="s">
        <v>438</v>
      </c>
      <c r="C19" s="251"/>
      <c r="D19" s="280">
        <v>2080</v>
      </c>
      <c r="E19" s="252"/>
      <c r="F19" s="280"/>
      <c r="G19" s="252">
        <v>110823.88</v>
      </c>
      <c r="H19" s="280">
        <v>0</v>
      </c>
      <c r="I19" s="280"/>
      <c r="J19" s="280"/>
      <c r="K19" s="280">
        <f t="shared" si="1"/>
        <v>110823.88</v>
      </c>
      <c r="L19" s="253">
        <v>56.203000000000003</v>
      </c>
      <c r="M19" s="280">
        <f t="shared" si="3"/>
        <v>116902.24</v>
      </c>
      <c r="N19" s="280"/>
      <c r="O19" s="280"/>
      <c r="P19" s="280"/>
      <c r="Q19" s="280">
        <f t="shared" si="4"/>
        <v>116902.24</v>
      </c>
      <c r="R19" s="254">
        <f t="shared" si="2"/>
        <v>6078.3600000000006</v>
      </c>
    </row>
    <row r="20" spans="1:18">
      <c r="A20" s="251">
        <f t="shared" si="5"/>
        <v>9</v>
      </c>
      <c r="B20" s="251" t="s">
        <v>439</v>
      </c>
      <c r="C20" s="251" t="s">
        <v>636</v>
      </c>
      <c r="D20" s="280">
        <v>0</v>
      </c>
      <c r="E20" s="252"/>
      <c r="F20" s="280"/>
      <c r="G20" s="252"/>
      <c r="H20" s="280"/>
      <c r="I20" s="280"/>
      <c r="J20" s="280"/>
      <c r="K20" s="280"/>
      <c r="L20" s="253">
        <v>96.156000000000006</v>
      </c>
      <c r="M20" s="280">
        <f t="shared" si="3"/>
        <v>200004.48000000001</v>
      </c>
      <c r="N20" s="280"/>
      <c r="O20" s="280"/>
      <c r="P20" s="280"/>
      <c r="Q20" s="280">
        <f t="shared" si="4"/>
        <v>200004.48000000001</v>
      </c>
      <c r="R20" s="254">
        <f t="shared" si="2"/>
        <v>200004.48000000001</v>
      </c>
    </row>
    <row r="21" spans="1:18">
      <c r="A21" s="251">
        <f t="shared" si="5"/>
        <v>10</v>
      </c>
      <c r="B21" s="251" t="s">
        <v>440</v>
      </c>
      <c r="C21" s="251"/>
      <c r="D21" s="280">
        <v>2080</v>
      </c>
      <c r="E21" s="252"/>
      <c r="F21" s="280"/>
      <c r="G21" s="252">
        <v>69943</v>
      </c>
      <c r="H21" s="280">
        <v>0</v>
      </c>
      <c r="I21" s="280"/>
      <c r="J21" s="280"/>
      <c r="K21" s="280">
        <f t="shared" ref="K21:K52" si="6">SUM(G21:J21)</f>
        <v>69943</v>
      </c>
      <c r="L21" s="253">
        <v>34.241999999999997</v>
      </c>
      <c r="M21" s="280">
        <f t="shared" si="3"/>
        <v>71223.360000000001</v>
      </c>
      <c r="N21" s="254">
        <f t="shared" ref="N21:N52" si="7">(+E21*L21)*1.5</f>
        <v>0</v>
      </c>
      <c r="O21" s="280"/>
      <c r="P21" s="280"/>
      <c r="Q21" s="280">
        <f t="shared" si="4"/>
        <v>71223.360000000001</v>
      </c>
      <c r="R21" s="254">
        <f t="shared" si="2"/>
        <v>1280.3600000000006</v>
      </c>
    </row>
    <row r="22" spans="1:18">
      <c r="A22" s="251">
        <f t="shared" si="5"/>
        <v>11</v>
      </c>
      <c r="B22" s="256" t="s">
        <v>441</v>
      </c>
      <c r="C22" s="256"/>
      <c r="D22" s="280">
        <v>2080</v>
      </c>
      <c r="E22" s="252">
        <v>8</v>
      </c>
      <c r="F22" s="280"/>
      <c r="G22" s="252">
        <v>45805.24</v>
      </c>
      <c r="H22" s="280">
        <v>262.59999999999854</v>
      </c>
      <c r="I22" s="280"/>
      <c r="J22" s="280"/>
      <c r="K22" s="280">
        <f t="shared" si="6"/>
        <v>46067.839999999997</v>
      </c>
      <c r="L22" s="253">
        <v>22.61</v>
      </c>
      <c r="M22" s="280">
        <f t="shared" si="3"/>
        <v>47028.799999999996</v>
      </c>
      <c r="N22" s="254">
        <f t="shared" si="7"/>
        <v>271.32</v>
      </c>
      <c r="O22" s="280"/>
      <c r="P22" s="280"/>
      <c r="Q22" s="280">
        <f t="shared" si="4"/>
        <v>47300.119999999995</v>
      </c>
      <c r="R22" s="254">
        <f t="shared" si="2"/>
        <v>1232.2799999999988</v>
      </c>
    </row>
    <row r="23" spans="1:18">
      <c r="A23" s="251">
        <f t="shared" si="5"/>
        <v>12</v>
      </c>
      <c r="B23" s="256" t="s">
        <v>442</v>
      </c>
      <c r="C23" s="256"/>
      <c r="D23" s="280">
        <v>2080</v>
      </c>
      <c r="E23" s="252"/>
      <c r="F23" s="280"/>
      <c r="G23" s="252">
        <v>66077.84</v>
      </c>
      <c r="H23" s="280">
        <v>0</v>
      </c>
      <c r="I23" s="280"/>
      <c r="J23" s="280"/>
      <c r="K23" s="280">
        <f t="shared" si="6"/>
        <v>66077.84</v>
      </c>
      <c r="L23" s="253">
        <v>32.5</v>
      </c>
      <c r="M23" s="280">
        <f t="shared" si="3"/>
        <v>67600</v>
      </c>
      <c r="N23" s="254">
        <f t="shared" si="7"/>
        <v>0</v>
      </c>
      <c r="O23" s="280"/>
      <c r="P23" s="280"/>
      <c r="Q23" s="280">
        <f t="shared" si="4"/>
        <v>67600</v>
      </c>
      <c r="R23" s="254">
        <f t="shared" si="2"/>
        <v>1522.1600000000035</v>
      </c>
    </row>
    <row r="24" spans="1:18">
      <c r="A24" s="251">
        <f t="shared" si="5"/>
        <v>13</v>
      </c>
      <c r="B24" s="256" t="s">
        <v>443</v>
      </c>
      <c r="C24" s="256"/>
      <c r="D24" s="280">
        <v>2080</v>
      </c>
      <c r="E24" s="252">
        <v>65.5</v>
      </c>
      <c r="F24" s="280"/>
      <c r="G24" s="252">
        <v>88336.6</v>
      </c>
      <c r="H24" s="280">
        <v>4166.8899999999994</v>
      </c>
      <c r="I24" s="280"/>
      <c r="J24" s="280"/>
      <c r="K24" s="280">
        <f t="shared" si="6"/>
        <v>92503.49</v>
      </c>
      <c r="L24" s="253">
        <v>43.618000000000002</v>
      </c>
      <c r="M24" s="280">
        <f t="shared" si="3"/>
        <v>90725.440000000002</v>
      </c>
      <c r="N24" s="254">
        <f t="shared" si="7"/>
        <v>4285.4685000000009</v>
      </c>
      <c r="O24" s="280"/>
      <c r="P24" s="280"/>
      <c r="Q24" s="280">
        <f t="shared" si="4"/>
        <v>95010.908500000005</v>
      </c>
      <c r="R24" s="254">
        <f t="shared" si="2"/>
        <v>2507.4184999999998</v>
      </c>
    </row>
    <row r="25" spans="1:18">
      <c r="A25" s="251">
        <f t="shared" si="5"/>
        <v>14</v>
      </c>
      <c r="B25" s="256" t="s">
        <v>444</v>
      </c>
      <c r="C25" s="256"/>
      <c r="D25" s="280">
        <v>2080</v>
      </c>
      <c r="E25" s="252">
        <v>138.5</v>
      </c>
      <c r="F25" s="280"/>
      <c r="G25" s="252">
        <v>80701.22</v>
      </c>
      <c r="H25" s="280">
        <v>8062.5599999999977</v>
      </c>
      <c r="I25" s="280"/>
      <c r="J25" s="280"/>
      <c r="K25" s="280">
        <f t="shared" si="6"/>
        <v>88763.78</v>
      </c>
      <c r="L25" s="253">
        <v>41.421999999999997</v>
      </c>
      <c r="M25" s="280">
        <f t="shared" si="3"/>
        <v>86157.759999999995</v>
      </c>
      <c r="N25" s="254">
        <f t="shared" si="7"/>
        <v>8605.4204999999984</v>
      </c>
      <c r="O25" s="280"/>
      <c r="P25" s="280"/>
      <c r="Q25" s="280">
        <f t="shared" si="4"/>
        <v>94763.180499999988</v>
      </c>
      <c r="R25" s="254">
        <f t="shared" si="2"/>
        <v>5999.4004999999888</v>
      </c>
    </row>
    <row r="26" spans="1:18">
      <c r="A26" s="251">
        <f t="shared" si="5"/>
        <v>15</v>
      </c>
      <c r="B26" s="256" t="s">
        <v>445</v>
      </c>
      <c r="C26" s="256"/>
      <c r="D26" s="280">
        <v>2080</v>
      </c>
      <c r="E26" s="252">
        <v>249.5</v>
      </c>
      <c r="F26" s="280"/>
      <c r="G26" s="252">
        <v>56232.24</v>
      </c>
      <c r="H26" s="280">
        <v>10090.299999999996</v>
      </c>
      <c r="I26" s="280"/>
      <c r="J26" s="280"/>
      <c r="K26" s="280">
        <f t="shared" si="6"/>
        <v>66322.539999999994</v>
      </c>
      <c r="L26" s="253">
        <v>27.78</v>
      </c>
      <c r="M26" s="280">
        <f t="shared" si="3"/>
        <v>57782.400000000001</v>
      </c>
      <c r="N26" s="254">
        <f t="shared" si="7"/>
        <v>10396.665000000001</v>
      </c>
      <c r="O26" s="280"/>
      <c r="P26" s="280"/>
      <c r="Q26" s="280">
        <f t="shared" si="4"/>
        <v>68179.065000000002</v>
      </c>
      <c r="R26" s="254">
        <f t="shared" si="2"/>
        <v>1856.5250000000087</v>
      </c>
    </row>
    <row r="27" spans="1:18">
      <c r="A27" s="251">
        <f t="shared" si="5"/>
        <v>16</v>
      </c>
      <c r="B27" s="251" t="s">
        <v>446</v>
      </c>
      <c r="C27" s="251"/>
      <c r="D27" s="280">
        <v>2080</v>
      </c>
      <c r="E27" s="252">
        <v>6</v>
      </c>
      <c r="F27" s="280"/>
      <c r="G27" s="252">
        <v>48849.24</v>
      </c>
      <c r="H27" s="280">
        <v>217.80000000000291</v>
      </c>
      <c r="I27" s="280"/>
      <c r="J27" s="280"/>
      <c r="K27" s="280">
        <f t="shared" si="6"/>
        <v>49067.040000000001</v>
      </c>
      <c r="L27" s="253">
        <v>24.202000000000002</v>
      </c>
      <c r="M27" s="280">
        <f t="shared" si="3"/>
        <v>50340.160000000003</v>
      </c>
      <c r="N27" s="254">
        <f t="shared" si="7"/>
        <v>217.81800000000004</v>
      </c>
      <c r="O27" s="280"/>
      <c r="P27" s="280"/>
      <c r="Q27" s="280">
        <f t="shared" si="4"/>
        <v>50557.978000000003</v>
      </c>
      <c r="R27" s="254">
        <f t="shared" si="2"/>
        <v>1490.9380000000019</v>
      </c>
    </row>
    <row r="28" spans="1:18">
      <c r="A28" s="251">
        <f t="shared" si="5"/>
        <v>17</v>
      </c>
      <c r="B28" s="256" t="s">
        <v>447</v>
      </c>
      <c r="C28" s="256"/>
      <c r="D28" s="280">
        <v>2080</v>
      </c>
      <c r="E28" s="252">
        <v>5</v>
      </c>
      <c r="F28" s="280"/>
      <c r="G28" s="252">
        <v>58938.36</v>
      </c>
      <c r="H28" s="280">
        <v>209.5</v>
      </c>
      <c r="I28" s="280"/>
      <c r="J28" s="280"/>
      <c r="K28" s="280">
        <f t="shared" si="6"/>
        <v>59147.86</v>
      </c>
      <c r="L28" s="253">
        <v>29.33</v>
      </c>
      <c r="M28" s="280">
        <f t="shared" si="3"/>
        <v>61006.399999999994</v>
      </c>
      <c r="N28" s="254">
        <f t="shared" si="7"/>
        <v>219.97499999999997</v>
      </c>
      <c r="O28" s="280"/>
      <c r="P28" s="280"/>
      <c r="Q28" s="280">
        <f t="shared" si="4"/>
        <v>61226.374999999993</v>
      </c>
      <c r="R28" s="254">
        <f t="shared" si="2"/>
        <v>2078.5149999999921</v>
      </c>
    </row>
    <row r="29" spans="1:18">
      <c r="A29" s="251">
        <f t="shared" si="5"/>
        <v>18</v>
      </c>
      <c r="B29" s="251" t="s">
        <v>448</v>
      </c>
      <c r="C29" s="251"/>
      <c r="D29" s="280">
        <v>2080</v>
      </c>
      <c r="E29" s="252">
        <v>41.5</v>
      </c>
      <c r="F29" s="280"/>
      <c r="G29" s="252">
        <v>49442.720000000001</v>
      </c>
      <c r="H29" s="280">
        <v>1464.6299999999974</v>
      </c>
      <c r="I29" s="280"/>
      <c r="J29" s="280"/>
      <c r="K29" s="280">
        <f t="shared" si="6"/>
        <v>50907.35</v>
      </c>
      <c r="L29" s="253">
        <v>24.4</v>
      </c>
      <c r="M29" s="280">
        <f t="shared" si="3"/>
        <v>50752</v>
      </c>
      <c r="N29" s="254">
        <f t="shared" si="7"/>
        <v>1518.8999999999999</v>
      </c>
      <c r="O29" s="280"/>
      <c r="P29" s="280"/>
      <c r="Q29" s="280">
        <f t="shared" si="4"/>
        <v>52270.9</v>
      </c>
      <c r="R29" s="254">
        <f t="shared" si="2"/>
        <v>1363.5500000000029</v>
      </c>
    </row>
    <row r="30" spans="1:18">
      <c r="A30" s="251">
        <f t="shared" si="5"/>
        <v>19</v>
      </c>
      <c r="B30" s="251" t="s">
        <v>449</v>
      </c>
      <c r="C30" s="251"/>
      <c r="D30" s="280">
        <v>2080</v>
      </c>
      <c r="E30" s="252">
        <v>382.5</v>
      </c>
      <c r="F30" s="280"/>
      <c r="G30" s="252">
        <v>76064.479999999996</v>
      </c>
      <c r="H30" s="280">
        <v>20904.520000000004</v>
      </c>
      <c r="I30" s="280"/>
      <c r="J30" s="280"/>
      <c r="K30" s="280">
        <f t="shared" si="6"/>
        <v>96969</v>
      </c>
      <c r="L30" s="253">
        <v>39</v>
      </c>
      <c r="M30" s="280">
        <f t="shared" si="3"/>
        <v>81120</v>
      </c>
      <c r="N30" s="254">
        <f t="shared" si="7"/>
        <v>22376.25</v>
      </c>
      <c r="O30" s="280"/>
      <c r="P30" s="280"/>
      <c r="Q30" s="280">
        <f t="shared" si="4"/>
        <v>103496.25</v>
      </c>
      <c r="R30" s="254">
        <f t="shared" si="2"/>
        <v>6527.25</v>
      </c>
    </row>
    <row r="31" spans="1:18">
      <c r="A31" s="251">
        <f t="shared" si="5"/>
        <v>20</v>
      </c>
      <c r="B31" s="256" t="s">
        <v>450</v>
      </c>
      <c r="C31" s="256"/>
      <c r="D31" s="280">
        <v>2080</v>
      </c>
      <c r="E31" s="252">
        <v>91.5</v>
      </c>
      <c r="F31" s="280"/>
      <c r="G31" s="252">
        <v>59086.78</v>
      </c>
      <c r="H31" s="280">
        <v>3854.8499999999985</v>
      </c>
      <c r="I31" s="280"/>
      <c r="J31" s="280"/>
      <c r="K31" s="280">
        <f t="shared" si="6"/>
        <v>62941.63</v>
      </c>
      <c r="L31" s="253">
        <v>29.33</v>
      </c>
      <c r="M31" s="280">
        <f t="shared" si="3"/>
        <v>61006.399999999994</v>
      </c>
      <c r="N31" s="254">
        <f t="shared" si="7"/>
        <v>4025.5424999999996</v>
      </c>
      <c r="O31" s="280"/>
      <c r="P31" s="280"/>
      <c r="Q31" s="280">
        <f t="shared" si="4"/>
        <v>65031.94249999999</v>
      </c>
      <c r="R31" s="254">
        <f t="shared" si="2"/>
        <v>2090.3124999999927</v>
      </c>
    </row>
    <row r="32" spans="1:18">
      <c r="A32" s="251">
        <f t="shared" si="5"/>
        <v>21</v>
      </c>
      <c r="B32" s="251" t="s">
        <v>451</v>
      </c>
      <c r="C32" s="251"/>
      <c r="D32" s="280">
        <v>2080</v>
      </c>
      <c r="E32" s="252">
        <v>177.5</v>
      </c>
      <c r="F32" s="280"/>
      <c r="G32" s="252">
        <v>80611.23</v>
      </c>
      <c r="H32" s="280">
        <v>10343.11</v>
      </c>
      <c r="I32" s="280"/>
      <c r="J32" s="280"/>
      <c r="K32" s="280">
        <f t="shared" si="6"/>
        <v>90954.34</v>
      </c>
      <c r="L32" s="253">
        <v>41.421999999999997</v>
      </c>
      <c r="M32" s="280">
        <f t="shared" si="3"/>
        <v>86157.759999999995</v>
      </c>
      <c r="N32" s="254">
        <f t="shared" si="7"/>
        <v>11028.6075</v>
      </c>
      <c r="O32" s="280"/>
      <c r="P32" s="280"/>
      <c r="Q32" s="280">
        <f t="shared" si="4"/>
        <v>97186.367499999993</v>
      </c>
      <c r="R32" s="254">
        <f t="shared" si="2"/>
        <v>6232.0274999999965</v>
      </c>
    </row>
    <row r="33" spans="1:18">
      <c r="A33" s="251">
        <f t="shared" si="5"/>
        <v>22</v>
      </c>
      <c r="B33" s="251" t="s">
        <v>452</v>
      </c>
      <c r="C33" s="251"/>
      <c r="D33" s="280">
        <v>2080</v>
      </c>
      <c r="E33" s="252">
        <v>22</v>
      </c>
      <c r="F33" s="280"/>
      <c r="G33" s="252">
        <v>52497.08</v>
      </c>
      <c r="H33" s="280">
        <v>849.22999999999593</v>
      </c>
      <c r="I33" s="280"/>
      <c r="J33" s="280"/>
      <c r="K33" s="280">
        <f t="shared" si="6"/>
        <v>53346.31</v>
      </c>
      <c r="L33" s="253">
        <v>25.779</v>
      </c>
      <c r="M33" s="280">
        <f t="shared" si="3"/>
        <v>53620.32</v>
      </c>
      <c r="N33" s="254">
        <f t="shared" si="7"/>
        <v>850.70700000000011</v>
      </c>
      <c r="O33" s="280"/>
      <c r="P33" s="280"/>
      <c r="Q33" s="280">
        <f t="shared" si="4"/>
        <v>54471.027000000002</v>
      </c>
      <c r="R33" s="254">
        <f t="shared" si="2"/>
        <v>1124.7170000000042</v>
      </c>
    </row>
    <row r="34" spans="1:18">
      <c r="A34" s="251">
        <f t="shared" si="5"/>
        <v>23</v>
      </c>
      <c r="B34" s="251" t="s">
        <v>453</v>
      </c>
      <c r="C34" s="251"/>
      <c r="D34" s="280">
        <v>2080</v>
      </c>
      <c r="E34" s="252">
        <v>414.5</v>
      </c>
      <c r="F34" s="280"/>
      <c r="G34" s="252">
        <v>80612.13</v>
      </c>
      <c r="H34" s="280">
        <v>24140.5</v>
      </c>
      <c r="I34" s="280"/>
      <c r="J34" s="280"/>
      <c r="K34" s="280">
        <f t="shared" si="6"/>
        <v>104752.63</v>
      </c>
      <c r="L34" s="253">
        <v>41.421999999999997</v>
      </c>
      <c r="M34" s="280">
        <f t="shared" si="3"/>
        <v>86157.759999999995</v>
      </c>
      <c r="N34" s="254">
        <f t="shared" si="7"/>
        <v>25754.128499999999</v>
      </c>
      <c r="O34" s="280"/>
      <c r="P34" s="280"/>
      <c r="Q34" s="280">
        <f t="shared" si="4"/>
        <v>111911.8885</v>
      </c>
      <c r="R34" s="254">
        <f t="shared" si="2"/>
        <v>7159.2584999999963</v>
      </c>
    </row>
    <row r="35" spans="1:18">
      <c r="A35" s="251">
        <f t="shared" si="5"/>
        <v>24</v>
      </c>
      <c r="B35" s="251" t="s">
        <v>454</v>
      </c>
      <c r="C35" s="251"/>
      <c r="D35" s="280">
        <v>2080</v>
      </c>
      <c r="E35" s="252">
        <v>122.5</v>
      </c>
      <c r="F35" s="280"/>
      <c r="G35" s="252">
        <v>89429.52</v>
      </c>
      <c r="H35" s="280">
        <v>7751.2200000000012</v>
      </c>
      <c r="I35" s="280"/>
      <c r="J35" s="280"/>
      <c r="K35" s="280">
        <f t="shared" si="6"/>
        <v>97180.74</v>
      </c>
      <c r="L35" s="253">
        <v>43.618000000000002</v>
      </c>
      <c r="M35" s="280">
        <f t="shared" si="3"/>
        <v>90725.440000000002</v>
      </c>
      <c r="N35" s="254">
        <f t="shared" si="7"/>
        <v>8014.8074999999999</v>
      </c>
      <c r="O35" s="280"/>
      <c r="P35" s="280"/>
      <c r="Q35" s="280">
        <f t="shared" si="4"/>
        <v>98740.247499999998</v>
      </c>
      <c r="R35" s="254">
        <f t="shared" si="2"/>
        <v>1559.5074999999924</v>
      </c>
    </row>
    <row r="36" spans="1:18">
      <c r="A36" s="251">
        <f t="shared" si="5"/>
        <v>25</v>
      </c>
      <c r="B36" s="251" t="s">
        <v>455</v>
      </c>
      <c r="C36" s="251"/>
      <c r="D36" s="280">
        <v>2080</v>
      </c>
      <c r="E36" s="252">
        <v>6</v>
      </c>
      <c r="F36" s="280"/>
      <c r="G36" s="252">
        <v>50636.76</v>
      </c>
      <c r="H36" s="280">
        <v>222.11999999999534</v>
      </c>
      <c r="I36" s="280"/>
      <c r="J36" s="280"/>
      <c r="K36" s="280">
        <f t="shared" si="6"/>
        <v>50858.879999999997</v>
      </c>
      <c r="L36" s="253">
        <v>25.04</v>
      </c>
      <c r="M36" s="280">
        <f t="shared" si="3"/>
        <v>52083.199999999997</v>
      </c>
      <c r="N36" s="254">
        <f t="shared" si="7"/>
        <v>225.36</v>
      </c>
      <c r="O36" s="280"/>
      <c r="P36" s="280"/>
      <c r="Q36" s="280">
        <f t="shared" si="4"/>
        <v>52308.56</v>
      </c>
      <c r="R36" s="254">
        <f t="shared" si="2"/>
        <v>1449.6800000000003</v>
      </c>
    </row>
    <row r="37" spans="1:18">
      <c r="A37" s="251">
        <f t="shared" si="5"/>
        <v>26</v>
      </c>
      <c r="B37" s="256" t="s">
        <v>456</v>
      </c>
      <c r="C37" s="256"/>
      <c r="D37" s="280">
        <v>2080</v>
      </c>
      <c r="E37" s="252">
        <v>156.5</v>
      </c>
      <c r="F37" s="280"/>
      <c r="G37" s="252">
        <v>75943.48</v>
      </c>
      <c r="H37" s="280">
        <v>8491.1999999999971</v>
      </c>
      <c r="I37" s="280"/>
      <c r="J37" s="280"/>
      <c r="K37" s="280">
        <f t="shared" si="6"/>
        <v>84434.68</v>
      </c>
      <c r="L37" s="253">
        <v>39</v>
      </c>
      <c r="M37" s="280">
        <f t="shared" si="3"/>
        <v>81120</v>
      </c>
      <c r="N37" s="254">
        <f t="shared" si="7"/>
        <v>9155.25</v>
      </c>
      <c r="O37" s="280"/>
      <c r="P37" s="280"/>
      <c r="Q37" s="280">
        <f t="shared" si="4"/>
        <v>90275.25</v>
      </c>
      <c r="R37" s="254">
        <f t="shared" si="2"/>
        <v>5840.570000000007</v>
      </c>
    </row>
    <row r="38" spans="1:18">
      <c r="A38" s="251">
        <f t="shared" si="5"/>
        <v>27</v>
      </c>
      <c r="B38" s="251" t="s">
        <v>457</v>
      </c>
      <c r="C38" s="251"/>
      <c r="D38" s="280">
        <v>2080</v>
      </c>
      <c r="E38" s="252"/>
      <c r="F38" s="280"/>
      <c r="G38" s="252">
        <v>44920.73</v>
      </c>
      <c r="H38" s="280">
        <v>0</v>
      </c>
      <c r="I38" s="280"/>
      <c r="J38" s="280"/>
      <c r="K38" s="280">
        <f t="shared" si="6"/>
        <v>44920.73</v>
      </c>
      <c r="L38" s="253">
        <v>22.57</v>
      </c>
      <c r="M38" s="280">
        <f t="shared" si="3"/>
        <v>46945.599999999999</v>
      </c>
      <c r="N38" s="254">
        <f t="shared" si="7"/>
        <v>0</v>
      </c>
      <c r="O38" s="280"/>
      <c r="P38" s="280"/>
      <c r="Q38" s="280">
        <f t="shared" si="4"/>
        <v>46945.599999999999</v>
      </c>
      <c r="R38" s="254">
        <f t="shared" si="2"/>
        <v>2024.8699999999953</v>
      </c>
    </row>
    <row r="39" spans="1:18">
      <c r="A39" s="251">
        <f t="shared" si="5"/>
        <v>28</v>
      </c>
      <c r="B39" s="256" t="s">
        <v>458</v>
      </c>
      <c r="C39" s="256"/>
      <c r="D39" s="280">
        <v>2080</v>
      </c>
      <c r="E39" s="252">
        <v>55.5</v>
      </c>
      <c r="F39" s="280"/>
      <c r="G39" s="252">
        <v>50265.04</v>
      </c>
      <c r="H39" s="280">
        <v>2007.739999999998</v>
      </c>
      <c r="I39" s="280"/>
      <c r="J39" s="280"/>
      <c r="K39" s="280">
        <f t="shared" si="6"/>
        <v>52272.78</v>
      </c>
      <c r="L39" s="253">
        <v>25.47</v>
      </c>
      <c r="M39" s="280">
        <f t="shared" si="3"/>
        <v>52977.599999999999</v>
      </c>
      <c r="N39" s="254">
        <f t="shared" si="7"/>
        <v>2120.3775000000001</v>
      </c>
      <c r="O39" s="280"/>
      <c r="P39" s="280"/>
      <c r="Q39" s="280">
        <f t="shared" si="4"/>
        <v>55097.977500000001</v>
      </c>
      <c r="R39" s="254">
        <f t="shared" si="2"/>
        <v>2825.197500000002</v>
      </c>
    </row>
    <row r="40" spans="1:18">
      <c r="A40" s="251">
        <f t="shared" si="5"/>
        <v>29</v>
      </c>
      <c r="B40" s="256" t="s">
        <v>459</v>
      </c>
      <c r="C40" s="256"/>
      <c r="D40" s="280">
        <v>2048</v>
      </c>
      <c r="E40" s="252">
        <v>105.75</v>
      </c>
      <c r="F40" s="280"/>
      <c r="G40" s="252">
        <v>38646.300000000003</v>
      </c>
      <c r="H40" s="280">
        <v>2948.8600000000006</v>
      </c>
      <c r="I40" s="280"/>
      <c r="J40" s="280"/>
      <c r="K40" s="280">
        <f t="shared" si="6"/>
        <v>41595.160000000003</v>
      </c>
      <c r="L40" s="253">
        <v>19.28</v>
      </c>
      <c r="M40" s="280">
        <f t="shared" si="3"/>
        <v>40102.400000000001</v>
      </c>
      <c r="N40" s="254">
        <f t="shared" si="7"/>
        <v>3058.29</v>
      </c>
      <c r="O40" s="280"/>
      <c r="P40" s="280"/>
      <c r="Q40" s="280">
        <f t="shared" si="4"/>
        <v>43160.69</v>
      </c>
      <c r="R40" s="254">
        <f t="shared" si="2"/>
        <v>1565.5299999999988</v>
      </c>
    </row>
    <row r="41" spans="1:18">
      <c r="A41" s="251">
        <f t="shared" si="5"/>
        <v>30</v>
      </c>
      <c r="B41" s="256" t="s">
        <v>460</v>
      </c>
      <c r="C41" s="256"/>
      <c r="D41" s="280">
        <v>2080</v>
      </c>
      <c r="E41" s="252">
        <v>6</v>
      </c>
      <c r="F41" s="280"/>
      <c r="G41" s="252">
        <v>48548.81</v>
      </c>
      <c r="H41" s="280">
        <v>207.54000000000087</v>
      </c>
      <c r="I41" s="280"/>
      <c r="J41" s="280"/>
      <c r="K41" s="280">
        <f t="shared" si="6"/>
        <v>48756.35</v>
      </c>
      <c r="L41" s="253">
        <v>24.21</v>
      </c>
      <c r="M41" s="280">
        <f t="shared" si="3"/>
        <v>50356.800000000003</v>
      </c>
      <c r="N41" s="254">
        <f t="shared" si="7"/>
        <v>217.89</v>
      </c>
      <c r="O41" s="280"/>
      <c r="P41" s="280"/>
      <c r="Q41" s="280">
        <f t="shared" si="4"/>
        <v>50574.69</v>
      </c>
      <c r="R41" s="254">
        <f t="shared" si="2"/>
        <v>1818.3400000000038</v>
      </c>
    </row>
    <row r="42" spans="1:18">
      <c r="A42" s="251">
        <f t="shared" si="5"/>
        <v>31</v>
      </c>
      <c r="B42" s="251" t="s">
        <v>461</v>
      </c>
      <c r="C42" s="251"/>
      <c r="D42" s="280">
        <v>2080</v>
      </c>
      <c r="E42" s="252">
        <v>42.5</v>
      </c>
      <c r="F42" s="280"/>
      <c r="G42" s="252">
        <v>39538.49</v>
      </c>
      <c r="H42" s="280">
        <v>1220.0800000000017</v>
      </c>
      <c r="I42" s="280"/>
      <c r="J42" s="280"/>
      <c r="K42" s="280">
        <f t="shared" si="6"/>
        <v>40758.57</v>
      </c>
      <c r="L42" s="253">
        <v>19.71</v>
      </c>
      <c r="M42" s="280">
        <f t="shared" si="3"/>
        <v>40996.800000000003</v>
      </c>
      <c r="N42" s="254">
        <f t="shared" si="7"/>
        <v>1256.5125</v>
      </c>
      <c r="O42" s="280"/>
      <c r="P42" s="280"/>
      <c r="Q42" s="280">
        <f t="shared" si="4"/>
        <v>42253.3125</v>
      </c>
      <c r="R42" s="254">
        <f t="shared" si="2"/>
        <v>1494.7425000000003</v>
      </c>
    </row>
    <row r="43" spans="1:18">
      <c r="A43" s="251">
        <f t="shared" si="5"/>
        <v>32</v>
      </c>
      <c r="B43" s="251" t="s">
        <v>462</v>
      </c>
      <c r="C43" s="251"/>
      <c r="D43" s="280">
        <v>2080</v>
      </c>
      <c r="E43" s="252">
        <v>76.5</v>
      </c>
      <c r="F43" s="280"/>
      <c r="G43" s="252">
        <v>56693.599999999999</v>
      </c>
      <c r="H43" s="280">
        <v>3143.4400000000023</v>
      </c>
      <c r="I43" s="280"/>
      <c r="J43" s="280"/>
      <c r="K43" s="280">
        <f t="shared" si="6"/>
        <v>59837.04</v>
      </c>
      <c r="L43" s="253">
        <v>28.8</v>
      </c>
      <c r="M43" s="280">
        <f t="shared" si="3"/>
        <v>59904</v>
      </c>
      <c r="N43" s="254">
        <f t="shared" si="7"/>
        <v>3304.8</v>
      </c>
      <c r="O43" s="280"/>
      <c r="P43" s="280"/>
      <c r="Q43" s="280">
        <f t="shared" si="4"/>
        <v>63208.800000000003</v>
      </c>
      <c r="R43" s="254">
        <f t="shared" si="2"/>
        <v>3371.760000000002</v>
      </c>
    </row>
    <row r="44" spans="1:18">
      <c r="A44" s="251">
        <f t="shared" si="5"/>
        <v>33</v>
      </c>
      <c r="B44" s="251" t="s">
        <v>463</v>
      </c>
      <c r="C44" s="251"/>
      <c r="D44" s="280">
        <v>2056</v>
      </c>
      <c r="E44" s="252">
        <v>426</v>
      </c>
      <c r="F44" s="280"/>
      <c r="G44" s="252">
        <v>79629.149999999994</v>
      </c>
      <c r="H44" s="280">
        <v>24675.050000000003</v>
      </c>
      <c r="I44" s="280"/>
      <c r="J44" s="280"/>
      <c r="K44" s="280">
        <f t="shared" si="6"/>
        <v>104304.2</v>
      </c>
      <c r="L44" s="253">
        <v>41.421999999999997</v>
      </c>
      <c r="M44" s="280">
        <f t="shared" si="3"/>
        <v>86157.759999999995</v>
      </c>
      <c r="N44" s="254">
        <f t="shared" si="7"/>
        <v>26468.657999999996</v>
      </c>
      <c r="O44" s="280"/>
      <c r="P44" s="280"/>
      <c r="Q44" s="280">
        <f t="shared" si="4"/>
        <v>112626.41799999999</v>
      </c>
      <c r="R44" s="254">
        <f t="shared" ref="R44:R75" si="8">Q44-K44</f>
        <v>8322.2179999999935</v>
      </c>
    </row>
    <row r="45" spans="1:18">
      <c r="A45" s="251">
        <f t="shared" si="5"/>
        <v>34</v>
      </c>
      <c r="B45" s="256" t="s">
        <v>464</v>
      </c>
      <c r="C45" s="256"/>
      <c r="D45" s="280">
        <v>2080</v>
      </c>
      <c r="E45" s="252"/>
      <c r="F45" s="280"/>
      <c r="G45" s="252">
        <v>39813.050000000003</v>
      </c>
      <c r="H45" s="280">
        <v>0</v>
      </c>
      <c r="I45" s="280"/>
      <c r="J45" s="280"/>
      <c r="K45" s="280">
        <f t="shared" si="6"/>
        <v>39813.050000000003</v>
      </c>
      <c r="L45" s="253">
        <v>19.86</v>
      </c>
      <c r="M45" s="280">
        <f t="shared" ref="M45:M73" si="9">L45*2080</f>
        <v>41308.799999999996</v>
      </c>
      <c r="N45" s="254">
        <f t="shared" si="7"/>
        <v>0</v>
      </c>
      <c r="O45" s="280"/>
      <c r="P45" s="280"/>
      <c r="Q45" s="280">
        <f t="shared" si="4"/>
        <v>41308.799999999996</v>
      </c>
      <c r="R45" s="254">
        <f t="shared" si="8"/>
        <v>1495.7499999999927</v>
      </c>
    </row>
    <row r="46" spans="1:18">
      <c r="A46" s="251">
        <f t="shared" si="5"/>
        <v>35</v>
      </c>
      <c r="B46" s="256" t="s">
        <v>465</v>
      </c>
      <c r="C46" s="256"/>
      <c r="D46" s="280">
        <v>2080</v>
      </c>
      <c r="E46" s="252">
        <v>159</v>
      </c>
      <c r="F46" s="280"/>
      <c r="G46" s="252">
        <v>75843.48</v>
      </c>
      <c r="H46" s="280">
        <v>8839.9900000000052</v>
      </c>
      <c r="I46" s="280"/>
      <c r="J46" s="280"/>
      <c r="K46" s="280">
        <f t="shared" si="6"/>
        <v>84683.47</v>
      </c>
      <c r="L46" s="253">
        <v>39</v>
      </c>
      <c r="M46" s="280">
        <f t="shared" si="9"/>
        <v>81120</v>
      </c>
      <c r="N46" s="254">
        <f t="shared" si="7"/>
        <v>9301.5</v>
      </c>
      <c r="O46" s="280"/>
      <c r="P46" s="280"/>
      <c r="Q46" s="280">
        <f t="shared" si="4"/>
        <v>90421.5</v>
      </c>
      <c r="R46" s="254">
        <f t="shared" si="8"/>
        <v>5738.0299999999988</v>
      </c>
    </row>
    <row r="47" spans="1:18">
      <c r="A47" s="251">
        <f t="shared" si="5"/>
        <v>36</v>
      </c>
      <c r="B47" s="256" t="s">
        <v>466</v>
      </c>
      <c r="C47" s="256"/>
      <c r="D47" s="280">
        <v>2080</v>
      </c>
      <c r="E47" s="252">
        <v>117</v>
      </c>
      <c r="F47" s="280"/>
      <c r="G47" s="252">
        <v>58231.24</v>
      </c>
      <c r="H47" s="280">
        <v>4959.760000000002</v>
      </c>
      <c r="I47" s="280"/>
      <c r="J47" s="280"/>
      <c r="K47" s="280">
        <f t="shared" si="6"/>
        <v>63191</v>
      </c>
      <c r="L47" s="253">
        <v>29.064</v>
      </c>
      <c r="M47" s="280">
        <f t="shared" si="9"/>
        <v>60453.120000000003</v>
      </c>
      <c r="N47" s="254">
        <f t="shared" si="7"/>
        <v>5100.732</v>
      </c>
      <c r="O47" s="280"/>
      <c r="P47" s="280"/>
      <c r="Q47" s="280">
        <f t="shared" si="4"/>
        <v>65553.851999999999</v>
      </c>
      <c r="R47" s="254">
        <f t="shared" si="8"/>
        <v>2362.851999999999</v>
      </c>
    </row>
    <row r="48" spans="1:18">
      <c r="A48" s="251">
        <f t="shared" si="5"/>
        <v>37</v>
      </c>
      <c r="B48" s="251" t="s">
        <v>467</v>
      </c>
      <c r="C48" s="251"/>
      <c r="D48" s="280">
        <v>2080</v>
      </c>
      <c r="E48" s="252">
        <v>509</v>
      </c>
      <c r="F48" s="280"/>
      <c r="G48" s="252">
        <v>75814.48</v>
      </c>
      <c r="H48" s="280">
        <v>27958.590000000011</v>
      </c>
      <c r="I48" s="280"/>
      <c r="J48" s="280"/>
      <c r="K48" s="280">
        <f t="shared" si="6"/>
        <v>103773.07</v>
      </c>
      <c r="L48" s="253">
        <v>39</v>
      </c>
      <c r="M48" s="280">
        <f t="shared" si="9"/>
        <v>81120</v>
      </c>
      <c r="N48" s="254">
        <f t="shared" si="7"/>
        <v>29776.5</v>
      </c>
      <c r="O48" s="280"/>
      <c r="P48" s="280"/>
      <c r="Q48" s="280">
        <f t="shared" si="4"/>
        <v>110896.5</v>
      </c>
      <c r="R48" s="254">
        <f t="shared" si="8"/>
        <v>7123.429999999993</v>
      </c>
    </row>
    <row r="49" spans="1:18">
      <c r="A49" s="251">
        <f t="shared" si="5"/>
        <v>38</v>
      </c>
      <c r="B49" s="251" t="s">
        <v>468</v>
      </c>
      <c r="C49" s="251"/>
      <c r="D49" s="280">
        <v>2080</v>
      </c>
      <c r="E49" s="252">
        <v>336.5</v>
      </c>
      <c r="F49" s="280"/>
      <c r="G49" s="252">
        <v>75790.48</v>
      </c>
      <c r="H49" s="280">
        <v>18335.940000000002</v>
      </c>
      <c r="I49" s="280"/>
      <c r="J49" s="280"/>
      <c r="K49" s="280">
        <f t="shared" si="6"/>
        <v>94126.42</v>
      </c>
      <c r="L49" s="253">
        <v>39</v>
      </c>
      <c r="M49" s="280">
        <f t="shared" si="9"/>
        <v>81120</v>
      </c>
      <c r="N49" s="254">
        <f t="shared" si="7"/>
        <v>19685.25</v>
      </c>
      <c r="O49" s="280"/>
      <c r="P49" s="280"/>
      <c r="Q49" s="280">
        <f t="shared" si="4"/>
        <v>100805.25</v>
      </c>
      <c r="R49" s="254">
        <f t="shared" si="8"/>
        <v>6678.8300000000017</v>
      </c>
    </row>
    <row r="50" spans="1:18">
      <c r="A50" s="251">
        <f t="shared" si="5"/>
        <v>39</v>
      </c>
      <c r="B50" s="251" t="s">
        <v>469</v>
      </c>
      <c r="C50" s="251"/>
      <c r="D50" s="280">
        <v>2080</v>
      </c>
      <c r="E50" s="252">
        <v>64.5</v>
      </c>
      <c r="F50" s="280"/>
      <c r="G50" s="252">
        <v>39352.239999999998</v>
      </c>
      <c r="H50" s="280">
        <v>1814.2900000000009</v>
      </c>
      <c r="I50" s="280"/>
      <c r="J50" s="280"/>
      <c r="K50" s="280">
        <f t="shared" si="6"/>
        <v>41166.53</v>
      </c>
      <c r="L50" s="253">
        <v>19.61</v>
      </c>
      <c r="M50" s="280">
        <f t="shared" si="9"/>
        <v>40788.799999999996</v>
      </c>
      <c r="N50" s="254">
        <f t="shared" si="7"/>
        <v>1897.2674999999999</v>
      </c>
      <c r="O50" s="280"/>
      <c r="P50" s="280"/>
      <c r="Q50" s="280">
        <f t="shared" si="4"/>
        <v>42686.067499999997</v>
      </c>
      <c r="R50" s="254">
        <f t="shared" si="8"/>
        <v>1519.5374999999985</v>
      </c>
    </row>
    <row r="51" spans="1:18">
      <c r="A51" s="251">
        <f t="shared" si="5"/>
        <v>40</v>
      </c>
      <c r="B51" s="256" t="s">
        <v>470</v>
      </c>
      <c r="C51" s="256"/>
      <c r="D51" s="280">
        <v>2080</v>
      </c>
      <c r="E51" s="252">
        <v>291</v>
      </c>
      <c r="F51" s="280"/>
      <c r="G51" s="252">
        <v>75809.48</v>
      </c>
      <c r="H51" s="280">
        <v>15881.430000000008</v>
      </c>
      <c r="I51" s="280"/>
      <c r="J51" s="280"/>
      <c r="K51" s="280">
        <f t="shared" si="6"/>
        <v>91690.91</v>
      </c>
      <c r="L51" s="253">
        <v>39</v>
      </c>
      <c r="M51" s="280">
        <f t="shared" si="9"/>
        <v>81120</v>
      </c>
      <c r="N51" s="254">
        <f t="shared" si="7"/>
        <v>17023.5</v>
      </c>
      <c r="O51" s="280"/>
      <c r="P51" s="280"/>
      <c r="Q51" s="280">
        <f t="shared" si="4"/>
        <v>98143.5</v>
      </c>
      <c r="R51" s="254">
        <f t="shared" si="8"/>
        <v>6452.5899999999965</v>
      </c>
    </row>
    <row r="52" spans="1:18">
      <c r="A52" s="251">
        <f t="shared" si="5"/>
        <v>41</v>
      </c>
      <c r="B52" s="251" t="s">
        <v>471</v>
      </c>
      <c r="C52" s="251"/>
      <c r="D52" s="280">
        <v>2080</v>
      </c>
      <c r="E52" s="252">
        <v>275</v>
      </c>
      <c r="F52" s="280"/>
      <c r="G52" s="252">
        <v>75811.48</v>
      </c>
      <c r="H52" s="280">
        <v>15001.949999999997</v>
      </c>
      <c r="I52" s="280"/>
      <c r="J52" s="280"/>
      <c r="K52" s="280">
        <f t="shared" si="6"/>
        <v>90813.43</v>
      </c>
      <c r="L52" s="253">
        <v>39</v>
      </c>
      <c r="M52" s="280">
        <f t="shared" si="9"/>
        <v>81120</v>
      </c>
      <c r="N52" s="254">
        <f t="shared" si="7"/>
        <v>16087.5</v>
      </c>
      <c r="O52" s="280"/>
      <c r="P52" s="280"/>
      <c r="Q52" s="280">
        <f t="shared" si="4"/>
        <v>97207.5</v>
      </c>
      <c r="R52" s="254">
        <f t="shared" si="8"/>
        <v>6394.070000000007</v>
      </c>
    </row>
    <row r="53" spans="1:18">
      <c r="A53" s="251">
        <f t="shared" si="5"/>
        <v>42</v>
      </c>
      <c r="B53" s="251" t="s">
        <v>472</v>
      </c>
      <c r="C53" s="251"/>
      <c r="D53" s="280">
        <v>2080</v>
      </c>
      <c r="E53" s="252">
        <v>308.5</v>
      </c>
      <c r="F53" s="280"/>
      <c r="G53" s="252">
        <v>75799.48</v>
      </c>
      <c r="H53" s="280">
        <v>16799.240000000005</v>
      </c>
      <c r="I53" s="280"/>
      <c r="J53" s="280"/>
      <c r="K53" s="280">
        <f t="shared" ref="K53:K71" si="10">SUM(G53:J53)</f>
        <v>92598.720000000001</v>
      </c>
      <c r="L53" s="253">
        <v>39</v>
      </c>
      <c r="M53" s="280">
        <f t="shared" si="9"/>
        <v>81120</v>
      </c>
      <c r="N53" s="254">
        <f t="shared" ref="N53:N86" si="11">(+E53*L53)*1.5</f>
        <v>18047.25</v>
      </c>
      <c r="O53" s="280"/>
      <c r="P53" s="280"/>
      <c r="Q53" s="280">
        <f t="shared" si="4"/>
        <v>99167.25</v>
      </c>
      <c r="R53" s="254">
        <f t="shared" si="8"/>
        <v>6568.5299999999988</v>
      </c>
    </row>
    <row r="54" spans="1:18">
      <c r="A54" s="251">
        <f t="shared" si="5"/>
        <v>43</v>
      </c>
      <c r="B54" s="251" t="s">
        <v>473</v>
      </c>
      <c r="C54" s="251"/>
      <c r="D54" s="280">
        <v>2080</v>
      </c>
      <c r="E54" s="252">
        <v>184.5</v>
      </c>
      <c r="F54" s="280"/>
      <c r="G54" s="252">
        <v>75765.48</v>
      </c>
      <c r="H54" s="280">
        <v>10148.020000000004</v>
      </c>
      <c r="I54" s="280"/>
      <c r="J54" s="280"/>
      <c r="K54" s="280">
        <f t="shared" si="10"/>
        <v>85913.5</v>
      </c>
      <c r="L54" s="253">
        <v>39</v>
      </c>
      <c r="M54" s="280">
        <f t="shared" si="9"/>
        <v>81120</v>
      </c>
      <c r="N54" s="254">
        <f t="shared" si="11"/>
        <v>10793.25</v>
      </c>
      <c r="O54" s="280"/>
      <c r="P54" s="280"/>
      <c r="Q54" s="280">
        <f t="shared" si="4"/>
        <v>91913.25</v>
      </c>
      <c r="R54" s="254">
        <f t="shared" si="8"/>
        <v>5999.75</v>
      </c>
    </row>
    <row r="55" spans="1:18">
      <c r="A55" s="251">
        <f t="shared" si="5"/>
        <v>44</v>
      </c>
      <c r="B55" s="251" t="s">
        <v>474</v>
      </c>
      <c r="C55" s="251"/>
      <c r="D55" s="280">
        <v>2051.5</v>
      </c>
      <c r="E55" s="252">
        <v>338</v>
      </c>
      <c r="F55" s="280"/>
      <c r="G55" s="252">
        <v>62845.9</v>
      </c>
      <c r="H55" s="280">
        <v>15360.659999999996</v>
      </c>
      <c r="I55" s="280"/>
      <c r="J55" s="280"/>
      <c r="K55" s="280">
        <f t="shared" si="10"/>
        <v>78206.559999999998</v>
      </c>
      <c r="L55" s="253">
        <v>36</v>
      </c>
      <c r="M55" s="280">
        <f t="shared" si="9"/>
        <v>74880</v>
      </c>
      <c r="N55" s="254">
        <f t="shared" si="11"/>
        <v>18252</v>
      </c>
      <c r="O55" s="280"/>
      <c r="P55" s="280"/>
      <c r="Q55" s="280">
        <f t="shared" si="4"/>
        <v>93132</v>
      </c>
      <c r="R55" s="254">
        <f t="shared" si="8"/>
        <v>14925.440000000002</v>
      </c>
    </row>
    <row r="56" spans="1:18">
      <c r="A56" s="251">
        <f t="shared" si="5"/>
        <v>45</v>
      </c>
      <c r="B56" s="251" t="s">
        <v>475</v>
      </c>
      <c r="C56" s="251"/>
      <c r="D56" s="280">
        <v>2080</v>
      </c>
      <c r="E56" s="252">
        <v>3</v>
      </c>
      <c r="F56" s="280"/>
      <c r="G56" s="252">
        <v>49037.72</v>
      </c>
      <c r="H56" s="280">
        <v>109.70999999999913</v>
      </c>
      <c r="I56" s="280"/>
      <c r="J56" s="280"/>
      <c r="K56" s="280">
        <f t="shared" si="10"/>
        <v>49147.43</v>
      </c>
      <c r="L56" s="253">
        <v>24.38</v>
      </c>
      <c r="M56" s="280">
        <f t="shared" si="9"/>
        <v>50710.400000000001</v>
      </c>
      <c r="N56" s="254">
        <f t="shared" si="11"/>
        <v>109.71000000000001</v>
      </c>
      <c r="O56" s="280"/>
      <c r="P56" s="280"/>
      <c r="Q56" s="280">
        <f t="shared" si="4"/>
        <v>50820.11</v>
      </c>
      <c r="R56" s="254">
        <f t="shared" si="8"/>
        <v>1672.6800000000003</v>
      </c>
    </row>
    <row r="57" spans="1:18">
      <c r="A57" s="251">
        <f t="shared" si="5"/>
        <v>46</v>
      </c>
      <c r="B57" s="256" t="s">
        <v>476</v>
      </c>
      <c r="C57" s="256"/>
      <c r="D57" s="280">
        <v>2080</v>
      </c>
      <c r="E57" s="252">
        <v>67.25</v>
      </c>
      <c r="F57" s="280"/>
      <c r="G57" s="252">
        <v>54320.37</v>
      </c>
      <c r="H57" s="280">
        <v>2663.2199999999939</v>
      </c>
      <c r="I57" s="280"/>
      <c r="J57" s="280"/>
      <c r="K57" s="280">
        <f t="shared" si="10"/>
        <v>56983.59</v>
      </c>
      <c r="L57" s="253">
        <v>27.126999999999999</v>
      </c>
      <c r="M57" s="280">
        <f t="shared" si="9"/>
        <v>56424.159999999996</v>
      </c>
      <c r="N57" s="254">
        <f t="shared" si="11"/>
        <v>2736.4361249999997</v>
      </c>
      <c r="O57" s="280"/>
      <c r="P57" s="280"/>
      <c r="Q57" s="280">
        <f t="shared" si="4"/>
        <v>59160.596124999996</v>
      </c>
      <c r="R57" s="254">
        <f t="shared" si="8"/>
        <v>2177.0061249999999</v>
      </c>
    </row>
    <row r="58" spans="1:18">
      <c r="A58" s="251">
        <f t="shared" si="5"/>
        <v>47</v>
      </c>
      <c r="B58" s="251" t="s">
        <v>477</v>
      </c>
      <c r="C58" s="251"/>
      <c r="D58" s="280">
        <v>2056</v>
      </c>
      <c r="E58" s="252">
        <v>520.5</v>
      </c>
      <c r="F58" s="280"/>
      <c r="G58" s="252">
        <v>61773.36</v>
      </c>
      <c r="H58" s="280">
        <v>23213.059999999998</v>
      </c>
      <c r="I58" s="280"/>
      <c r="J58" s="280"/>
      <c r="K58" s="280">
        <f t="shared" si="10"/>
        <v>84986.42</v>
      </c>
      <c r="L58" s="253">
        <v>36</v>
      </c>
      <c r="M58" s="280">
        <f t="shared" si="9"/>
        <v>74880</v>
      </c>
      <c r="N58" s="254">
        <f t="shared" si="11"/>
        <v>28107</v>
      </c>
      <c r="O58" s="280"/>
      <c r="P58" s="280"/>
      <c r="Q58" s="280">
        <f t="shared" si="4"/>
        <v>102987</v>
      </c>
      <c r="R58" s="254">
        <f t="shared" si="8"/>
        <v>18000.580000000002</v>
      </c>
    </row>
    <row r="59" spans="1:18">
      <c r="A59" s="251">
        <f t="shared" si="5"/>
        <v>48</v>
      </c>
      <c r="B59" s="256" t="s">
        <v>478</v>
      </c>
      <c r="C59" s="256"/>
      <c r="D59" s="280">
        <v>2080</v>
      </c>
      <c r="E59" s="252">
        <v>273.5</v>
      </c>
      <c r="F59" s="280"/>
      <c r="G59" s="252">
        <v>56553.2</v>
      </c>
      <c r="H59" s="280">
        <v>11009.740000000005</v>
      </c>
      <c r="I59" s="280"/>
      <c r="J59" s="280"/>
      <c r="K59" s="280">
        <f t="shared" si="10"/>
        <v>67562.94</v>
      </c>
      <c r="L59" s="253">
        <v>31.132000000000001</v>
      </c>
      <c r="M59" s="280">
        <f t="shared" si="9"/>
        <v>64754.560000000005</v>
      </c>
      <c r="N59" s="254">
        <f t="shared" si="11"/>
        <v>12771.903000000002</v>
      </c>
      <c r="O59" s="280"/>
      <c r="P59" s="280"/>
      <c r="Q59" s="280">
        <f t="shared" si="4"/>
        <v>77526.463000000003</v>
      </c>
      <c r="R59" s="254">
        <f t="shared" si="8"/>
        <v>9963.523000000001</v>
      </c>
    </row>
    <row r="60" spans="1:18">
      <c r="A60" s="251">
        <f t="shared" si="5"/>
        <v>49</v>
      </c>
      <c r="B60" s="251" t="s">
        <v>479</v>
      </c>
      <c r="C60" s="251"/>
      <c r="D60" s="280">
        <v>2080</v>
      </c>
      <c r="E60" s="252">
        <v>83.5</v>
      </c>
      <c r="F60" s="280"/>
      <c r="G60" s="252">
        <v>46283.8</v>
      </c>
      <c r="H60" s="280">
        <v>2810.7899999999936</v>
      </c>
      <c r="I60" s="280"/>
      <c r="J60" s="280"/>
      <c r="K60" s="280">
        <f t="shared" si="10"/>
        <v>49094.59</v>
      </c>
      <c r="L60" s="253">
        <v>23.1</v>
      </c>
      <c r="M60" s="280">
        <f t="shared" si="9"/>
        <v>48048</v>
      </c>
      <c r="N60" s="254">
        <f t="shared" si="11"/>
        <v>2893.2750000000001</v>
      </c>
      <c r="O60" s="280"/>
      <c r="P60" s="280"/>
      <c r="Q60" s="280">
        <f t="shared" si="4"/>
        <v>50941.275000000001</v>
      </c>
      <c r="R60" s="254">
        <f t="shared" si="8"/>
        <v>1846.6850000000049</v>
      </c>
    </row>
    <row r="61" spans="1:18">
      <c r="A61" s="251">
        <f t="shared" si="5"/>
        <v>50</v>
      </c>
      <c r="B61" s="256" t="s">
        <v>480</v>
      </c>
      <c r="C61" s="256"/>
      <c r="D61" s="280">
        <v>2080</v>
      </c>
      <c r="E61" s="252">
        <v>17</v>
      </c>
      <c r="F61" s="280"/>
      <c r="G61" s="252">
        <v>37505.32</v>
      </c>
      <c r="H61" s="280">
        <v>458.81999999999971</v>
      </c>
      <c r="I61" s="280"/>
      <c r="J61" s="280"/>
      <c r="K61" s="280">
        <f t="shared" si="10"/>
        <v>37964.14</v>
      </c>
      <c r="L61" s="253">
        <v>18.96</v>
      </c>
      <c r="M61" s="280">
        <f t="shared" si="9"/>
        <v>39436.800000000003</v>
      </c>
      <c r="N61" s="254">
        <f t="shared" si="11"/>
        <v>483.48</v>
      </c>
      <c r="O61" s="280"/>
      <c r="P61" s="280"/>
      <c r="Q61" s="280">
        <f t="shared" si="4"/>
        <v>39920.280000000006</v>
      </c>
      <c r="R61" s="254">
        <f t="shared" si="8"/>
        <v>1956.1400000000067</v>
      </c>
    </row>
    <row r="62" spans="1:18">
      <c r="A62" s="251">
        <f t="shared" si="5"/>
        <v>51</v>
      </c>
      <c r="B62" s="256" t="s">
        <v>481</v>
      </c>
      <c r="C62" s="256"/>
      <c r="D62" s="280">
        <v>2080</v>
      </c>
      <c r="E62" s="252">
        <v>290</v>
      </c>
      <c r="F62" s="280"/>
      <c r="G62" s="252">
        <v>55574.5</v>
      </c>
      <c r="H62" s="280">
        <v>11458.960000000006</v>
      </c>
      <c r="I62" s="280"/>
      <c r="J62" s="280"/>
      <c r="K62" s="280">
        <f t="shared" si="10"/>
        <v>67033.460000000006</v>
      </c>
      <c r="L62" s="253">
        <v>31.132000000000001</v>
      </c>
      <c r="M62" s="280">
        <f t="shared" si="9"/>
        <v>64754.560000000005</v>
      </c>
      <c r="N62" s="254">
        <f t="shared" si="11"/>
        <v>13542.420000000002</v>
      </c>
      <c r="O62" s="280"/>
      <c r="P62" s="280"/>
      <c r="Q62" s="280">
        <f t="shared" si="4"/>
        <v>78296.98000000001</v>
      </c>
      <c r="R62" s="254">
        <f t="shared" si="8"/>
        <v>11263.520000000004</v>
      </c>
    </row>
    <row r="63" spans="1:18">
      <c r="A63" s="251">
        <f t="shared" si="5"/>
        <v>52</v>
      </c>
      <c r="B63" s="256" t="s">
        <v>482</v>
      </c>
      <c r="C63" s="256"/>
      <c r="D63" s="280">
        <v>2080</v>
      </c>
      <c r="E63" s="252">
        <v>365.25</v>
      </c>
      <c r="F63" s="280"/>
      <c r="G63" s="252">
        <v>54205.96</v>
      </c>
      <c r="H63" s="280">
        <v>14355.980000000003</v>
      </c>
      <c r="I63" s="280"/>
      <c r="J63" s="280"/>
      <c r="K63" s="280">
        <f t="shared" si="10"/>
        <v>68561.94</v>
      </c>
      <c r="L63" s="253">
        <v>27.52</v>
      </c>
      <c r="M63" s="280">
        <f t="shared" si="9"/>
        <v>57241.599999999999</v>
      </c>
      <c r="N63" s="254">
        <f t="shared" si="11"/>
        <v>15077.52</v>
      </c>
      <c r="O63" s="280"/>
      <c r="P63" s="280"/>
      <c r="Q63" s="280">
        <f t="shared" si="4"/>
        <v>72319.12</v>
      </c>
      <c r="R63" s="254">
        <f t="shared" si="8"/>
        <v>3757.179999999993</v>
      </c>
    </row>
    <row r="64" spans="1:18">
      <c r="A64" s="251">
        <f t="shared" si="5"/>
        <v>53</v>
      </c>
      <c r="B64" s="251" t="s">
        <v>483</v>
      </c>
      <c r="C64" s="251"/>
      <c r="D64" s="280">
        <v>2080</v>
      </c>
      <c r="E64" s="252">
        <v>244.5</v>
      </c>
      <c r="F64" s="280"/>
      <c r="G64" s="252">
        <v>49372.6</v>
      </c>
      <c r="H64" s="280">
        <v>8698.5</v>
      </c>
      <c r="I64" s="280"/>
      <c r="J64" s="280"/>
      <c r="K64" s="280">
        <f t="shared" si="10"/>
        <v>58071.1</v>
      </c>
      <c r="L64" s="253">
        <v>28</v>
      </c>
      <c r="M64" s="280">
        <f t="shared" si="9"/>
        <v>58240</v>
      </c>
      <c r="N64" s="254">
        <f t="shared" si="11"/>
        <v>10269</v>
      </c>
      <c r="O64" s="280"/>
      <c r="P64" s="280"/>
      <c r="Q64" s="280">
        <f t="shared" si="4"/>
        <v>68509</v>
      </c>
      <c r="R64" s="254">
        <f t="shared" si="8"/>
        <v>10437.900000000001</v>
      </c>
    </row>
    <row r="65" spans="1:18">
      <c r="A65" s="251">
        <f t="shared" si="5"/>
        <v>54</v>
      </c>
      <c r="B65" s="251" t="s">
        <v>484</v>
      </c>
      <c r="C65" s="251"/>
      <c r="D65" s="280">
        <v>1640</v>
      </c>
      <c r="E65" s="252"/>
      <c r="F65" s="280"/>
      <c r="G65" s="252">
        <v>46712.22</v>
      </c>
      <c r="H65" s="280">
        <v>0</v>
      </c>
      <c r="I65" s="280"/>
      <c r="J65" s="280"/>
      <c r="K65" s="280">
        <f t="shared" si="10"/>
        <v>46712.22</v>
      </c>
      <c r="L65" s="253">
        <v>29.4</v>
      </c>
      <c r="M65" s="280">
        <f t="shared" si="9"/>
        <v>61152</v>
      </c>
      <c r="N65" s="254">
        <f t="shared" si="11"/>
        <v>0</v>
      </c>
      <c r="O65" s="280"/>
      <c r="P65" s="280"/>
      <c r="Q65" s="280">
        <f t="shared" si="4"/>
        <v>61152</v>
      </c>
      <c r="R65" s="254">
        <f t="shared" si="8"/>
        <v>14439.779999999999</v>
      </c>
    </row>
    <row r="66" spans="1:18">
      <c r="A66" s="251">
        <f t="shared" si="5"/>
        <v>55</v>
      </c>
      <c r="B66" s="251" t="s">
        <v>485</v>
      </c>
      <c r="C66" s="251"/>
      <c r="D66" s="280">
        <v>1360</v>
      </c>
      <c r="E66" s="252">
        <v>9.25</v>
      </c>
      <c r="F66" s="280"/>
      <c r="G66" s="252">
        <v>22415.77</v>
      </c>
      <c r="H66" s="280">
        <v>228.18000000000029</v>
      </c>
      <c r="I66" s="280"/>
      <c r="J66" s="280"/>
      <c r="K66" s="280">
        <f t="shared" si="10"/>
        <v>22643.95</v>
      </c>
      <c r="L66" s="253">
        <v>16.899999999999999</v>
      </c>
      <c r="M66" s="280">
        <f t="shared" si="9"/>
        <v>35152</v>
      </c>
      <c r="N66" s="254">
        <f t="shared" si="11"/>
        <v>234.48749999999998</v>
      </c>
      <c r="O66" s="280"/>
      <c r="P66" s="280"/>
      <c r="Q66" s="280">
        <f t="shared" si="4"/>
        <v>35386.487500000003</v>
      </c>
      <c r="R66" s="254">
        <f t="shared" si="8"/>
        <v>12742.537500000002</v>
      </c>
    </row>
    <row r="67" spans="1:18">
      <c r="A67" s="251">
        <f t="shared" si="5"/>
        <v>56</v>
      </c>
      <c r="B67" s="251" t="s">
        <v>486</v>
      </c>
      <c r="C67" s="251"/>
      <c r="D67" s="280">
        <v>600</v>
      </c>
      <c r="E67" s="252">
        <v>9.75</v>
      </c>
      <c r="F67" s="280"/>
      <c r="G67" s="252">
        <v>9862.42</v>
      </c>
      <c r="H67" s="280">
        <v>237.84000000000015</v>
      </c>
      <c r="I67" s="280"/>
      <c r="J67" s="280"/>
      <c r="K67" s="280">
        <f t="shared" si="10"/>
        <v>10100.26</v>
      </c>
      <c r="L67" s="253">
        <v>16.25</v>
      </c>
      <c r="M67" s="280">
        <f t="shared" si="9"/>
        <v>33800</v>
      </c>
      <c r="N67" s="254">
        <f t="shared" si="11"/>
        <v>237.65625</v>
      </c>
      <c r="O67" s="280"/>
      <c r="P67" s="280"/>
      <c r="Q67" s="280">
        <f t="shared" si="4"/>
        <v>34037.65625</v>
      </c>
      <c r="R67" s="254">
        <f t="shared" si="8"/>
        <v>23937.396249999998</v>
      </c>
    </row>
    <row r="68" spans="1:18">
      <c r="A68" s="251">
        <f t="shared" si="5"/>
        <v>57</v>
      </c>
      <c r="B68" s="251" t="s">
        <v>487</v>
      </c>
      <c r="C68" s="251"/>
      <c r="D68" s="280">
        <v>560</v>
      </c>
      <c r="E68" s="252">
        <v>6.5</v>
      </c>
      <c r="F68" s="280"/>
      <c r="G68" s="252">
        <v>9223.2199999999993</v>
      </c>
      <c r="H68" s="280">
        <v>158.55000000000109</v>
      </c>
      <c r="I68" s="280"/>
      <c r="J68" s="280"/>
      <c r="K68" s="280">
        <f t="shared" si="10"/>
        <v>9381.77</v>
      </c>
      <c r="L68" s="253">
        <v>16.25</v>
      </c>
      <c r="M68" s="280">
        <f t="shared" si="9"/>
        <v>33800</v>
      </c>
      <c r="N68" s="254">
        <f t="shared" si="11"/>
        <v>158.4375</v>
      </c>
      <c r="O68" s="280"/>
      <c r="P68" s="280"/>
      <c r="Q68" s="280">
        <f t="shared" si="4"/>
        <v>33958.4375</v>
      </c>
      <c r="R68" s="254">
        <f t="shared" si="8"/>
        <v>24576.6675</v>
      </c>
    </row>
    <row r="69" spans="1:18">
      <c r="A69" s="251">
        <f t="shared" si="5"/>
        <v>58</v>
      </c>
      <c r="B69" s="251" t="s">
        <v>488</v>
      </c>
      <c r="C69" s="251"/>
      <c r="D69" s="280">
        <v>464</v>
      </c>
      <c r="E69" s="252">
        <v>69.5</v>
      </c>
      <c r="F69" s="280"/>
      <c r="G69" s="252">
        <v>13101.9</v>
      </c>
      <c r="H69" s="280">
        <v>2919</v>
      </c>
      <c r="I69" s="280"/>
      <c r="J69" s="280"/>
      <c r="K69" s="280">
        <f t="shared" si="10"/>
        <v>16020.9</v>
      </c>
      <c r="L69" s="253">
        <v>28</v>
      </c>
      <c r="M69" s="280">
        <f t="shared" si="9"/>
        <v>58240</v>
      </c>
      <c r="N69" s="254">
        <f t="shared" si="11"/>
        <v>2919</v>
      </c>
      <c r="O69" s="280"/>
      <c r="P69" s="280"/>
      <c r="Q69" s="280">
        <f t="shared" si="4"/>
        <v>61159</v>
      </c>
      <c r="R69" s="254">
        <f t="shared" si="8"/>
        <v>45138.1</v>
      </c>
    </row>
    <row r="70" spans="1:18">
      <c r="A70" s="251">
        <f t="shared" si="5"/>
        <v>59</v>
      </c>
      <c r="B70" s="251" t="s">
        <v>489</v>
      </c>
      <c r="C70" s="251"/>
      <c r="D70" s="280">
        <v>480</v>
      </c>
      <c r="E70" s="252">
        <v>100.5</v>
      </c>
      <c r="F70" s="280"/>
      <c r="G70" s="252">
        <v>12108.1</v>
      </c>
      <c r="H70" s="280">
        <v>3768.75</v>
      </c>
      <c r="I70" s="280"/>
      <c r="J70" s="280"/>
      <c r="K70" s="280">
        <f t="shared" si="10"/>
        <v>15876.85</v>
      </c>
      <c r="L70" s="253">
        <v>25</v>
      </c>
      <c r="M70" s="280">
        <f t="shared" si="9"/>
        <v>52000</v>
      </c>
      <c r="N70" s="254">
        <f t="shared" si="11"/>
        <v>3768.75</v>
      </c>
      <c r="O70" s="280"/>
      <c r="P70" s="280"/>
      <c r="Q70" s="280">
        <f t="shared" si="4"/>
        <v>55768.75</v>
      </c>
      <c r="R70" s="254">
        <f t="shared" si="8"/>
        <v>39891.9</v>
      </c>
    </row>
    <row r="71" spans="1:18">
      <c r="A71" s="251">
        <f t="shared" si="5"/>
        <v>60</v>
      </c>
      <c r="B71" s="251" t="s">
        <v>490</v>
      </c>
      <c r="C71" s="251"/>
      <c r="D71" s="280">
        <v>480</v>
      </c>
      <c r="E71" s="252">
        <v>73</v>
      </c>
      <c r="F71" s="280"/>
      <c r="G71" s="252">
        <v>12588.7</v>
      </c>
      <c r="H71" s="280">
        <v>2847</v>
      </c>
      <c r="I71" s="280"/>
      <c r="J71" s="280"/>
      <c r="K71" s="280">
        <f t="shared" si="10"/>
        <v>15435.7</v>
      </c>
      <c r="L71" s="253">
        <v>26</v>
      </c>
      <c r="M71" s="280">
        <f t="shared" si="9"/>
        <v>54080</v>
      </c>
      <c r="N71" s="254">
        <f t="shared" si="11"/>
        <v>2847</v>
      </c>
      <c r="O71" s="280"/>
      <c r="P71" s="280"/>
      <c r="Q71" s="280">
        <f t="shared" si="4"/>
        <v>56927</v>
      </c>
      <c r="R71" s="254">
        <f t="shared" si="8"/>
        <v>41491.300000000003</v>
      </c>
    </row>
    <row r="72" spans="1:18">
      <c r="A72" s="251">
        <f t="shared" si="5"/>
        <v>61</v>
      </c>
      <c r="B72" s="251" t="s">
        <v>491</v>
      </c>
      <c r="C72" s="251" t="s">
        <v>636</v>
      </c>
      <c r="D72" s="280"/>
      <c r="E72" s="252"/>
      <c r="F72" s="280"/>
      <c r="G72" s="252"/>
      <c r="H72" s="280"/>
      <c r="I72" s="280"/>
      <c r="J72" s="280"/>
      <c r="K72" s="280"/>
      <c r="L72" s="253">
        <v>16.25</v>
      </c>
      <c r="M72" s="280">
        <f t="shared" si="9"/>
        <v>33800</v>
      </c>
      <c r="N72" s="254">
        <f t="shared" si="11"/>
        <v>0</v>
      </c>
      <c r="O72" s="280"/>
      <c r="P72" s="280"/>
      <c r="Q72" s="280">
        <f t="shared" si="4"/>
        <v>33800</v>
      </c>
      <c r="R72" s="254">
        <f t="shared" si="8"/>
        <v>33800</v>
      </c>
    </row>
    <row r="73" spans="1:18">
      <c r="A73" s="251">
        <f t="shared" si="5"/>
        <v>62</v>
      </c>
      <c r="B73" s="251" t="s">
        <v>492</v>
      </c>
      <c r="C73" s="251" t="s">
        <v>636</v>
      </c>
      <c r="D73" s="280"/>
      <c r="E73" s="252"/>
      <c r="F73" s="280"/>
      <c r="G73" s="252"/>
      <c r="H73" s="280"/>
      <c r="I73" s="280"/>
      <c r="J73" s="280"/>
      <c r="K73" s="280"/>
      <c r="L73" s="253">
        <v>24.44</v>
      </c>
      <c r="M73" s="280">
        <f t="shared" si="9"/>
        <v>50835.200000000004</v>
      </c>
      <c r="N73" s="254">
        <f t="shared" si="11"/>
        <v>0</v>
      </c>
      <c r="O73" s="280"/>
      <c r="P73" s="280"/>
      <c r="Q73" s="280">
        <f t="shared" si="4"/>
        <v>50835.200000000004</v>
      </c>
      <c r="R73" s="254">
        <f t="shared" si="8"/>
        <v>50835.200000000004</v>
      </c>
    </row>
    <row r="74" spans="1:18">
      <c r="A74" s="251">
        <f t="shared" si="5"/>
        <v>63</v>
      </c>
      <c r="B74" s="251" t="s">
        <v>493</v>
      </c>
      <c r="C74" s="251"/>
      <c r="D74" s="280">
        <v>86</v>
      </c>
      <c r="E74" s="252"/>
      <c r="F74" s="280"/>
      <c r="G74" s="252">
        <v>1296.26</v>
      </c>
      <c r="H74" s="280">
        <v>0</v>
      </c>
      <c r="I74" s="280"/>
      <c r="J74" s="280"/>
      <c r="K74" s="280">
        <f t="shared" ref="K74:K87" si="12">SUM(G74:J74)</f>
        <v>1296.26</v>
      </c>
      <c r="L74" s="253">
        <v>14.33</v>
      </c>
      <c r="M74" s="280">
        <f>L74*999</f>
        <v>14315.67</v>
      </c>
      <c r="N74" s="254">
        <f t="shared" si="11"/>
        <v>0</v>
      </c>
      <c r="O74" s="280"/>
      <c r="P74" s="280"/>
      <c r="Q74" s="280">
        <f t="shared" si="4"/>
        <v>14315.67</v>
      </c>
      <c r="R74" s="254">
        <f t="shared" si="8"/>
        <v>13019.41</v>
      </c>
    </row>
    <row r="75" spans="1:18">
      <c r="A75" s="251">
        <f t="shared" si="5"/>
        <v>64</v>
      </c>
      <c r="B75" s="251" t="s">
        <v>494</v>
      </c>
      <c r="C75" s="251"/>
      <c r="D75" s="280">
        <v>992.5</v>
      </c>
      <c r="E75" s="252"/>
      <c r="F75" s="280"/>
      <c r="G75" s="252">
        <v>14787.02</v>
      </c>
      <c r="H75" s="280">
        <v>0</v>
      </c>
      <c r="I75" s="280"/>
      <c r="J75" s="280"/>
      <c r="K75" s="280">
        <f t="shared" si="12"/>
        <v>14787.02</v>
      </c>
      <c r="L75" s="253">
        <v>15.27</v>
      </c>
      <c r="M75" s="280">
        <f>L75*999</f>
        <v>15254.73</v>
      </c>
      <c r="N75" s="254">
        <f t="shared" si="11"/>
        <v>0</v>
      </c>
      <c r="O75" s="280"/>
      <c r="P75" s="280"/>
      <c r="Q75" s="280">
        <f t="shared" si="4"/>
        <v>15254.73</v>
      </c>
      <c r="R75" s="254">
        <f t="shared" si="8"/>
        <v>467.70999999999913</v>
      </c>
    </row>
    <row r="76" spans="1:18">
      <c r="A76" s="251">
        <f t="shared" si="5"/>
        <v>65</v>
      </c>
      <c r="B76" s="256" t="s">
        <v>495</v>
      </c>
      <c r="C76" s="256"/>
      <c r="D76" s="280">
        <f>1638.8-30.8</f>
        <v>1608</v>
      </c>
      <c r="E76" s="252">
        <v>2</v>
      </c>
      <c r="F76" s="280">
        <f>29.55+1.25</f>
        <v>30.8</v>
      </c>
      <c r="G76" s="252">
        <f>59641.37-1104.49</f>
        <v>58536.880000000005</v>
      </c>
      <c r="H76" s="280">
        <v>107.57999999999447</v>
      </c>
      <c r="I76" s="280">
        <f>1059.66+44.83</f>
        <v>1104.49</v>
      </c>
      <c r="J76" s="280"/>
      <c r="K76" s="280">
        <f t="shared" si="12"/>
        <v>59748.95</v>
      </c>
      <c r="L76" s="253">
        <v>0</v>
      </c>
      <c r="M76" s="280">
        <f t="shared" ref="M76:M87" si="13">L76*2080</f>
        <v>0</v>
      </c>
      <c r="N76" s="254">
        <f t="shared" si="11"/>
        <v>0</v>
      </c>
      <c r="O76" s="280"/>
      <c r="P76" s="280"/>
      <c r="Q76" s="280">
        <f t="shared" si="4"/>
        <v>0</v>
      </c>
      <c r="R76" s="254">
        <f t="shared" ref="R76:R87" si="14">Q76-K76</f>
        <v>-59748.95</v>
      </c>
    </row>
    <row r="77" spans="1:18">
      <c r="A77" s="251">
        <f t="shared" si="5"/>
        <v>66</v>
      </c>
      <c r="B77" s="256" t="s">
        <v>496</v>
      </c>
      <c r="C77" s="256"/>
      <c r="D77" s="280">
        <f>2126.29-1230.29</f>
        <v>896</v>
      </c>
      <c r="E77" s="252">
        <v>1</v>
      </c>
      <c r="F77" s="280">
        <v>1230.29</v>
      </c>
      <c r="G77" s="252">
        <f>44391.65-25553.12</f>
        <v>18838.530000000002</v>
      </c>
      <c r="H77" s="280">
        <v>31.159999999996217</v>
      </c>
      <c r="I77" s="280">
        <v>25553.119999999999</v>
      </c>
      <c r="J77" s="280"/>
      <c r="K77" s="280">
        <f t="shared" si="12"/>
        <v>44422.81</v>
      </c>
      <c r="L77" s="253">
        <v>0</v>
      </c>
      <c r="M77" s="280">
        <f t="shared" si="13"/>
        <v>0</v>
      </c>
      <c r="N77" s="254">
        <f t="shared" si="11"/>
        <v>0</v>
      </c>
      <c r="O77" s="280"/>
      <c r="P77" s="280"/>
      <c r="Q77" s="280">
        <f t="shared" si="4"/>
        <v>0</v>
      </c>
      <c r="R77" s="254">
        <f t="shared" si="14"/>
        <v>-44422.81</v>
      </c>
    </row>
    <row r="78" spans="1:18">
      <c r="A78" s="251">
        <f t="shared" ref="A78:A105" si="15">A77+1</f>
        <v>67</v>
      </c>
      <c r="B78" s="251" t="s">
        <v>497</v>
      </c>
      <c r="C78" s="251"/>
      <c r="D78" s="280">
        <f>1952.63-184.63</f>
        <v>1768</v>
      </c>
      <c r="E78" s="252">
        <v>24</v>
      </c>
      <c r="F78" s="280">
        <f>17.93+166.7</f>
        <v>184.63</v>
      </c>
      <c r="G78" s="252">
        <f>45671.16-4240.95</f>
        <v>41430.210000000006</v>
      </c>
      <c r="H78" s="280">
        <v>827.0399999999936</v>
      </c>
      <c r="I78" s="280">
        <v>4240.95</v>
      </c>
      <c r="J78" s="280"/>
      <c r="K78" s="280">
        <f t="shared" si="12"/>
        <v>46498.2</v>
      </c>
      <c r="L78" s="253">
        <v>0</v>
      </c>
      <c r="M78" s="280">
        <f t="shared" si="13"/>
        <v>0</v>
      </c>
      <c r="N78" s="254">
        <f t="shared" si="11"/>
        <v>0</v>
      </c>
      <c r="O78" s="280"/>
      <c r="P78" s="280"/>
      <c r="Q78" s="280">
        <f t="shared" si="4"/>
        <v>0</v>
      </c>
      <c r="R78" s="254">
        <f t="shared" si="14"/>
        <v>-46498.2</v>
      </c>
    </row>
    <row r="79" spans="1:18">
      <c r="A79" s="251">
        <f t="shared" si="15"/>
        <v>68</v>
      </c>
      <c r="B79" s="256" t="s">
        <v>498</v>
      </c>
      <c r="C79" s="256"/>
      <c r="D79" s="280">
        <f>2972.45-1204.45</f>
        <v>1767.9999999999998</v>
      </c>
      <c r="E79" s="252">
        <v>21</v>
      </c>
      <c r="F79" s="280">
        <f>960+244.45</f>
        <v>1204.45</v>
      </c>
      <c r="G79" s="252">
        <f>55074.93-22089.61</f>
        <v>32985.32</v>
      </c>
      <c r="H79" s="280">
        <v>577.70999999999913</v>
      </c>
      <c r="I79" s="280">
        <v>22089.61</v>
      </c>
      <c r="J79" s="280"/>
      <c r="K79" s="280">
        <f t="shared" si="12"/>
        <v>55652.639999999999</v>
      </c>
      <c r="L79" s="253">
        <v>0</v>
      </c>
      <c r="M79" s="280">
        <f t="shared" si="13"/>
        <v>0</v>
      </c>
      <c r="N79" s="254">
        <f t="shared" si="11"/>
        <v>0</v>
      </c>
      <c r="O79" s="280"/>
      <c r="P79" s="280"/>
      <c r="Q79" s="280">
        <f t="shared" si="4"/>
        <v>0</v>
      </c>
      <c r="R79" s="254">
        <f t="shared" si="14"/>
        <v>-55652.639999999999</v>
      </c>
    </row>
    <row r="80" spans="1:18">
      <c r="A80" s="251">
        <f t="shared" si="15"/>
        <v>69</v>
      </c>
      <c r="B80" s="251" t="s">
        <v>499</v>
      </c>
      <c r="C80" s="251"/>
      <c r="D80" s="280">
        <v>2080</v>
      </c>
      <c r="E80" s="252">
        <v>225.5</v>
      </c>
      <c r="F80" s="280"/>
      <c r="G80" s="252">
        <v>54562.33</v>
      </c>
      <c r="H80" s="280">
        <v>8757.5099999999948</v>
      </c>
      <c r="I80" s="280"/>
      <c r="J80" s="280"/>
      <c r="K80" s="280">
        <f t="shared" si="12"/>
        <v>63319.839999999997</v>
      </c>
      <c r="L80" s="253">
        <v>0</v>
      </c>
      <c r="M80" s="280">
        <f t="shared" si="13"/>
        <v>0</v>
      </c>
      <c r="N80" s="254">
        <f t="shared" si="11"/>
        <v>0</v>
      </c>
      <c r="O80" s="280"/>
      <c r="P80" s="280"/>
      <c r="Q80" s="280">
        <f t="shared" ref="Q80:Q87" si="16">SUM(M80:P80)</f>
        <v>0</v>
      </c>
      <c r="R80" s="254">
        <f t="shared" si="14"/>
        <v>-63319.839999999997</v>
      </c>
    </row>
    <row r="81" spans="1:18">
      <c r="A81" s="251">
        <f t="shared" si="15"/>
        <v>70</v>
      </c>
      <c r="B81" s="251" t="s">
        <v>500</v>
      </c>
      <c r="C81" s="251"/>
      <c r="D81" s="280">
        <f>675.75-451.75</f>
        <v>224</v>
      </c>
      <c r="E81" s="252">
        <v>1.25</v>
      </c>
      <c r="F81" s="280">
        <f>234.75+217</f>
        <v>451.75</v>
      </c>
      <c r="G81" s="252">
        <f>16691.39-11144.67</f>
        <v>5546.7199999999993</v>
      </c>
      <c r="H81" s="280">
        <v>46.260000000002037</v>
      </c>
      <c r="I81" s="280">
        <v>11144.67</v>
      </c>
      <c r="J81" s="280"/>
      <c r="K81" s="280">
        <f t="shared" si="12"/>
        <v>16737.650000000001</v>
      </c>
      <c r="L81" s="253">
        <v>0</v>
      </c>
      <c r="M81" s="280">
        <f t="shared" si="13"/>
        <v>0</v>
      </c>
      <c r="N81" s="254">
        <f t="shared" si="11"/>
        <v>0</v>
      </c>
      <c r="O81" s="280"/>
      <c r="P81" s="280"/>
      <c r="Q81" s="280">
        <f t="shared" si="16"/>
        <v>0</v>
      </c>
      <c r="R81" s="254">
        <f t="shared" si="14"/>
        <v>-16737.650000000001</v>
      </c>
    </row>
    <row r="82" spans="1:18">
      <c r="A82" s="251">
        <f t="shared" si="15"/>
        <v>71</v>
      </c>
      <c r="B82" s="251" t="s">
        <v>544</v>
      </c>
      <c r="C82" s="251"/>
      <c r="D82" s="252"/>
      <c r="E82" s="252"/>
      <c r="F82" s="280"/>
      <c r="G82" s="252">
        <v>0</v>
      </c>
      <c r="H82" s="280">
        <v>0</v>
      </c>
      <c r="I82" s="280">
        <v>1888.32</v>
      </c>
      <c r="J82" s="280"/>
      <c r="K82" s="280">
        <f t="shared" si="12"/>
        <v>1888.32</v>
      </c>
      <c r="L82" s="253">
        <v>0</v>
      </c>
      <c r="M82" s="280">
        <f t="shared" si="13"/>
        <v>0</v>
      </c>
      <c r="N82" s="254">
        <f t="shared" si="11"/>
        <v>0</v>
      </c>
      <c r="O82" s="280"/>
      <c r="P82" s="280"/>
      <c r="Q82" s="280">
        <f t="shared" si="16"/>
        <v>0</v>
      </c>
      <c r="R82" s="254">
        <f t="shared" si="14"/>
        <v>-1888.32</v>
      </c>
    </row>
    <row r="83" spans="1:18">
      <c r="A83" s="251">
        <f t="shared" si="15"/>
        <v>72</v>
      </c>
      <c r="B83" s="251" t="s">
        <v>545</v>
      </c>
      <c r="C83" s="251"/>
      <c r="D83" s="252"/>
      <c r="E83" s="252"/>
      <c r="F83" s="280"/>
      <c r="G83" s="252">
        <v>0</v>
      </c>
      <c r="H83" s="280">
        <v>0</v>
      </c>
      <c r="I83" s="280">
        <v>39169.879999999997</v>
      </c>
      <c r="J83" s="280"/>
      <c r="K83" s="280">
        <f t="shared" si="12"/>
        <v>39169.879999999997</v>
      </c>
      <c r="L83" s="253">
        <v>0</v>
      </c>
      <c r="M83" s="280">
        <f t="shared" si="13"/>
        <v>0</v>
      </c>
      <c r="N83" s="254">
        <f t="shared" si="11"/>
        <v>0</v>
      </c>
      <c r="O83" s="280"/>
      <c r="P83" s="280"/>
      <c r="Q83" s="280">
        <f t="shared" si="16"/>
        <v>0</v>
      </c>
      <c r="R83" s="254">
        <f t="shared" si="14"/>
        <v>-39169.879999999997</v>
      </c>
    </row>
    <row r="84" spans="1:18">
      <c r="A84" s="251">
        <f t="shared" si="15"/>
        <v>73</v>
      </c>
      <c r="B84" s="251" t="s">
        <v>501</v>
      </c>
      <c r="C84" s="251"/>
      <c r="D84" s="280">
        <f>1417-17</f>
        <v>1400</v>
      </c>
      <c r="E84" s="252">
        <v>188</v>
      </c>
      <c r="F84" s="280">
        <v>17</v>
      </c>
      <c r="G84" s="252">
        <f>42501.96-557.96</f>
        <v>41944</v>
      </c>
      <c r="H84" s="280">
        <v>8448.7200000000012</v>
      </c>
      <c r="I84" s="280">
        <v>557.96</v>
      </c>
      <c r="J84" s="280"/>
      <c r="K84" s="280">
        <f t="shared" si="12"/>
        <v>50950.68</v>
      </c>
      <c r="L84" s="253">
        <v>0</v>
      </c>
      <c r="M84" s="280">
        <f t="shared" si="13"/>
        <v>0</v>
      </c>
      <c r="N84" s="254">
        <f t="shared" si="11"/>
        <v>0</v>
      </c>
      <c r="O84" s="280"/>
      <c r="P84" s="280"/>
      <c r="Q84" s="280">
        <f t="shared" si="16"/>
        <v>0</v>
      </c>
      <c r="R84" s="254">
        <f t="shared" si="14"/>
        <v>-50950.68</v>
      </c>
    </row>
    <row r="85" spans="1:18">
      <c r="A85" s="251">
        <f t="shared" si="15"/>
        <v>74</v>
      </c>
      <c r="B85" s="251" t="s">
        <v>502</v>
      </c>
      <c r="C85" s="251"/>
      <c r="D85" s="280">
        <f>1458-122</f>
        <v>1336</v>
      </c>
      <c r="E85" s="252">
        <v>351.5</v>
      </c>
      <c r="F85" s="280">
        <v>122</v>
      </c>
      <c r="G85" s="252">
        <f>43718.16-3655.12</f>
        <v>40063.040000000001</v>
      </c>
      <c r="H85" s="280">
        <v>15796.409999999996</v>
      </c>
      <c r="I85" s="280">
        <f>3384+3655.12</f>
        <v>7039.12</v>
      </c>
      <c r="J85" s="280"/>
      <c r="K85" s="280">
        <f t="shared" si="12"/>
        <v>62898.57</v>
      </c>
      <c r="L85" s="253">
        <v>0</v>
      </c>
      <c r="M85" s="280">
        <f t="shared" si="13"/>
        <v>0</v>
      </c>
      <c r="N85" s="254">
        <f t="shared" si="11"/>
        <v>0</v>
      </c>
      <c r="O85" s="280"/>
      <c r="P85" s="280"/>
      <c r="Q85" s="280">
        <f t="shared" si="16"/>
        <v>0</v>
      </c>
      <c r="R85" s="254">
        <f t="shared" si="14"/>
        <v>-62898.57</v>
      </c>
    </row>
    <row r="86" spans="1:18">
      <c r="A86" s="251">
        <f t="shared" si="15"/>
        <v>75</v>
      </c>
      <c r="B86" s="256" t="s">
        <v>503</v>
      </c>
      <c r="C86" s="256"/>
      <c r="D86" s="280">
        <v>957</v>
      </c>
      <c r="E86" s="252">
        <v>2.5</v>
      </c>
      <c r="F86" s="280"/>
      <c r="G86" s="252">
        <v>17283.419999999998</v>
      </c>
      <c r="H86" s="280">
        <v>67.730000000003201</v>
      </c>
      <c r="I86" s="280"/>
      <c r="J86" s="280"/>
      <c r="K86" s="280">
        <f t="shared" si="12"/>
        <v>17351.150000000001</v>
      </c>
      <c r="L86" s="253">
        <v>0</v>
      </c>
      <c r="M86" s="280">
        <f t="shared" si="13"/>
        <v>0</v>
      </c>
      <c r="N86" s="254">
        <f t="shared" si="11"/>
        <v>0</v>
      </c>
      <c r="O86" s="280"/>
      <c r="P86" s="280"/>
      <c r="Q86" s="280">
        <f t="shared" si="16"/>
        <v>0</v>
      </c>
      <c r="R86" s="254">
        <f t="shared" si="14"/>
        <v>-17351.150000000001</v>
      </c>
    </row>
    <row r="87" spans="1:18">
      <c r="A87" s="40">
        <f t="shared" si="15"/>
        <v>76</v>
      </c>
      <c r="B87" s="40" t="s">
        <v>504</v>
      </c>
      <c r="C87" s="40"/>
      <c r="D87" s="220">
        <v>419.5</v>
      </c>
      <c r="E87" s="210">
        <v>3.5</v>
      </c>
      <c r="F87" s="220"/>
      <c r="G87" s="210">
        <v>6816.89</v>
      </c>
      <c r="H87" s="220">
        <v>85.359999999999673</v>
      </c>
      <c r="I87" s="220"/>
      <c r="J87" s="220"/>
      <c r="K87" s="220">
        <f t="shared" si="12"/>
        <v>6902.25</v>
      </c>
      <c r="L87" s="211">
        <v>0</v>
      </c>
      <c r="M87" s="220">
        <f t="shared" si="13"/>
        <v>0</v>
      </c>
      <c r="N87" s="212">
        <f>(+E87*L87)*1.5*0.5</f>
        <v>0</v>
      </c>
      <c r="O87" s="220"/>
      <c r="P87" s="220"/>
      <c r="Q87" s="220">
        <f t="shared" si="16"/>
        <v>0</v>
      </c>
      <c r="R87" s="212">
        <f t="shared" si="14"/>
        <v>-6902.25</v>
      </c>
    </row>
    <row r="88" spans="1:18">
      <c r="A88" s="40">
        <f t="shared" si="15"/>
        <v>77</v>
      </c>
      <c r="D88" s="74">
        <f>SUM(D12:D87)</f>
        <v>127170.5</v>
      </c>
      <c r="E88" s="74">
        <f t="shared" ref="E88:R88" si="17">SUM(E12:E87)</f>
        <v>8135.5</v>
      </c>
      <c r="F88" s="74">
        <f t="shared" si="17"/>
        <v>3240.92</v>
      </c>
      <c r="G88" s="74">
        <f t="shared" si="17"/>
        <v>4142688.3600000008</v>
      </c>
      <c r="H88" s="74">
        <f t="shared" si="17"/>
        <v>390017.19</v>
      </c>
      <c r="I88" s="74">
        <f t="shared" si="17"/>
        <v>112788.12000000001</v>
      </c>
      <c r="J88" s="74">
        <f t="shared" si="17"/>
        <v>0</v>
      </c>
      <c r="K88" s="74">
        <f t="shared" si="17"/>
        <v>4645493.6700000009</v>
      </c>
      <c r="L88" s="47">
        <f t="shared" si="17"/>
        <v>2083.2240000000002</v>
      </c>
      <c r="M88" s="74">
        <f t="shared" si="17"/>
        <v>4301108.3199999994</v>
      </c>
      <c r="N88" s="74">
        <f t="shared" si="17"/>
        <v>385493.57287499995</v>
      </c>
      <c r="O88" s="74">
        <f t="shared" si="17"/>
        <v>0</v>
      </c>
      <c r="P88" s="74">
        <f t="shared" si="17"/>
        <v>0</v>
      </c>
      <c r="Q88" s="74">
        <f t="shared" si="17"/>
        <v>4686601.892874999</v>
      </c>
      <c r="R88" s="74">
        <f t="shared" si="17"/>
        <v>41108.222874999949</v>
      </c>
    </row>
    <row r="89" spans="1:18">
      <c r="A89" s="40">
        <f t="shared" si="15"/>
        <v>78</v>
      </c>
      <c r="D89" s="47"/>
      <c r="E89" s="47"/>
      <c r="F89" s="47"/>
      <c r="G89" s="208"/>
      <c r="H89" s="47"/>
      <c r="I89" s="47"/>
      <c r="J89" s="47"/>
      <c r="K89" s="47"/>
      <c r="L89" s="47"/>
    </row>
    <row r="90" spans="1:18">
      <c r="A90" s="40">
        <f t="shared" si="15"/>
        <v>79</v>
      </c>
      <c r="K90" s="305"/>
      <c r="L90" s="47"/>
      <c r="R90" s="306"/>
    </row>
    <row r="91" spans="1:18">
      <c r="A91" s="40">
        <f t="shared" si="15"/>
        <v>80</v>
      </c>
      <c r="L91" s="47"/>
    </row>
    <row r="92" spans="1:18">
      <c r="A92" s="40">
        <f t="shared" si="15"/>
        <v>81</v>
      </c>
      <c r="L92" s="47"/>
    </row>
    <row r="93" spans="1:18">
      <c r="A93" s="40">
        <f t="shared" si="15"/>
        <v>82</v>
      </c>
      <c r="B93" s="5"/>
      <c r="C93" s="172" t="s">
        <v>637</v>
      </c>
      <c r="D93" s="5"/>
      <c r="E93" s="5"/>
      <c r="F93" s="2"/>
      <c r="G93" s="283" t="s">
        <v>396</v>
      </c>
      <c r="H93" s="283" t="s">
        <v>397</v>
      </c>
      <c r="I93" s="283" t="s">
        <v>8</v>
      </c>
      <c r="L93" s="201" t="s">
        <v>517</v>
      </c>
      <c r="M93" s="44" t="s">
        <v>506</v>
      </c>
    </row>
    <row r="94" spans="1:18">
      <c r="A94" s="40">
        <f t="shared" si="15"/>
        <v>83</v>
      </c>
      <c r="B94" s="2"/>
      <c r="C94" s="5" t="s">
        <v>399</v>
      </c>
      <c r="D94" s="2" t="s">
        <v>400</v>
      </c>
      <c r="E94" s="5"/>
      <c r="F94" s="5"/>
      <c r="G94" s="307">
        <v>556550</v>
      </c>
      <c r="H94" s="174">
        <f>G94/$G$105</f>
        <v>0.11980426624165266</v>
      </c>
      <c r="I94" s="19">
        <f>$R$88*H94</f>
        <v>4924.9404780376899</v>
      </c>
      <c r="L94" s="81" t="s">
        <v>507</v>
      </c>
      <c r="M94" s="40" t="s">
        <v>508</v>
      </c>
    </row>
    <row r="95" spans="1:18">
      <c r="A95" s="40">
        <f t="shared" si="15"/>
        <v>84</v>
      </c>
      <c r="B95" s="2"/>
      <c r="C95" s="5" t="s">
        <v>401</v>
      </c>
      <c r="D95" s="2" t="s">
        <v>402</v>
      </c>
      <c r="E95" s="5"/>
      <c r="F95" s="5"/>
      <c r="G95" s="307">
        <v>980612</v>
      </c>
      <c r="H95" s="174">
        <f t="shared" ref="H95:H98" si="18">G95/$G$105</f>
        <v>0.2110888529831273</v>
      </c>
      <c r="I95" s="19">
        <f t="shared" ref="I95:I98" si="19">$R$88*H95</f>
        <v>8677.4876148584954</v>
      </c>
      <c r="L95" s="40" t="s">
        <v>509</v>
      </c>
      <c r="M95" s="40" t="s">
        <v>510</v>
      </c>
    </row>
    <row r="96" spans="1:18">
      <c r="A96" s="40">
        <f t="shared" si="15"/>
        <v>85</v>
      </c>
      <c r="B96" s="2"/>
      <c r="C96" s="5" t="s">
        <v>403</v>
      </c>
      <c r="D96" s="2" t="s">
        <v>239</v>
      </c>
      <c r="E96" s="5"/>
      <c r="F96" s="5"/>
      <c r="G96" s="307">
        <f>6127+472327</f>
        <v>478454</v>
      </c>
      <c r="H96" s="174">
        <f t="shared" si="18"/>
        <v>0.10299313700545087</v>
      </c>
      <c r="I96" s="19">
        <f t="shared" si="19"/>
        <v>4233.8648306154791</v>
      </c>
      <c r="L96" s="40" t="s">
        <v>511</v>
      </c>
      <c r="M96" s="40" t="s">
        <v>512</v>
      </c>
    </row>
    <row r="97" spans="1:13">
      <c r="A97" s="40">
        <f t="shared" si="15"/>
        <v>86</v>
      </c>
      <c r="B97" s="2"/>
      <c r="C97" s="5" t="s">
        <v>548</v>
      </c>
      <c r="D97" s="2" t="s">
        <v>22</v>
      </c>
      <c r="E97" s="5"/>
      <c r="F97" s="5"/>
      <c r="G97" s="307">
        <f>60338+2017</f>
        <v>62355</v>
      </c>
      <c r="H97" s="174">
        <f t="shared" si="18"/>
        <v>1.342268443356078E-2</v>
      </c>
      <c r="I97" s="19">
        <f t="shared" si="19"/>
        <v>551.78270327560904</v>
      </c>
      <c r="L97" s="40" t="s">
        <v>513</v>
      </c>
      <c r="M97" s="40" t="s">
        <v>69</v>
      </c>
    </row>
    <row r="98" spans="1:13">
      <c r="A98" s="40">
        <f t="shared" si="15"/>
        <v>87</v>
      </c>
      <c r="B98" s="2"/>
      <c r="C98" s="5" t="s">
        <v>405</v>
      </c>
      <c r="D98" s="2" t="s">
        <v>406</v>
      </c>
      <c r="E98" s="5"/>
      <c r="F98" s="5"/>
      <c r="G98" s="307">
        <v>584599</v>
      </c>
      <c r="H98" s="174">
        <f t="shared" si="18"/>
        <v>0.12584216016638919</v>
      </c>
      <c r="I98" s="19">
        <f t="shared" si="19"/>
        <v>5173.1475671913677</v>
      </c>
      <c r="L98" s="40" t="s">
        <v>514</v>
      </c>
      <c r="M98" s="40" t="s">
        <v>515</v>
      </c>
    </row>
    <row r="99" spans="1:13">
      <c r="A99" s="40">
        <f t="shared" si="15"/>
        <v>88</v>
      </c>
      <c r="B99" s="2"/>
      <c r="C99" s="206" t="s">
        <v>549</v>
      </c>
      <c r="D99" s="36"/>
      <c r="E99" s="60"/>
      <c r="F99" s="60"/>
      <c r="G99" s="308">
        <f>SUM(G94:G98)</f>
        <v>2662570</v>
      </c>
      <c r="H99" s="284">
        <f>SUM(H94:H98)</f>
        <v>0.57315110083018073</v>
      </c>
      <c r="I99" s="285">
        <f>SUM(I94:I98)</f>
        <v>23561.223193978643</v>
      </c>
      <c r="J99" s="2" t="s">
        <v>628</v>
      </c>
    </row>
    <row r="100" spans="1:13">
      <c r="A100" s="40">
        <f t="shared" si="15"/>
        <v>89</v>
      </c>
      <c r="B100" s="2"/>
      <c r="C100" s="5"/>
      <c r="D100" s="2"/>
      <c r="E100" s="5"/>
      <c r="F100" s="5"/>
      <c r="G100" s="309"/>
      <c r="H100" s="174"/>
      <c r="I100" s="2"/>
      <c r="M100" s="2"/>
    </row>
    <row r="101" spans="1:13">
      <c r="A101" s="40">
        <f t="shared" si="15"/>
        <v>90</v>
      </c>
      <c r="B101" s="2"/>
      <c r="C101" s="5" t="s">
        <v>550</v>
      </c>
      <c r="D101" s="2" t="s">
        <v>638</v>
      </c>
      <c r="E101" s="5"/>
      <c r="F101" s="5"/>
      <c r="G101" s="307">
        <v>1384959</v>
      </c>
      <c r="H101" s="174">
        <f t="shared" ref="H101:H102" si="20">G101/$G$105</f>
        <v>0.29812954230486577</v>
      </c>
      <c r="I101" s="19">
        <f t="shared" ref="I101:I102" si="21">$R$88*H101</f>
        <v>12255.575670690148</v>
      </c>
      <c r="M101" s="2"/>
    </row>
    <row r="102" spans="1:13">
      <c r="A102" s="40">
        <f t="shared" si="15"/>
        <v>91</v>
      </c>
      <c r="B102" s="2"/>
      <c r="C102" s="5" t="s">
        <v>551</v>
      </c>
      <c r="D102" s="2" t="s">
        <v>639</v>
      </c>
      <c r="E102" s="5"/>
      <c r="F102" s="5"/>
      <c r="G102" s="307">
        <v>597965</v>
      </c>
      <c r="H102" s="174">
        <f t="shared" si="20"/>
        <v>0.12871935686495345</v>
      </c>
      <c r="I102" s="19">
        <f t="shared" si="21"/>
        <v>5291.4240103311613</v>
      </c>
      <c r="M102" s="2"/>
    </row>
    <row r="103" spans="1:13">
      <c r="A103" s="40">
        <f t="shared" si="15"/>
        <v>92</v>
      </c>
      <c r="B103" s="2"/>
      <c r="C103" s="60"/>
      <c r="D103" s="11"/>
      <c r="E103" s="60"/>
      <c r="F103" s="60"/>
      <c r="G103" s="308">
        <f>SUM(G101:G102)</f>
        <v>1982924</v>
      </c>
      <c r="H103" s="284">
        <f>SUM(H101:H102)</f>
        <v>0.42684889916981922</v>
      </c>
      <c r="I103" s="286">
        <f>SUM(I101:I102)</f>
        <v>17546.999681021309</v>
      </c>
      <c r="M103" s="2"/>
    </row>
    <row r="104" spans="1:13">
      <c r="A104" s="40">
        <f t="shared" si="15"/>
        <v>93</v>
      </c>
      <c r="B104" s="2"/>
      <c r="C104" s="5"/>
      <c r="D104" s="2"/>
      <c r="E104" s="5"/>
      <c r="F104" s="5"/>
      <c r="G104" s="309"/>
      <c r="H104" s="194"/>
      <c r="I104" s="2"/>
      <c r="M104" s="2"/>
    </row>
    <row r="105" spans="1:13" ht="13.8" thickBot="1">
      <c r="A105" s="40">
        <f t="shared" si="15"/>
        <v>94</v>
      </c>
      <c r="B105" s="2"/>
      <c r="C105" s="195"/>
      <c r="D105" s="16" t="s">
        <v>62</v>
      </c>
      <c r="E105" s="195"/>
      <c r="F105" s="195"/>
      <c r="G105" s="310">
        <f>G99+G103</f>
        <v>4645494</v>
      </c>
      <c r="H105" s="197">
        <f>H99+H103</f>
        <v>1</v>
      </c>
      <c r="I105" s="287">
        <f>I99+I103</f>
        <v>41108.222874999949</v>
      </c>
      <c r="M105" s="2"/>
    </row>
    <row r="106" spans="1:13" ht="13.8" thickTop="1"/>
  </sheetData>
  <mergeCells count="9">
    <mergeCell ref="R9:R10"/>
    <mergeCell ref="B7:R7"/>
    <mergeCell ref="A4:R4"/>
    <mergeCell ref="A5:R5"/>
    <mergeCell ref="B9:C9"/>
    <mergeCell ref="D9:F9"/>
    <mergeCell ref="G9:K9"/>
    <mergeCell ref="L9:L10"/>
    <mergeCell ref="M9:Q9"/>
  </mergeCells>
  <pageMargins left="0.7" right="0.7" top="0.75" bottom="0.75" header="0.3" footer="0.3"/>
  <pageSetup scale="59" fitToHeight="2" orientation="landscape" r:id="rId1"/>
  <headerFooter>
    <oddFooter>&amp;RExhibit  JW-2
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03"/>
  <sheetViews>
    <sheetView view="pageBreakPreview" zoomScale="60" zoomScaleNormal="100" workbookViewId="0">
      <selection activeCell="A6" sqref="A6:F6"/>
    </sheetView>
  </sheetViews>
  <sheetFormatPr defaultColWidth="9.109375" defaultRowHeight="13.2"/>
  <cols>
    <col min="1" max="1" width="9.109375" style="40"/>
    <col min="2" max="2" width="23.44140625" style="38" bestFit="1" customWidth="1"/>
    <col min="3" max="3" width="30.6640625" style="38" bestFit="1" customWidth="1"/>
    <col min="4" max="4" width="27" style="38" customWidth="1"/>
    <col min="5" max="5" width="5" style="38" customWidth="1"/>
    <col min="6" max="6" width="27.6640625" style="38" bestFit="1" customWidth="1"/>
    <col min="7" max="11" width="9.109375" style="38"/>
    <col min="12" max="12" width="10.5546875" style="38" bestFit="1" customWidth="1"/>
    <col min="13" max="16384" width="9.109375" style="38"/>
  </cols>
  <sheetData>
    <row r="1" spans="1:12">
      <c r="F1" s="26" t="s">
        <v>77</v>
      </c>
    </row>
    <row r="3" spans="1:12">
      <c r="A3" s="326" t="s">
        <v>632</v>
      </c>
      <c r="B3" s="326"/>
      <c r="C3" s="326"/>
      <c r="D3" s="326"/>
      <c r="E3" s="326"/>
      <c r="F3" s="326"/>
    </row>
    <row r="4" spans="1:12">
      <c r="A4" s="326" t="s">
        <v>641</v>
      </c>
      <c r="B4" s="326"/>
      <c r="C4" s="326"/>
      <c r="D4" s="326"/>
      <c r="E4" s="326"/>
      <c r="F4" s="326"/>
    </row>
    <row r="6" spans="1:12">
      <c r="A6" s="326" t="s">
        <v>644</v>
      </c>
      <c r="B6" s="326"/>
      <c r="C6" s="326"/>
      <c r="D6" s="326"/>
      <c r="E6" s="326"/>
      <c r="F6" s="326"/>
    </row>
    <row r="7" spans="1:12">
      <c r="B7" s="51"/>
    </row>
    <row r="8" spans="1:12">
      <c r="B8" s="51"/>
    </row>
    <row r="9" spans="1:12">
      <c r="A9" s="282"/>
      <c r="B9" s="50"/>
      <c r="C9" s="335" t="s">
        <v>516</v>
      </c>
      <c r="D9" s="336"/>
      <c r="E9" s="289"/>
      <c r="F9" s="290" t="s">
        <v>427</v>
      </c>
    </row>
    <row r="10" spans="1:12">
      <c r="A10" s="52" t="s">
        <v>5</v>
      </c>
      <c r="B10" s="52" t="s">
        <v>642</v>
      </c>
      <c r="C10" s="52" t="s">
        <v>428</v>
      </c>
      <c r="D10" s="291" t="s">
        <v>428</v>
      </c>
      <c r="E10" s="52"/>
      <c r="F10" s="52" t="s">
        <v>428</v>
      </c>
    </row>
    <row r="11" spans="1:12">
      <c r="A11" s="44" t="s">
        <v>10</v>
      </c>
      <c r="B11" s="44" t="s">
        <v>643</v>
      </c>
      <c r="C11" s="44" t="s">
        <v>429</v>
      </c>
      <c r="D11" s="292" t="s">
        <v>430</v>
      </c>
      <c r="E11" s="44"/>
      <c r="F11" s="44" t="s">
        <v>430</v>
      </c>
    </row>
    <row r="12" spans="1:12">
      <c r="A12" s="293">
        <v>1</v>
      </c>
      <c r="B12" s="245" t="s">
        <v>431</v>
      </c>
      <c r="C12" s="246">
        <v>50486.52</v>
      </c>
      <c r="D12" s="294">
        <v>2182.36</v>
      </c>
      <c r="E12" s="295"/>
      <c r="F12" s="246"/>
      <c r="J12" s="40"/>
      <c r="K12" s="296"/>
      <c r="L12" s="208"/>
    </row>
    <row r="13" spans="1:12">
      <c r="A13" s="251">
        <f>1+A12</f>
        <v>2</v>
      </c>
      <c r="B13" s="251" t="s">
        <v>432</v>
      </c>
      <c r="C13" s="252">
        <v>29602.679999999997</v>
      </c>
      <c r="D13" s="297">
        <v>1265.24</v>
      </c>
      <c r="E13" s="298"/>
      <c r="F13" s="280"/>
      <c r="J13" s="40"/>
      <c r="K13" s="40"/>
      <c r="L13" s="208"/>
    </row>
    <row r="14" spans="1:12">
      <c r="A14" s="251">
        <f t="shared" ref="A14:A77" si="0">1+A13</f>
        <v>3</v>
      </c>
      <c r="B14" s="256" t="s">
        <v>433</v>
      </c>
      <c r="C14" s="252">
        <v>27959.160000000003</v>
      </c>
      <c r="D14" s="297">
        <v>1195.02</v>
      </c>
      <c r="E14" s="299"/>
      <c r="F14" s="252"/>
      <c r="J14" s="40"/>
      <c r="K14" s="296"/>
      <c r="L14" s="208"/>
    </row>
    <row r="15" spans="1:12">
      <c r="A15" s="251">
        <f t="shared" si="0"/>
        <v>4</v>
      </c>
      <c r="B15" s="256" t="s">
        <v>434</v>
      </c>
      <c r="C15" s="252">
        <v>29580.599999999995</v>
      </c>
      <c r="D15" s="297">
        <v>1264.42</v>
      </c>
      <c r="E15" s="299"/>
      <c r="F15" s="252"/>
      <c r="J15" s="40"/>
      <c r="K15" s="296"/>
      <c r="L15" s="208"/>
    </row>
    <row r="16" spans="1:12">
      <c r="A16" s="251">
        <f t="shared" si="0"/>
        <v>5</v>
      </c>
      <c r="B16" s="256" t="s">
        <v>435</v>
      </c>
      <c r="C16" s="252">
        <v>24892.800000000007</v>
      </c>
      <c r="D16" s="297">
        <v>1068.8</v>
      </c>
      <c r="E16" s="299"/>
      <c r="F16" s="252"/>
      <c r="J16" s="40"/>
      <c r="K16" s="296"/>
      <c r="L16" s="208"/>
    </row>
    <row r="17" spans="1:12">
      <c r="A17" s="251">
        <f t="shared" si="0"/>
        <v>6</v>
      </c>
      <c r="B17" s="251" t="s">
        <v>436</v>
      </c>
      <c r="C17" s="252">
        <v>0</v>
      </c>
      <c r="D17" s="297"/>
      <c r="E17" s="299"/>
      <c r="F17" s="252">
        <v>9254.24</v>
      </c>
      <c r="J17" s="40"/>
      <c r="K17" s="40"/>
      <c r="L17" s="208"/>
    </row>
    <row r="18" spans="1:12">
      <c r="A18" s="251">
        <f t="shared" si="0"/>
        <v>7</v>
      </c>
      <c r="B18" s="256" t="s">
        <v>437</v>
      </c>
      <c r="C18" s="252">
        <v>0</v>
      </c>
      <c r="D18" s="297"/>
      <c r="E18" s="299"/>
      <c r="F18" s="252">
        <v>8362.17</v>
      </c>
      <c r="J18" s="40"/>
      <c r="K18" s="296"/>
      <c r="L18" s="208"/>
    </row>
    <row r="19" spans="1:12">
      <c r="A19" s="251">
        <f t="shared" si="0"/>
        <v>8</v>
      </c>
      <c r="B19" s="251" t="s">
        <v>438</v>
      </c>
      <c r="C19" s="252">
        <v>0</v>
      </c>
      <c r="D19" s="297"/>
      <c r="E19" s="299"/>
      <c r="F19" s="252">
        <v>3492.4900000000002</v>
      </c>
      <c r="J19" s="40"/>
      <c r="K19" s="40"/>
      <c r="L19" s="208"/>
    </row>
    <row r="20" spans="1:12">
      <c r="A20" s="251">
        <f t="shared" si="0"/>
        <v>9</v>
      </c>
      <c r="B20" s="251" t="s">
        <v>439</v>
      </c>
      <c r="C20" s="299"/>
      <c r="D20" s="297">
        <v>0</v>
      </c>
      <c r="E20" s="299"/>
      <c r="F20" s="252">
        <v>0</v>
      </c>
      <c r="H20" s="40"/>
      <c r="I20" s="52"/>
      <c r="J20" s="52"/>
      <c r="K20" s="52"/>
      <c r="L20" s="40"/>
    </row>
    <row r="21" spans="1:12">
      <c r="A21" s="251">
        <f t="shared" si="0"/>
        <v>10</v>
      </c>
      <c r="B21" s="251" t="s">
        <v>440</v>
      </c>
      <c r="C21" s="252">
        <v>15987.72</v>
      </c>
      <c r="D21" s="297">
        <v>683.41</v>
      </c>
      <c r="E21" s="299"/>
      <c r="F21" s="252"/>
      <c r="J21" s="40"/>
      <c r="K21" s="40"/>
      <c r="L21" s="208"/>
    </row>
    <row r="22" spans="1:12">
      <c r="A22" s="251">
        <f t="shared" si="0"/>
        <v>11</v>
      </c>
      <c r="B22" s="256" t="s">
        <v>441</v>
      </c>
      <c r="C22" s="252">
        <v>10609.08</v>
      </c>
      <c r="D22" s="297">
        <v>453.1</v>
      </c>
      <c r="E22" s="299"/>
      <c r="F22" s="252"/>
      <c r="J22" s="40"/>
      <c r="K22" s="296"/>
      <c r="L22" s="208"/>
    </row>
    <row r="23" spans="1:12">
      <c r="A23" s="251">
        <f t="shared" si="0"/>
        <v>12</v>
      </c>
      <c r="B23" s="256" t="s">
        <v>442</v>
      </c>
      <c r="C23" s="252">
        <v>15320.519999999997</v>
      </c>
      <c r="D23" s="297">
        <v>653.9</v>
      </c>
      <c r="E23" s="299"/>
      <c r="F23" s="252"/>
      <c r="J23" s="40"/>
      <c r="K23" s="296"/>
      <c r="L23" s="208"/>
    </row>
    <row r="24" spans="1:12">
      <c r="A24" s="251">
        <f t="shared" si="0"/>
        <v>13</v>
      </c>
      <c r="B24" s="256" t="s">
        <v>443</v>
      </c>
      <c r="C24" s="252">
        <v>20307.84</v>
      </c>
      <c r="D24" s="297">
        <v>868.5</v>
      </c>
      <c r="E24" s="299"/>
      <c r="F24" s="252"/>
      <c r="J24" s="40"/>
      <c r="K24" s="296"/>
      <c r="L24" s="208"/>
    </row>
    <row r="25" spans="1:12">
      <c r="A25" s="251">
        <f t="shared" si="0"/>
        <v>14</v>
      </c>
      <c r="B25" s="256" t="s">
        <v>444</v>
      </c>
      <c r="C25" s="252">
        <v>18673.320000000003</v>
      </c>
      <c r="D25" s="297">
        <v>802.63</v>
      </c>
      <c r="E25" s="299"/>
      <c r="F25" s="252"/>
      <c r="J25" s="40"/>
      <c r="K25" s="296"/>
      <c r="L25" s="208"/>
    </row>
    <row r="26" spans="1:12">
      <c r="A26" s="251">
        <f t="shared" si="0"/>
        <v>15</v>
      </c>
      <c r="B26" s="256" t="s">
        <v>445</v>
      </c>
      <c r="C26" s="252">
        <v>13094.759999999997</v>
      </c>
      <c r="D26" s="297">
        <v>558.94000000000005</v>
      </c>
      <c r="E26" s="299"/>
      <c r="F26" s="252"/>
      <c r="J26" s="40"/>
      <c r="K26" s="296"/>
      <c r="L26" s="208"/>
    </row>
    <row r="27" spans="1:12">
      <c r="A27" s="251">
        <f t="shared" si="0"/>
        <v>16</v>
      </c>
      <c r="B27" s="251" t="s">
        <v>446</v>
      </c>
      <c r="C27" s="252">
        <v>11354.400000000001</v>
      </c>
      <c r="D27" s="297">
        <v>485.02</v>
      </c>
      <c r="E27" s="299"/>
      <c r="F27" s="252"/>
      <c r="J27" s="40"/>
      <c r="K27" s="40"/>
      <c r="L27" s="208"/>
    </row>
    <row r="28" spans="1:12">
      <c r="A28" s="251">
        <f t="shared" si="0"/>
        <v>17</v>
      </c>
      <c r="B28" s="256" t="s">
        <v>447</v>
      </c>
      <c r="C28" s="252">
        <v>13692.839999999998</v>
      </c>
      <c r="D28" s="297">
        <v>585.21</v>
      </c>
      <c r="E28" s="299"/>
      <c r="F28" s="252"/>
      <c r="J28" s="40"/>
      <c r="K28" s="296"/>
      <c r="L28" s="208"/>
    </row>
    <row r="29" spans="1:12">
      <c r="A29" s="251">
        <f t="shared" si="0"/>
        <v>18</v>
      </c>
      <c r="B29" s="251" t="s">
        <v>448</v>
      </c>
      <c r="C29" s="252">
        <v>11432.88</v>
      </c>
      <c r="D29" s="297">
        <v>488.51</v>
      </c>
      <c r="E29" s="299"/>
      <c r="F29" s="252"/>
      <c r="J29" s="40"/>
      <c r="K29" s="40"/>
      <c r="L29" s="208"/>
    </row>
    <row r="30" spans="1:12">
      <c r="A30" s="251">
        <f t="shared" si="0"/>
        <v>19</v>
      </c>
      <c r="B30" s="251" t="s">
        <v>449</v>
      </c>
      <c r="C30" s="252">
        <v>17581.560000000005</v>
      </c>
      <c r="D30" s="297">
        <v>755.73</v>
      </c>
      <c r="E30" s="299"/>
      <c r="F30" s="252"/>
      <c r="J30" s="40"/>
      <c r="K30" s="40"/>
      <c r="L30" s="208"/>
    </row>
    <row r="31" spans="1:12">
      <c r="A31" s="251">
        <f t="shared" si="0"/>
        <v>20</v>
      </c>
      <c r="B31" s="256" t="s">
        <v>450</v>
      </c>
      <c r="C31" s="252">
        <v>13692.839999999998</v>
      </c>
      <c r="D31" s="297">
        <v>585.21</v>
      </c>
      <c r="E31" s="299"/>
      <c r="F31" s="252"/>
      <c r="J31" s="40"/>
      <c r="K31" s="296"/>
      <c r="L31" s="208"/>
    </row>
    <row r="32" spans="1:12">
      <c r="A32" s="251">
        <f t="shared" si="0"/>
        <v>21</v>
      </c>
      <c r="B32" s="251" t="s">
        <v>451</v>
      </c>
      <c r="C32" s="252">
        <v>18673.320000000003</v>
      </c>
      <c r="D32" s="297">
        <v>802.63</v>
      </c>
      <c r="E32" s="299"/>
      <c r="F32" s="252"/>
      <c r="J32" s="40"/>
      <c r="K32" s="40"/>
      <c r="L32" s="208"/>
    </row>
    <row r="33" spans="1:12">
      <c r="A33" s="251">
        <f t="shared" si="0"/>
        <v>22</v>
      </c>
      <c r="B33" s="251" t="s">
        <v>452</v>
      </c>
      <c r="C33" s="252">
        <v>12146.64</v>
      </c>
      <c r="D33" s="297">
        <v>518.44000000000005</v>
      </c>
      <c r="E33" s="298"/>
      <c r="F33" s="280"/>
      <c r="J33" s="40"/>
      <c r="K33" s="40"/>
      <c r="L33" s="208"/>
    </row>
    <row r="34" spans="1:12">
      <c r="A34" s="251">
        <f t="shared" si="0"/>
        <v>23</v>
      </c>
      <c r="B34" s="251" t="s">
        <v>453</v>
      </c>
      <c r="C34" s="252">
        <v>18673.320000000003</v>
      </c>
      <c r="D34" s="297">
        <v>802.63</v>
      </c>
      <c r="E34" s="299"/>
      <c r="F34" s="252"/>
      <c r="J34" s="40"/>
      <c r="K34" s="40"/>
      <c r="L34" s="208"/>
    </row>
    <row r="35" spans="1:12">
      <c r="A35" s="251">
        <f t="shared" si="0"/>
        <v>24</v>
      </c>
      <c r="B35" s="251" t="s">
        <v>454</v>
      </c>
      <c r="C35" s="252">
        <v>20307.84</v>
      </c>
      <c r="D35" s="297">
        <v>868.5</v>
      </c>
      <c r="E35" s="298"/>
      <c r="F35" s="280"/>
      <c r="J35" s="40"/>
      <c r="K35" s="40"/>
      <c r="L35" s="208"/>
    </row>
    <row r="36" spans="1:12">
      <c r="A36" s="251">
        <f t="shared" si="0"/>
        <v>25</v>
      </c>
      <c r="B36" s="251" t="s">
        <v>455</v>
      </c>
      <c r="C36" s="252">
        <v>11746.559999999998</v>
      </c>
      <c r="D36" s="297">
        <v>501.78</v>
      </c>
      <c r="E36" s="299"/>
      <c r="F36" s="252"/>
      <c r="J36" s="40"/>
      <c r="K36" s="40"/>
      <c r="L36" s="208"/>
    </row>
    <row r="37" spans="1:12">
      <c r="A37" s="251">
        <f t="shared" si="0"/>
        <v>26</v>
      </c>
      <c r="B37" s="256" t="s">
        <v>456</v>
      </c>
      <c r="C37" s="252">
        <v>17581.560000000005</v>
      </c>
      <c r="D37" s="297">
        <v>755.73</v>
      </c>
      <c r="E37" s="299"/>
      <c r="F37" s="252"/>
      <c r="J37" s="40"/>
      <c r="K37" s="296"/>
      <c r="L37" s="208"/>
    </row>
    <row r="38" spans="1:12">
      <c r="A38" s="251">
        <f t="shared" si="0"/>
        <v>27</v>
      </c>
      <c r="B38" s="251" t="s">
        <v>457</v>
      </c>
      <c r="C38" s="252">
        <v>10437.48</v>
      </c>
      <c r="D38" s="297">
        <v>446.79</v>
      </c>
      <c r="E38" s="299"/>
      <c r="F38" s="252"/>
      <c r="J38" s="40"/>
      <c r="K38" s="40"/>
      <c r="L38" s="208"/>
    </row>
    <row r="39" spans="1:12">
      <c r="A39" s="251">
        <f t="shared" si="0"/>
        <v>28</v>
      </c>
      <c r="B39" s="256" t="s">
        <v>458</v>
      </c>
      <c r="C39" s="252">
        <v>11668.08</v>
      </c>
      <c r="D39" s="297">
        <v>500.26</v>
      </c>
      <c r="E39" s="299"/>
      <c r="F39" s="252"/>
      <c r="J39" s="40"/>
      <c r="K39" s="296"/>
      <c r="L39" s="208"/>
    </row>
    <row r="40" spans="1:12">
      <c r="A40" s="251">
        <f t="shared" si="0"/>
        <v>29</v>
      </c>
      <c r="B40" s="256" t="s">
        <v>459</v>
      </c>
      <c r="C40" s="252">
        <v>9045.2400000000016</v>
      </c>
      <c r="D40" s="297">
        <v>380.44</v>
      </c>
      <c r="E40" s="299"/>
      <c r="F40" s="252"/>
      <c r="J40" s="40"/>
      <c r="K40" s="296"/>
      <c r="L40" s="208"/>
    </row>
    <row r="41" spans="1:12">
      <c r="A41" s="251">
        <f t="shared" si="0"/>
        <v>30</v>
      </c>
      <c r="B41" s="256" t="s">
        <v>460</v>
      </c>
      <c r="C41" s="252">
        <v>11305.320000000002</v>
      </c>
      <c r="D41" s="297">
        <v>483.29</v>
      </c>
      <c r="E41" s="299"/>
      <c r="F41" s="252"/>
      <c r="J41" s="40"/>
      <c r="K41" s="296"/>
      <c r="L41" s="208"/>
    </row>
    <row r="42" spans="1:12">
      <c r="A42" s="251">
        <f t="shared" si="0"/>
        <v>31</v>
      </c>
      <c r="B42" s="251" t="s">
        <v>461</v>
      </c>
      <c r="C42" s="252">
        <v>9202.2000000000025</v>
      </c>
      <c r="D42" s="297">
        <v>393.44</v>
      </c>
      <c r="E42" s="299"/>
      <c r="F42" s="252"/>
      <c r="J42" s="40"/>
      <c r="K42" s="40"/>
      <c r="L42" s="208"/>
    </row>
    <row r="43" spans="1:12">
      <c r="A43" s="251">
        <f t="shared" si="0"/>
        <v>32</v>
      </c>
      <c r="B43" s="251" t="s">
        <v>462</v>
      </c>
      <c r="C43" s="252">
        <v>13168.320000000002</v>
      </c>
      <c r="D43" s="297">
        <v>564.78</v>
      </c>
      <c r="E43" s="299"/>
      <c r="F43" s="252"/>
      <c r="J43" s="40"/>
      <c r="K43" s="40"/>
      <c r="L43" s="208"/>
    </row>
    <row r="44" spans="1:12">
      <c r="A44" s="251">
        <f t="shared" si="0"/>
        <v>33</v>
      </c>
      <c r="B44" s="251" t="s">
        <v>463</v>
      </c>
      <c r="C44" s="252">
        <v>18673.320000000003</v>
      </c>
      <c r="D44" s="297">
        <v>793.49</v>
      </c>
      <c r="E44" s="299"/>
      <c r="F44" s="252"/>
      <c r="J44" s="40"/>
      <c r="K44" s="40"/>
      <c r="L44" s="208"/>
    </row>
    <row r="45" spans="1:12">
      <c r="A45" s="251">
        <f t="shared" si="0"/>
        <v>34</v>
      </c>
      <c r="B45" s="256" t="s">
        <v>464</v>
      </c>
      <c r="C45" s="252">
        <v>9270.7199999999975</v>
      </c>
      <c r="D45" s="297">
        <v>396.34</v>
      </c>
      <c r="E45" s="299"/>
      <c r="F45" s="252"/>
      <c r="J45" s="40"/>
      <c r="K45" s="296"/>
      <c r="L45" s="208"/>
    </row>
    <row r="46" spans="1:12">
      <c r="A46" s="251">
        <f t="shared" si="0"/>
        <v>35</v>
      </c>
      <c r="B46" s="256" t="s">
        <v>465</v>
      </c>
      <c r="C46" s="252">
        <v>17581.560000000005</v>
      </c>
      <c r="D46" s="297">
        <v>755.73</v>
      </c>
      <c r="E46" s="299"/>
      <c r="F46" s="252"/>
      <c r="J46" s="40"/>
      <c r="K46" s="296"/>
      <c r="L46" s="208"/>
    </row>
    <row r="47" spans="1:12">
      <c r="A47" s="251">
        <f t="shared" si="0"/>
        <v>36</v>
      </c>
      <c r="B47" s="256" t="s">
        <v>466</v>
      </c>
      <c r="C47" s="252">
        <v>13570.200000000003</v>
      </c>
      <c r="D47" s="297">
        <v>579.97</v>
      </c>
      <c r="E47" s="299"/>
      <c r="F47" s="252"/>
      <c r="J47" s="40"/>
      <c r="K47" s="296"/>
      <c r="L47" s="208"/>
    </row>
    <row r="48" spans="1:12">
      <c r="A48" s="251">
        <f t="shared" si="0"/>
        <v>37</v>
      </c>
      <c r="B48" s="251" t="s">
        <v>467</v>
      </c>
      <c r="C48" s="298"/>
      <c r="D48" s="297"/>
      <c r="E48" s="298"/>
      <c r="F48" s="280">
        <v>7556.8499999999995</v>
      </c>
    </row>
    <row r="49" spans="1:6">
      <c r="A49" s="251">
        <f t="shared" si="0"/>
        <v>38</v>
      </c>
      <c r="B49" s="251" t="s">
        <v>468</v>
      </c>
      <c r="C49" s="299"/>
      <c r="D49" s="297"/>
      <c r="E49" s="299"/>
      <c r="F49" s="252">
        <v>7556.8499999999995</v>
      </c>
    </row>
    <row r="50" spans="1:6">
      <c r="A50" s="251">
        <f t="shared" si="0"/>
        <v>39</v>
      </c>
      <c r="B50" s="251" t="s">
        <v>469</v>
      </c>
      <c r="C50" s="299"/>
      <c r="D50" s="297"/>
      <c r="E50" s="299"/>
      <c r="F50" s="252">
        <v>3898.55</v>
      </c>
    </row>
    <row r="51" spans="1:6">
      <c r="A51" s="251">
        <f t="shared" si="0"/>
        <v>40</v>
      </c>
      <c r="B51" s="256" t="s">
        <v>470</v>
      </c>
      <c r="C51" s="299"/>
      <c r="D51" s="297"/>
      <c r="E51" s="299"/>
      <c r="F51" s="252">
        <v>7556.8499999999995</v>
      </c>
    </row>
    <row r="52" spans="1:6">
      <c r="A52" s="251">
        <f t="shared" si="0"/>
        <v>41</v>
      </c>
      <c r="B52" s="251" t="s">
        <v>471</v>
      </c>
      <c r="C52" s="299"/>
      <c r="D52" s="297"/>
      <c r="E52" s="299"/>
      <c r="F52" s="252">
        <v>7556.8499999999995</v>
      </c>
    </row>
    <row r="53" spans="1:6">
      <c r="A53" s="251">
        <f t="shared" si="0"/>
        <v>42</v>
      </c>
      <c r="B53" s="251" t="s">
        <v>472</v>
      </c>
      <c r="C53" s="298"/>
      <c r="D53" s="297"/>
      <c r="E53" s="298"/>
      <c r="F53" s="280">
        <v>7556.8499999999995</v>
      </c>
    </row>
    <row r="54" spans="1:6">
      <c r="A54" s="251">
        <f t="shared" si="0"/>
        <v>43</v>
      </c>
      <c r="B54" s="251" t="s">
        <v>473</v>
      </c>
      <c r="C54" s="299"/>
      <c r="D54" s="297"/>
      <c r="E54" s="299"/>
      <c r="F54" s="252">
        <v>7556.8499999999995</v>
      </c>
    </row>
    <row r="55" spans="1:6">
      <c r="A55" s="251">
        <f t="shared" si="0"/>
        <v>44</v>
      </c>
      <c r="B55" s="251" t="s">
        <v>474</v>
      </c>
      <c r="C55" s="299"/>
      <c r="D55" s="297"/>
      <c r="E55" s="299"/>
      <c r="F55" s="252">
        <v>6268.0300000000007</v>
      </c>
    </row>
    <row r="56" spans="1:6">
      <c r="A56" s="251">
        <f t="shared" si="0"/>
        <v>45</v>
      </c>
      <c r="B56" s="251" t="s">
        <v>475</v>
      </c>
      <c r="C56" s="299"/>
      <c r="D56" s="297"/>
      <c r="E56" s="299"/>
      <c r="F56" s="252">
        <v>4395.3900000000003</v>
      </c>
    </row>
    <row r="57" spans="1:6">
      <c r="A57" s="251">
        <f t="shared" si="0"/>
        <v>46</v>
      </c>
      <c r="B57" s="256" t="s">
        <v>476</v>
      </c>
      <c r="C57" s="299"/>
      <c r="D57" s="297"/>
      <c r="E57" s="299"/>
      <c r="F57" s="252">
        <v>5414.9699999999993</v>
      </c>
    </row>
    <row r="58" spans="1:6">
      <c r="A58" s="251">
        <f t="shared" si="0"/>
        <v>47</v>
      </c>
      <c r="B58" s="251" t="s">
        <v>477</v>
      </c>
      <c r="C58" s="298"/>
      <c r="D58" s="297"/>
      <c r="E58" s="298"/>
      <c r="F58" s="280">
        <v>6162.17</v>
      </c>
    </row>
    <row r="59" spans="1:6">
      <c r="A59" s="251">
        <f t="shared" si="0"/>
        <v>48</v>
      </c>
      <c r="B59" s="256" t="s">
        <v>478</v>
      </c>
      <c r="C59" s="299"/>
      <c r="D59" s="297"/>
      <c r="E59" s="299"/>
      <c r="F59" s="252">
        <v>5640.16</v>
      </c>
    </row>
    <row r="60" spans="1:6">
      <c r="A60" s="251">
        <f t="shared" si="0"/>
        <v>49</v>
      </c>
      <c r="B60" s="251" t="s">
        <v>479</v>
      </c>
      <c r="C60" s="298"/>
      <c r="D60" s="297"/>
      <c r="E60" s="298"/>
      <c r="F60" s="280">
        <v>4082.3199999999997</v>
      </c>
    </row>
    <row r="61" spans="1:6">
      <c r="A61" s="251">
        <f t="shared" si="0"/>
        <v>50</v>
      </c>
      <c r="B61" s="256" t="s">
        <v>480</v>
      </c>
      <c r="C61" s="299"/>
      <c r="D61" s="297"/>
      <c r="E61" s="299"/>
      <c r="F61" s="252">
        <v>2029.79</v>
      </c>
    </row>
    <row r="62" spans="1:6">
      <c r="A62" s="251">
        <f t="shared" si="0"/>
        <v>51</v>
      </c>
      <c r="B62" s="256" t="s">
        <v>481</v>
      </c>
      <c r="C62" s="299"/>
      <c r="D62" s="297"/>
      <c r="E62" s="299"/>
      <c r="F62" s="252">
        <v>597.67999999999995</v>
      </c>
    </row>
    <row r="63" spans="1:6">
      <c r="A63" s="251">
        <f t="shared" si="0"/>
        <v>52</v>
      </c>
      <c r="B63" s="256" t="s">
        <v>482</v>
      </c>
      <c r="C63" s="299"/>
      <c r="D63" s="297"/>
      <c r="E63" s="299"/>
      <c r="F63" s="252">
        <v>879.2</v>
      </c>
    </row>
    <row r="64" spans="1:6">
      <c r="A64" s="251">
        <f t="shared" si="0"/>
        <v>53</v>
      </c>
      <c r="B64" s="251" t="s">
        <v>483</v>
      </c>
      <c r="C64" s="299"/>
      <c r="D64" s="297"/>
      <c r="E64" s="299"/>
      <c r="F64" s="252">
        <v>448</v>
      </c>
    </row>
    <row r="65" spans="1:11">
      <c r="A65" s="251">
        <f t="shared" si="0"/>
        <v>54</v>
      </c>
      <c r="B65" s="251" t="s">
        <v>484</v>
      </c>
      <c r="C65" s="299"/>
      <c r="D65" s="297"/>
      <c r="E65" s="299"/>
      <c r="F65" s="252"/>
    </row>
    <row r="66" spans="1:11">
      <c r="A66" s="251">
        <f t="shared" si="0"/>
        <v>55</v>
      </c>
      <c r="B66" s="251" t="s">
        <v>485</v>
      </c>
      <c r="C66" s="299"/>
      <c r="D66" s="297"/>
      <c r="E66" s="299"/>
      <c r="F66" s="252"/>
    </row>
    <row r="67" spans="1:11">
      <c r="A67" s="251">
        <f t="shared" si="0"/>
        <v>56</v>
      </c>
      <c r="B67" s="251" t="s">
        <v>486</v>
      </c>
      <c r="C67" s="299"/>
      <c r="D67" s="297"/>
      <c r="E67" s="299"/>
      <c r="F67" s="280"/>
    </row>
    <row r="68" spans="1:11">
      <c r="A68" s="251">
        <f t="shared" si="0"/>
        <v>57</v>
      </c>
      <c r="B68" s="251" t="s">
        <v>487</v>
      </c>
      <c r="C68" s="299"/>
      <c r="D68" s="297"/>
      <c r="E68" s="299"/>
      <c r="F68" s="280"/>
    </row>
    <row r="69" spans="1:11">
      <c r="A69" s="251">
        <f t="shared" si="0"/>
        <v>58</v>
      </c>
      <c r="B69" s="251" t="s">
        <v>488</v>
      </c>
      <c r="C69" s="299"/>
      <c r="D69" s="297"/>
      <c r="E69" s="299"/>
      <c r="F69" s="280"/>
    </row>
    <row r="70" spans="1:11">
      <c r="A70" s="251">
        <f t="shared" si="0"/>
        <v>59</v>
      </c>
      <c r="B70" s="251" t="s">
        <v>489</v>
      </c>
      <c r="C70" s="299"/>
      <c r="D70" s="297"/>
      <c r="E70" s="299"/>
      <c r="F70" s="280"/>
    </row>
    <row r="71" spans="1:11">
      <c r="A71" s="251">
        <f t="shared" si="0"/>
        <v>60</v>
      </c>
      <c r="B71" s="251" t="s">
        <v>490</v>
      </c>
      <c r="C71" s="299"/>
      <c r="D71" s="297"/>
      <c r="E71" s="299"/>
      <c r="F71" s="280"/>
    </row>
    <row r="72" spans="1:11">
      <c r="A72" s="251">
        <f t="shared" si="0"/>
        <v>61</v>
      </c>
      <c r="B72" s="251" t="s">
        <v>491</v>
      </c>
      <c r="C72" s="299"/>
      <c r="D72" s="297"/>
      <c r="E72" s="299"/>
      <c r="F72" s="280"/>
    </row>
    <row r="73" spans="1:11">
      <c r="A73" s="251">
        <f t="shared" si="0"/>
        <v>62</v>
      </c>
      <c r="B73" s="251" t="s">
        <v>492</v>
      </c>
      <c r="C73" s="299"/>
      <c r="D73" s="297"/>
      <c r="E73" s="299"/>
      <c r="F73" s="280"/>
    </row>
    <row r="74" spans="1:11">
      <c r="A74" s="251">
        <f t="shared" si="0"/>
        <v>63</v>
      </c>
      <c r="B74" s="251" t="s">
        <v>493</v>
      </c>
      <c r="C74" s="252">
        <v>983.64000000000021</v>
      </c>
      <c r="D74" s="297"/>
      <c r="E74" s="299"/>
      <c r="F74" s="280"/>
      <c r="J74" s="40"/>
      <c r="K74" s="40"/>
    </row>
    <row r="75" spans="1:11">
      <c r="A75" s="251">
        <f t="shared" si="0"/>
        <v>64</v>
      </c>
      <c r="B75" s="251" t="s">
        <v>494</v>
      </c>
      <c r="C75" s="252">
        <v>2768.0400000000004</v>
      </c>
      <c r="D75" s="297"/>
      <c r="E75" s="299"/>
      <c r="F75" s="252"/>
      <c r="J75" s="40"/>
      <c r="K75" s="40"/>
    </row>
    <row r="76" spans="1:11">
      <c r="A76" s="251">
        <f t="shared" si="0"/>
        <v>65</v>
      </c>
      <c r="B76" s="256" t="s">
        <v>495</v>
      </c>
      <c r="C76" s="252">
        <v>14651.300000000003</v>
      </c>
      <c r="D76" s="297">
        <v>573.79999999999995</v>
      </c>
      <c r="E76" s="299"/>
      <c r="F76" s="252"/>
      <c r="J76" s="40"/>
      <c r="K76" s="296"/>
    </row>
    <row r="77" spans="1:11">
      <c r="A77" s="251">
        <f t="shared" si="0"/>
        <v>66</v>
      </c>
      <c r="B77" s="256" t="s">
        <v>496</v>
      </c>
      <c r="C77" s="252">
        <v>4242.8</v>
      </c>
      <c r="D77" s="297">
        <v>182.82</v>
      </c>
      <c r="E77" s="299"/>
      <c r="F77" s="252"/>
      <c r="J77" s="40"/>
      <c r="K77" s="296"/>
    </row>
    <row r="78" spans="1:11">
      <c r="A78" s="251">
        <f t="shared" ref="A78:A102" si="1">1+A77</f>
        <v>67</v>
      </c>
      <c r="B78" s="251" t="s">
        <v>497</v>
      </c>
      <c r="C78" s="252">
        <v>9384.4</v>
      </c>
      <c r="D78" s="297">
        <v>404.36</v>
      </c>
      <c r="E78" s="299"/>
      <c r="F78" s="252"/>
      <c r="J78" s="40"/>
      <c r="K78" s="40"/>
    </row>
    <row r="79" spans="1:11">
      <c r="A79" s="251">
        <f t="shared" si="1"/>
        <v>68</v>
      </c>
      <c r="B79" s="256" t="s">
        <v>498</v>
      </c>
      <c r="C79" s="252">
        <v>7492.7000000000007</v>
      </c>
      <c r="D79" s="297">
        <v>322.74</v>
      </c>
      <c r="E79" s="299"/>
      <c r="F79" s="252"/>
      <c r="J79" s="40"/>
      <c r="K79" s="296"/>
    </row>
    <row r="80" spans="1:11">
      <c r="A80" s="251">
        <f t="shared" si="1"/>
        <v>69</v>
      </c>
      <c r="B80" s="251" t="s">
        <v>499</v>
      </c>
      <c r="C80" s="252">
        <v>12633.96</v>
      </c>
      <c r="D80" s="297">
        <v>539.32000000000005</v>
      </c>
      <c r="E80" s="299"/>
      <c r="F80" s="252"/>
      <c r="J80" s="40"/>
      <c r="K80" s="40"/>
    </row>
    <row r="81" spans="1:6">
      <c r="A81" s="251">
        <f t="shared" si="1"/>
        <v>70</v>
      </c>
      <c r="B81" s="251" t="s">
        <v>500</v>
      </c>
      <c r="C81" s="299"/>
      <c r="D81" s="297"/>
      <c r="E81" s="299"/>
      <c r="F81" s="252">
        <v>552.61</v>
      </c>
    </row>
    <row r="82" spans="1:6">
      <c r="A82" s="251">
        <f t="shared" si="1"/>
        <v>71</v>
      </c>
      <c r="B82" s="251" t="s">
        <v>501</v>
      </c>
      <c r="C82" s="299"/>
      <c r="D82" s="297"/>
      <c r="E82" s="299"/>
      <c r="F82" s="252">
        <v>4125.49</v>
      </c>
    </row>
    <row r="83" spans="1:6">
      <c r="A83" s="251">
        <f t="shared" si="1"/>
        <v>72</v>
      </c>
      <c r="B83" s="251" t="s">
        <v>502</v>
      </c>
      <c r="C83" s="299"/>
      <c r="D83" s="297"/>
      <c r="E83" s="299"/>
      <c r="F83" s="252">
        <v>4002.66</v>
      </c>
    </row>
    <row r="84" spans="1:6">
      <c r="A84" s="251">
        <f t="shared" si="1"/>
        <v>73</v>
      </c>
      <c r="B84" s="256" t="s">
        <v>503</v>
      </c>
      <c r="C84" s="299"/>
      <c r="D84" s="297"/>
      <c r="E84" s="299"/>
      <c r="F84" s="252">
        <v>1430.33</v>
      </c>
    </row>
    <row r="85" spans="1:6">
      <c r="A85" s="40">
        <f t="shared" si="1"/>
        <v>74</v>
      </c>
      <c r="B85" s="40" t="s">
        <v>504</v>
      </c>
      <c r="C85" s="300"/>
      <c r="D85" s="301"/>
      <c r="E85" s="300"/>
      <c r="F85" s="74"/>
    </row>
    <row r="86" spans="1:6">
      <c r="A86" s="40">
        <f t="shared" si="1"/>
        <v>75</v>
      </c>
      <c r="C86" s="74"/>
      <c r="D86" s="301"/>
      <c r="E86" s="74"/>
      <c r="F86" s="74"/>
    </row>
    <row r="87" spans="1:6">
      <c r="A87" s="40">
        <f t="shared" si="1"/>
        <v>76</v>
      </c>
      <c r="C87" s="220"/>
      <c r="D87" s="302"/>
      <c r="E87" s="74"/>
      <c r="F87" s="220"/>
    </row>
    <row r="88" spans="1:6">
      <c r="A88" s="40">
        <f t="shared" si="1"/>
        <v>77</v>
      </c>
      <c r="B88" s="38" t="s">
        <v>505</v>
      </c>
      <c r="C88" s="74">
        <f>SUM(C12:C86)</f>
        <v>599478.04000000015</v>
      </c>
      <c r="D88" s="303">
        <f t="shared" ref="D88:F88" si="2">SUM(D12:D86)</f>
        <v>25463.280000000002</v>
      </c>
      <c r="E88" s="74"/>
      <c r="F88" s="74">
        <f t="shared" si="2"/>
        <v>116377.34999999999</v>
      </c>
    </row>
    <row r="89" spans="1:6">
      <c r="A89" s="40">
        <f t="shared" si="1"/>
        <v>78</v>
      </c>
    </row>
    <row r="90" spans="1:6">
      <c r="A90" s="40">
        <f t="shared" si="1"/>
        <v>79</v>
      </c>
      <c r="B90" s="1" t="s">
        <v>547</v>
      </c>
      <c r="C90" s="283" t="s">
        <v>397</v>
      </c>
      <c r="D90" s="283" t="s">
        <v>8</v>
      </c>
    </row>
    <row r="91" spans="1:6">
      <c r="A91" s="40">
        <f t="shared" si="1"/>
        <v>80</v>
      </c>
      <c r="B91" s="5" t="s">
        <v>399</v>
      </c>
      <c r="C91" s="174">
        <v>0.11980426624165266</v>
      </c>
      <c r="D91" s="19">
        <f>-($D$88*C91)</f>
        <v>-3050.6095765057498</v>
      </c>
    </row>
    <row r="92" spans="1:6">
      <c r="A92" s="40">
        <f t="shared" si="1"/>
        <v>81</v>
      </c>
      <c r="B92" s="5" t="s">
        <v>401</v>
      </c>
      <c r="C92" s="174">
        <v>0.2110888529831273</v>
      </c>
      <c r="D92" s="19">
        <f t="shared" ref="D92:D95" si="3">-($D$88*C92)</f>
        <v>-5375.0145683882065</v>
      </c>
    </row>
    <row r="93" spans="1:6">
      <c r="A93" s="40">
        <f t="shared" si="1"/>
        <v>82</v>
      </c>
      <c r="B93" s="5" t="s">
        <v>403</v>
      </c>
      <c r="C93" s="174">
        <v>0.10299313700545087</v>
      </c>
      <c r="D93" s="19">
        <f t="shared" si="3"/>
        <v>-2622.5430856481576</v>
      </c>
    </row>
    <row r="94" spans="1:6">
      <c r="A94" s="40">
        <f t="shared" si="1"/>
        <v>83</v>
      </c>
      <c r="B94" s="5" t="s">
        <v>548</v>
      </c>
      <c r="C94" s="174">
        <v>1.342268443356078E-2</v>
      </c>
      <c r="D94" s="19">
        <f t="shared" si="3"/>
        <v>-341.78557208339959</v>
      </c>
    </row>
    <row r="95" spans="1:6">
      <c r="A95" s="40">
        <f t="shared" si="1"/>
        <v>84</v>
      </c>
      <c r="B95" s="5" t="s">
        <v>405</v>
      </c>
      <c r="C95" s="174">
        <v>0.12584216016638919</v>
      </c>
      <c r="D95" s="19">
        <f t="shared" si="3"/>
        <v>-3204.3541601216148</v>
      </c>
    </row>
    <row r="96" spans="1:6">
      <c r="A96" s="40">
        <f t="shared" si="1"/>
        <v>85</v>
      </c>
      <c r="B96" s="206" t="s">
        <v>549</v>
      </c>
      <c r="C96" s="284">
        <v>0.57315110083018073</v>
      </c>
      <c r="D96" s="285">
        <f>SUM(D91:D95)</f>
        <v>-14594.306962747129</v>
      </c>
      <c r="E96" s="2" t="s">
        <v>628</v>
      </c>
    </row>
    <row r="97" spans="1:4">
      <c r="A97" s="40">
        <f t="shared" si="1"/>
        <v>86</v>
      </c>
      <c r="B97" s="5"/>
      <c r="C97" s="174"/>
      <c r="D97" s="2"/>
    </row>
    <row r="98" spans="1:4">
      <c r="A98" s="40">
        <f t="shared" si="1"/>
        <v>87</v>
      </c>
      <c r="B98" s="5" t="s">
        <v>550</v>
      </c>
      <c r="C98" s="174">
        <v>0.29812954230486577</v>
      </c>
      <c r="D98" s="19">
        <f t="shared" ref="D98:D99" si="4">-($D$88*C98)</f>
        <v>-7591.3560119806434</v>
      </c>
    </row>
    <row r="99" spans="1:4">
      <c r="A99" s="40">
        <f t="shared" si="1"/>
        <v>88</v>
      </c>
      <c r="B99" s="5" t="s">
        <v>551</v>
      </c>
      <c r="C99" s="174">
        <v>0.12871935686495345</v>
      </c>
      <c r="D99" s="19">
        <f t="shared" si="4"/>
        <v>-3277.6170252722322</v>
      </c>
    </row>
    <row r="100" spans="1:4">
      <c r="A100" s="40">
        <f t="shared" si="1"/>
        <v>89</v>
      </c>
      <c r="B100" s="60"/>
      <c r="C100" s="284">
        <v>0.42684889916981922</v>
      </c>
      <c r="D100" s="286">
        <f>SUM(D98:D99)</f>
        <v>-10868.973037252876</v>
      </c>
    </row>
    <row r="101" spans="1:4">
      <c r="A101" s="40">
        <f t="shared" si="1"/>
        <v>90</v>
      </c>
      <c r="B101" s="5"/>
      <c r="C101" s="194"/>
      <c r="D101" s="2"/>
    </row>
    <row r="102" spans="1:4" ht="13.8" thickBot="1">
      <c r="A102" s="40">
        <f t="shared" si="1"/>
        <v>91</v>
      </c>
      <c r="B102" s="195"/>
      <c r="C102" s="197">
        <v>1</v>
      </c>
      <c r="D102" s="304">
        <f>D96+D100</f>
        <v>-25463.280000000006</v>
      </c>
    </row>
    <row r="103" spans="1:4" ht="13.8" thickTop="1"/>
  </sheetData>
  <mergeCells count="4">
    <mergeCell ref="C9:D9"/>
    <mergeCell ref="A3:F3"/>
    <mergeCell ref="A4:F4"/>
    <mergeCell ref="A6:F6"/>
  </mergeCells>
  <printOptions horizontalCentered="1"/>
  <pageMargins left="0.7" right="0.7" top="0.75" bottom="0.75" header="0.3" footer="0.3"/>
  <pageSetup scale="73" orientation="portrait" r:id="rId1"/>
  <headerFooter>
    <oddFooter>&amp;RExhibit  JW-2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08"/>
  <sheetViews>
    <sheetView view="pageBreakPreview" topLeftCell="A65" zoomScale="60" zoomScaleNormal="100" workbookViewId="0">
      <selection activeCell="D68" sqref="D68"/>
    </sheetView>
  </sheetViews>
  <sheetFormatPr defaultColWidth="8.88671875" defaultRowHeight="13.2"/>
  <cols>
    <col min="1" max="1" width="4.44140625" style="46" customWidth="1"/>
    <col min="2" max="2" width="16.33203125" style="38" customWidth="1"/>
    <col min="3" max="3" width="16.6640625" style="86" customWidth="1"/>
    <col min="4" max="8" width="16.6640625" style="38" customWidth="1"/>
    <col min="9" max="9" width="8.44140625" style="38" bestFit="1" customWidth="1"/>
    <col min="10" max="10" width="15.88671875" style="38" customWidth="1"/>
    <col min="11" max="11" width="10.5546875" style="38" bestFit="1" customWidth="1"/>
    <col min="12" max="16384" width="8.88671875" style="38"/>
  </cols>
  <sheetData>
    <row r="1" spans="1:9">
      <c r="D1" s="26"/>
      <c r="H1" s="26" t="s">
        <v>70</v>
      </c>
    </row>
    <row r="2" spans="1:9">
      <c r="E2" s="26"/>
    </row>
    <row r="3" spans="1:9">
      <c r="B3" s="331" t="str">
        <f>RevReq!A1</f>
        <v>FARMERS RECC</v>
      </c>
      <c r="C3" s="331"/>
      <c r="D3" s="331"/>
      <c r="E3" s="331"/>
      <c r="F3" s="331"/>
      <c r="G3" s="331"/>
      <c r="H3" s="331"/>
    </row>
    <row r="4" spans="1:9">
      <c r="B4" s="331" t="str">
        <f>RevReq!A3</f>
        <v>For the 12 Months Ended December 31, 2022</v>
      </c>
      <c r="C4" s="331"/>
      <c r="D4" s="331"/>
      <c r="E4" s="331"/>
      <c r="F4" s="331"/>
      <c r="G4" s="331"/>
      <c r="H4" s="331"/>
    </row>
    <row r="6" spans="1:9">
      <c r="B6" s="328" t="s">
        <v>519</v>
      </c>
      <c r="C6" s="328"/>
      <c r="D6" s="328"/>
      <c r="E6" s="328"/>
      <c r="F6" s="328"/>
      <c r="G6" s="328"/>
      <c r="H6" s="328"/>
    </row>
    <row r="7" spans="1:9">
      <c r="C7" s="37"/>
      <c r="D7" s="37"/>
      <c r="E7" s="37"/>
      <c r="F7" s="35"/>
      <c r="G7" s="198"/>
    </row>
    <row r="8" spans="1:9">
      <c r="B8" s="52" t="s">
        <v>66</v>
      </c>
      <c r="C8" s="52" t="s">
        <v>68</v>
      </c>
      <c r="D8" s="52" t="s">
        <v>65</v>
      </c>
      <c r="E8" s="52" t="s">
        <v>67</v>
      </c>
      <c r="F8" s="52" t="s">
        <v>63</v>
      </c>
      <c r="G8" s="52" t="s">
        <v>520</v>
      </c>
      <c r="H8" s="52" t="s">
        <v>521</v>
      </c>
      <c r="I8" s="86"/>
    </row>
    <row r="9" spans="1:9" ht="15" customHeight="1">
      <c r="B9" s="40"/>
      <c r="C9" s="52"/>
      <c r="D9" s="52"/>
      <c r="E9" s="52"/>
      <c r="F9" s="52"/>
      <c r="G9" s="52" t="s">
        <v>522</v>
      </c>
      <c r="H9" s="52" t="s">
        <v>523</v>
      </c>
    </row>
    <row r="10" spans="1:9" ht="26.4">
      <c r="A10" s="200" t="s">
        <v>10</v>
      </c>
      <c r="B10" s="201" t="s">
        <v>518</v>
      </c>
      <c r="C10" s="201" t="s">
        <v>524</v>
      </c>
      <c r="D10" s="201" t="s">
        <v>525</v>
      </c>
      <c r="E10" s="201" t="s">
        <v>526</v>
      </c>
      <c r="F10" s="201" t="s">
        <v>527</v>
      </c>
      <c r="G10" s="201" t="s">
        <v>528</v>
      </c>
      <c r="H10" s="201" t="s">
        <v>529</v>
      </c>
    </row>
    <row r="11" spans="1:9">
      <c r="A11" s="244">
        <v>1</v>
      </c>
      <c r="B11" s="245" t="s">
        <v>431</v>
      </c>
      <c r="C11" s="246">
        <v>1073.2800000000002</v>
      </c>
      <c r="D11" s="247">
        <v>106.182</v>
      </c>
      <c r="E11" s="246">
        <v>227420.04</v>
      </c>
      <c r="F11" s="248">
        <f t="shared" ref="F11:F74" si="0">IF(E11&gt;50000,50000,E11)</f>
        <v>50000</v>
      </c>
      <c r="G11" s="248">
        <f t="shared" ref="G11:G74" si="1">+E11*2</f>
        <v>454840.08</v>
      </c>
      <c r="H11" s="249">
        <f t="shared" ref="H11:H74" si="2">((G11-F11)/G11)*C11</f>
        <v>955.2956746080954</v>
      </c>
    </row>
    <row r="12" spans="1:9">
      <c r="A12" s="250">
        <f>A11+1</f>
        <v>2</v>
      </c>
      <c r="B12" s="251" t="s">
        <v>432</v>
      </c>
      <c r="C12" s="252">
        <v>629.04</v>
      </c>
      <c r="D12" s="253">
        <v>63.401000000000003</v>
      </c>
      <c r="E12" s="252">
        <v>127126.24</v>
      </c>
      <c r="F12" s="254">
        <f t="shared" si="0"/>
        <v>50000</v>
      </c>
      <c r="G12" s="254">
        <f t="shared" si="1"/>
        <v>254252.48</v>
      </c>
      <c r="H12" s="255">
        <f t="shared" si="2"/>
        <v>505.33619187981964</v>
      </c>
    </row>
    <row r="13" spans="1:9">
      <c r="A13" s="250">
        <f t="shared" ref="A13:A76" si="3">A12+1</f>
        <v>3</v>
      </c>
      <c r="B13" s="256" t="s">
        <v>433</v>
      </c>
      <c r="C13" s="252">
        <v>594</v>
      </c>
      <c r="D13" s="253">
        <v>59.881999999999998</v>
      </c>
      <c r="E13" s="252">
        <v>119902.22</v>
      </c>
      <c r="F13" s="254">
        <f t="shared" si="0"/>
        <v>50000</v>
      </c>
      <c r="G13" s="254">
        <f t="shared" si="1"/>
        <v>239804.44</v>
      </c>
      <c r="H13" s="255">
        <f t="shared" si="2"/>
        <v>470.14908214376686</v>
      </c>
    </row>
    <row r="14" spans="1:9">
      <c r="A14" s="250">
        <f t="shared" si="3"/>
        <v>4</v>
      </c>
      <c r="B14" s="256" t="s">
        <v>434</v>
      </c>
      <c r="C14" s="252">
        <v>629.04</v>
      </c>
      <c r="D14" s="253">
        <v>63.353999999999999</v>
      </c>
      <c r="E14" s="252">
        <v>127163.85</v>
      </c>
      <c r="F14" s="254">
        <f t="shared" si="0"/>
        <v>50000</v>
      </c>
      <c r="G14" s="254">
        <f t="shared" si="1"/>
        <v>254327.7</v>
      </c>
      <c r="H14" s="255">
        <f t="shared" si="2"/>
        <v>505.37277853729654</v>
      </c>
    </row>
    <row r="15" spans="1:9">
      <c r="A15" s="250">
        <f t="shared" si="3"/>
        <v>5</v>
      </c>
      <c r="B15" s="256" t="s">
        <v>435</v>
      </c>
      <c r="C15" s="252">
        <v>529.20000000000016</v>
      </c>
      <c r="D15" s="253">
        <v>54.837000000000003</v>
      </c>
      <c r="E15" s="252">
        <v>107238.52</v>
      </c>
      <c r="F15" s="254">
        <f t="shared" si="0"/>
        <v>50000</v>
      </c>
      <c r="G15" s="254">
        <f t="shared" si="1"/>
        <v>214477.04</v>
      </c>
      <c r="H15" s="255">
        <f t="shared" si="2"/>
        <v>405.83015118075122</v>
      </c>
    </row>
    <row r="16" spans="1:9">
      <c r="A16" s="250">
        <f t="shared" si="3"/>
        <v>6</v>
      </c>
      <c r="B16" s="251" t="s">
        <v>436</v>
      </c>
      <c r="C16" s="252">
        <v>459.23999999999995</v>
      </c>
      <c r="D16" s="253">
        <v>46.37</v>
      </c>
      <c r="E16" s="252">
        <v>92838.12</v>
      </c>
      <c r="F16" s="254">
        <f t="shared" si="0"/>
        <v>50000</v>
      </c>
      <c r="G16" s="254">
        <f t="shared" si="1"/>
        <v>185676.24</v>
      </c>
      <c r="H16" s="255">
        <f t="shared" si="2"/>
        <v>335.5731269525923</v>
      </c>
    </row>
    <row r="17" spans="1:8">
      <c r="A17" s="250">
        <f t="shared" si="3"/>
        <v>7</v>
      </c>
      <c r="B17" s="256" t="s">
        <v>437</v>
      </c>
      <c r="C17" s="252">
        <v>414.3599999999999</v>
      </c>
      <c r="D17" s="253">
        <v>43.869</v>
      </c>
      <c r="E17" s="252">
        <v>87118.88</v>
      </c>
      <c r="F17" s="254">
        <f t="shared" si="0"/>
        <v>50000</v>
      </c>
      <c r="G17" s="254">
        <f t="shared" si="1"/>
        <v>174237.76</v>
      </c>
      <c r="H17" s="255">
        <f t="shared" si="2"/>
        <v>295.45351268060369</v>
      </c>
    </row>
    <row r="18" spans="1:8">
      <c r="A18" s="250">
        <f t="shared" si="3"/>
        <v>8</v>
      </c>
      <c r="B18" s="251" t="s">
        <v>438</v>
      </c>
      <c r="C18" s="252">
        <v>539.16</v>
      </c>
      <c r="D18" s="253">
        <v>56.203000000000003</v>
      </c>
      <c r="E18" s="252">
        <v>110823.88</v>
      </c>
      <c r="F18" s="254">
        <f t="shared" si="0"/>
        <v>50000</v>
      </c>
      <c r="G18" s="254">
        <f t="shared" si="1"/>
        <v>221647.76</v>
      </c>
      <c r="H18" s="255">
        <f t="shared" si="2"/>
        <v>417.53458858145007</v>
      </c>
    </row>
    <row r="19" spans="1:8">
      <c r="A19" s="250">
        <f t="shared" si="3"/>
        <v>9</v>
      </c>
      <c r="B19" s="251" t="s">
        <v>440</v>
      </c>
      <c r="C19" s="252">
        <v>339.48</v>
      </c>
      <c r="D19" s="253">
        <v>34.241999999999997</v>
      </c>
      <c r="E19" s="252">
        <v>69943</v>
      </c>
      <c r="F19" s="254">
        <f t="shared" si="0"/>
        <v>50000</v>
      </c>
      <c r="G19" s="254">
        <f t="shared" si="1"/>
        <v>139886</v>
      </c>
      <c r="H19" s="255">
        <f t="shared" si="2"/>
        <v>218.13833607365999</v>
      </c>
    </row>
    <row r="20" spans="1:8">
      <c r="A20" s="250">
        <f t="shared" si="3"/>
        <v>10</v>
      </c>
      <c r="B20" s="256" t="s">
        <v>441</v>
      </c>
      <c r="C20" s="252">
        <v>229.67999999999995</v>
      </c>
      <c r="D20" s="253">
        <v>22.61</v>
      </c>
      <c r="E20" s="252">
        <v>46067.839999999997</v>
      </c>
      <c r="F20" s="254">
        <f t="shared" si="0"/>
        <v>46067.839999999997</v>
      </c>
      <c r="G20" s="254">
        <f t="shared" si="1"/>
        <v>92135.679999999993</v>
      </c>
      <c r="H20" s="255">
        <f t="shared" si="2"/>
        <v>114.83999999999997</v>
      </c>
    </row>
    <row r="21" spans="1:8">
      <c r="A21" s="250">
        <f t="shared" si="3"/>
        <v>11</v>
      </c>
      <c r="B21" s="256" t="s">
        <v>442</v>
      </c>
      <c r="C21" s="252">
        <v>324.48</v>
      </c>
      <c r="D21" s="253">
        <v>32.5</v>
      </c>
      <c r="E21" s="252">
        <v>66077.84</v>
      </c>
      <c r="F21" s="254">
        <f t="shared" si="0"/>
        <v>50000</v>
      </c>
      <c r="G21" s="254">
        <f t="shared" si="1"/>
        <v>132155.68</v>
      </c>
      <c r="H21" s="255">
        <f t="shared" si="2"/>
        <v>201.71569656635268</v>
      </c>
    </row>
    <row r="22" spans="1:8">
      <c r="A22" s="250">
        <f t="shared" si="3"/>
        <v>12</v>
      </c>
      <c r="B22" s="256" t="s">
        <v>443</v>
      </c>
      <c r="C22" s="252">
        <v>434.28</v>
      </c>
      <c r="D22" s="253">
        <v>43.618000000000002</v>
      </c>
      <c r="E22" s="252">
        <v>92503.49</v>
      </c>
      <c r="F22" s="254">
        <f t="shared" si="0"/>
        <v>50000</v>
      </c>
      <c r="G22" s="254">
        <f t="shared" si="1"/>
        <v>185006.98</v>
      </c>
      <c r="H22" s="255">
        <f t="shared" si="2"/>
        <v>316.91145531049693</v>
      </c>
    </row>
    <row r="23" spans="1:8">
      <c r="A23" s="250">
        <f t="shared" si="3"/>
        <v>13</v>
      </c>
      <c r="B23" s="256" t="s">
        <v>444</v>
      </c>
      <c r="C23" s="252">
        <v>399.3599999999999</v>
      </c>
      <c r="D23" s="253">
        <v>41.421999999999997</v>
      </c>
      <c r="E23" s="252">
        <v>88763.78</v>
      </c>
      <c r="F23" s="254">
        <f t="shared" si="0"/>
        <v>50000</v>
      </c>
      <c r="G23" s="254">
        <f t="shared" si="1"/>
        <v>177527.56</v>
      </c>
      <c r="H23" s="255">
        <f t="shared" si="2"/>
        <v>286.88168959005571</v>
      </c>
    </row>
    <row r="24" spans="1:8">
      <c r="A24" s="250">
        <f t="shared" si="3"/>
        <v>14</v>
      </c>
      <c r="B24" s="256" t="s">
        <v>445</v>
      </c>
      <c r="C24" s="252">
        <v>279.60000000000008</v>
      </c>
      <c r="D24" s="253">
        <v>27.78</v>
      </c>
      <c r="E24" s="252">
        <v>66322.539999999994</v>
      </c>
      <c r="F24" s="254">
        <f t="shared" si="0"/>
        <v>50000</v>
      </c>
      <c r="G24" s="254">
        <f t="shared" si="1"/>
        <v>132645.07999999999</v>
      </c>
      <c r="H24" s="255">
        <f t="shared" si="2"/>
        <v>174.20596653867602</v>
      </c>
    </row>
    <row r="25" spans="1:8">
      <c r="A25" s="250">
        <f t="shared" si="3"/>
        <v>15</v>
      </c>
      <c r="B25" s="251" t="s">
        <v>446</v>
      </c>
      <c r="C25" s="252">
        <v>244.55999999999997</v>
      </c>
      <c r="D25" s="253">
        <v>24.202000000000002</v>
      </c>
      <c r="E25" s="252">
        <v>49067.040000000001</v>
      </c>
      <c r="F25" s="254">
        <f t="shared" si="0"/>
        <v>49067.040000000001</v>
      </c>
      <c r="G25" s="254">
        <f t="shared" si="1"/>
        <v>98134.080000000002</v>
      </c>
      <c r="H25" s="255">
        <f t="shared" si="2"/>
        <v>122.27999999999999</v>
      </c>
    </row>
    <row r="26" spans="1:8">
      <c r="A26" s="250">
        <f t="shared" si="3"/>
        <v>16</v>
      </c>
      <c r="B26" s="256" t="s">
        <v>447</v>
      </c>
      <c r="C26" s="252">
        <v>294.47999999999996</v>
      </c>
      <c r="D26" s="253">
        <v>29.33</v>
      </c>
      <c r="E26" s="252">
        <v>59147.86</v>
      </c>
      <c r="F26" s="254">
        <f t="shared" si="0"/>
        <v>50000</v>
      </c>
      <c r="G26" s="254">
        <f t="shared" si="1"/>
        <v>118295.72</v>
      </c>
      <c r="H26" s="255">
        <f t="shared" si="2"/>
        <v>170.0122677777353</v>
      </c>
    </row>
    <row r="27" spans="1:8">
      <c r="A27" s="250">
        <f t="shared" si="3"/>
        <v>17</v>
      </c>
      <c r="B27" s="251" t="s">
        <v>448</v>
      </c>
      <c r="C27" s="252">
        <v>244.55999999999997</v>
      </c>
      <c r="D27" s="253">
        <v>24.4</v>
      </c>
      <c r="E27" s="252">
        <v>50907.35</v>
      </c>
      <c r="F27" s="254">
        <f t="shared" si="0"/>
        <v>50000</v>
      </c>
      <c r="G27" s="254">
        <f t="shared" si="1"/>
        <v>101814.7</v>
      </c>
      <c r="H27" s="255">
        <f t="shared" si="2"/>
        <v>124.45946441918503</v>
      </c>
    </row>
    <row r="28" spans="1:8">
      <c r="A28" s="250">
        <f t="shared" si="3"/>
        <v>18</v>
      </c>
      <c r="B28" s="251" t="s">
        <v>449</v>
      </c>
      <c r="C28" s="252">
        <v>374.39999999999992</v>
      </c>
      <c r="D28" s="253">
        <v>39</v>
      </c>
      <c r="E28" s="252">
        <v>96969</v>
      </c>
      <c r="F28" s="254">
        <f t="shared" si="0"/>
        <v>50000</v>
      </c>
      <c r="G28" s="254">
        <f t="shared" si="1"/>
        <v>193938</v>
      </c>
      <c r="H28" s="255">
        <f t="shared" si="2"/>
        <v>277.87430622157592</v>
      </c>
    </row>
    <row r="29" spans="1:8">
      <c r="A29" s="250">
        <f t="shared" si="3"/>
        <v>19</v>
      </c>
      <c r="B29" s="256" t="s">
        <v>450</v>
      </c>
      <c r="C29" s="252">
        <v>294.47999999999996</v>
      </c>
      <c r="D29" s="253">
        <v>29.33</v>
      </c>
      <c r="E29" s="252">
        <v>62941.63</v>
      </c>
      <c r="F29" s="254">
        <f t="shared" si="0"/>
        <v>50000</v>
      </c>
      <c r="G29" s="254">
        <f t="shared" si="1"/>
        <v>125883.26</v>
      </c>
      <c r="H29" s="255">
        <f t="shared" si="2"/>
        <v>177.51448766738321</v>
      </c>
    </row>
    <row r="30" spans="1:8">
      <c r="A30" s="250">
        <f t="shared" si="3"/>
        <v>20</v>
      </c>
      <c r="B30" s="251" t="s">
        <v>451</v>
      </c>
      <c r="C30" s="252">
        <v>399.3599999999999</v>
      </c>
      <c r="D30" s="253">
        <v>41.421999999999997</v>
      </c>
      <c r="E30" s="252">
        <v>90954.34</v>
      </c>
      <c r="F30" s="254">
        <f t="shared" si="0"/>
        <v>50000</v>
      </c>
      <c r="G30" s="254">
        <f t="shared" si="1"/>
        <v>181908.68</v>
      </c>
      <c r="H30" s="255">
        <f t="shared" si="2"/>
        <v>289.59063660293714</v>
      </c>
    </row>
    <row r="31" spans="1:8">
      <c r="A31" s="250">
        <f t="shared" si="3"/>
        <v>21</v>
      </c>
      <c r="B31" s="251" t="s">
        <v>452</v>
      </c>
      <c r="C31" s="252">
        <v>259.56</v>
      </c>
      <c r="D31" s="253">
        <v>25.779</v>
      </c>
      <c r="E31" s="252">
        <v>53346.31</v>
      </c>
      <c r="F31" s="254">
        <f t="shared" si="0"/>
        <v>50000</v>
      </c>
      <c r="G31" s="254">
        <f t="shared" si="1"/>
        <v>106692.62</v>
      </c>
      <c r="H31" s="255">
        <f t="shared" si="2"/>
        <v>137.92084632657819</v>
      </c>
    </row>
    <row r="32" spans="1:8">
      <c r="A32" s="250">
        <f t="shared" si="3"/>
        <v>22</v>
      </c>
      <c r="B32" s="251" t="s">
        <v>453</v>
      </c>
      <c r="C32" s="252">
        <v>399.3599999999999</v>
      </c>
      <c r="D32" s="253">
        <v>41.421999999999997</v>
      </c>
      <c r="E32" s="252">
        <v>104752.63</v>
      </c>
      <c r="F32" s="254">
        <f t="shared" si="0"/>
        <v>50000</v>
      </c>
      <c r="G32" s="254">
        <f t="shared" si="1"/>
        <v>209505.26</v>
      </c>
      <c r="H32" s="255">
        <f t="shared" si="2"/>
        <v>304.04974382791147</v>
      </c>
    </row>
    <row r="33" spans="1:8">
      <c r="A33" s="250">
        <f t="shared" si="3"/>
        <v>23</v>
      </c>
      <c r="B33" s="251" t="s">
        <v>454</v>
      </c>
      <c r="C33" s="252">
        <v>434.28</v>
      </c>
      <c r="D33" s="253">
        <v>43.618000000000002</v>
      </c>
      <c r="E33" s="252">
        <v>97180.74</v>
      </c>
      <c r="F33" s="254">
        <f t="shared" si="0"/>
        <v>50000</v>
      </c>
      <c r="G33" s="254">
        <f t="shared" si="1"/>
        <v>194361.48</v>
      </c>
      <c r="H33" s="255">
        <f t="shared" si="2"/>
        <v>322.56033209049446</v>
      </c>
    </row>
    <row r="34" spans="1:8">
      <c r="A34" s="250">
        <f t="shared" si="3"/>
        <v>24</v>
      </c>
      <c r="B34" s="251" t="s">
        <v>455</v>
      </c>
      <c r="C34" s="252">
        <v>249.60000000000005</v>
      </c>
      <c r="D34" s="253">
        <v>25.04</v>
      </c>
      <c r="E34" s="252">
        <v>50858.879999999997</v>
      </c>
      <c r="F34" s="254">
        <f t="shared" si="0"/>
        <v>50000</v>
      </c>
      <c r="G34" s="254">
        <f t="shared" si="1"/>
        <v>101717.75999999999</v>
      </c>
      <c r="H34" s="255">
        <f t="shared" si="2"/>
        <v>126.9075616293556</v>
      </c>
    </row>
    <row r="35" spans="1:8">
      <c r="A35" s="250">
        <f t="shared" si="3"/>
        <v>25</v>
      </c>
      <c r="B35" s="256" t="s">
        <v>456</v>
      </c>
      <c r="C35" s="252">
        <v>374.39999999999992</v>
      </c>
      <c r="D35" s="253">
        <v>39</v>
      </c>
      <c r="E35" s="252">
        <v>84434.68</v>
      </c>
      <c r="F35" s="254">
        <f t="shared" si="0"/>
        <v>50000</v>
      </c>
      <c r="G35" s="254">
        <f t="shared" si="1"/>
        <v>168869.36</v>
      </c>
      <c r="H35" s="255">
        <f t="shared" si="2"/>
        <v>263.54507640699291</v>
      </c>
    </row>
    <row r="36" spans="1:8">
      <c r="A36" s="250">
        <f t="shared" si="3"/>
        <v>26</v>
      </c>
      <c r="B36" s="251" t="s">
        <v>457</v>
      </c>
      <c r="C36" s="252">
        <v>224.64</v>
      </c>
      <c r="D36" s="253">
        <v>22.57</v>
      </c>
      <c r="E36" s="252">
        <v>44920.73</v>
      </c>
      <c r="F36" s="254">
        <f t="shared" si="0"/>
        <v>44920.73</v>
      </c>
      <c r="G36" s="254">
        <f t="shared" si="1"/>
        <v>89841.46</v>
      </c>
      <c r="H36" s="255">
        <f t="shared" si="2"/>
        <v>112.32</v>
      </c>
    </row>
    <row r="37" spans="1:8">
      <c r="A37" s="250">
        <f t="shared" si="3"/>
        <v>27</v>
      </c>
      <c r="B37" s="256" t="s">
        <v>458</v>
      </c>
      <c r="C37" s="252">
        <v>249.60000000000005</v>
      </c>
      <c r="D37" s="253">
        <v>25.47</v>
      </c>
      <c r="E37" s="252">
        <v>52272.78</v>
      </c>
      <c r="F37" s="254">
        <f t="shared" si="0"/>
        <v>50000</v>
      </c>
      <c r="G37" s="254">
        <f t="shared" si="1"/>
        <v>104545.56</v>
      </c>
      <c r="H37" s="255">
        <f t="shared" si="2"/>
        <v>130.22620736834739</v>
      </c>
    </row>
    <row r="38" spans="1:8">
      <c r="A38" s="250">
        <f t="shared" si="3"/>
        <v>28</v>
      </c>
      <c r="B38" s="256" t="s">
        <v>459</v>
      </c>
      <c r="C38" s="252">
        <v>194.64</v>
      </c>
      <c r="D38" s="253">
        <v>19.28</v>
      </c>
      <c r="E38" s="252">
        <v>41595.160000000003</v>
      </c>
      <c r="F38" s="254">
        <f t="shared" si="0"/>
        <v>41595.160000000003</v>
      </c>
      <c r="G38" s="254">
        <f t="shared" si="1"/>
        <v>83190.320000000007</v>
      </c>
      <c r="H38" s="255">
        <f t="shared" si="2"/>
        <v>97.32</v>
      </c>
    </row>
    <row r="39" spans="1:8">
      <c r="A39" s="250">
        <f t="shared" si="3"/>
        <v>29</v>
      </c>
      <c r="B39" s="256" t="s">
        <v>460</v>
      </c>
      <c r="C39" s="252">
        <v>239.64</v>
      </c>
      <c r="D39" s="253">
        <v>24.21</v>
      </c>
      <c r="E39" s="252">
        <v>48756.35</v>
      </c>
      <c r="F39" s="254">
        <f t="shared" si="0"/>
        <v>48756.35</v>
      </c>
      <c r="G39" s="254">
        <f t="shared" si="1"/>
        <v>97512.7</v>
      </c>
      <c r="H39" s="255">
        <f t="shared" si="2"/>
        <v>119.82</v>
      </c>
    </row>
    <row r="40" spans="1:8">
      <c r="A40" s="250">
        <f t="shared" si="3"/>
        <v>30</v>
      </c>
      <c r="B40" s="251" t="s">
        <v>461</v>
      </c>
      <c r="C40" s="252">
        <v>199.67999999999995</v>
      </c>
      <c r="D40" s="253">
        <v>19.71</v>
      </c>
      <c r="E40" s="252">
        <v>40758.57</v>
      </c>
      <c r="F40" s="254">
        <f t="shared" si="0"/>
        <v>40758.57</v>
      </c>
      <c r="G40" s="254">
        <f t="shared" si="1"/>
        <v>81517.14</v>
      </c>
      <c r="H40" s="255">
        <f t="shared" si="2"/>
        <v>99.839999999999975</v>
      </c>
    </row>
    <row r="41" spans="1:8">
      <c r="A41" s="250">
        <f t="shared" si="3"/>
        <v>31</v>
      </c>
      <c r="B41" s="251" t="s">
        <v>462</v>
      </c>
      <c r="C41" s="252">
        <v>279.60000000000008</v>
      </c>
      <c r="D41" s="253">
        <v>28.8</v>
      </c>
      <c r="E41" s="252">
        <v>59837.04</v>
      </c>
      <c r="F41" s="254">
        <f t="shared" si="0"/>
        <v>50000</v>
      </c>
      <c r="G41" s="254">
        <f t="shared" si="1"/>
        <v>119674.08</v>
      </c>
      <c r="H41" s="255">
        <f t="shared" si="2"/>
        <v>162.7827242791422</v>
      </c>
    </row>
    <row r="42" spans="1:8">
      <c r="A42" s="250">
        <f t="shared" si="3"/>
        <v>32</v>
      </c>
      <c r="B42" s="251" t="s">
        <v>463</v>
      </c>
      <c r="C42" s="252">
        <v>399.3599999999999</v>
      </c>
      <c r="D42" s="253">
        <v>41.421999999999997</v>
      </c>
      <c r="E42" s="252">
        <v>104304.2</v>
      </c>
      <c r="F42" s="254">
        <f t="shared" si="0"/>
        <v>50000</v>
      </c>
      <c r="G42" s="254">
        <f t="shared" si="1"/>
        <v>208608.4</v>
      </c>
      <c r="H42" s="255">
        <f t="shared" si="2"/>
        <v>303.63998105541282</v>
      </c>
    </row>
    <row r="43" spans="1:8">
      <c r="A43" s="250">
        <f t="shared" si="3"/>
        <v>33</v>
      </c>
      <c r="B43" s="256" t="s">
        <v>464</v>
      </c>
      <c r="C43" s="252">
        <v>199.67999999999995</v>
      </c>
      <c r="D43" s="253">
        <v>19.86</v>
      </c>
      <c r="E43" s="252">
        <v>39813.050000000003</v>
      </c>
      <c r="F43" s="254">
        <f t="shared" si="0"/>
        <v>39813.050000000003</v>
      </c>
      <c r="G43" s="254">
        <f t="shared" si="1"/>
        <v>79626.100000000006</v>
      </c>
      <c r="H43" s="255">
        <f t="shared" si="2"/>
        <v>99.839999999999975</v>
      </c>
    </row>
    <row r="44" spans="1:8">
      <c r="A44" s="250">
        <f t="shared" si="3"/>
        <v>34</v>
      </c>
      <c r="B44" s="256" t="s">
        <v>465</v>
      </c>
      <c r="C44" s="252">
        <v>374.39999999999992</v>
      </c>
      <c r="D44" s="253">
        <v>39</v>
      </c>
      <c r="E44" s="252">
        <v>84683.47</v>
      </c>
      <c r="F44" s="254">
        <f t="shared" si="0"/>
        <v>50000</v>
      </c>
      <c r="G44" s="254">
        <f t="shared" si="1"/>
        <v>169366.94</v>
      </c>
      <c r="H44" s="255">
        <f t="shared" si="2"/>
        <v>263.87075503637243</v>
      </c>
    </row>
    <row r="45" spans="1:8">
      <c r="A45" s="250">
        <f t="shared" si="3"/>
        <v>35</v>
      </c>
      <c r="B45" s="256" t="s">
        <v>466</v>
      </c>
      <c r="C45" s="252">
        <v>289.56</v>
      </c>
      <c r="D45" s="253">
        <v>29.064</v>
      </c>
      <c r="E45" s="252">
        <v>63191</v>
      </c>
      <c r="F45" s="254">
        <f t="shared" si="0"/>
        <v>50000</v>
      </c>
      <c r="G45" s="254">
        <f t="shared" si="1"/>
        <v>126382</v>
      </c>
      <c r="H45" s="255">
        <f t="shared" si="2"/>
        <v>175.00254719817696</v>
      </c>
    </row>
    <row r="46" spans="1:8">
      <c r="A46" s="250">
        <f t="shared" si="3"/>
        <v>36</v>
      </c>
      <c r="B46" s="251" t="s">
        <v>467</v>
      </c>
      <c r="C46" s="252">
        <v>374.39999999999992</v>
      </c>
      <c r="D46" s="253">
        <v>39</v>
      </c>
      <c r="E46" s="252">
        <v>103773.07</v>
      </c>
      <c r="F46" s="254">
        <f t="shared" si="0"/>
        <v>50000</v>
      </c>
      <c r="G46" s="254">
        <f t="shared" si="1"/>
        <v>207546.14</v>
      </c>
      <c r="H46" s="255">
        <f t="shared" si="2"/>
        <v>284.20318882345867</v>
      </c>
    </row>
    <row r="47" spans="1:8">
      <c r="A47" s="250">
        <f t="shared" si="3"/>
        <v>37</v>
      </c>
      <c r="B47" s="251" t="s">
        <v>468</v>
      </c>
      <c r="C47" s="252">
        <v>374.39999999999992</v>
      </c>
      <c r="D47" s="253">
        <v>39</v>
      </c>
      <c r="E47" s="252">
        <v>94126.42</v>
      </c>
      <c r="F47" s="254">
        <f t="shared" si="0"/>
        <v>50000</v>
      </c>
      <c r="G47" s="254">
        <f t="shared" si="1"/>
        <v>188252.84</v>
      </c>
      <c r="H47" s="255">
        <f t="shared" si="2"/>
        <v>274.95926911912716</v>
      </c>
    </row>
    <row r="48" spans="1:8">
      <c r="A48" s="250">
        <f t="shared" si="3"/>
        <v>38</v>
      </c>
      <c r="B48" s="251" t="s">
        <v>469</v>
      </c>
      <c r="C48" s="252">
        <v>194.64</v>
      </c>
      <c r="D48" s="253">
        <v>19.61</v>
      </c>
      <c r="E48" s="252">
        <v>41166.53</v>
      </c>
      <c r="F48" s="254">
        <f t="shared" si="0"/>
        <v>41166.53</v>
      </c>
      <c r="G48" s="254">
        <f t="shared" si="1"/>
        <v>82333.06</v>
      </c>
      <c r="H48" s="255">
        <f t="shared" si="2"/>
        <v>97.32</v>
      </c>
    </row>
    <row r="49" spans="1:8">
      <c r="A49" s="250">
        <f t="shared" si="3"/>
        <v>39</v>
      </c>
      <c r="B49" s="256" t="s">
        <v>470</v>
      </c>
      <c r="C49" s="252">
        <v>374.39999999999992</v>
      </c>
      <c r="D49" s="253">
        <v>39</v>
      </c>
      <c r="E49" s="252">
        <v>91690.91</v>
      </c>
      <c r="F49" s="254">
        <f t="shared" si="0"/>
        <v>50000</v>
      </c>
      <c r="G49" s="254">
        <f t="shared" si="1"/>
        <v>183381.82</v>
      </c>
      <c r="H49" s="255">
        <f t="shared" si="2"/>
        <v>272.31790702044509</v>
      </c>
    </row>
    <row r="50" spans="1:8">
      <c r="A50" s="250">
        <f t="shared" si="3"/>
        <v>40</v>
      </c>
      <c r="B50" s="251" t="s">
        <v>471</v>
      </c>
      <c r="C50" s="252">
        <v>374.39999999999992</v>
      </c>
      <c r="D50" s="253">
        <v>39</v>
      </c>
      <c r="E50" s="252">
        <v>90813.43</v>
      </c>
      <c r="F50" s="254">
        <f t="shared" si="0"/>
        <v>50000</v>
      </c>
      <c r="G50" s="254">
        <f t="shared" si="1"/>
        <v>181626.86</v>
      </c>
      <c r="H50" s="255">
        <f t="shared" si="2"/>
        <v>271.33154415596891</v>
      </c>
    </row>
    <row r="51" spans="1:8">
      <c r="A51" s="250">
        <f t="shared" si="3"/>
        <v>41</v>
      </c>
      <c r="B51" s="251" t="s">
        <v>472</v>
      </c>
      <c r="C51" s="252">
        <v>374.39999999999992</v>
      </c>
      <c r="D51" s="253">
        <v>39</v>
      </c>
      <c r="E51" s="252">
        <v>92598.720000000001</v>
      </c>
      <c r="F51" s="254">
        <f t="shared" si="0"/>
        <v>50000</v>
      </c>
      <c r="G51" s="254">
        <f t="shared" si="1"/>
        <v>185197.44</v>
      </c>
      <c r="H51" s="255">
        <f t="shared" si="2"/>
        <v>273.31868915682634</v>
      </c>
    </row>
    <row r="52" spans="1:8">
      <c r="A52" s="250">
        <f t="shared" si="3"/>
        <v>42</v>
      </c>
      <c r="B52" s="251" t="s">
        <v>473</v>
      </c>
      <c r="C52" s="252">
        <v>374.39999999999992</v>
      </c>
      <c r="D52" s="253">
        <v>39</v>
      </c>
      <c r="E52" s="252">
        <v>85913.5</v>
      </c>
      <c r="F52" s="254">
        <f t="shared" si="0"/>
        <v>50000</v>
      </c>
      <c r="G52" s="254">
        <f t="shared" si="1"/>
        <v>171827</v>
      </c>
      <c r="H52" s="255">
        <f t="shared" si="2"/>
        <v>265.45321049660407</v>
      </c>
    </row>
    <row r="53" spans="1:8">
      <c r="A53" s="250">
        <f t="shared" si="3"/>
        <v>43</v>
      </c>
      <c r="B53" s="251" t="s">
        <v>474</v>
      </c>
      <c r="C53" s="252">
        <v>314.52</v>
      </c>
      <c r="D53" s="253">
        <v>36</v>
      </c>
      <c r="E53" s="252">
        <v>78206.559999999998</v>
      </c>
      <c r="F53" s="254">
        <f t="shared" si="0"/>
        <v>50000</v>
      </c>
      <c r="G53" s="254">
        <f t="shared" si="1"/>
        <v>156413.12</v>
      </c>
      <c r="H53" s="255">
        <f t="shared" si="2"/>
        <v>213.97856204390015</v>
      </c>
    </row>
    <row r="54" spans="1:8">
      <c r="A54" s="250">
        <f t="shared" si="3"/>
        <v>44</v>
      </c>
      <c r="B54" s="251" t="s">
        <v>475</v>
      </c>
      <c r="C54" s="252">
        <v>244.55999999999997</v>
      </c>
      <c r="D54" s="253">
        <v>24.38</v>
      </c>
      <c r="E54" s="252">
        <v>49147.43</v>
      </c>
      <c r="F54" s="254">
        <f t="shared" si="0"/>
        <v>49147.43</v>
      </c>
      <c r="G54" s="254">
        <f t="shared" si="1"/>
        <v>98294.86</v>
      </c>
      <c r="H54" s="255">
        <f t="shared" si="2"/>
        <v>122.27999999999999</v>
      </c>
    </row>
    <row r="55" spans="1:8">
      <c r="A55" s="250">
        <f t="shared" si="3"/>
        <v>45</v>
      </c>
      <c r="B55" s="256" t="s">
        <v>476</v>
      </c>
      <c r="C55" s="252">
        <v>269.52000000000004</v>
      </c>
      <c r="D55" s="253">
        <v>27.126999999999999</v>
      </c>
      <c r="E55" s="252">
        <v>56983.59</v>
      </c>
      <c r="F55" s="254">
        <f t="shared" si="0"/>
        <v>50000</v>
      </c>
      <c r="G55" s="254">
        <f t="shared" si="1"/>
        <v>113967.18</v>
      </c>
      <c r="H55" s="255">
        <f t="shared" si="2"/>
        <v>151.27543169533544</v>
      </c>
    </row>
    <row r="56" spans="1:8">
      <c r="A56" s="250">
        <f t="shared" si="3"/>
        <v>46</v>
      </c>
      <c r="B56" s="251" t="s">
        <v>477</v>
      </c>
      <c r="C56" s="252">
        <v>269.52000000000004</v>
      </c>
      <c r="D56" s="253">
        <v>36</v>
      </c>
      <c r="E56" s="252">
        <v>84986.42</v>
      </c>
      <c r="F56" s="254">
        <f t="shared" si="0"/>
        <v>50000</v>
      </c>
      <c r="G56" s="254">
        <f t="shared" si="1"/>
        <v>169972.84</v>
      </c>
      <c r="H56" s="255">
        <f t="shared" si="2"/>
        <v>190.23674509880524</v>
      </c>
    </row>
    <row r="57" spans="1:8">
      <c r="A57" s="250">
        <f t="shared" si="3"/>
        <v>47</v>
      </c>
      <c r="B57" s="256" t="s">
        <v>478</v>
      </c>
      <c r="C57" s="252">
        <v>269.52000000000004</v>
      </c>
      <c r="D57" s="253">
        <v>31.132000000000001</v>
      </c>
      <c r="E57" s="252">
        <v>67562.94</v>
      </c>
      <c r="F57" s="254">
        <f t="shared" si="0"/>
        <v>50000</v>
      </c>
      <c r="G57" s="254">
        <f t="shared" si="1"/>
        <v>135125.88</v>
      </c>
      <c r="H57" s="255">
        <f t="shared" si="2"/>
        <v>169.7907697444783</v>
      </c>
    </row>
    <row r="58" spans="1:8">
      <c r="A58" s="250">
        <f t="shared" si="3"/>
        <v>48</v>
      </c>
      <c r="B58" s="251" t="s">
        <v>479</v>
      </c>
      <c r="C58" s="252">
        <v>229.67999999999995</v>
      </c>
      <c r="D58" s="253">
        <v>23.1</v>
      </c>
      <c r="E58" s="252">
        <v>49094.59</v>
      </c>
      <c r="F58" s="254">
        <f t="shared" si="0"/>
        <v>49094.59</v>
      </c>
      <c r="G58" s="254">
        <f t="shared" si="1"/>
        <v>98189.18</v>
      </c>
      <c r="H58" s="255">
        <f t="shared" si="2"/>
        <v>114.83999999999997</v>
      </c>
    </row>
    <row r="59" spans="1:8">
      <c r="A59" s="250">
        <f t="shared" si="3"/>
        <v>49</v>
      </c>
      <c r="B59" s="256" t="s">
        <v>480</v>
      </c>
      <c r="C59" s="252">
        <v>189.72</v>
      </c>
      <c r="D59" s="253">
        <v>18.96</v>
      </c>
      <c r="E59" s="252">
        <v>37964.14</v>
      </c>
      <c r="F59" s="254">
        <f t="shared" si="0"/>
        <v>37964.14</v>
      </c>
      <c r="G59" s="254">
        <f t="shared" si="1"/>
        <v>75928.28</v>
      </c>
      <c r="H59" s="255">
        <f t="shared" si="2"/>
        <v>94.86</v>
      </c>
    </row>
    <row r="60" spans="1:8">
      <c r="A60" s="250">
        <f t="shared" si="3"/>
        <v>50</v>
      </c>
      <c r="B60" s="256" t="s">
        <v>481</v>
      </c>
      <c r="C60" s="252">
        <v>259.56</v>
      </c>
      <c r="D60" s="253">
        <v>31.132000000000001</v>
      </c>
      <c r="E60" s="252">
        <v>67033.460000000006</v>
      </c>
      <c r="F60" s="254">
        <f t="shared" si="0"/>
        <v>50000</v>
      </c>
      <c r="G60" s="254">
        <f t="shared" si="1"/>
        <v>134066.92000000001</v>
      </c>
      <c r="H60" s="255">
        <f t="shared" si="2"/>
        <v>162.75759714029383</v>
      </c>
    </row>
    <row r="61" spans="1:8">
      <c r="A61" s="250">
        <f t="shared" si="3"/>
        <v>51</v>
      </c>
      <c r="B61" s="256" t="s">
        <v>482</v>
      </c>
      <c r="C61" s="252">
        <v>269.52000000000004</v>
      </c>
      <c r="D61" s="253">
        <v>27.52</v>
      </c>
      <c r="E61" s="252">
        <v>68561.94</v>
      </c>
      <c r="F61" s="254">
        <f t="shared" si="0"/>
        <v>50000</v>
      </c>
      <c r="G61" s="254">
        <f t="shared" si="1"/>
        <v>137123.88</v>
      </c>
      <c r="H61" s="255">
        <f t="shared" si="2"/>
        <v>171.2439010448071</v>
      </c>
    </row>
    <row r="62" spans="1:8">
      <c r="A62" s="250">
        <f t="shared" si="3"/>
        <v>52</v>
      </c>
      <c r="B62" s="251" t="s">
        <v>483</v>
      </c>
      <c r="C62" s="252">
        <v>239.64</v>
      </c>
      <c r="D62" s="253">
        <v>28</v>
      </c>
      <c r="E62" s="252">
        <v>58071.1</v>
      </c>
      <c r="F62" s="254">
        <f t="shared" si="0"/>
        <v>50000</v>
      </c>
      <c r="G62" s="254">
        <f t="shared" si="1"/>
        <v>116142.2</v>
      </c>
      <c r="H62" s="255">
        <f t="shared" si="2"/>
        <v>136.47336461682315</v>
      </c>
    </row>
    <row r="63" spans="1:8">
      <c r="A63" s="250">
        <f t="shared" si="3"/>
        <v>53</v>
      </c>
      <c r="B63" s="251" t="s">
        <v>484</v>
      </c>
      <c r="C63" s="252">
        <v>220.85999999999996</v>
      </c>
      <c r="D63" s="253">
        <v>29.4</v>
      </c>
      <c r="E63" s="252">
        <v>46712.22</v>
      </c>
      <c r="F63" s="254">
        <f t="shared" si="0"/>
        <v>46712.22</v>
      </c>
      <c r="G63" s="254">
        <f t="shared" si="1"/>
        <v>93424.44</v>
      </c>
      <c r="H63" s="255">
        <f t="shared" si="2"/>
        <v>110.42999999999998</v>
      </c>
    </row>
    <row r="64" spans="1:8">
      <c r="A64" s="250">
        <f t="shared" si="3"/>
        <v>54</v>
      </c>
      <c r="B64" s="251" t="s">
        <v>485</v>
      </c>
      <c r="C64" s="252">
        <v>98.98</v>
      </c>
      <c r="D64" s="253">
        <v>16.899999999999999</v>
      </c>
      <c r="E64" s="252">
        <v>22643.95</v>
      </c>
      <c r="F64" s="254">
        <f t="shared" si="0"/>
        <v>22643.95</v>
      </c>
      <c r="G64" s="254">
        <f t="shared" si="1"/>
        <v>45287.9</v>
      </c>
      <c r="H64" s="255">
        <f t="shared" si="2"/>
        <v>49.49</v>
      </c>
    </row>
    <row r="65" spans="1:8">
      <c r="A65" s="250">
        <f t="shared" si="3"/>
        <v>55</v>
      </c>
      <c r="B65" s="251" t="s">
        <v>486</v>
      </c>
      <c r="C65" s="252">
        <v>42.42</v>
      </c>
      <c r="D65" s="253">
        <v>16.25</v>
      </c>
      <c r="E65" s="252">
        <v>10100.26</v>
      </c>
      <c r="F65" s="254">
        <f t="shared" si="0"/>
        <v>10100.26</v>
      </c>
      <c r="G65" s="254">
        <f t="shared" si="1"/>
        <v>20200.52</v>
      </c>
      <c r="H65" s="255">
        <f t="shared" si="2"/>
        <v>21.21</v>
      </c>
    </row>
    <row r="66" spans="1:8">
      <c r="A66" s="250">
        <f t="shared" si="3"/>
        <v>56</v>
      </c>
      <c r="B66" s="251" t="s">
        <v>487</v>
      </c>
      <c r="C66" s="252">
        <v>42.42</v>
      </c>
      <c r="D66" s="253">
        <v>16.25</v>
      </c>
      <c r="E66" s="252">
        <v>9381.77</v>
      </c>
      <c r="F66" s="254">
        <f t="shared" si="0"/>
        <v>9381.77</v>
      </c>
      <c r="G66" s="254">
        <f t="shared" si="1"/>
        <v>18763.54</v>
      </c>
      <c r="H66" s="255">
        <f t="shared" si="2"/>
        <v>21.21</v>
      </c>
    </row>
    <row r="67" spans="1:8">
      <c r="A67" s="250">
        <f t="shared" si="3"/>
        <v>57</v>
      </c>
      <c r="B67" s="251" t="s">
        <v>488</v>
      </c>
      <c r="C67" s="252">
        <v>49.08</v>
      </c>
      <c r="D67" s="253">
        <v>28</v>
      </c>
      <c r="E67" s="252">
        <v>16020.9</v>
      </c>
      <c r="F67" s="254">
        <f t="shared" si="0"/>
        <v>16020.9</v>
      </c>
      <c r="G67" s="254">
        <f t="shared" si="1"/>
        <v>32041.8</v>
      </c>
      <c r="H67" s="255">
        <f t="shared" si="2"/>
        <v>24.54</v>
      </c>
    </row>
    <row r="68" spans="1:8">
      <c r="A68" s="250">
        <f t="shared" si="3"/>
        <v>58</v>
      </c>
      <c r="B68" s="256" t="s">
        <v>489</v>
      </c>
      <c r="C68" s="252">
        <v>43.26</v>
      </c>
      <c r="D68" s="253">
        <v>25</v>
      </c>
      <c r="E68" s="252">
        <v>15876.85</v>
      </c>
      <c r="F68" s="254">
        <f t="shared" si="0"/>
        <v>15876.85</v>
      </c>
      <c r="G68" s="254">
        <f t="shared" si="1"/>
        <v>31753.7</v>
      </c>
      <c r="H68" s="255">
        <f t="shared" si="2"/>
        <v>21.63</v>
      </c>
    </row>
    <row r="69" spans="1:8">
      <c r="A69" s="250">
        <f t="shared" si="3"/>
        <v>59</v>
      </c>
      <c r="B69" s="251" t="s">
        <v>490</v>
      </c>
      <c r="C69" s="252">
        <v>45.76</v>
      </c>
      <c r="D69" s="253">
        <v>26</v>
      </c>
      <c r="E69" s="252">
        <v>15435.7</v>
      </c>
      <c r="F69" s="254">
        <f t="shared" si="0"/>
        <v>15435.7</v>
      </c>
      <c r="G69" s="254">
        <f t="shared" si="1"/>
        <v>30871.4</v>
      </c>
      <c r="H69" s="255">
        <f t="shared" si="2"/>
        <v>22.88</v>
      </c>
    </row>
    <row r="70" spans="1:8">
      <c r="A70" s="250">
        <f t="shared" si="3"/>
        <v>60</v>
      </c>
      <c r="B70" s="251" t="s">
        <v>493</v>
      </c>
      <c r="C70" s="252">
        <v>0</v>
      </c>
      <c r="D70" s="253">
        <v>14.33</v>
      </c>
      <c r="E70" s="252">
        <v>1296.26</v>
      </c>
      <c r="F70" s="254">
        <f t="shared" si="0"/>
        <v>1296.26</v>
      </c>
      <c r="G70" s="254">
        <f t="shared" si="1"/>
        <v>2592.52</v>
      </c>
      <c r="H70" s="255">
        <f t="shared" si="2"/>
        <v>0</v>
      </c>
    </row>
    <row r="71" spans="1:8">
      <c r="A71" s="250">
        <f t="shared" si="3"/>
        <v>61</v>
      </c>
      <c r="B71" s="251" t="s">
        <v>494</v>
      </c>
      <c r="C71" s="252">
        <v>0</v>
      </c>
      <c r="D71" s="253">
        <v>15.27</v>
      </c>
      <c r="E71" s="252">
        <v>14787.02</v>
      </c>
      <c r="F71" s="254">
        <f t="shared" si="0"/>
        <v>14787.02</v>
      </c>
      <c r="G71" s="254">
        <f t="shared" si="1"/>
        <v>29574.04</v>
      </c>
      <c r="H71" s="255">
        <f t="shared" si="2"/>
        <v>0</v>
      </c>
    </row>
    <row r="72" spans="1:8">
      <c r="A72" s="250">
        <f t="shared" si="3"/>
        <v>62</v>
      </c>
      <c r="B72" s="256" t="s">
        <v>495</v>
      </c>
      <c r="C72" s="252">
        <v>311.99999999999994</v>
      </c>
      <c r="D72" s="253">
        <v>35.862000000000002</v>
      </c>
      <c r="E72" s="252">
        <v>59748.95</v>
      </c>
      <c r="F72" s="254">
        <f t="shared" si="0"/>
        <v>50000</v>
      </c>
      <c r="G72" s="254">
        <f t="shared" si="1"/>
        <v>119497.9</v>
      </c>
      <c r="H72" s="255">
        <f t="shared" si="2"/>
        <v>181.45377282780697</v>
      </c>
    </row>
    <row r="73" spans="1:8">
      <c r="A73" s="250">
        <f t="shared" si="3"/>
        <v>63</v>
      </c>
      <c r="B73" s="256" t="s">
        <v>496</v>
      </c>
      <c r="C73" s="252">
        <v>91.5</v>
      </c>
      <c r="D73" s="253">
        <v>20.77</v>
      </c>
      <c r="E73" s="252">
        <v>44422.81</v>
      </c>
      <c r="F73" s="254">
        <f t="shared" si="0"/>
        <v>44422.81</v>
      </c>
      <c r="G73" s="254">
        <f t="shared" si="1"/>
        <v>88845.62</v>
      </c>
      <c r="H73" s="255">
        <f t="shared" si="2"/>
        <v>45.75</v>
      </c>
    </row>
    <row r="74" spans="1:8">
      <c r="A74" s="250">
        <f t="shared" si="3"/>
        <v>64</v>
      </c>
      <c r="B74" s="251" t="s">
        <v>497</v>
      </c>
      <c r="C74" s="252">
        <v>199.7</v>
      </c>
      <c r="D74" s="253">
        <v>22.97</v>
      </c>
      <c r="E74" s="252">
        <v>46498.2</v>
      </c>
      <c r="F74" s="254">
        <f t="shared" si="0"/>
        <v>46498.2</v>
      </c>
      <c r="G74" s="254">
        <f t="shared" si="1"/>
        <v>92996.4</v>
      </c>
      <c r="H74" s="255">
        <f t="shared" si="2"/>
        <v>99.85</v>
      </c>
    </row>
    <row r="75" spans="1:8">
      <c r="A75" s="250">
        <f t="shared" si="3"/>
        <v>65</v>
      </c>
      <c r="B75" s="256" t="s">
        <v>498</v>
      </c>
      <c r="C75" s="252">
        <v>162.19999999999999</v>
      </c>
      <c r="D75" s="253">
        <v>18.34</v>
      </c>
      <c r="E75" s="252">
        <v>55652.639999999999</v>
      </c>
      <c r="F75" s="254">
        <f t="shared" ref="F75:F81" si="4">IF(E75&gt;50000,50000,E75)</f>
        <v>50000</v>
      </c>
      <c r="G75" s="254">
        <f t="shared" ref="G75:G81" si="5">+E75*2</f>
        <v>111305.28</v>
      </c>
      <c r="H75" s="255">
        <f t="shared" ref="H75:H81" si="6">((G75-F75)/G75)*C75</f>
        <v>89.33732897486982</v>
      </c>
    </row>
    <row r="76" spans="1:8">
      <c r="A76" s="250">
        <f t="shared" si="3"/>
        <v>66</v>
      </c>
      <c r="B76" s="251" t="s">
        <v>499</v>
      </c>
      <c r="C76" s="252">
        <v>269.52000000000004</v>
      </c>
      <c r="D76" s="253">
        <v>26.8</v>
      </c>
      <c r="E76" s="252">
        <v>63319.839999999997</v>
      </c>
      <c r="F76" s="254">
        <f t="shared" si="4"/>
        <v>50000</v>
      </c>
      <c r="G76" s="254">
        <f t="shared" si="5"/>
        <v>126639.67999999999</v>
      </c>
      <c r="H76" s="255">
        <f t="shared" si="6"/>
        <v>163.10785492824999</v>
      </c>
    </row>
    <row r="77" spans="1:8">
      <c r="A77" s="250">
        <f t="shared" ref="A77:A97" si="7">A76+1</f>
        <v>67</v>
      </c>
      <c r="B77" s="251" t="s">
        <v>500</v>
      </c>
      <c r="C77" s="252">
        <v>43.26</v>
      </c>
      <c r="D77" s="253">
        <v>24.672000000000001</v>
      </c>
      <c r="E77" s="252">
        <v>16737.650000000001</v>
      </c>
      <c r="F77" s="254">
        <f t="shared" si="4"/>
        <v>16737.650000000001</v>
      </c>
      <c r="G77" s="254">
        <f t="shared" si="5"/>
        <v>33475.300000000003</v>
      </c>
      <c r="H77" s="255">
        <f t="shared" si="6"/>
        <v>21.63</v>
      </c>
    </row>
    <row r="78" spans="1:8">
      <c r="A78" s="250">
        <f t="shared" si="7"/>
        <v>68</v>
      </c>
      <c r="B78" s="251" t="s">
        <v>501</v>
      </c>
      <c r="C78" s="252">
        <v>209.68000000000004</v>
      </c>
      <c r="D78" s="253">
        <v>29.957000000000001</v>
      </c>
      <c r="E78" s="252">
        <v>50950.68</v>
      </c>
      <c r="F78" s="254">
        <f t="shared" si="4"/>
        <v>50000</v>
      </c>
      <c r="G78" s="254">
        <f t="shared" si="5"/>
        <v>101901.36</v>
      </c>
      <c r="H78" s="255">
        <f t="shared" si="6"/>
        <v>106.79619157977874</v>
      </c>
    </row>
    <row r="79" spans="1:8">
      <c r="A79" s="250">
        <f t="shared" si="7"/>
        <v>69</v>
      </c>
      <c r="B79" s="251" t="s">
        <v>502</v>
      </c>
      <c r="C79" s="252">
        <v>209.68000000000004</v>
      </c>
      <c r="D79" s="253">
        <v>29.957000000000001</v>
      </c>
      <c r="E79" s="252">
        <v>62898.57</v>
      </c>
      <c r="F79" s="254">
        <f t="shared" si="4"/>
        <v>50000</v>
      </c>
      <c r="G79" s="254">
        <f t="shared" si="5"/>
        <v>125797.14</v>
      </c>
      <c r="H79" s="255">
        <f t="shared" si="6"/>
        <v>126.33947254444737</v>
      </c>
    </row>
    <row r="80" spans="1:8">
      <c r="A80" s="250">
        <f t="shared" si="7"/>
        <v>70</v>
      </c>
      <c r="B80" s="256" t="s">
        <v>503</v>
      </c>
      <c r="C80" s="252">
        <v>94.86</v>
      </c>
      <c r="D80" s="253">
        <v>18.059999999999999</v>
      </c>
      <c r="E80" s="252">
        <v>17351.150000000001</v>
      </c>
      <c r="F80" s="254">
        <f t="shared" si="4"/>
        <v>17351.150000000001</v>
      </c>
      <c r="G80" s="254">
        <f t="shared" si="5"/>
        <v>34702.300000000003</v>
      </c>
      <c r="H80" s="255">
        <f t="shared" si="6"/>
        <v>47.43</v>
      </c>
    </row>
    <row r="81" spans="1:8">
      <c r="A81" s="46">
        <f t="shared" si="7"/>
        <v>71</v>
      </c>
      <c r="B81" s="40" t="s">
        <v>504</v>
      </c>
      <c r="C81" s="210">
        <v>28.28</v>
      </c>
      <c r="D81" s="211">
        <v>16.25</v>
      </c>
      <c r="E81" s="210">
        <v>6902.25</v>
      </c>
      <c r="F81" s="212">
        <f t="shared" si="4"/>
        <v>6902.25</v>
      </c>
      <c r="G81" s="212">
        <f t="shared" si="5"/>
        <v>13804.5</v>
      </c>
      <c r="H81" s="213">
        <f t="shared" si="6"/>
        <v>14.14</v>
      </c>
    </row>
    <row r="82" spans="1:8">
      <c r="A82" s="46">
        <f t="shared" si="7"/>
        <v>72</v>
      </c>
      <c r="C82" s="100">
        <f>SUM(C11:C81)</f>
        <v>20254.299999999996</v>
      </c>
      <c r="E82" s="100"/>
      <c r="F82" s="100"/>
      <c r="G82" s="100"/>
      <c r="H82" s="100">
        <f>SUM(H11:H81)</f>
        <v>13518.47998956324</v>
      </c>
    </row>
    <row r="83" spans="1:8">
      <c r="A83" s="46">
        <f t="shared" si="7"/>
        <v>73</v>
      </c>
      <c r="C83" s="100"/>
      <c r="D83" s="100"/>
      <c r="E83" s="100"/>
      <c r="F83" s="100"/>
      <c r="G83" s="100"/>
      <c r="H83" s="100"/>
    </row>
    <row r="84" spans="1:8">
      <c r="A84" s="46">
        <f t="shared" si="7"/>
        <v>74</v>
      </c>
      <c r="C84" s="202"/>
      <c r="G84" s="22" t="s">
        <v>530</v>
      </c>
      <c r="H84" s="19">
        <f>C82-H82</f>
        <v>6735.8200104367552</v>
      </c>
    </row>
    <row r="85" spans="1:8">
      <c r="A85" s="46">
        <f t="shared" si="7"/>
        <v>75</v>
      </c>
      <c r="C85" s="4" t="s">
        <v>547</v>
      </c>
      <c r="D85" s="283" t="s">
        <v>397</v>
      </c>
      <c r="E85" s="283" t="s">
        <v>8</v>
      </c>
      <c r="F85" s="208"/>
      <c r="G85" s="22"/>
      <c r="H85" s="199"/>
    </row>
    <row r="86" spans="1:8">
      <c r="A86" s="46">
        <f t="shared" si="7"/>
        <v>76</v>
      </c>
      <c r="C86" s="5" t="s">
        <v>399</v>
      </c>
      <c r="D86" s="174">
        <v>0.11980426624165266</v>
      </c>
      <c r="E86" s="19">
        <f>$H$90*D86</f>
        <v>-1619.5715758520885</v>
      </c>
      <c r="G86" s="22" t="s">
        <v>111</v>
      </c>
      <c r="H86" s="19">
        <f>C82</f>
        <v>20254.299999999996</v>
      </c>
    </row>
    <row r="87" spans="1:8">
      <c r="A87" s="46">
        <f t="shared" si="7"/>
        <v>77</v>
      </c>
      <c r="C87" s="5" t="s">
        <v>401</v>
      </c>
      <c r="D87" s="174">
        <v>0.2110888529831273</v>
      </c>
      <c r="E87" s="19">
        <f t="shared" ref="E87:E90" si="8">$H$90*D87</f>
        <v>-2853.6004350722633</v>
      </c>
      <c r="G87" s="22"/>
      <c r="H87" s="19"/>
    </row>
    <row r="88" spans="1:8">
      <c r="A88" s="46">
        <f t="shared" si="7"/>
        <v>78</v>
      </c>
      <c r="C88" s="5" t="s">
        <v>403</v>
      </c>
      <c r="D88" s="174">
        <v>0.10299313700545087</v>
      </c>
      <c r="E88" s="19">
        <f t="shared" si="8"/>
        <v>-1392.3106616705329</v>
      </c>
      <c r="G88" s="22" t="s">
        <v>90</v>
      </c>
      <c r="H88" s="19">
        <f>H84</f>
        <v>6735.8200104367552</v>
      </c>
    </row>
    <row r="89" spans="1:8">
      <c r="A89" s="46">
        <f t="shared" si="7"/>
        <v>79</v>
      </c>
      <c r="C89" s="5" t="s">
        <v>548</v>
      </c>
      <c r="D89" s="174">
        <v>1.342268443356078E-2</v>
      </c>
      <c r="E89" s="19">
        <f t="shared" si="8"/>
        <v>-181.4542909213134</v>
      </c>
      <c r="G89" s="22"/>
      <c r="H89" s="19"/>
    </row>
    <row r="90" spans="1:8" ht="13.8" thickBot="1">
      <c r="A90" s="46">
        <f t="shared" si="7"/>
        <v>80</v>
      </c>
      <c r="C90" s="5" t="s">
        <v>405</v>
      </c>
      <c r="D90" s="174">
        <v>0.12584216016638919</v>
      </c>
      <c r="E90" s="19">
        <f t="shared" si="8"/>
        <v>-1701.1947240527445</v>
      </c>
      <c r="G90" s="214" t="s">
        <v>8</v>
      </c>
      <c r="H90" s="215">
        <f>H88-H86</f>
        <v>-13518.47998956324</v>
      </c>
    </row>
    <row r="91" spans="1:8" ht="13.8" thickTop="1">
      <c r="A91" s="46">
        <f t="shared" si="7"/>
        <v>81</v>
      </c>
      <c r="C91" s="288" t="s">
        <v>549</v>
      </c>
      <c r="D91" s="284">
        <v>0.57315110083018073</v>
      </c>
      <c r="E91" s="285">
        <f>SUM(E86:E90)</f>
        <v>-7748.1316875689417</v>
      </c>
      <c r="F91" s="38" t="s">
        <v>629</v>
      </c>
    </row>
    <row r="92" spans="1:8">
      <c r="A92" s="46">
        <f t="shared" si="7"/>
        <v>82</v>
      </c>
      <c r="C92" s="5"/>
      <c r="D92" s="174"/>
      <c r="E92" s="2"/>
    </row>
    <row r="93" spans="1:8">
      <c r="A93" s="46">
        <f t="shared" si="7"/>
        <v>83</v>
      </c>
      <c r="C93" s="5" t="s">
        <v>550</v>
      </c>
      <c r="D93" s="174">
        <v>0.29812954230486577</v>
      </c>
      <c r="E93" s="19">
        <f t="shared" ref="E93:E94" si="9">$H$90*D93</f>
        <v>-4030.2582519459756</v>
      </c>
    </row>
    <row r="94" spans="1:8">
      <c r="A94" s="46">
        <f t="shared" si="7"/>
        <v>84</v>
      </c>
      <c r="C94" s="5" t="s">
        <v>551</v>
      </c>
      <c r="D94" s="174">
        <v>0.12871935686495345</v>
      </c>
      <c r="E94" s="19">
        <f t="shared" si="9"/>
        <v>-1740.0900500483228</v>
      </c>
    </row>
    <row r="95" spans="1:8">
      <c r="A95" s="46">
        <f t="shared" si="7"/>
        <v>85</v>
      </c>
      <c r="C95" s="60"/>
      <c r="D95" s="284">
        <v>0.42684889916981922</v>
      </c>
      <c r="E95" s="286">
        <f>SUM(E93:E94)</f>
        <v>-5770.3483019942987</v>
      </c>
    </row>
    <row r="96" spans="1:8">
      <c r="A96" s="46">
        <f t="shared" si="7"/>
        <v>86</v>
      </c>
      <c r="C96" s="5"/>
      <c r="D96" s="194"/>
      <c r="E96" s="2"/>
    </row>
    <row r="97" spans="1:5" ht="13.8" thickBot="1">
      <c r="A97" s="46">
        <f t="shared" si="7"/>
        <v>87</v>
      </c>
      <c r="C97" s="195"/>
      <c r="D97" s="197">
        <v>1</v>
      </c>
      <c r="E97" s="287">
        <f>E91+E95</f>
        <v>-13518.47998956324</v>
      </c>
    </row>
    <row r="98" spans="1:5" ht="13.8" thickTop="1"/>
    <row r="100" spans="1:5">
      <c r="B100" s="38" t="s">
        <v>531</v>
      </c>
    </row>
    <row r="102" spans="1:5">
      <c r="B102" s="201" t="s">
        <v>517</v>
      </c>
      <c r="C102" s="44" t="s">
        <v>506</v>
      </c>
    </row>
    <row r="103" spans="1:5">
      <c r="B103" s="81" t="s">
        <v>507</v>
      </c>
      <c r="C103" s="40" t="s">
        <v>508</v>
      </c>
    </row>
    <row r="104" spans="1:5">
      <c r="B104" s="40" t="s">
        <v>509</v>
      </c>
      <c r="C104" s="40" t="s">
        <v>510</v>
      </c>
    </row>
    <row r="105" spans="1:5">
      <c r="B105" s="40" t="s">
        <v>511</v>
      </c>
      <c r="C105" s="40" t="s">
        <v>512</v>
      </c>
    </row>
    <row r="106" spans="1:5">
      <c r="B106" s="40" t="s">
        <v>513</v>
      </c>
      <c r="C106" s="40" t="s">
        <v>69</v>
      </c>
    </row>
    <row r="107" spans="1:5">
      <c r="B107" s="40" t="s">
        <v>514</v>
      </c>
      <c r="C107" s="40" t="s">
        <v>515</v>
      </c>
    </row>
    <row r="108" spans="1:5">
      <c r="B108" s="40"/>
      <c r="C108" s="40"/>
    </row>
  </sheetData>
  <mergeCells count="3">
    <mergeCell ref="B3:H3"/>
    <mergeCell ref="B4:H4"/>
    <mergeCell ref="B6:H6"/>
  </mergeCells>
  <printOptions horizontalCentered="1"/>
  <pageMargins left="0.7" right="0.7" top="0.75" bottom="0.75" header="0.3" footer="0.3"/>
  <pageSetup scale="74" orientation="portrait" r:id="rId1"/>
  <headerFooter>
    <oddFooter>&amp;RExhibit  JW-2
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6"/>
  <sheetViews>
    <sheetView view="pageBreakPreview" zoomScale="60" zoomScaleNormal="100" workbookViewId="0">
      <selection activeCell="D68" sqref="D68"/>
    </sheetView>
  </sheetViews>
  <sheetFormatPr defaultColWidth="9.109375" defaultRowHeight="13.8"/>
  <cols>
    <col min="1" max="1" width="6.5546875" style="41" customWidth="1"/>
    <col min="2" max="2" width="37.109375" style="41" customWidth="1"/>
    <col min="3" max="3" width="9.33203125" style="41" customWidth="1"/>
    <col min="4" max="10" width="18.109375" style="41" customWidth="1"/>
    <col min="11" max="11" width="10.5546875" style="41" bestFit="1" customWidth="1"/>
    <col min="12" max="16384" width="9.109375" style="41"/>
  </cols>
  <sheetData>
    <row r="1" spans="1:14" s="38" customFormat="1" ht="13.2">
      <c r="D1" s="26" t="s">
        <v>167</v>
      </c>
      <c r="F1" s="26"/>
    </row>
    <row r="2" spans="1:14" s="38" customFormat="1" ht="13.2">
      <c r="D2" s="51"/>
      <c r="F2" s="26"/>
      <c r="G2" s="26"/>
    </row>
    <row r="3" spans="1:14" s="38" customFormat="1" ht="13.2">
      <c r="F3" s="26"/>
      <c r="G3" s="26"/>
    </row>
    <row r="4" spans="1:14" s="38" customFormat="1" ht="13.2">
      <c r="A4" s="331" t="str">
        <f>RevReq!A1</f>
        <v>FARMERS RECC</v>
      </c>
      <c r="B4" s="331"/>
      <c r="C4" s="331"/>
      <c r="D4" s="331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s="38" customFormat="1" ht="13.2">
      <c r="A5" s="331" t="str">
        <f>RevReq!A3</f>
        <v>For the 12 Months Ended December 31, 2022</v>
      </c>
      <c r="B5" s="331"/>
      <c r="C5" s="331"/>
      <c r="D5" s="331"/>
      <c r="E5" s="34"/>
      <c r="F5" s="34"/>
      <c r="G5" s="34"/>
      <c r="H5" s="34"/>
      <c r="I5" s="34"/>
      <c r="J5" s="34"/>
      <c r="K5" s="34"/>
    </row>
    <row r="6" spans="1:14" s="38" customFormat="1" ht="13.2"/>
    <row r="7" spans="1:14" s="35" customFormat="1" ht="13.2">
      <c r="A7" s="328" t="s">
        <v>160</v>
      </c>
      <c r="B7" s="328"/>
      <c r="C7" s="328"/>
      <c r="D7" s="328"/>
      <c r="E7" s="37"/>
      <c r="F7" s="37"/>
      <c r="G7" s="37"/>
      <c r="H7" s="37"/>
      <c r="I7" s="37"/>
      <c r="J7" s="37"/>
      <c r="K7" s="37"/>
    </row>
    <row r="8" spans="1:14" s="38" customFormat="1" ht="13.2"/>
    <row r="9" spans="1:14">
      <c r="A9" s="40" t="s">
        <v>5</v>
      </c>
      <c r="B9" s="40" t="s">
        <v>92</v>
      </c>
      <c r="C9" s="40"/>
      <c r="D9" s="40" t="s">
        <v>109</v>
      </c>
    </row>
    <row r="10" spans="1:14">
      <c r="A10" s="75" t="s">
        <v>10</v>
      </c>
      <c r="B10" s="54" t="s">
        <v>71</v>
      </c>
      <c r="C10" s="54"/>
      <c r="D10" s="54" t="s">
        <v>72</v>
      </c>
      <c r="E10" s="53"/>
      <c r="F10" s="53"/>
      <c r="G10" s="53"/>
      <c r="H10" s="53"/>
      <c r="I10" s="53"/>
      <c r="J10" s="53"/>
      <c r="K10" s="53"/>
    </row>
    <row r="11" spans="1:14">
      <c r="A11" s="40"/>
      <c r="B11" s="38"/>
      <c r="C11" s="38"/>
      <c r="D11" s="38"/>
      <c r="E11" s="102"/>
      <c r="F11" s="102"/>
      <c r="G11" s="53"/>
      <c r="H11" s="102"/>
      <c r="I11" s="102"/>
      <c r="J11" s="102"/>
      <c r="K11" s="102"/>
    </row>
    <row r="12" spans="1:14">
      <c r="A12" s="40">
        <v>1</v>
      </c>
      <c r="B12" s="46" t="s">
        <v>168</v>
      </c>
      <c r="C12" s="38"/>
      <c r="D12" s="76">
        <v>50000</v>
      </c>
      <c r="E12" s="103"/>
      <c r="F12" s="103"/>
      <c r="G12" s="53"/>
      <c r="H12" s="103"/>
      <c r="I12" s="103"/>
      <c r="J12" s="103"/>
      <c r="K12" s="103"/>
      <c r="L12" s="103"/>
    </row>
    <row r="13" spans="1:14">
      <c r="A13" s="40">
        <f>A12+1</f>
        <v>2</v>
      </c>
      <c r="B13" s="46" t="s">
        <v>161</v>
      </c>
      <c r="C13" s="38"/>
      <c r="D13" s="76">
        <v>20000</v>
      </c>
      <c r="E13" s="103"/>
      <c r="F13" s="103"/>
      <c r="G13" s="103"/>
      <c r="H13" s="103"/>
      <c r="I13" s="103"/>
      <c r="J13" s="103"/>
      <c r="K13" s="103"/>
    </row>
    <row r="14" spans="1:14">
      <c r="A14" s="40">
        <f t="shared" ref="A14:A25" si="0">A13+1</f>
        <v>3</v>
      </c>
      <c r="B14" s="46" t="s">
        <v>162</v>
      </c>
      <c r="C14" s="38"/>
      <c r="D14" s="76">
        <v>0</v>
      </c>
      <c r="E14" s="103"/>
      <c r="F14" s="103"/>
      <c r="G14" s="103"/>
      <c r="H14" s="103"/>
      <c r="I14" s="103"/>
      <c r="J14" s="103"/>
      <c r="K14" s="103"/>
    </row>
    <row r="15" spans="1:14">
      <c r="A15" s="40">
        <f t="shared" si="0"/>
        <v>4</v>
      </c>
      <c r="B15" s="50" t="s">
        <v>131</v>
      </c>
      <c r="C15" s="60"/>
      <c r="D15" s="104">
        <f>SUM(D12:D14)</f>
        <v>70000</v>
      </c>
      <c r="E15" s="103"/>
      <c r="F15" s="103"/>
      <c r="G15" s="103"/>
      <c r="H15" s="103"/>
      <c r="I15" s="103"/>
      <c r="J15" s="103"/>
      <c r="K15" s="103"/>
    </row>
    <row r="16" spans="1:14">
      <c r="A16" s="40">
        <f t="shared" si="0"/>
        <v>5</v>
      </c>
      <c r="B16" s="38"/>
      <c r="C16" s="2"/>
      <c r="D16" s="38"/>
      <c r="E16" s="103"/>
      <c r="F16" s="103"/>
      <c r="G16" s="103"/>
      <c r="H16" s="103"/>
      <c r="I16" s="103"/>
      <c r="J16" s="103"/>
      <c r="K16" s="103"/>
    </row>
    <row r="17" spans="1:12">
      <c r="A17" s="40">
        <f t="shared" si="0"/>
        <v>6</v>
      </c>
      <c r="B17" s="2" t="s">
        <v>163</v>
      </c>
      <c r="C17" s="2"/>
      <c r="D17" s="105">
        <f>D15</f>
        <v>70000</v>
      </c>
      <c r="E17" s="103"/>
      <c r="F17" s="103"/>
      <c r="G17" s="103"/>
      <c r="H17" s="103"/>
      <c r="I17" s="103"/>
      <c r="J17" s="103"/>
      <c r="K17" s="103"/>
    </row>
    <row r="18" spans="1:12">
      <c r="A18" s="40">
        <f t="shared" si="0"/>
        <v>7</v>
      </c>
      <c r="B18" s="2" t="s">
        <v>164</v>
      </c>
      <c r="C18" s="2"/>
      <c r="D18" s="105">
        <v>3</v>
      </c>
      <c r="E18" s="103"/>
      <c r="F18" s="103"/>
      <c r="G18" s="103"/>
      <c r="H18" s="103"/>
      <c r="I18" s="103"/>
      <c r="J18" s="103"/>
      <c r="K18" s="103"/>
    </row>
    <row r="19" spans="1:12">
      <c r="A19" s="40">
        <f t="shared" si="0"/>
        <v>8</v>
      </c>
      <c r="B19" s="2" t="s">
        <v>165</v>
      </c>
      <c r="C19" s="2"/>
      <c r="D19" s="105">
        <f>D17/D18</f>
        <v>23333.333333333332</v>
      </c>
      <c r="E19" s="103"/>
      <c r="F19" s="103"/>
      <c r="G19" s="103"/>
      <c r="H19" s="103"/>
      <c r="I19" s="103"/>
      <c r="J19" s="103"/>
      <c r="K19" s="103"/>
    </row>
    <row r="20" spans="1:12">
      <c r="A20" s="40">
        <f t="shared" si="0"/>
        <v>9</v>
      </c>
      <c r="B20" s="2"/>
      <c r="C20" s="2"/>
      <c r="D20" s="105"/>
      <c r="E20" s="103"/>
      <c r="F20" s="103"/>
      <c r="G20" s="103"/>
      <c r="H20" s="103"/>
      <c r="I20" s="103"/>
      <c r="J20" s="103"/>
      <c r="K20" s="103"/>
    </row>
    <row r="21" spans="1:12">
      <c r="A21" s="40">
        <f t="shared" si="0"/>
        <v>10</v>
      </c>
      <c r="B21" s="2" t="s">
        <v>111</v>
      </c>
      <c r="C21" s="2"/>
      <c r="D21" s="105">
        <v>0</v>
      </c>
      <c r="E21" s="111"/>
      <c r="F21" s="111"/>
      <c r="G21" s="111"/>
      <c r="H21" s="111"/>
      <c r="I21" s="111"/>
      <c r="J21" s="111"/>
      <c r="K21" s="111"/>
    </row>
    <row r="22" spans="1:12">
      <c r="A22" s="40">
        <f t="shared" si="0"/>
        <v>11</v>
      </c>
      <c r="B22" s="2"/>
      <c r="C22" s="2"/>
      <c r="D22" s="38"/>
      <c r="E22" s="103"/>
      <c r="F22" s="103"/>
      <c r="G22" s="103"/>
      <c r="H22" s="103"/>
      <c r="I22" s="103"/>
      <c r="J22" s="103"/>
      <c r="K22" s="103"/>
    </row>
    <row r="23" spans="1:12">
      <c r="A23" s="40">
        <f t="shared" si="0"/>
        <v>12</v>
      </c>
      <c r="B23" s="2" t="s">
        <v>112</v>
      </c>
      <c r="C23" s="38"/>
      <c r="D23" s="106">
        <f>D19</f>
        <v>23333.333333333332</v>
      </c>
      <c r="E23" s="103"/>
      <c r="F23" s="103"/>
      <c r="G23" s="103"/>
      <c r="H23" s="103"/>
      <c r="I23" s="103"/>
      <c r="J23" s="103"/>
      <c r="K23" s="103"/>
    </row>
    <row r="24" spans="1:12">
      <c r="A24" s="40">
        <f t="shared" si="0"/>
        <v>13</v>
      </c>
      <c r="B24" s="2"/>
      <c r="C24" s="38"/>
      <c r="D24" s="38"/>
      <c r="E24" s="107"/>
      <c r="F24" s="107"/>
      <c r="G24" s="107"/>
      <c r="H24" s="107"/>
      <c r="I24" s="103"/>
      <c r="J24" s="103"/>
      <c r="K24" s="103"/>
      <c r="L24" s="103"/>
    </row>
    <row r="25" spans="1:12" ht="14.4" thickBot="1">
      <c r="A25" s="40">
        <f t="shared" si="0"/>
        <v>14</v>
      </c>
      <c r="B25" s="16" t="s">
        <v>8</v>
      </c>
      <c r="C25" s="48"/>
      <c r="D25" s="108">
        <f>ROUND(D23-D21,2)</f>
        <v>23333.33</v>
      </c>
      <c r="E25" s="107"/>
      <c r="F25" s="107"/>
      <c r="G25" s="107"/>
      <c r="H25" s="107"/>
      <c r="I25" s="103"/>
      <c r="J25" s="103"/>
      <c r="K25" s="103"/>
    </row>
    <row r="26" spans="1:12" ht="14.4" thickTop="1">
      <c r="A26" s="40"/>
      <c r="B26" s="38"/>
      <c r="C26" s="38"/>
      <c r="D26" s="38"/>
      <c r="E26" s="107"/>
      <c r="F26" s="107"/>
      <c r="G26" s="107"/>
      <c r="H26" s="107"/>
      <c r="I26" s="103"/>
      <c r="J26" s="103"/>
      <c r="K26" s="103"/>
    </row>
    <row r="27" spans="1:12">
      <c r="A27" s="40"/>
      <c r="B27" s="38"/>
      <c r="C27" s="38"/>
      <c r="D27" s="38"/>
      <c r="E27" s="109"/>
      <c r="F27" s="109"/>
      <c r="G27" s="109"/>
      <c r="H27" s="109"/>
      <c r="I27" s="109"/>
      <c r="J27" s="109"/>
      <c r="K27" s="109"/>
    </row>
    <row r="28" spans="1:12" ht="31.8" customHeight="1">
      <c r="A28" s="40"/>
      <c r="B28" s="330" t="s">
        <v>166</v>
      </c>
      <c r="C28" s="330"/>
      <c r="D28" s="330"/>
      <c r="E28" s="110"/>
      <c r="F28" s="110"/>
      <c r="G28" s="110"/>
    </row>
    <row r="29" spans="1:12">
      <c r="A29" s="38"/>
      <c r="B29" s="42"/>
      <c r="C29" s="42"/>
      <c r="D29" s="42"/>
      <c r="E29" s="42"/>
      <c r="F29" s="42"/>
    </row>
    <row r="30" spans="1:12">
      <c r="A30" s="38"/>
      <c r="B30" s="42"/>
      <c r="C30" s="42"/>
      <c r="D30" s="42"/>
      <c r="E30" s="42"/>
      <c r="F30" s="42"/>
    </row>
    <row r="31" spans="1:12">
      <c r="A31" s="38"/>
      <c r="B31" s="42"/>
      <c r="C31" s="42"/>
      <c r="D31" s="42"/>
      <c r="E31" s="42"/>
      <c r="F31" s="42"/>
    </row>
    <row r="32" spans="1:12">
      <c r="B32" s="42"/>
      <c r="C32" s="42"/>
      <c r="D32" s="42"/>
      <c r="E32" s="42"/>
      <c r="F32" s="49"/>
    </row>
    <row r="33" spans="5:6">
      <c r="E33" s="42"/>
      <c r="F33" s="42"/>
    </row>
    <row r="34" spans="5:6">
      <c r="E34" s="42"/>
      <c r="F34" s="42"/>
    </row>
    <row r="35" spans="5:6">
      <c r="E35" s="42"/>
      <c r="F35" s="42"/>
    </row>
    <row r="36" spans="5:6">
      <c r="E36" s="42"/>
      <c r="F36" s="42"/>
    </row>
  </sheetData>
  <mergeCells count="4">
    <mergeCell ref="A4:D4"/>
    <mergeCell ref="A5:D5"/>
    <mergeCell ref="A7:D7"/>
    <mergeCell ref="B28:D28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0:D1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9"/>
  <sheetViews>
    <sheetView view="pageBreakPreview" zoomScale="60" zoomScaleNormal="100" workbookViewId="0">
      <selection activeCell="D68" sqref="D68"/>
    </sheetView>
  </sheetViews>
  <sheetFormatPr defaultColWidth="8.88671875" defaultRowHeight="13.2"/>
  <cols>
    <col min="1" max="1" width="5.44140625" style="38" customWidth="1"/>
    <col min="2" max="2" width="52.44140625" style="38" bestFit="1" customWidth="1"/>
    <col min="3" max="3" width="12.33203125" style="38" customWidth="1"/>
    <col min="4" max="4" width="13.33203125" style="38" customWidth="1"/>
    <col min="5" max="5" width="15.33203125" style="38" customWidth="1"/>
    <col min="6" max="6" width="12.33203125" style="38" bestFit="1" customWidth="1"/>
    <col min="7" max="8" width="8.88671875" style="38"/>
    <col min="9" max="9" width="9.44140625" style="38" bestFit="1" customWidth="1"/>
    <col min="10" max="16384" width="8.88671875" style="38"/>
  </cols>
  <sheetData>
    <row r="1" spans="1:6">
      <c r="F1" s="26" t="s">
        <v>255</v>
      </c>
    </row>
    <row r="2" spans="1:6">
      <c r="C2" s="26"/>
    </row>
    <row r="3" spans="1:6">
      <c r="C3" s="26"/>
    </row>
    <row r="4" spans="1:6">
      <c r="A4" s="331" t="str">
        <f>RevReq!A1</f>
        <v>FARMERS RECC</v>
      </c>
      <c r="B4" s="331"/>
      <c r="C4" s="331"/>
      <c r="D4" s="331"/>
      <c r="E4" s="331"/>
      <c r="F4" s="331"/>
    </row>
    <row r="5" spans="1:6">
      <c r="A5" s="331" t="str">
        <f>RevReq!A3</f>
        <v>For the 12 Months Ended December 31, 2022</v>
      </c>
      <c r="B5" s="331"/>
      <c r="C5" s="331"/>
      <c r="D5" s="331"/>
      <c r="E5" s="331"/>
      <c r="F5" s="331"/>
    </row>
    <row r="6" spans="1:6">
      <c r="A6" s="34"/>
      <c r="B6" s="34"/>
      <c r="C6" s="34"/>
      <c r="D6" s="34"/>
    </row>
    <row r="7" spans="1:6">
      <c r="A7" s="328" t="s">
        <v>413</v>
      </c>
      <c r="B7" s="328"/>
      <c r="C7" s="328"/>
      <c r="D7" s="328"/>
      <c r="E7" s="328"/>
      <c r="F7" s="328"/>
    </row>
    <row r="9" spans="1:6">
      <c r="A9" s="46"/>
      <c r="B9" s="40"/>
    </row>
    <row r="10" spans="1:6" ht="40.950000000000003" customHeight="1">
      <c r="A10" s="203" t="s">
        <v>10</v>
      </c>
      <c r="B10" s="204" t="s">
        <v>92</v>
      </c>
      <c r="C10" s="203" t="s">
        <v>425</v>
      </c>
      <c r="D10" s="203" t="s">
        <v>426</v>
      </c>
      <c r="E10" s="203" t="s">
        <v>8</v>
      </c>
      <c r="F10" s="203" t="s">
        <v>558</v>
      </c>
    </row>
    <row r="11" spans="1:6">
      <c r="A11" s="5">
        <v>1</v>
      </c>
      <c r="B11" s="205" t="s">
        <v>414</v>
      </c>
      <c r="C11" s="148">
        <v>18500</v>
      </c>
      <c r="D11" s="73">
        <v>0</v>
      </c>
      <c r="E11" s="73">
        <f>-D11</f>
        <v>0</v>
      </c>
      <c r="F11" s="38" t="s">
        <v>559</v>
      </c>
    </row>
    <row r="12" spans="1:6">
      <c r="A12" s="5">
        <f>A11+1</f>
        <v>2</v>
      </c>
      <c r="B12" s="205" t="s">
        <v>415</v>
      </c>
      <c r="C12" s="148">
        <v>500</v>
      </c>
      <c r="D12" s="73">
        <v>0</v>
      </c>
      <c r="E12" s="73">
        <f t="shared" ref="E12:E22" si="0">-D12</f>
        <v>0</v>
      </c>
      <c r="F12" s="38" t="s">
        <v>559</v>
      </c>
    </row>
    <row r="13" spans="1:6">
      <c r="A13" s="5">
        <f t="shared" ref="A13:A23" si="1">A12+1</f>
        <v>3</v>
      </c>
      <c r="B13" s="205" t="s">
        <v>416</v>
      </c>
      <c r="C13" s="148">
        <v>2750</v>
      </c>
      <c r="D13" s="73">
        <f>C13*4/5</f>
        <v>2200</v>
      </c>
      <c r="E13" s="73">
        <f t="shared" si="0"/>
        <v>-2200</v>
      </c>
      <c r="F13" s="38" t="s">
        <v>560</v>
      </c>
    </row>
    <row r="14" spans="1:6">
      <c r="A14" s="5">
        <f t="shared" si="1"/>
        <v>4</v>
      </c>
      <c r="B14" s="205" t="s">
        <v>417</v>
      </c>
      <c r="C14" s="148">
        <f>8120.28+100</f>
        <v>8220.2799999999988</v>
      </c>
      <c r="D14" s="73">
        <v>0</v>
      </c>
      <c r="E14" s="73">
        <f t="shared" si="0"/>
        <v>0</v>
      </c>
      <c r="F14" s="38" t="s">
        <v>559</v>
      </c>
    </row>
    <row r="15" spans="1:6">
      <c r="A15" s="5">
        <f t="shared" si="1"/>
        <v>5</v>
      </c>
      <c r="B15" s="205" t="s">
        <v>418</v>
      </c>
      <c r="C15" s="148">
        <v>757.5</v>
      </c>
      <c r="D15" s="73">
        <f>C15</f>
        <v>757.5</v>
      </c>
      <c r="E15" s="73">
        <f t="shared" si="0"/>
        <v>-757.5</v>
      </c>
      <c r="F15" s="38" t="s">
        <v>561</v>
      </c>
    </row>
    <row r="16" spans="1:6">
      <c r="A16" s="5">
        <f t="shared" si="1"/>
        <v>6</v>
      </c>
      <c r="B16" s="205" t="s">
        <v>419</v>
      </c>
      <c r="C16" s="148">
        <f>69303.72+170.53</f>
        <v>69474.25</v>
      </c>
      <c r="D16" s="73">
        <f>C16</f>
        <v>69474.25</v>
      </c>
      <c r="E16" s="73">
        <f t="shared" si="0"/>
        <v>-69474.25</v>
      </c>
      <c r="F16" s="38" t="s">
        <v>561</v>
      </c>
    </row>
    <row r="17" spans="1:9">
      <c r="A17" s="5">
        <f t="shared" si="1"/>
        <v>7</v>
      </c>
      <c r="B17" s="205" t="s">
        <v>420</v>
      </c>
      <c r="C17" s="148">
        <v>4600</v>
      </c>
      <c r="D17" s="221">
        <f>C17*2/3</f>
        <v>3066.6666666666665</v>
      </c>
      <c r="E17" s="73">
        <f t="shared" si="0"/>
        <v>-3066.6666666666665</v>
      </c>
      <c r="F17" s="38" t="s">
        <v>645</v>
      </c>
      <c r="I17" s="202"/>
    </row>
    <row r="18" spans="1:9">
      <c r="A18" s="5">
        <f t="shared" si="1"/>
        <v>8</v>
      </c>
      <c r="B18" s="205" t="s">
        <v>646</v>
      </c>
      <c r="C18" s="148">
        <v>2615</v>
      </c>
      <c r="D18" s="73">
        <v>0</v>
      </c>
      <c r="E18" s="73">
        <f t="shared" si="0"/>
        <v>0</v>
      </c>
      <c r="F18" s="38" t="s">
        <v>559</v>
      </c>
    </row>
    <row r="19" spans="1:9">
      <c r="A19" s="5">
        <f t="shared" si="1"/>
        <v>9</v>
      </c>
      <c r="B19" s="205" t="s">
        <v>421</v>
      </c>
      <c r="C19" s="148">
        <v>1856.5</v>
      </c>
      <c r="D19" s="73">
        <v>0</v>
      </c>
      <c r="E19" s="73">
        <f t="shared" si="0"/>
        <v>0</v>
      </c>
      <c r="F19" s="38" t="s">
        <v>559</v>
      </c>
    </row>
    <row r="20" spans="1:9">
      <c r="A20" s="5">
        <f t="shared" si="1"/>
        <v>10</v>
      </c>
      <c r="B20" s="205" t="s">
        <v>422</v>
      </c>
      <c r="C20" s="148">
        <v>1920.51</v>
      </c>
      <c r="D20" s="73">
        <f>C20</f>
        <v>1920.51</v>
      </c>
      <c r="E20" s="73">
        <f t="shared" si="0"/>
        <v>-1920.51</v>
      </c>
      <c r="F20" s="38" t="s">
        <v>561</v>
      </c>
    </row>
    <row r="21" spans="1:9">
      <c r="A21" s="5">
        <f t="shared" si="1"/>
        <v>11</v>
      </c>
      <c r="B21" s="205" t="s">
        <v>647</v>
      </c>
      <c r="C21" s="148">
        <v>3000</v>
      </c>
      <c r="D21" s="73">
        <v>0</v>
      </c>
      <c r="E21" s="73">
        <f t="shared" si="0"/>
        <v>0</v>
      </c>
      <c r="F21" s="38" t="s">
        <v>559</v>
      </c>
    </row>
    <row r="22" spans="1:9">
      <c r="A22" s="5">
        <f t="shared" si="1"/>
        <v>12</v>
      </c>
      <c r="B22" s="205" t="s">
        <v>423</v>
      </c>
      <c r="C22" s="148">
        <v>1097</v>
      </c>
      <c r="D22" s="73">
        <f>C22</f>
        <v>1097</v>
      </c>
      <c r="E22" s="73">
        <f t="shared" si="0"/>
        <v>-1097</v>
      </c>
      <c r="F22" s="38" t="s">
        <v>561</v>
      </c>
    </row>
    <row r="23" spans="1:9">
      <c r="A23" s="5">
        <f t="shared" si="1"/>
        <v>13</v>
      </c>
      <c r="B23" s="206" t="s">
        <v>424</v>
      </c>
      <c r="C23" s="207">
        <f>SUM(C11:C22)</f>
        <v>115291.04</v>
      </c>
      <c r="D23" s="207">
        <f>SUM(D11:D22)</f>
        <v>78515.926666666666</v>
      </c>
      <c r="E23" s="207">
        <f>SUM(E11:E22)</f>
        <v>-78515.926666666666</v>
      </c>
    </row>
    <row r="24" spans="1:9">
      <c r="C24" s="99"/>
      <c r="D24" s="99"/>
      <c r="E24" s="99"/>
    </row>
    <row r="25" spans="1:9">
      <c r="B25" s="38" t="s">
        <v>557</v>
      </c>
    </row>
    <row r="27" spans="1:9">
      <c r="C27" s="99"/>
    </row>
    <row r="28" spans="1:9">
      <c r="C28" s="202"/>
    </row>
    <row r="29" spans="1:9">
      <c r="C29" s="202"/>
    </row>
  </sheetData>
  <mergeCells count="3">
    <mergeCell ref="A4:F4"/>
    <mergeCell ref="A5:F5"/>
    <mergeCell ref="A7:F7"/>
  </mergeCells>
  <pageMargins left="0.7" right="0.7" top="0.75" bottom="0.75" header="0.3" footer="0.3"/>
  <pageSetup scale="81" orientation="portrait" r:id="rId1"/>
  <headerFooter>
    <oddFooter>&amp;RExhibit  JW-2
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7F15-5DBF-4C15-80D9-D950FD62C7B5}">
  <dimension ref="A1:K28"/>
  <sheetViews>
    <sheetView view="pageBreakPreview" zoomScale="60" zoomScaleNormal="100" workbookViewId="0">
      <selection activeCell="D68" sqref="D68"/>
    </sheetView>
  </sheetViews>
  <sheetFormatPr defaultColWidth="8.88671875" defaultRowHeight="13.2"/>
  <cols>
    <col min="1" max="1" width="5.44140625" style="38" customWidth="1"/>
    <col min="2" max="2" width="23.44140625" style="38" customWidth="1"/>
    <col min="3" max="3" width="7.6640625" style="38" customWidth="1"/>
    <col min="4" max="4" width="19.6640625" style="38" customWidth="1"/>
    <col min="5" max="10" width="18.109375" style="38" customWidth="1"/>
    <col min="11" max="11" width="10.5546875" style="38" bestFit="1" customWidth="1"/>
    <col min="12" max="16384" width="8.88671875" style="38"/>
  </cols>
  <sheetData>
    <row r="1" spans="1:11">
      <c r="D1" s="26" t="s">
        <v>280</v>
      </c>
    </row>
    <row r="2" spans="1:11">
      <c r="J2" s="26"/>
    </row>
    <row r="3" spans="1:11">
      <c r="J3" s="26"/>
    </row>
    <row r="4" spans="1:11">
      <c r="A4" s="331" t="str">
        <f>RevReq!A1</f>
        <v>FARMERS RECC</v>
      </c>
      <c r="B4" s="331"/>
      <c r="C4" s="331"/>
      <c r="D4" s="331"/>
      <c r="E4" s="34"/>
      <c r="F4" s="34"/>
      <c r="G4" s="34"/>
      <c r="H4" s="34"/>
      <c r="I4" s="34"/>
      <c r="J4" s="34"/>
    </row>
    <row r="5" spans="1:11">
      <c r="A5" s="331" t="str">
        <f>RevReq!A3</f>
        <v>For the 12 Months Ended December 31, 2022</v>
      </c>
      <c r="B5" s="331"/>
      <c r="C5" s="331"/>
      <c r="D5" s="331"/>
      <c r="E5" s="34"/>
      <c r="F5" s="34"/>
      <c r="G5" s="34"/>
      <c r="H5" s="34"/>
      <c r="I5" s="34"/>
      <c r="J5" s="34"/>
      <c r="K5" s="34"/>
    </row>
    <row r="6" spans="1:1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>
      <c r="A7" s="328" t="s">
        <v>37</v>
      </c>
      <c r="B7" s="328"/>
      <c r="C7" s="328"/>
      <c r="D7" s="328"/>
      <c r="E7" s="37"/>
      <c r="F7" s="37"/>
      <c r="G7" s="37"/>
      <c r="H7" s="37"/>
      <c r="I7" s="37"/>
      <c r="J7" s="37"/>
    </row>
    <row r="9" spans="1:11" ht="13.8">
      <c r="A9" s="46"/>
      <c r="B9" s="40"/>
      <c r="C9" s="40"/>
      <c r="D9" s="56"/>
      <c r="E9" s="68"/>
      <c r="F9" s="68"/>
      <c r="G9" s="68"/>
      <c r="H9" s="68"/>
      <c r="I9" s="68"/>
      <c r="J9" s="68"/>
    </row>
    <row r="10" spans="1:11">
      <c r="A10" s="90" t="s">
        <v>10</v>
      </c>
      <c r="B10" s="75" t="s">
        <v>92</v>
      </c>
      <c r="C10" s="75" t="s">
        <v>97</v>
      </c>
      <c r="D10" s="92" t="s">
        <v>96</v>
      </c>
      <c r="E10" s="69"/>
      <c r="F10" s="69"/>
      <c r="G10" s="69"/>
      <c r="H10" s="69"/>
      <c r="I10" s="69"/>
      <c r="J10" s="69"/>
    </row>
    <row r="11" spans="1:11">
      <c r="A11" s="46">
        <v>1</v>
      </c>
      <c r="B11" s="38" t="s">
        <v>37</v>
      </c>
      <c r="C11" s="40"/>
      <c r="D11" s="91">
        <f>RevReq!C38</f>
        <v>1516655</v>
      </c>
      <c r="E11" s="67"/>
      <c r="F11" s="67"/>
      <c r="G11" s="67"/>
      <c r="H11" s="67"/>
      <c r="I11" s="67"/>
      <c r="J11" s="67"/>
      <c r="K11" s="67"/>
    </row>
    <row r="12" spans="1:11">
      <c r="A12" s="46">
        <f>+A11+1</f>
        <v>2</v>
      </c>
      <c r="C12" s="40"/>
      <c r="D12" s="91"/>
      <c r="E12" s="67"/>
      <c r="F12" s="67"/>
      <c r="G12" s="67"/>
      <c r="H12" s="67"/>
      <c r="I12" s="67"/>
      <c r="J12" s="67"/>
      <c r="K12" s="67"/>
    </row>
    <row r="13" spans="1:11">
      <c r="A13" s="46">
        <f t="shared" ref="A13:A15" si="0">+A12+1</f>
        <v>3</v>
      </c>
      <c r="B13" s="38" t="s">
        <v>90</v>
      </c>
      <c r="D13" s="91">
        <v>0</v>
      </c>
      <c r="E13" s="67"/>
      <c r="F13" s="67"/>
      <c r="G13" s="67"/>
      <c r="H13" s="67"/>
      <c r="I13" s="67"/>
      <c r="J13" s="67"/>
    </row>
    <row r="14" spans="1:11">
      <c r="A14" s="46">
        <f t="shared" si="0"/>
        <v>4</v>
      </c>
      <c r="D14" s="167"/>
      <c r="E14" s="67"/>
      <c r="F14" s="67"/>
      <c r="G14" s="67"/>
      <c r="H14" s="67"/>
      <c r="I14" s="67"/>
      <c r="J14" s="67"/>
    </row>
    <row r="15" spans="1:11">
      <c r="A15" s="46">
        <f t="shared" si="0"/>
        <v>5</v>
      </c>
      <c r="B15" s="38" t="s">
        <v>142</v>
      </c>
      <c r="D15" s="234">
        <f>D13-D11</f>
        <v>-1516655</v>
      </c>
      <c r="E15" s="71"/>
      <c r="F15" s="71"/>
      <c r="G15" s="71"/>
      <c r="H15" s="67"/>
      <c r="I15" s="67"/>
      <c r="J15" s="67"/>
      <c r="K15" s="67"/>
    </row>
    <row r="16" spans="1:11">
      <c r="B16" s="71"/>
      <c r="C16" s="71"/>
      <c r="D16" s="226"/>
      <c r="E16" s="71"/>
      <c r="F16" s="71"/>
      <c r="G16" s="71"/>
      <c r="H16" s="67"/>
      <c r="I16" s="67"/>
      <c r="J16" s="67"/>
    </row>
    <row r="17" spans="1:10">
      <c r="B17" s="71"/>
      <c r="C17" s="71"/>
      <c r="D17" s="71"/>
      <c r="E17" s="71"/>
      <c r="F17" s="71"/>
      <c r="G17" s="71"/>
      <c r="H17" s="67"/>
      <c r="I17" s="67"/>
      <c r="J17" s="67"/>
    </row>
    <row r="18" spans="1:10">
      <c r="A18" s="38" t="s">
        <v>281</v>
      </c>
      <c r="B18" s="72"/>
      <c r="C18" s="72"/>
      <c r="D18" s="72"/>
      <c r="E18" s="72"/>
      <c r="F18" s="72"/>
      <c r="G18" s="72"/>
      <c r="H18" s="72"/>
      <c r="I18" s="72"/>
      <c r="J18" s="72"/>
    </row>
    <row r="19" spans="1:10">
      <c r="A19" s="38" t="s">
        <v>282</v>
      </c>
      <c r="B19" s="73"/>
      <c r="C19" s="73"/>
      <c r="D19" s="73"/>
      <c r="E19" s="73"/>
      <c r="F19" s="73"/>
    </row>
    <row r="20" spans="1:10">
      <c r="B20" s="73"/>
      <c r="C20" s="73"/>
      <c r="D20" s="73"/>
      <c r="E20" s="73"/>
      <c r="F20" s="73"/>
    </row>
    <row r="21" spans="1:10">
      <c r="A21" s="51"/>
      <c r="B21" s="74"/>
      <c r="C21" s="74"/>
      <c r="D21" s="74"/>
      <c r="E21" s="74"/>
      <c r="F21" s="74"/>
    </row>
    <row r="22" spans="1:10">
      <c r="B22" s="74"/>
      <c r="C22" s="74"/>
      <c r="D22" s="74"/>
      <c r="E22" s="74"/>
      <c r="F22" s="74"/>
    </row>
    <row r="23" spans="1:10">
      <c r="B23" s="74"/>
      <c r="C23" s="74"/>
      <c r="D23" s="74"/>
      <c r="E23" s="74"/>
      <c r="F23" s="74"/>
    </row>
    <row r="24" spans="1:10">
      <c r="B24" s="74"/>
      <c r="C24" s="74"/>
      <c r="D24" s="74"/>
      <c r="E24" s="74"/>
      <c r="F24" s="47"/>
    </row>
    <row r="25" spans="1:10">
      <c r="B25" s="74"/>
      <c r="C25" s="74"/>
      <c r="D25" s="74"/>
      <c r="E25" s="74"/>
      <c r="F25" s="74"/>
    </row>
    <row r="26" spans="1:10">
      <c r="B26" s="74"/>
      <c r="C26" s="74"/>
      <c r="D26" s="74"/>
      <c r="E26" s="74"/>
      <c r="F26" s="74"/>
    </row>
    <row r="27" spans="1:10">
      <c r="B27" s="74"/>
      <c r="C27" s="74"/>
      <c r="D27" s="74"/>
      <c r="E27" s="74"/>
      <c r="F27" s="74"/>
    </row>
    <row r="28" spans="1:10">
      <c r="B28" s="74"/>
      <c r="C28" s="74"/>
      <c r="D28" s="74"/>
      <c r="E28" s="74"/>
      <c r="F28" s="74"/>
    </row>
  </sheetData>
  <mergeCells count="3">
    <mergeCell ref="A4:D4"/>
    <mergeCell ref="A5:D5"/>
    <mergeCell ref="A7:D7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D11 D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view="pageBreakPreview" zoomScale="60" zoomScaleNormal="100" workbookViewId="0">
      <selection activeCell="D68" sqref="D68"/>
    </sheetView>
  </sheetViews>
  <sheetFormatPr defaultColWidth="9.109375" defaultRowHeight="13.2"/>
  <cols>
    <col min="1" max="1" width="3.5546875" style="38" customWidth="1"/>
    <col min="2" max="2" width="9.88671875" style="40" customWidth="1"/>
    <col min="3" max="3" width="27.109375" style="38" bestFit="1" customWidth="1"/>
    <col min="4" max="5" width="12.5546875" style="38" bestFit="1" customWidth="1"/>
    <col min="6" max="6" width="11.109375" style="38" customWidth="1"/>
    <col min="7" max="7" width="11.44140625" style="38" bestFit="1" customWidth="1"/>
    <col min="8" max="8" width="17.33203125" style="38" customWidth="1"/>
    <col min="9" max="9" width="37.44140625" style="38" bestFit="1" customWidth="1"/>
    <col min="10" max="10" width="11.109375" style="38" bestFit="1" customWidth="1"/>
    <col min="11" max="11" width="12" style="38" bestFit="1" customWidth="1"/>
    <col min="12" max="16384" width="9.109375" style="38"/>
  </cols>
  <sheetData>
    <row r="1" spans="1:12">
      <c r="A1" s="326" t="str">
        <f>RevReq!A1</f>
        <v>FARMERS RECC</v>
      </c>
      <c r="B1" s="326"/>
      <c r="C1" s="326"/>
      <c r="D1" s="326"/>
      <c r="E1" s="326"/>
      <c r="F1" s="326"/>
      <c r="G1" s="326"/>
    </row>
    <row r="2" spans="1:12">
      <c r="A2" s="326" t="s">
        <v>146</v>
      </c>
      <c r="B2" s="326"/>
      <c r="C2" s="326"/>
      <c r="D2" s="326"/>
      <c r="E2" s="326"/>
      <c r="F2" s="326"/>
      <c r="G2" s="326"/>
    </row>
    <row r="4" spans="1:12" ht="47.25" customHeight="1">
      <c r="B4" s="29" t="s">
        <v>290</v>
      </c>
      <c r="C4" s="81" t="s">
        <v>92</v>
      </c>
      <c r="D4" s="81" t="s">
        <v>108</v>
      </c>
      <c r="E4" s="81" t="s">
        <v>109</v>
      </c>
      <c r="F4" s="81" t="s">
        <v>147</v>
      </c>
      <c r="G4" s="81" t="s">
        <v>148</v>
      </c>
    </row>
    <row r="5" spans="1:12">
      <c r="B5" s="30" t="s">
        <v>10</v>
      </c>
      <c r="C5" s="31">
        <v>1</v>
      </c>
      <c r="D5" s="31">
        <f>C5+1</f>
        <v>2</v>
      </c>
      <c r="E5" s="31">
        <f>D5+1</f>
        <v>3</v>
      </c>
      <c r="F5" s="31">
        <f>E5+1</f>
        <v>4</v>
      </c>
      <c r="G5" s="31">
        <f>F5+1</f>
        <v>5</v>
      </c>
    </row>
    <row r="6" spans="1:12">
      <c r="B6" s="38"/>
      <c r="C6" s="93"/>
      <c r="D6" s="93"/>
      <c r="E6" s="93"/>
      <c r="F6" s="93"/>
      <c r="G6" s="93"/>
      <c r="J6" s="10"/>
      <c r="K6" s="10"/>
    </row>
    <row r="7" spans="1:12">
      <c r="B7" s="40">
        <v>1.01</v>
      </c>
      <c r="C7" s="38" t="s">
        <v>252</v>
      </c>
      <c r="D7" s="10">
        <f>'1.01 FAC'!F31</f>
        <v>-6746654.9900000002</v>
      </c>
      <c r="E7" s="10">
        <f>'1.01 FAC'!H31</f>
        <v>-6648054</v>
      </c>
      <c r="F7" s="10"/>
      <c r="G7" s="74">
        <f>D7-E7+F7</f>
        <v>-98600.990000000224</v>
      </c>
      <c r="J7" s="10"/>
      <c r="K7" s="10"/>
      <c r="L7" s="99"/>
    </row>
    <row r="8" spans="1:12">
      <c r="B8" s="40">
        <v>1.02</v>
      </c>
      <c r="C8" s="38" t="s">
        <v>115</v>
      </c>
      <c r="D8" s="10">
        <f>'1.02 ES'!F31</f>
        <v>-5815832.3899999997</v>
      </c>
      <c r="E8" s="10">
        <f>'1.02 ES'!H31</f>
        <v>-5860474</v>
      </c>
      <c r="F8" s="10"/>
      <c r="G8" s="74">
        <f t="shared" ref="G8:G29" si="0">D8-E8+F8</f>
        <v>44641.610000000335</v>
      </c>
      <c r="J8" s="10"/>
      <c r="K8" s="10"/>
      <c r="L8" s="99"/>
    </row>
    <row r="9" spans="1:12" ht="14.25" customHeight="1">
      <c r="B9" s="40">
        <v>1.03</v>
      </c>
      <c r="C9" s="38" t="s">
        <v>117</v>
      </c>
      <c r="D9" s="10"/>
      <c r="E9" s="10">
        <f>'1.03 Int Exp'!E75</f>
        <v>284255.26003</v>
      </c>
      <c r="F9" s="10"/>
      <c r="G9" s="74">
        <f t="shared" si="0"/>
        <v>-284255.26003</v>
      </c>
      <c r="J9" s="10"/>
      <c r="K9" s="10"/>
      <c r="L9" s="99"/>
    </row>
    <row r="10" spans="1:12">
      <c r="B10" s="40">
        <v>1.04</v>
      </c>
      <c r="C10" s="38" t="s">
        <v>153</v>
      </c>
      <c r="D10" s="10"/>
      <c r="E10" s="10">
        <f>'1.04 Depr'!J62</f>
        <v>126591.96000000005</v>
      </c>
      <c r="F10" s="10"/>
      <c r="G10" s="74">
        <f t="shared" si="0"/>
        <v>-126591.96000000005</v>
      </c>
      <c r="J10" s="10"/>
      <c r="K10" s="10"/>
      <c r="L10" s="99"/>
    </row>
    <row r="11" spans="1:12">
      <c r="B11" s="40">
        <v>1.05</v>
      </c>
      <c r="C11" s="38" t="s">
        <v>155</v>
      </c>
      <c r="D11" s="10"/>
      <c r="E11" s="10">
        <f>'1.05 ROW'!C14</f>
        <v>1284763.21</v>
      </c>
      <c r="F11" s="10"/>
      <c r="G11" s="74">
        <f t="shared" si="0"/>
        <v>-1284763.21</v>
      </c>
      <c r="J11" s="10"/>
      <c r="K11" s="10"/>
      <c r="L11" s="99"/>
    </row>
    <row r="12" spans="1:12">
      <c r="B12" s="40">
        <v>1.06</v>
      </c>
      <c r="C12" s="38" t="s">
        <v>152</v>
      </c>
      <c r="D12" s="10">
        <f>'1.06 YearEndCust'!F49</f>
        <v>171589.7</v>
      </c>
      <c r="E12" s="10">
        <f>'1.06 YearEndCust'!G49</f>
        <v>108695.85</v>
      </c>
      <c r="F12" s="10"/>
      <c r="G12" s="74">
        <f t="shared" si="0"/>
        <v>62893.850000000006</v>
      </c>
      <c r="J12" s="10"/>
      <c r="K12" s="10"/>
      <c r="L12" s="99"/>
    </row>
    <row r="13" spans="1:12">
      <c r="B13" s="40">
        <v>1.07</v>
      </c>
      <c r="C13" s="38" t="s">
        <v>141</v>
      </c>
      <c r="D13" s="10"/>
      <c r="E13" s="10">
        <f>'1.07 FEMA'!D37</f>
        <v>66994.67</v>
      </c>
      <c r="F13" s="10"/>
      <c r="G13" s="74">
        <f t="shared" si="0"/>
        <v>-66994.67</v>
      </c>
      <c r="J13" s="10"/>
      <c r="K13" s="10"/>
      <c r="L13" s="99"/>
    </row>
    <row r="14" spans="1:12">
      <c r="B14" s="40">
        <v>1.08</v>
      </c>
      <c r="C14" s="38" t="s">
        <v>149</v>
      </c>
      <c r="D14" s="10"/>
      <c r="E14" s="10">
        <f>'1.08 DonAdsDues'!E21</f>
        <v>-284932.02</v>
      </c>
      <c r="F14" s="10"/>
      <c r="G14" s="74">
        <f t="shared" si="0"/>
        <v>284932.02</v>
      </c>
      <c r="J14" s="10"/>
      <c r="K14" s="10"/>
      <c r="L14" s="99"/>
    </row>
    <row r="15" spans="1:12">
      <c r="B15" s="40">
        <v>1.0900000000000001</v>
      </c>
      <c r="C15" s="2" t="s">
        <v>154</v>
      </c>
      <c r="D15" s="10"/>
      <c r="E15" s="10">
        <f>'1.09 Directors'!K51</f>
        <v>-30533.67</v>
      </c>
      <c r="F15" s="10"/>
      <c r="G15" s="74">
        <f t="shared" si="0"/>
        <v>30533.67</v>
      </c>
      <c r="J15" s="10"/>
      <c r="K15" s="10"/>
      <c r="L15" s="99"/>
    </row>
    <row r="16" spans="1:12">
      <c r="B16" s="101">
        <v>1.1000000000000001</v>
      </c>
      <c r="C16" s="38" t="s">
        <v>54</v>
      </c>
      <c r="D16" s="10"/>
      <c r="E16" s="10">
        <f>'1.10 Wages &amp; Salaries'!I99</f>
        <v>23561.223193978643</v>
      </c>
      <c r="F16" s="10"/>
      <c r="G16" s="74">
        <f>D16-E16+F16</f>
        <v>-23561.223193978643</v>
      </c>
      <c r="J16" s="10"/>
      <c r="K16" s="10"/>
      <c r="L16" s="99"/>
    </row>
    <row r="17" spans="2:12">
      <c r="B17" s="40">
        <v>1.1100000000000001</v>
      </c>
      <c r="C17" s="38" t="s">
        <v>150</v>
      </c>
      <c r="D17" s="10"/>
      <c r="E17" s="10">
        <f>'1.11 401K'!D96</f>
        <v>-14594.306962747129</v>
      </c>
      <c r="F17" s="10"/>
      <c r="G17" s="74">
        <f t="shared" si="0"/>
        <v>14594.306962747129</v>
      </c>
      <c r="J17" s="10"/>
      <c r="K17" s="10"/>
      <c r="L17" s="99"/>
    </row>
    <row r="18" spans="2:12">
      <c r="B18" s="40">
        <v>1.1200000000000001</v>
      </c>
      <c r="C18" s="38" t="s">
        <v>519</v>
      </c>
      <c r="D18" s="10"/>
      <c r="E18" s="10">
        <f>'1.12 Life Insur'!E91</f>
        <v>-7748.1316875689417</v>
      </c>
      <c r="F18" s="10"/>
      <c r="G18" s="74">
        <f t="shared" si="0"/>
        <v>7748.1316875689417</v>
      </c>
      <c r="J18" s="10"/>
      <c r="K18" s="10"/>
      <c r="L18" s="99"/>
    </row>
    <row r="19" spans="2:12">
      <c r="B19" s="40">
        <v>1.1299999999999999</v>
      </c>
      <c r="C19" s="38" t="s">
        <v>151</v>
      </c>
      <c r="D19" s="10"/>
      <c r="E19" s="10">
        <f>'1.13 RateCase'!D25</f>
        <v>23333.33</v>
      </c>
      <c r="F19" s="10"/>
      <c r="G19" s="74">
        <f t="shared" si="0"/>
        <v>-23333.33</v>
      </c>
      <c r="J19" s="10"/>
      <c r="K19" s="10"/>
      <c r="L19" s="99"/>
    </row>
    <row r="20" spans="2:12">
      <c r="B20" s="40">
        <v>1.1399999999999999</v>
      </c>
      <c r="C20" s="38" t="s">
        <v>413</v>
      </c>
      <c r="D20" s="10"/>
      <c r="E20" s="10">
        <f>'1.14 Outside'!E23</f>
        <v>-78515.926666666666</v>
      </c>
      <c r="F20" s="10"/>
      <c r="G20" s="74">
        <f t="shared" si="0"/>
        <v>78515.926666666666</v>
      </c>
      <c r="J20" s="10"/>
      <c r="K20" s="10"/>
      <c r="L20" s="99"/>
    </row>
    <row r="21" spans="2:12">
      <c r="B21" s="40">
        <v>1.1499999999999999</v>
      </c>
      <c r="C21" s="38" t="s">
        <v>37</v>
      </c>
      <c r="D21" s="10"/>
      <c r="E21" s="10"/>
      <c r="F21" s="10">
        <f>'1.15 GTCC'!D15</f>
        <v>-1516655</v>
      </c>
      <c r="G21" s="74">
        <f t="shared" si="0"/>
        <v>-1516655</v>
      </c>
      <c r="J21" s="10"/>
      <c r="K21" s="10"/>
      <c r="L21" s="99"/>
    </row>
    <row r="22" spans="2:12">
      <c r="B22" s="40">
        <v>1.1599999999999999</v>
      </c>
      <c r="C22" s="38" t="s">
        <v>532</v>
      </c>
      <c r="D22" s="10"/>
      <c r="E22" s="10">
        <f>'1.16 Payroll Tx'!M104</f>
        <v>1638.6254054608437</v>
      </c>
      <c r="F22" s="10"/>
      <c r="G22" s="74">
        <f t="shared" si="0"/>
        <v>-1638.6254054608437</v>
      </c>
      <c r="L22" s="99"/>
    </row>
    <row r="23" spans="2:12" hidden="1">
      <c r="B23" s="40">
        <v>1.17</v>
      </c>
      <c r="C23" s="38" t="s">
        <v>156</v>
      </c>
      <c r="D23" s="10"/>
      <c r="E23" s="10"/>
      <c r="F23" s="10"/>
      <c r="G23" s="100">
        <f t="shared" si="0"/>
        <v>0</v>
      </c>
    </row>
    <row r="24" spans="2:12" hidden="1">
      <c r="B24" s="40">
        <v>1.18</v>
      </c>
      <c r="C24" s="38" t="s">
        <v>156</v>
      </c>
      <c r="D24" s="10"/>
      <c r="E24" s="10"/>
      <c r="F24" s="10"/>
      <c r="G24" s="100">
        <f t="shared" si="0"/>
        <v>0</v>
      </c>
      <c r="I24" s="99"/>
    </row>
    <row r="25" spans="2:12" hidden="1">
      <c r="B25" s="40">
        <v>1.19</v>
      </c>
      <c r="C25" s="38" t="s">
        <v>156</v>
      </c>
      <c r="D25" s="10"/>
      <c r="E25" s="10"/>
      <c r="F25" s="10"/>
      <c r="G25" s="100">
        <f t="shared" si="0"/>
        <v>0</v>
      </c>
      <c r="I25" s="99"/>
    </row>
    <row r="26" spans="2:12" hidden="1">
      <c r="B26" s="101">
        <v>1.2</v>
      </c>
      <c r="C26" s="38" t="s">
        <v>156</v>
      </c>
      <c r="D26" s="10"/>
      <c r="E26" s="10"/>
      <c r="F26" s="10"/>
      <c r="G26" s="100">
        <f t="shared" si="0"/>
        <v>0</v>
      </c>
    </row>
    <row r="27" spans="2:12" hidden="1">
      <c r="B27" s="40">
        <v>1.21</v>
      </c>
      <c r="C27" s="38" t="s">
        <v>156</v>
      </c>
      <c r="D27" s="10"/>
      <c r="E27" s="10"/>
      <c r="F27" s="10"/>
      <c r="G27" s="74">
        <f t="shared" si="0"/>
        <v>0</v>
      </c>
    </row>
    <row r="28" spans="2:12" hidden="1">
      <c r="B28" s="40">
        <v>1.22</v>
      </c>
      <c r="C28" s="38" t="s">
        <v>156</v>
      </c>
      <c r="D28" s="10"/>
      <c r="E28" s="10"/>
      <c r="F28" s="10"/>
      <c r="G28" s="74">
        <f t="shared" si="0"/>
        <v>0</v>
      </c>
    </row>
    <row r="29" spans="2:12" hidden="1">
      <c r="B29" s="40">
        <v>1.23</v>
      </c>
      <c r="C29" s="38" t="s">
        <v>156</v>
      </c>
      <c r="D29" s="10"/>
      <c r="E29" s="10"/>
      <c r="F29" s="10"/>
      <c r="G29" s="74">
        <f t="shared" si="0"/>
        <v>0</v>
      </c>
    </row>
    <row r="30" spans="2:12" s="97" customFormat="1" ht="21.75" customHeight="1" thickBot="1">
      <c r="B30" s="94"/>
      <c r="C30" s="95" t="s">
        <v>62</v>
      </c>
      <c r="D30" s="96">
        <f>SUM(D7:D29)</f>
        <v>-12390897.68</v>
      </c>
      <c r="E30" s="96">
        <f>SUM(E7:E29)</f>
        <v>-11005017.926687542</v>
      </c>
      <c r="F30" s="96">
        <f>SUM(F7:F29)</f>
        <v>-1516655</v>
      </c>
      <c r="G30" s="96">
        <f>SUM(G7:G29)</f>
        <v>-2902534.7533124569</v>
      </c>
      <c r="I30" s="98"/>
    </row>
    <row r="31" spans="2:12" ht="13.8" thickTop="1">
      <c r="D31" s="73"/>
      <c r="E31" s="73"/>
      <c r="F31" s="73"/>
      <c r="G31" s="74"/>
    </row>
    <row r="32" spans="2:12">
      <c r="D32" s="74"/>
      <c r="E32" s="74"/>
      <c r="F32" s="74"/>
      <c r="G32" s="74"/>
    </row>
    <row r="33" spans="2:7">
      <c r="D33" s="74"/>
      <c r="E33" s="74"/>
      <c r="F33" s="74"/>
      <c r="G33" s="74"/>
    </row>
    <row r="34" spans="2:7">
      <c r="B34" s="40" t="s">
        <v>157</v>
      </c>
    </row>
    <row r="35" spans="2:7">
      <c r="C35" s="38" t="s">
        <v>253</v>
      </c>
      <c r="D35" s="74">
        <f>RevReq!D12</f>
        <v>-12390897.68</v>
      </c>
      <c r="E35" s="74">
        <f>RevReq!D31</f>
        <v>-11005018.186717542</v>
      </c>
      <c r="F35" s="74">
        <f>RevReq!D35+RevReq!D36+RevReq!D37+RevReq!D38+RevReq!D39</f>
        <v>-1516655</v>
      </c>
      <c r="G35" s="74">
        <f>RevReq!D41</f>
        <v>-2902534.4932824578</v>
      </c>
    </row>
    <row r="36" spans="2:7" ht="13.8">
      <c r="C36" s="38" t="s">
        <v>158</v>
      </c>
      <c r="D36" s="138">
        <f>D35-D30</f>
        <v>0</v>
      </c>
      <c r="E36" s="138">
        <f>E35-E30</f>
        <v>-0.2600299995392561</v>
      </c>
      <c r="F36" s="138">
        <f>F35-F30</f>
        <v>0</v>
      </c>
      <c r="G36" s="138">
        <f>G35-G30</f>
        <v>0.26002999907359481</v>
      </c>
    </row>
    <row r="38" spans="2:7">
      <c r="C38" s="38" t="s">
        <v>254</v>
      </c>
      <c r="D38" s="143">
        <f>'Adj IS'!V12</f>
        <v>-12390897.68</v>
      </c>
      <c r="E38" s="143">
        <f>'Adj IS'!V31</f>
        <v>-11005017.926687542</v>
      </c>
      <c r="F38" s="143">
        <f>'Adj IS'!V40</f>
        <v>-1516655</v>
      </c>
      <c r="G38" s="143">
        <f>'Adj IS'!V42</f>
        <v>-2902534.7533124569</v>
      </c>
    </row>
    <row r="39" spans="2:7" ht="13.8">
      <c r="C39" s="38" t="s">
        <v>158</v>
      </c>
      <c r="D39" s="138">
        <f>D38-D30</f>
        <v>0</v>
      </c>
      <c r="E39" s="138">
        <f t="shared" ref="E39:G39" si="1">E38-E30</f>
        <v>0</v>
      </c>
      <c r="F39" s="138">
        <f t="shared" si="1"/>
        <v>0</v>
      </c>
      <c r="G39" s="138">
        <f t="shared" si="1"/>
        <v>0</v>
      </c>
    </row>
    <row r="47" spans="2:7">
      <c r="F47" s="99"/>
    </row>
    <row r="49" spans="4:6">
      <c r="D49" s="99"/>
      <c r="E49" s="99"/>
      <c r="F49" s="99"/>
    </row>
    <row r="50" spans="4:6">
      <c r="D50" s="99"/>
      <c r="E50" s="99"/>
      <c r="F50" s="99"/>
    </row>
  </sheetData>
  <mergeCells count="2">
    <mergeCell ref="A1:G1"/>
    <mergeCell ref="A2:G2"/>
  </mergeCells>
  <conditionalFormatting sqref="D36:G36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D39:G39">
    <cfRule type="cellIs" dxfId="13" priority="1" operator="notEqual">
      <formula>0</formula>
    </cfRule>
    <cfRule type="cellIs" dxfId="12" priority="2" operator="equal">
      <formula>0</formula>
    </cfRule>
  </conditionalFormatting>
  <pageMargins left="0.7" right="0.7" top="0.75" bottom="0.75" header="0.3" footer="0.3"/>
  <pageSetup orientation="portrait" r:id="rId1"/>
  <headerFooter>
    <oddFooter>&amp;RExhibit  JW-2
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D693-C6E8-4B81-BC95-CB80354E3673}">
  <dimension ref="A1:N127"/>
  <sheetViews>
    <sheetView view="pageBreakPreview" zoomScale="60" zoomScaleNormal="100" workbookViewId="0">
      <selection activeCell="D68" sqref="D68"/>
    </sheetView>
  </sheetViews>
  <sheetFormatPr defaultColWidth="8.88671875" defaultRowHeight="13.2"/>
  <cols>
    <col min="1" max="1" width="4.44140625" style="46" customWidth="1"/>
    <col min="2" max="2" width="10.88671875" style="38" customWidth="1"/>
    <col min="3" max="3" width="5.44140625" style="86" customWidth="1"/>
    <col min="4" max="4" width="10.44140625" style="38" bestFit="1" customWidth="1"/>
    <col min="5" max="5" width="10" style="38" bestFit="1" customWidth="1"/>
    <col min="6" max="6" width="10.5546875" style="38" customWidth="1"/>
    <col min="7" max="7" width="9.88671875" style="38" bestFit="1" customWidth="1"/>
    <col min="8" max="8" width="9.5546875" style="38" customWidth="1"/>
    <col min="9" max="9" width="11.44140625" style="38" customWidth="1"/>
    <col min="10" max="10" width="8.6640625" style="38" customWidth="1"/>
    <col min="11" max="11" width="10.6640625" style="38" bestFit="1" customWidth="1"/>
    <col min="12" max="12" width="9" style="38" bestFit="1" customWidth="1"/>
    <col min="13" max="13" width="11.109375" style="38" customWidth="1"/>
    <col min="14" max="16384" width="8.88671875" style="38"/>
  </cols>
  <sheetData>
    <row r="1" spans="1:13">
      <c r="D1" s="26"/>
      <c r="M1" s="26" t="s">
        <v>651</v>
      </c>
    </row>
    <row r="2" spans="1:13">
      <c r="E2" s="26"/>
    </row>
    <row r="3" spans="1:13">
      <c r="B3" s="331" t="str">
        <f>RevReq!A1</f>
        <v>FARMERS RECC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3">
      <c r="B4" s="331" t="str">
        <f>RevReq!A3</f>
        <v>For the 12 Months Ended December 31, 2022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6" spans="1:13">
      <c r="B6" s="328" t="s">
        <v>532</v>
      </c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</row>
    <row r="7" spans="1:13">
      <c r="B7" s="39"/>
      <c r="C7" s="39"/>
      <c r="D7" s="39"/>
      <c r="E7" s="39"/>
      <c r="F7" s="39"/>
      <c r="G7" s="39"/>
      <c r="H7" s="39"/>
    </row>
    <row r="8" spans="1:13">
      <c r="B8" s="337" t="s">
        <v>74</v>
      </c>
      <c r="C8" s="339"/>
      <c r="D8" s="338"/>
      <c r="E8" s="337" t="s">
        <v>533</v>
      </c>
      <c r="F8" s="338"/>
      <c r="G8" s="337" t="s">
        <v>534</v>
      </c>
      <c r="H8" s="338"/>
      <c r="I8" s="337" t="s">
        <v>535</v>
      </c>
      <c r="J8" s="338"/>
      <c r="K8" s="337" t="s">
        <v>536</v>
      </c>
      <c r="L8" s="339"/>
      <c r="M8" s="257" t="s">
        <v>62</v>
      </c>
    </row>
    <row r="9" spans="1:13">
      <c r="B9" s="258"/>
      <c r="C9" s="60"/>
      <c r="D9" s="259" t="s">
        <v>537</v>
      </c>
      <c r="E9" s="260" t="s">
        <v>538</v>
      </c>
      <c r="F9" s="261" t="s">
        <v>539</v>
      </c>
      <c r="G9" s="262" t="s">
        <v>540</v>
      </c>
      <c r="H9" s="261" t="s">
        <v>539</v>
      </c>
      <c r="I9" s="261" t="s">
        <v>538</v>
      </c>
      <c r="J9" s="262" t="s">
        <v>539</v>
      </c>
      <c r="K9" s="261" t="s">
        <v>538</v>
      </c>
      <c r="L9" s="260" t="s">
        <v>539</v>
      </c>
      <c r="M9" s="263" t="s">
        <v>541</v>
      </c>
    </row>
    <row r="10" spans="1:13" ht="15" customHeight="1">
      <c r="B10" s="264" t="s">
        <v>518</v>
      </c>
      <c r="C10" s="5" t="s">
        <v>59</v>
      </c>
      <c r="D10" s="265" t="s">
        <v>542</v>
      </c>
      <c r="E10" s="266">
        <v>147000</v>
      </c>
      <c r="F10" s="267">
        <v>6.2E-2</v>
      </c>
      <c r="G10" s="268" t="s">
        <v>542</v>
      </c>
      <c r="H10" s="267">
        <v>1.4500000000000001E-2</v>
      </c>
      <c r="I10" s="269">
        <v>7000</v>
      </c>
      <c r="J10" s="270">
        <v>6.0000000000000001E-3</v>
      </c>
      <c r="K10" s="269">
        <v>11100</v>
      </c>
      <c r="L10" s="271">
        <v>3.0000000000000001E-3</v>
      </c>
      <c r="M10" s="267" t="s">
        <v>543</v>
      </c>
    </row>
    <row r="11" spans="1:13">
      <c r="A11" s="200" t="s">
        <v>10</v>
      </c>
      <c r="B11" s="272">
        <f>1</f>
        <v>1</v>
      </c>
      <c r="C11" s="273">
        <f>B11+1</f>
        <v>2</v>
      </c>
      <c r="D11" s="274">
        <v>3</v>
      </c>
      <c r="E11" s="273">
        <f t="shared" ref="E11:M11" si="0">D11+1</f>
        <v>4</v>
      </c>
      <c r="F11" s="275">
        <f t="shared" si="0"/>
        <v>5</v>
      </c>
      <c r="G11" s="273">
        <f t="shared" si="0"/>
        <v>6</v>
      </c>
      <c r="H11" s="275">
        <f t="shared" si="0"/>
        <v>7</v>
      </c>
      <c r="I11" s="275">
        <f t="shared" si="0"/>
        <v>8</v>
      </c>
      <c r="J11" s="273">
        <f t="shared" si="0"/>
        <v>9</v>
      </c>
      <c r="K11" s="275">
        <f t="shared" si="0"/>
        <v>10</v>
      </c>
      <c r="L11" s="275">
        <f t="shared" si="0"/>
        <v>11</v>
      </c>
      <c r="M11" s="275">
        <f t="shared" si="0"/>
        <v>12</v>
      </c>
    </row>
    <row r="12" spans="1:13">
      <c r="A12" s="244">
        <v>1</v>
      </c>
      <c r="B12" s="245" t="s">
        <v>431</v>
      </c>
      <c r="C12" s="276"/>
      <c r="D12" s="277">
        <v>0</v>
      </c>
      <c r="E12" s="248">
        <v>0</v>
      </c>
      <c r="F12" s="278">
        <f>E12*$F$10</f>
        <v>0</v>
      </c>
      <c r="G12" s="277">
        <f>D12</f>
        <v>0</v>
      </c>
      <c r="H12" s="277">
        <f>G12*$H$10</f>
        <v>0</v>
      </c>
      <c r="I12" s="277">
        <v>0</v>
      </c>
      <c r="J12" s="277">
        <f>I12*$J$10</f>
        <v>0</v>
      </c>
      <c r="K12" s="277">
        <v>0</v>
      </c>
      <c r="L12" s="277">
        <f>K12*$L$10</f>
        <v>0</v>
      </c>
      <c r="M12" s="277">
        <f>F12+H12+J12+L12</f>
        <v>0</v>
      </c>
    </row>
    <row r="13" spans="1:13">
      <c r="A13" s="250">
        <f t="shared" ref="A13:A76" si="1">A12+1</f>
        <v>2</v>
      </c>
      <c r="B13" s="251" t="s">
        <v>432</v>
      </c>
      <c r="C13" s="279"/>
      <c r="D13" s="280">
        <v>131874.08000000002</v>
      </c>
      <c r="E13" s="254">
        <v>131874.08000000002</v>
      </c>
      <c r="F13" s="281">
        <f t="shared" ref="F13:F76" si="2">E13*$F$10</f>
        <v>8176.1929600000012</v>
      </c>
      <c r="G13" s="280">
        <f t="shared" ref="G13:G76" si="3">D13</f>
        <v>131874.08000000002</v>
      </c>
      <c r="H13" s="280">
        <f t="shared" ref="H13:H76" si="4">G13*$H$10</f>
        <v>1912.1741600000003</v>
      </c>
      <c r="I13" s="280">
        <v>7000</v>
      </c>
      <c r="J13" s="280">
        <f t="shared" ref="J13:J76" si="5">I13*$J$10</f>
        <v>42</v>
      </c>
      <c r="K13" s="280">
        <v>11100</v>
      </c>
      <c r="L13" s="280">
        <f t="shared" ref="L13:L76" si="6">K13*$L$10</f>
        <v>33.299999999999997</v>
      </c>
      <c r="M13" s="280">
        <f t="shared" ref="M13:M76" si="7">F13+H13+J13+L13</f>
        <v>10163.66712</v>
      </c>
    </row>
    <row r="14" spans="1:13">
      <c r="A14" s="250">
        <f t="shared" si="1"/>
        <v>3</v>
      </c>
      <c r="B14" s="256" t="s">
        <v>433</v>
      </c>
      <c r="C14" s="279"/>
      <c r="D14" s="280">
        <v>124554.56</v>
      </c>
      <c r="E14" s="254">
        <v>124554.56</v>
      </c>
      <c r="F14" s="281">
        <f t="shared" si="2"/>
        <v>7722.3827199999996</v>
      </c>
      <c r="G14" s="280">
        <f t="shared" si="3"/>
        <v>124554.56</v>
      </c>
      <c r="H14" s="280">
        <f t="shared" si="4"/>
        <v>1806.0411200000001</v>
      </c>
      <c r="I14" s="280">
        <v>7000</v>
      </c>
      <c r="J14" s="280">
        <f t="shared" si="5"/>
        <v>42</v>
      </c>
      <c r="K14" s="280">
        <v>11100</v>
      </c>
      <c r="L14" s="280">
        <f t="shared" si="6"/>
        <v>33.299999999999997</v>
      </c>
      <c r="M14" s="280">
        <f t="shared" si="7"/>
        <v>9603.7238399999987</v>
      </c>
    </row>
    <row r="15" spans="1:13">
      <c r="A15" s="250">
        <f t="shared" si="1"/>
        <v>4</v>
      </c>
      <c r="B15" s="256" t="s">
        <v>434</v>
      </c>
      <c r="C15" s="279"/>
      <c r="D15" s="280">
        <v>131776.32000000001</v>
      </c>
      <c r="E15" s="254">
        <v>131776.32000000001</v>
      </c>
      <c r="F15" s="281">
        <f t="shared" si="2"/>
        <v>8170.13184</v>
      </c>
      <c r="G15" s="280">
        <f t="shared" si="3"/>
        <v>131776.32000000001</v>
      </c>
      <c r="H15" s="280">
        <f t="shared" si="4"/>
        <v>1910.7566400000003</v>
      </c>
      <c r="I15" s="280">
        <v>7000</v>
      </c>
      <c r="J15" s="280">
        <f t="shared" si="5"/>
        <v>42</v>
      </c>
      <c r="K15" s="280">
        <v>11100</v>
      </c>
      <c r="L15" s="280">
        <f t="shared" si="6"/>
        <v>33.299999999999997</v>
      </c>
      <c r="M15" s="280">
        <f t="shared" si="7"/>
        <v>10156.188479999999</v>
      </c>
    </row>
    <row r="16" spans="1:13">
      <c r="A16" s="250">
        <f t="shared" si="1"/>
        <v>5</v>
      </c>
      <c r="B16" s="256" t="s">
        <v>435</v>
      </c>
      <c r="C16" s="279"/>
      <c r="D16" s="280">
        <v>114060.96</v>
      </c>
      <c r="E16" s="254">
        <v>114060.96</v>
      </c>
      <c r="F16" s="281">
        <f t="shared" si="2"/>
        <v>7071.77952</v>
      </c>
      <c r="G16" s="280">
        <f t="shared" si="3"/>
        <v>114060.96</v>
      </c>
      <c r="H16" s="280">
        <f t="shared" si="4"/>
        <v>1653.8839200000002</v>
      </c>
      <c r="I16" s="280">
        <v>7000</v>
      </c>
      <c r="J16" s="280">
        <f t="shared" si="5"/>
        <v>42</v>
      </c>
      <c r="K16" s="280">
        <v>11100</v>
      </c>
      <c r="L16" s="280">
        <f t="shared" si="6"/>
        <v>33.299999999999997</v>
      </c>
      <c r="M16" s="280">
        <f t="shared" si="7"/>
        <v>8800.9634399999995</v>
      </c>
    </row>
    <row r="17" spans="1:13">
      <c r="A17" s="250">
        <f t="shared" si="1"/>
        <v>6</v>
      </c>
      <c r="B17" s="251" t="s">
        <v>436</v>
      </c>
      <c r="C17" s="279"/>
      <c r="D17" s="280">
        <v>96449.599999999991</v>
      </c>
      <c r="E17" s="254">
        <v>96449.599999999991</v>
      </c>
      <c r="F17" s="281">
        <f t="shared" si="2"/>
        <v>5979.8751999999995</v>
      </c>
      <c r="G17" s="280">
        <f t="shared" si="3"/>
        <v>96449.599999999991</v>
      </c>
      <c r="H17" s="280">
        <f t="shared" si="4"/>
        <v>1398.5192</v>
      </c>
      <c r="I17" s="280">
        <v>7000</v>
      </c>
      <c r="J17" s="280">
        <f t="shared" si="5"/>
        <v>42</v>
      </c>
      <c r="K17" s="280">
        <v>11100</v>
      </c>
      <c r="L17" s="280">
        <f t="shared" si="6"/>
        <v>33.299999999999997</v>
      </c>
      <c r="M17" s="280">
        <f t="shared" si="7"/>
        <v>7453.6943999999994</v>
      </c>
    </row>
    <row r="18" spans="1:13">
      <c r="A18" s="250">
        <f t="shared" si="1"/>
        <v>7</v>
      </c>
      <c r="B18" s="256" t="s">
        <v>437</v>
      </c>
      <c r="C18" s="279"/>
      <c r="D18" s="280">
        <v>91247.52</v>
      </c>
      <c r="E18" s="254">
        <v>91247.52</v>
      </c>
      <c r="F18" s="281">
        <f t="shared" si="2"/>
        <v>5657.3462399999999</v>
      </c>
      <c r="G18" s="280">
        <f t="shared" si="3"/>
        <v>91247.52</v>
      </c>
      <c r="H18" s="280">
        <f t="shared" si="4"/>
        <v>1323.0890400000001</v>
      </c>
      <c r="I18" s="280">
        <v>7000</v>
      </c>
      <c r="J18" s="280">
        <f t="shared" si="5"/>
        <v>42</v>
      </c>
      <c r="K18" s="280">
        <v>11100</v>
      </c>
      <c r="L18" s="280">
        <f t="shared" si="6"/>
        <v>33.299999999999997</v>
      </c>
      <c r="M18" s="280">
        <f t="shared" si="7"/>
        <v>7055.7352799999999</v>
      </c>
    </row>
    <row r="19" spans="1:13">
      <c r="A19" s="250">
        <f t="shared" si="1"/>
        <v>8</v>
      </c>
      <c r="B19" s="251" t="s">
        <v>438</v>
      </c>
      <c r="C19" s="279"/>
      <c r="D19" s="280">
        <v>116902.24</v>
      </c>
      <c r="E19" s="280">
        <v>116902.24</v>
      </c>
      <c r="F19" s="281">
        <f t="shared" si="2"/>
        <v>7247.9388800000006</v>
      </c>
      <c r="G19" s="280">
        <f t="shared" si="3"/>
        <v>116902.24</v>
      </c>
      <c r="H19" s="280">
        <f t="shared" si="4"/>
        <v>1695.0824800000003</v>
      </c>
      <c r="I19" s="280">
        <v>7000</v>
      </c>
      <c r="J19" s="280">
        <f t="shared" si="5"/>
        <v>42</v>
      </c>
      <c r="K19" s="280">
        <v>11100</v>
      </c>
      <c r="L19" s="280">
        <f t="shared" si="6"/>
        <v>33.299999999999997</v>
      </c>
      <c r="M19" s="280">
        <f t="shared" si="7"/>
        <v>9018.3213599999999</v>
      </c>
    </row>
    <row r="20" spans="1:13">
      <c r="A20" s="250">
        <f t="shared" si="1"/>
        <v>9</v>
      </c>
      <c r="B20" s="251" t="s">
        <v>439</v>
      </c>
      <c r="C20" s="279"/>
      <c r="D20" s="280">
        <v>200004.48000000001</v>
      </c>
      <c r="E20" s="280">
        <v>147000</v>
      </c>
      <c r="F20" s="281">
        <f t="shared" si="2"/>
        <v>9114</v>
      </c>
      <c r="G20" s="280">
        <f t="shared" si="3"/>
        <v>200004.48000000001</v>
      </c>
      <c r="H20" s="280">
        <f t="shared" si="4"/>
        <v>2900.0649600000002</v>
      </c>
      <c r="I20" s="280">
        <v>7000</v>
      </c>
      <c r="J20" s="280">
        <f t="shared" si="5"/>
        <v>42</v>
      </c>
      <c r="K20" s="280">
        <v>11100</v>
      </c>
      <c r="L20" s="280">
        <f t="shared" si="6"/>
        <v>33.299999999999997</v>
      </c>
      <c r="M20" s="280">
        <f t="shared" si="7"/>
        <v>12089.364959999999</v>
      </c>
    </row>
    <row r="21" spans="1:13">
      <c r="A21" s="250">
        <f t="shared" si="1"/>
        <v>10</v>
      </c>
      <c r="B21" s="251" t="s">
        <v>440</v>
      </c>
      <c r="C21" s="279"/>
      <c r="D21" s="280">
        <v>71223.360000000001</v>
      </c>
      <c r="E21" s="280">
        <v>71223.360000000001</v>
      </c>
      <c r="F21" s="281">
        <f t="shared" si="2"/>
        <v>4415.8483200000001</v>
      </c>
      <c r="G21" s="280">
        <f t="shared" si="3"/>
        <v>71223.360000000001</v>
      </c>
      <c r="H21" s="280">
        <f t="shared" si="4"/>
        <v>1032.7387200000001</v>
      </c>
      <c r="I21" s="280">
        <v>7000</v>
      </c>
      <c r="J21" s="280">
        <f t="shared" si="5"/>
        <v>42</v>
      </c>
      <c r="K21" s="280">
        <v>11100</v>
      </c>
      <c r="L21" s="280">
        <f t="shared" si="6"/>
        <v>33.299999999999997</v>
      </c>
      <c r="M21" s="280">
        <f t="shared" si="7"/>
        <v>5523.8870400000005</v>
      </c>
    </row>
    <row r="22" spans="1:13">
      <c r="A22" s="250">
        <f t="shared" si="1"/>
        <v>11</v>
      </c>
      <c r="B22" s="256" t="s">
        <v>441</v>
      </c>
      <c r="C22" s="279"/>
      <c r="D22" s="280">
        <v>47300.119999999995</v>
      </c>
      <c r="E22" s="280">
        <v>47164.46</v>
      </c>
      <c r="F22" s="281">
        <f t="shared" si="2"/>
        <v>2924.19652</v>
      </c>
      <c r="G22" s="280">
        <f t="shared" si="3"/>
        <v>47300.119999999995</v>
      </c>
      <c r="H22" s="280">
        <f t="shared" si="4"/>
        <v>685.85173999999995</v>
      </c>
      <c r="I22" s="280">
        <v>7000</v>
      </c>
      <c r="J22" s="280">
        <f t="shared" si="5"/>
        <v>42</v>
      </c>
      <c r="K22" s="280">
        <v>11100</v>
      </c>
      <c r="L22" s="280">
        <f t="shared" si="6"/>
        <v>33.299999999999997</v>
      </c>
      <c r="M22" s="280">
        <f t="shared" si="7"/>
        <v>3685.3482600000002</v>
      </c>
    </row>
    <row r="23" spans="1:13">
      <c r="A23" s="250">
        <f t="shared" si="1"/>
        <v>12</v>
      </c>
      <c r="B23" s="256" t="s">
        <v>442</v>
      </c>
      <c r="C23" s="279"/>
      <c r="D23" s="280">
        <v>67600</v>
      </c>
      <c r="E23" s="280">
        <v>67600</v>
      </c>
      <c r="F23" s="281">
        <f t="shared" si="2"/>
        <v>4191.2</v>
      </c>
      <c r="G23" s="280">
        <f t="shared" si="3"/>
        <v>67600</v>
      </c>
      <c r="H23" s="280">
        <f t="shared" si="4"/>
        <v>980.2</v>
      </c>
      <c r="I23" s="280">
        <v>7000</v>
      </c>
      <c r="J23" s="280">
        <f t="shared" si="5"/>
        <v>42</v>
      </c>
      <c r="K23" s="280">
        <v>11100</v>
      </c>
      <c r="L23" s="280">
        <f t="shared" si="6"/>
        <v>33.299999999999997</v>
      </c>
      <c r="M23" s="280">
        <f t="shared" si="7"/>
        <v>5246.7</v>
      </c>
    </row>
    <row r="24" spans="1:13">
      <c r="A24" s="250">
        <f t="shared" si="1"/>
        <v>13</v>
      </c>
      <c r="B24" s="256" t="s">
        <v>443</v>
      </c>
      <c r="C24" s="279"/>
      <c r="D24" s="280">
        <v>95010.908500000005</v>
      </c>
      <c r="E24" s="280">
        <v>92868.174249999996</v>
      </c>
      <c r="F24" s="281">
        <f t="shared" si="2"/>
        <v>5757.8268035000001</v>
      </c>
      <c r="G24" s="280">
        <f t="shared" si="3"/>
        <v>95010.908500000005</v>
      </c>
      <c r="H24" s="280">
        <f t="shared" si="4"/>
        <v>1377.6581732500001</v>
      </c>
      <c r="I24" s="280">
        <v>7000</v>
      </c>
      <c r="J24" s="280">
        <f t="shared" si="5"/>
        <v>42</v>
      </c>
      <c r="K24" s="280">
        <v>11100</v>
      </c>
      <c r="L24" s="280">
        <f t="shared" si="6"/>
        <v>33.299999999999997</v>
      </c>
      <c r="M24" s="280">
        <f t="shared" si="7"/>
        <v>7210.7849767500002</v>
      </c>
    </row>
    <row r="25" spans="1:13">
      <c r="A25" s="250">
        <f t="shared" si="1"/>
        <v>14</v>
      </c>
      <c r="B25" s="256" t="s">
        <v>444</v>
      </c>
      <c r="C25" s="279"/>
      <c r="D25" s="280">
        <v>94763.180499999988</v>
      </c>
      <c r="E25" s="280">
        <v>90460.470249999998</v>
      </c>
      <c r="F25" s="281">
        <f t="shared" si="2"/>
        <v>5608.5491554999999</v>
      </c>
      <c r="G25" s="280">
        <f t="shared" si="3"/>
        <v>94763.180499999988</v>
      </c>
      <c r="H25" s="280">
        <f t="shared" si="4"/>
        <v>1374.0661172499999</v>
      </c>
      <c r="I25" s="280">
        <v>7000</v>
      </c>
      <c r="J25" s="280">
        <f t="shared" si="5"/>
        <v>42</v>
      </c>
      <c r="K25" s="280">
        <v>11100</v>
      </c>
      <c r="L25" s="280">
        <f t="shared" si="6"/>
        <v>33.299999999999997</v>
      </c>
      <c r="M25" s="280">
        <f t="shared" si="7"/>
        <v>7057.9152727499995</v>
      </c>
    </row>
    <row r="26" spans="1:13">
      <c r="A26" s="250">
        <f t="shared" si="1"/>
        <v>15</v>
      </c>
      <c r="B26" s="256" t="s">
        <v>445</v>
      </c>
      <c r="C26" s="279"/>
      <c r="D26" s="280">
        <v>68179.065000000002</v>
      </c>
      <c r="E26" s="280">
        <v>62980.732499999998</v>
      </c>
      <c r="F26" s="281">
        <f t="shared" si="2"/>
        <v>3904.8054149999998</v>
      </c>
      <c r="G26" s="280">
        <f t="shared" si="3"/>
        <v>68179.065000000002</v>
      </c>
      <c r="H26" s="280">
        <f t="shared" si="4"/>
        <v>988.59644250000008</v>
      </c>
      <c r="I26" s="280">
        <v>7000</v>
      </c>
      <c r="J26" s="280">
        <f t="shared" si="5"/>
        <v>42</v>
      </c>
      <c r="K26" s="280">
        <v>11100</v>
      </c>
      <c r="L26" s="280">
        <f t="shared" si="6"/>
        <v>33.299999999999997</v>
      </c>
      <c r="M26" s="280">
        <f t="shared" si="7"/>
        <v>4968.7018575000002</v>
      </c>
    </row>
    <row r="27" spans="1:13">
      <c r="A27" s="250">
        <f t="shared" si="1"/>
        <v>16</v>
      </c>
      <c r="B27" s="251" t="s">
        <v>446</v>
      </c>
      <c r="C27" s="279"/>
      <c r="D27" s="280">
        <v>50557.978000000003</v>
      </c>
      <c r="E27" s="280">
        <v>50449.069000000003</v>
      </c>
      <c r="F27" s="281">
        <f t="shared" si="2"/>
        <v>3127.8422780000001</v>
      </c>
      <c r="G27" s="280">
        <f t="shared" si="3"/>
        <v>50557.978000000003</v>
      </c>
      <c r="H27" s="280">
        <f t="shared" si="4"/>
        <v>733.09068100000013</v>
      </c>
      <c r="I27" s="280">
        <v>7000</v>
      </c>
      <c r="J27" s="280">
        <f t="shared" si="5"/>
        <v>42</v>
      </c>
      <c r="K27" s="280">
        <v>11100</v>
      </c>
      <c r="L27" s="280">
        <f t="shared" si="6"/>
        <v>33.299999999999997</v>
      </c>
      <c r="M27" s="280">
        <f t="shared" si="7"/>
        <v>3936.2329590000004</v>
      </c>
    </row>
    <row r="28" spans="1:13">
      <c r="A28" s="250">
        <f t="shared" si="1"/>
        <v>17</v>
      </c>
      <c r="B28" s="256" t="s">
        <v>447</v>
      </c>
      <c r="C28" s="279"/>
      <c r="D28" s="280">
        <v>61226.374999999993</v>
      </c>
      <c r="E28" s="280">
        <v>61116.387499999997</v>
      </c>
      <c r="F28" s="281">
        <f t="shared" si="2"/>
        <v>3789.2160249999997</v>
      </c>
      <c r="G28" s="280">
        <f t="shared" si="3"/>
        <v>61226.374999999993</v>
      </c>
      <c r="H28" s="280">
        <f t="shared" si="4"/>
        <v>887.7824374999999</v>
      </c>
      <c r="I28" s="280">
        <v>7000</v>
      </c>
      <c r="J28" s="280">
        <f t="shared" si="5"/>
        <v>42</v>
      </c>
      <c r="K28" s="280">
        <v>11100</v>
      </c>
      <c r="L28" s="280">
        <f t="shared" si="6"/>
        <v>33.299999999999997</v>
      </c>
      <c r="M28" s="280">
        <f t="shared" si="7"/>
        <v>4752.2984624999999</v>
      </c>
    </row>
    <row r="29" spans="1:13">
      <c r="A29" s="250">
        <f t="shared" si="1"/>
        <v>18</v>
      </c>
      <c r="B29" s="251" t="s">
        <v>448</v>
      </c>
      <c r="C29" s="279"/>
      <c r="D29" s="280">
        <v>52270.9</v>
      </c>
      <c r="E29" s="280">
        <v>51511.45</v>
      </c>
      <c r="F29" s="281">
        <f t="shared" si="2"/>
        <v>3193.7098999999998</v>
      </c>
      <c r="G29" s="280">
        <f t="shared" si="3"/>
        <v>52270.9</v>
      </c>
      <c r="H29" s="280">
        <f t="shared" si="4"/>
        <v>757.9280500000001</v>
      </c>
      <c r="I29" s="280">
        <v>7000</v>
      </c>
      <c r="J29" s="280">
        <f t="shared" si="5"/>
        <v>42</v>
      </c>
      <c r="K29" s="280">
        <v>11100</v>
      </c>
      <c r="L29" s="280">
        <f t="shared" si="6"/>
        <v>33.299999999999997</v>
      </c>
      <c r="M29" s="280">
        <f t="shared" si="7"/>
        <v>4026.93795</v>
      </c>
    </row>
    <row r="30" spans="1:13">
      <c r="A30" s="250">
        <f t="shared" si="1"/>
        <v>19</v>
      </c>
      <c r="B30" s="251" t="s">
        <v>449</v>
      </c>
      <c r="C30" s="279"/>
      <c r="D30" s="280">
        <v>103496.25</v>
      </c>
      <c r="E30" s="280">
        <v>92308.125</v>
      </c>
      <c r="F30" s="281">
        <f t="shared" si="2"/>
        <v>5723.1037500000002</v>
      </c>
      <c r="G30" s="280">
        <f t="shared" si="3"/>
        <v>103496.25</v>
      </c>
      <c r="H30" s="280">
        <f t="shared" si="4"/>
        <v>1500.6956250000001</v>
      </c>
      <c r="I30" s="280">
        <v>7000</v>
      </c>
      <c r="J30" s="280">
        <f t="shared" si="5"/>
        <v>42</v>
      </c>
      <c r="K30" s="280">
        <v>11100</v>
      </c>
      <c r="L30" s="280">
        <f t="shared" si="6"/>
        <v>33.299999999999997</v>
      </c>
      <c r="M30" s="280">
        <f t="shared" si="7"/>
        <v>7299.0993750000007</v>
      </c>
    </row>
    <row r="31" spans="1:13">
      <c r="A31" s="250">
        <f t="shared" si="1"/>
        <v>20</v>
      </c>
      <c r="B31" s="256" t="s">
        <v>450</v>
      </c>
      <c r="C31" s="279"/>
      <c r="D31" s="280">
        <v>65031.94249999999</v>
      </c>
      <c r="E31" s="280">
        <v>63019.171249999992</v>
      </c>
      <c r="F31" s="281">
        <f t="shared" si="2"/>
        <v>3907.1886174999995</v>
      </c>
      <c r="G31" s="280">
        <f t="shared" si="3"/>
        <v>65031.94249999999</v>
      </c>
      <c r="H31" s="280">
        <f t="shared" si="4"/>
        <v>942.96316624999986</v>
      </c>
      <c r="I31" s="280">
        <v>7000</v>
      </c>
      <c r="J31" s="280">
        <f t="shared" si="5"/>
        <v>42</v>
      </c>
      <c r="K31" s="280">
        <v>11100</v>
      </c>
      <c r="L31" s="280">
        <f t="shared" si="6"/>
        <v>33.299999999999997</v>
      </c>
      <c r="M31" s="280">
        <f t="shared" si="7"/>
        <v>4925.4517837499998</v>
      </c>
    </row>
    <row r="32" spans="1:13">
      <c r="A32" s="250">
        <f t="shared" si="1"/>
        <v>21</v>
      </c>
      <c r="B32" s="251" t="s">
        <v>451</v>
      </c>
      <c r="C32" s="279"/>
      <c r="D32" s="280">
        <v>97186.367499999993</v>
      </c>
      <c r="E32" s="280">
        <v>91672.063750000001</v>
      </c>
      <c r="F32" s="281">
        <f t="shared" si="2"/>
        <v>5683.6679525</v>
      </c>
      <c r="G32" s="280">
        <f t="shared" si="3"/>
        <v>97186.367499999993</v>
      </c>
      <c r="H32" s="280">
        <f t="shared" si="4"/>
        <v>1409.2023287499999</v>
      </c>
      <c r="I32" s="280">
        <v>7000</v>
      </c>
      <c r="J32" s="280">
        <f t="shared" si="5"/>
        <v>42</v>
      </c>
      <c r="K32" s="280">
        <v>11100</v>
      </c>
      <c r="L32" s="280">
        <f t="shared" si="6"/>
        <v>33.299999999999997</v>
      </c>
      <c r="M32" s="280">
        <f t="shared" si="7"/>
        <v>7168.1702812499998</v>
      </c>
    </row>
    <row r="33" spans="1:13">
      <c r="A33" s="250">
        <f t="shared" si="1"/>
        <v>22</v>
      </c>
      <c r="B33" s="251" t="s">
        <v>452</v>
      </c>
      <c r="C33" s="279"/>
      <c r="D33" s="280">
        <v>54471.027000000002</v>
      </c>
      <c r="E33" s="280">
        <v>54045.673499999997</v>
      </c>
      <c r="F33" s="281">
        <f t="shared" si="2"/>
        <v>3350.8317569999999</v>
      </c>
      <c r="G33" s="280">
        <f t="shared" si="3"/>
        <v>54471.027000000002</v>
      </c>
      <c r="H33" s="280">
        <f t="shared" si="4"/>
        <v>789.82989150000003</v>
      </c>
      <c r="I33" s="280">
        <v>7000</v>
      </c>
      <c r="J33" s="280">
        <f t="shared" si="5"/>
        <v>42</v>
      </c>
      <c r="K33" s="280">
        <v>11100</v>
      </c>
      <c r="L33" s="280">
        <f t="shared" si="6"/>
        <v>33.299999999999997</v>
      </c>
      <c r="M33" s="280">
        <f t="shared" si="7"/>
        <v>4215.9616484999997</v>
      </c>
    </row>
    <row r="34" spans="1:13">
      <c r="A34" s="250">
        <f t="shared" si="1"/>
        <v>23</v>
      </c>
      <c r="B34" s="251" t="s">
        <v>453</v>
      </c>
      <c r="C34" s="279"/>
      <c r="D34" s="280">
        <v>111911.8885</v>
      </c>
      <c r="E34" s="280">
        <v>99034.824249999991</v>
      </c>
      <c r="F34" s="281">
        <f t="shared" si="2"/>
        <v>6140.1591034999992</v>
      </c>
      <c r="G34" s="280">
        <f t="shared" si="3"/>
        <v>111911.8885</v>
      </c>
      <c r="H34" s="280">
        <f t="shared" si="4"/>
        <v>1622.7223832500001</v>
      </c>
      <c r="I34" s="280">
        <v>7000</v>
      </c>
      <c r="J34" s="280">
        <f t="shared" si="5"/>
        <v>42</v>
      </c>
      <c r="K34" s="280">
        <v>11100</v>
      </c>
      <c r="L34" s="280">
        <f t="shared" si="6"/>
        <v>33.299999999999997</v>
      </c>
      <c r="M34" s="280">
        <f t="shared" si="7"/>
        <v>7838.1814867499997</v>
      </c>
    </row>
    <row r="35" spans="1:13">
      <c r="A35" s="250">
        <f t="shared" si="1"/>
        <v>24</v>
      </c>
      <c r="B35" s="251" t="s">
        <v>454</v>
      </c>
      <c r="C35" s="279"/>
      <c r="D35" s="280">
        <v>98740.247499999998</v>
      </c>
      <c r="E35" s="280">
        <v>94732.84375</v>
      </c>
      <c r="F35" s="281">
        <f t="shared" si="2"/>
        <v>5873.4363125</v>
      </c>
      <c r="G35" s="280">
        <f t="shared" si="3"/>
        <v>98740.247499999998</v>
      </c>
      <c r="H35" s="280">
        <f t="shared" si="4"/>
        <v>1431.7335887500001</v>
      </c>
      <c r="I35" s="280">
        <v>7000</v>
      </c>
      <c r="J35" s="280">
        <f t="shared" si="5"/>
        <v>42</v>
      </c>
      <c r="K35" s="280">
        <v>11100</v>
      </c>
      <c r="L35" s="280">
        <f t="shared" si="6"/>
        <v>33.299999999999997</v>
      </c>
      <c r="M35" s="280">
        <f t="shared" si="7"/>
        <v>7380.4699012500005</v>
      </c>
    </row>
    <row r="36" spans="1:13">
      <c r="A36" s="250">
        <f t="shared" si="1"/>
        <v>25</v>
      </c>
      <c r="B36" s="251" t="s">
        <v>455</v>
      </c>
      <c r="C36" s="279"/>
      <c r="D36" s="280">
        <v>52308.56</v>
      </c>
      <c r="E36" s="280">
        <v>52195.88</v>
      </c>
      <c r="F36" s="281">
        <f t="shared" si="2"/>
        <v>3236.1445599999997</v>
      </c>
      <c r="G36" s="280">
        <f t="shared" si="3"/>
        <v>52308.56</v>
      </c>
      <c r="H36" s="280">
        <f t="shared" si="4"/>
        <v>758.47411999999997</v>
      </c>
      <c r="I36" s="280">
        <v>7000</v>
      </c>
      <c r="J36" s="280">
        <f t="shared" si="5"/>
        <v>42</v>
      </c>
      <c r="K36" s="280">
        <v>11100</v>
      </c>
      <c r="L36" s="280">
        <f t="shared" si="6"/>
        <v>33.299999999999997</v>
      </c>
      <c r="M36" s="280">
        <f t="shared" si="7"/>
        <v>4069.9186799999998</v>
      </c>
    </row>
    <row r="37" spans="1:13">
      <c r="A37" s="250">
        <f t="shared" si="1"/>
        <v>26</v>
      </c>
      <c r="B37" s="256" t="s">
        <v>456</v>
      </c>
      <c r="C37" s="279"/>
      <c r="D37" s="280">
        <v>90275.25</v>
      </c>
      <c r="E37" s="280">
        <v>85697.625</v>
      </c>
      <c r="F37" s="281">
        <f t="shared" si="2"/>
        <v>5313.2527499999997</v>
      </c>
      <c r="G37" s="280">
        <f t="shared" si="3"/>
        <v>90275.25</v>
      </c>
      <c r="H37" s="280">
        <f t="shared" si="4"/>
        <v>1308.991125</v>
      </c>
      <c r="I37" s="280">
        <v>7000</v>
      </c>
      <c r="J37" s="280">
        <f t="shared" si="5"/>
        <v>42</v>
      </c>
      <c r="K37" s="280">
        <v>11100</v>
      </c>
      <c r="L37" s="280">
        <f t="shared" si="6"/>
        <v>33.299999999999997</v>
      </c>
      <c r="M37" s="280">
        <f t="shared" si="7"/>
        <v>6697.5438750000003</v>
      </c>
    </row>
    <row r="38" spans="1:13">
      <c r="A38" s="250">
        <f t="shared" si="1"/>
        <v>27</v>
      </c>
      <c r="B38" s="251" t="s">
        <v>457</v>
      </c>
      <c r="C38" s="279"/>
      <c r="D38" s="280">
        <v>46945.599999999999</v>
      </c>
      <c r="E38" s="280">
        <v>46945.599999999999</v>
      </c>
      <c r="F38" s="281">
        <f t="shared" si="2"/>
        <v>2910.6271999999999</v>
      </c>
      <c r="G38" s="280">
        <f t="shared" si="3"/>
        <v>46945.599999999999</v>
      </c>
      <c r="H38" s="280">
        <f t="shared" si="4"/>
        <v>680.71119999999996</v>
      </c>
      <c r="I38" s="280">
        <v>7000</v>
      </c>
      <c r="J38" s="280">
        <f t="shared" si="5"/>
        <v>42</v>
      </c>
      <c r="K38" s="280">
        <v>11100</v>
      </c>
      <c r="L38" s="280">
        <f t="shared" si="6"/>
        <v>33.299999999999997</v>
      </c>
      <c r="M38" s="280">
        <f t="shared" si="7"/>
        <v>3666.6383999999998</v>
      </c>
    </row>
    <row r="39" spans="1:13">
      <c r="A39" s="250">
        <f t="shared" si="1"/>
        <v>28</v>
      </c>
      <c r="B39" s="256" t="s">
        <v>458</v>
      </c>
      <c r="C39" s="279"/>
      <c r="D39" s="280">
        <v>55097.977500000001</v>
      </c>
      <c r="E39" s="280">
        <v>54037.78875</v>
      </c>
      <c r="F39" s="281">
        <f t="shared" si="2"/>
        <v>3350.3429025</v>
      </c>
      <c r="G39" s="280">
        <f t="shared" si="3"/>
        <v>55097.977500000001</v>
      </c>
      <c r="H39" s="280">
        <f t="shared" si="4"/>
        <v>798.92067375000011</v>
      </c>
      <c r="I39" s="280">
        <v>7000</v>
      </c>
      <c r="J39" s="280">
        <f t="shared" si="5"/>
        <v>42</v>
      </c>
      <c r="K39" s="280">
        <v>11100</v>
      </c>
      <c r="L39" s="280">
        <f t="shared" si="6"/>
        <v>33.299999999999997</v>
      </c>
      <c r="M39" s="280">
        <f t="shared" si="7"/>
        <v>4224.5635762500006</v>
      </c>
    </row>
    <row r="40" spans="1:13">
      <c r="A40" s="250">
        <f t="shared" si="1"/>
        <v>29</v>
      </c>
      <c r="B40" s="256" t="s">
        <v>459</v>
      </c>
      <c r="C40" s="279"/>
      <c r="D40" s="280">
        <v>43160.69</v>
      </c>
      <c r="E40" s="280">
        <v>41631.544999999998</v>
      </c>
      <c r="F40" s="281">
        <f t="shared" si="2"/>
        <v>2581.1557899999998</v>
      </c>
      <c r="G40" s="280">
        <f t="shared" si="3"/>
        <v>43160.69</v>
      </c>
      <c r="H40" s="280">
        <f t="shared" si="4"/>
        <v>625.83000500000003</v>
      </c>
      <c r="I40" s="280">
        <v>7000</v>
      </c>
      <c r="J40" s="280">
        <f t="shared" si="5"/>
        <v>42</v>
      </c>
      <c r="K40" s="280">
        <v>11100</v>
      </c>
      <c r="L40" s="280">
        <f t="shared" si="6"/>
        <v>33.299999999999997</v>
      </c>
      <c r="M40" s="280">
        <f t="shared" si="7"/>
        <v>3282.2857949999998</v>
      </c>
    </row>
    <row r="41" spans="1:13">
      <c r="A41" s="250">
        <f t="shared" si="1"/>
        <v>30</v>
      </c>
      <c r="B41" s="256" t="s">
        <v>460</v>
      </c>
      <c r="C41" s="279"/>
      <c r="D41" s="280">
        <v>50574.69</v>
      </c>
      <c r="E41" s="280">
        <v>50465.745000000003</v>
      </c>
      <c r="F41" s="281">
        <f t="shared" si="2"/>
        <v>3128.87619</v>
      </c>
      <c r="G41" s="280">
        <f t="shared" si="3"/>
        <v>50574.69</v>
      </c>
      <c r="H41" s="280">
        <f t="shared" si="4"/>
        <v>733.33300500000007</v>
      </c>
      <c r="I41" s="280">
        <v>7000</v>
      </c>
      <c r="J41" s="280">
        <f t="shared" si="5"/>
        <v>42</v>
      </c>
      <c r="K41" s="280">
        <v>11100</v>
      </c>
      <c r="L41" s="280">
        <f t="shared" si="6"/>
        <v>33.299999999999997</v>
      </c>
      <c r="M41" s="280">
        <f t="shared" si="7"/>
        <v>3937.5091950000001</v>
      </c>
    </row>
    <row r="42" spans="1:13">
      <c r="A42" s="250">
        <f t="shared" si="1"/>
        <v>31</v>
      </c>
      <c r="B42" s="251" t="s">
        <v>461</v>
      </c>
      <c r="C42" s="279"/>
      <c r="D42" s="280">
        <v>42253.3125</v>
      </c>
      <c r="E42" s="280">
        <v>41625.056250000001</v>
      </c>
      <c r="F42" s="281">
        <f t="shared" si="2"/>
        <v>2580.7534875000001</v>
      </c>
      <c r="G42" s="280">
        <f t="shared" si="3"/>
        <v>42253.3125</v>
      </c>
      <c r="H42" s="280">
        <f t="shared" si="4"/>
        <v>612.67303125000001</v>
      </c>
      <c r="I42" s="280">
        <v>7000</v>
      </c>
      <c r="J42" s="280">
        <f t="shared" si="5"/>
        <v>42</v>
      </c>
      <c r="K42" s="280">
        <v>11100</v>
      </c>
      <c r="L42" s="280">
        <f t="shared" si="6"/>
        <v>33.299999999999997</v>
      </c>
      <c r="M42" s="280">
        <f t="shared" si="7"/>
        <v>3268.7265187500002</v>
      </c>
    </row>
    <row r="43" spans="1:13">
      <c r="A43" s="250">
        <f t="shared" si="1"/>
        <v>32</v>
      </c>
      <c r="B43" s="251" t="s">
        <v>462</v>
      </c>
      <c r="C43" s="279"/>
      <c r="D43" s="280">
        <v>63208.800000000003</v>
      </c>
      <c r="E43" s="280">
        <v>61556.4</v>
      </c>
      <c r="F43" s="281">
        <f t="shared" si="2"/>
        <v>3816.4967999999999</v>
      </c>
      <c r="G43" s="280">
        <f t="shared" si="3"/>
        <v>63208.800000000003</v>
      </c>
      <c r="H43" s="280">
        <f t="shared" si="4"/>
        <v>916.52760000000012</v>
      </c>
      <c r="I43" s="280">
        <v>7000</v>
      </c>
      <c r="J43" s="280">
        <f t="shared" si="5"/>
        <v>42</v>
      </c>
      <c r="K43" s="280">
        <v>11100</v>
      </c>
      <c r="L43" s="280">
        <f t="shared" si="6"/>
        <v>33.299999999999997</v>
      </c>
      <c r="M43" s="280">
        <f t="shared" si="7"/>
        <v>4808.3244000000004</v>
      </c>
    </row>
    <row r="44" spans="1:13">
      <c r="A44" s="250">
        <f t="shared" si="1"/>
        <v>33</v>
      </c>
      <c r="B44" s="251" t="s">
        <v>463</v>
      </c>
      <c r="C44" s="279"/>
      <c r="D44" s="280">
        <v>112626.41799999999</v>
      </c>
      <c r="E44" s="280">
        <v>99392.088999999993</v>
      </c>
      <c r="F44" s="281">
        <f t="shared" si="2"/>
        <v>6162.3095179999991</v>
      </c>
      <c r="G44" s="280">
        <f t="shared" si="3"/>
        <v>112626.41799999999</v>
      </c>
      <c r="H44" s="280">
        <f t="shared" si="4"/>
        <v>1633.083061</v>
      </c>
      <c r="I44" s="280">
        <v>7000</v>
      </c>
      <c r="J44" s="280">
        <f t="shared" si="5"/>
        <v>42</v>
      </c>
      <c r="K44" s="280">
        <v>11100</v>
      </c>
      <c r="L44" s="280">
        <f t="shared" si="6"/>
        <v>33.299999999999997</v>
      </c>
      <c r="M44" s="280">
        <f t="shared" si="7"/>
        <v>7870.6925789999996</v>
      </c>
    </row>
    <row r="45" spans="1:13">
      <c r="A45" s="250">
        <f t="shared" si="1"/>
        <v>34</v>
      </c>
      <c r="B45" s="256" t="s">
        <v>464</v>
      </c>
      <c r="C45" s="279"/>
      <c r="D45" s="280">
        <v>41308.799999999996</v>
      </c>
      <c r="E45" s="280">
        <v>41308.799999999996</v>
      </c>
      <c r="F45" s="281">
        <f t="shared" si="2"/>
        <v>2561.1455999999998</v>
      </c>
      <c r="G45" s="280">
        <f t="shared" si="3"/>
        <v>41308.799999999996</v>
      </c>
      <c r="H45" s="280">
        <f t="shared" si="4"/>
        <v>598.97759999999994</v>
      </c>
      <c r="I45" s="280">
        <v>7000</v>
      </c>
      <c r="J45" s="280">
        <f t="shared" si="5"/>
        <v>42</v>
      </c>
      <c r="K45" s="280">
        <v>11100</v>
      </c>
      <c r="L45" s="280">
        <f t="shared" si="6"/>
        <v>33.299999999999997</v>
      </c>
      <c r="M45" s="280">
        <f t="shared" si="7"/>
        <v>3235.4232000000002</v>
      </c>
    </row>
    <row r="46" spans="1:13">
      <c r="A46" s="250">
        <f t="shared" si="1"/>
        <v>35</v>
      </c>
      <c r="B46" s="256" t="s">
        <v>465</v>
      </c>
      <c r="C46" s="279"/>
      <c r="D46" s="280">
        <v>90421.5</v>
      </c>
      <c r="E46" s="280">
        <v>85770.75</v>
      </c>
      <c r="F46" s="281">
        <f t="shared" si="2"/>
        <v>5317.7865000000002</v>
      </c>
      <c r="G46" s="280">
        <f t="shared" si="3"/>
        <v>90421.5</v>
      </c>
      <c r="H46" s="280">
        <f t="shared" si="4"/>
        <v>1311.11175</v>
      </c>
      <c r="I46" s="280">
        <v>7000</v>
      </c>
      <c r="J46" s="280">
        <f t="shared" si="5"/>
        <v>42</v>
      </c>
      <c r="K46" s="280">
        <v>11100</v>
      </c>
      <c r="L46" s="280">
        <f t="shared" si="6"/>
        <v>33.299999999999997</v>
      </c>
      <c r="M46" s="280">
        <f t="shared" si="7"/>
        <v>6704.1982500000004</v>
      </c>
    </row>
    <row r="47" spans="1:13">
      <c r="A47" s="250">
        <f t="shared" si="1"/>
        <v>36</v>
      </c>
      <c r="B47" s="256" t="s">
        <v>466</v>
      </c>
      <c r="C47" s="279"/>
      <c r="D47" s="280">
        <v>65553.851999999999</v>
      </c>
      <c r="E47" s="280">
        <v>63003.486000000004</v>
      </c>
      <c r="F47" s="281">
        <f t="shared" si="2"/>
        <v>3906.2161320000005</v>
      </c>
      <c r="G47" s="280">
        <f t="shared" si="3"/>
        <v>65553.851999999999</v>
      </c>
      <c r="H47" s="280">
        <f t="shared" si="4"/>
        <v>950.53085399999998</v>
      </c>
      <c r="I47" s="280">
        <v>7000</v>
      </c>
      <c r="J47" s="280">
        <f t="shared" si="5"/>
        <v>42</v>
      </c>
      <c r="K47" s="280">
        <v>11100</v>
      </c>
      <c r="L47" s="280">
        <f t="shared" si="6"/>
        <v>33.299999999999997</v>
      </c>
      <c r="M47" s="280">
        <f t="shared" si="7"/>
        <v>4932.0469860000003</v>
      </c>
    </row>
    <row r="48" spans="1:13">
      <c r="A48" s="250">
        <f t="shared" si="1"/>
        <v>37</v>
      </c>
      <c r="B48" s="251" t="s">
        <v>467</v>
      </c>
      <c r="C48" s="279"/>
      <c r="D48" s="280">
        <v>110896.5</v>
      </c>
      <c r="E48" s="280">
        <v>96008.25</v>
      </c>
      <c r="F48" s="281">
        <f t="shared" si="2"/>
        <v>5952.5114999999996</v>
      </c>
      <c r="G48" s="280">
        <f t="shared" si="3"/>
        <v>110896.5</v>
      </c>
      <c r="H48" s="280">
        <f t="shared" si="4"/>
        <v>1607.9992500000001</v>
      </c>
      <c r="I48" s="280">
        <v>7000</v>
      </c>
      <c r="J48" s="280">
        <f t="shared" si="5"/>
        <v>42</v>
      </c>
      <c r="K48" s="280">
        <v>11100</v>
      </c>
      <c r="L48" s="280">
        <f t="shared" si="6"/>
        <v>33.299999999999997</v>
      </c>
      <c r="M48" s="280">
        <f t="shared" si="7"/>
        <v>7635.8107499999996</v>
      </c>
    </row>
    <row r="49" spans="1:13">
      <c r="A49" s="250">
        <f t="shared" si="1"/>
        <v>38</v>
      </c>
      <c r="B49" s="251" t="s">
        <v>468</v>
      </c>
      <c r="C49" s="279"/>
      <c r="D49" s="280">
        <v>100805.25</v>
      </c>
      <c r="E49" s="280">
        <v>90962.625</v>
      </c>
      <c r="F49" s="281">
        <f t="shared" si="2"/>
        <v>5639.6827499999999</v>
      </c>
      <c r="G49" s="280">
        <f t="shared" si="3"/>
        <v>100805.25</v>
      </c>
      <c r="H49" s="280">
        <f t="shared" si="4"/>
        <v>1461.6761250000002</v>
      </c>
      <c r="I49" s="280">
        <v>7000</v>
      </c>
      <c r="J49" s="280">
        <f t="shared" si="5"/>
        <v>42</v>
      </c>
      <c r="K49" s="280">
        <v>11100</v>
      </c>
      <c r="L49" s="280">
        <f t="shared" si="6"/>
        <v>33.299999999999997</v>
      </c>
      <c r="M49" s="280">
        <f t="shared" si="7"/>
        <v>7176.6588750000001</v>
      </c>
    </row>
    <row r="50" spans="1:13">
      <c r="A50" s="250">
        <f t="shared" si="1"/>
        <v>39</v>
      </c>
      <c r="B50" s="251" t="s">
        <v>469</v>
      </c>
      <c r="C50" s="279"/>
      <c r="D50" s="280">
        <v>42686.067499999997</v>
      </c>
      <c r="E50" s="280">
        <v>41737.433749999997</v>
      </c>
      <c r="F50" s="281">
        <f t="shared" si="2"/>
        <v>2587.7208925</v>
      </c>
      <c r="G50" s="280">
        <f t="shared" si="3"/>
        <v>42686.067499999997</v>
      </c>
      <c r="H50" s="280">
        <f t="shared" si="4"/>
        <v>618.94797874999995</v>
      </c>
      <c r="I50" s="280">
        <v>7000</v>
      </c>
      <c r="J50" s="280">
        <f t="shared" si="5"/>
        <v>42</v>
      </c>
      <c r="K50" s="280">
        <v>11100</v>
      </c>
      <c r="L50" s="280">
        <f t="shared" si="6"/>
        <v>33.299999999999997</v>
      </c>
      <c r="M50" s="280">
        <f t="shared" si="7"/>
        <v>3281.9688712500001</v>
      </c>
    </row>
    <row r="51" spans="1:13">
      <c r="A51" s="250">
        <f t="shared" si="1"/>
        <v>40</v>
      </c>
      <c r="B51" s="256" t="s">
        <v>470</v>
      </c>
      <c r="C51" s="279"/>
      <c r="D51" s="280">
        <v>98143.5</v>
      </c>
      <c r="E51" s="280">
        <v>89631.75</v>
      </c>
      <c r="F51" s="281">
        <f t="shared" si="2"/>
        <v>5557.1684999999998</v>
      </c>
      <c r="G51" s="280">
        <f t="shared" si="3"/>
        <v>98143.5</v>
      </c>
      <c r="H51" s="280">
        <f t="shared" si="4"/>
        <v>1423.0807500000001</v>
      </c>
      <c r="I51" s="280">
        <v>7000</v>
      </c>
      <c r="J51" s="280">
        <f t="shared" si="5"/>
        <v>42</v>
      </c>
      <c r="K51" s="280">
        <v>11100</v>
      </c>
      <c r="L51" s="280">
        <f t="shared" si="6"/>
        <v>33.299999999999997</v>
      </c>
      <c r="M51" s="280">
        <f t="shared" si="7"/>
        <v>7055.54925</v>
      </c>
    </row>
    <row r="52" spans="1:13">
      <c r="A52" s="250">
        <f t="shared" si="1"/>
        <v>41</v>
      </c>
      <c r="B52" s="251" t="s">
        <v>471</v>
      </c>
      <c r="C52" s="279"/>
      <c r="D52" s="280">
        <v>97207.5</v>
      </c>
      <c r="E52" s="280">
        <v>89163.75</v>
      </c>
      <c r="F52" s="281">
        <f t="shared" si="2"/>
        <v>5528.1525000000001</v>
      </c>
      <c r="G52" s="280">
        <f t="shared" si="3"/>
        <v>97207.5</v>
      </c>
      <c r="H52" s="280">
        <f t="shared" si="4"/>
        <v>1409.50875</v>
      </c>
      <c r="I52" s="280">
        <v>7000</v>
      </c>
      <c r="J52" s="280">
        <f t="shared" si="5"/>
        <v>42</v>
      </c>
      <c r="K52" s="280">
        <v>11100</v>
      </c>
      <c r="L52" s="280">
        <f t="shared" si="6"/>
        <v>33.299999999999997</v>
      </c>
      <c r="M52" s="280">
        <f t="shared" si="7"/>
        <v>7012.9612500000003</v>
      </c>
    </row>
    <row r="53" spans="1:13">
      <c r="A53" s="250">
        <f t="shared" si="1"/>
        <v>42</v>
      </c>
      <c r="B53" s="251" t="s">
        <v>472</v>
      </c>
      <c r="C53" s="279"/>
      <c r="D53" s="280">
        <v>99167.25</v>
      </c>
      <c r="E53" s="280">
        <v>90143.625</v>
      </c>
      <c r="F53" s="281">
        <f t="shared" si="2"/>
        <v>5588.9047499999997</v>
      </c>
      <c r="G53" s="280">
        <f t="shared" si="3"/>
        <v>99167.25</v>
      </c>
      <c r="H53" s="280">
        <f t="shared" si="4"/>
        <v>1437.925125</v>
      </c>
      <c r="I53" s="280">
        <v>7000</v>
      </c>
      <c r="J53" s="280">
        <f t="shared" si="5"/>
        <v>42</v>
      </c>
      <c r="K53" s="280">
        <v>11100</v>
      </c>
      <c r="L53" s="280">
        <f t="shared" si="6"/>
        <v>33.299999999999997</v>
      </c>
      <c r="M53" s="280">
        <f t="shared" si="7"/>
        <v>7102.1298749999996</v>
      </c>
    </row>
    <row r="54" spans="1:13">
      <c r="A54" s="250">
        <f t="shared" si="1"/>
        <v>43</v>
      </c>
      <c r="B54" s="251" t="s">
        <v>473</v>
      </c>
      <c r="C54" s="279"/>
      <c r="D54" s="280">
        <v>91913.25</v>
      </c>
      <c r="E54" s="280">
        <v>86516.625</v>
      </c>
      <c r="F54" s="281">
        <f t="shared" si="2"/>
        <v>5364.0307499999999</v>
      </c>
      <c r="G54" s="280">
        <f t="shared" si="3"/>
        <v>91913.25</v>
      </c>
      <c r="H54" s="280">
        <f t="shared" si="4"/>
        <v>1332.742125</v>
      </c>
      <c r="I54" s="280">
        <v>7000</v>
      </c>
      <c r="J54" s="280">
        <f t="shared" si="5"/>
        <v>42</v>
      </c>
      <c r="K54" s="280">
        <v>11100</v>
      </c>
      <c r="L54" s="280">
        <f t="shared" si="6"/>
        <v>33.299999999999997</v>
      </c>
      <c r="M54" s="280">
        <f t="shared" si="7"/>
        <v>6772.0728749999998</v>
      </c>
    </row>
    <row r="55" spans="1:13">
      <c r="A55" s="250">
        <f t="shared" si="1"/>
        <v>44</v>
      </c>
      <c r="B55" s="251" t="s">
        <v>474</v>
      </c>
      <c r="C55" s="279"/>
      <c r="D55" s="280">
        <v>93132</v>
      </c>
      <c r="E55" s="280">
        <v>84006</v>
      </c>
      <c r="F55" s="281">
        <f t="shared" si="2"/>
        <v>5208.3720000000003</v>
      </c>
      <c r="G55" s="280">
        <f t="shared" si="3"/>
        <v>93132</v>
      </c>
      <c r="H55" s="280">
        <f t="shared" si="4"/>
        <v>1350.414</v>
      </c>
      <c r="I55" s="280">
        <v>7000</v>
      </c>
      <c r="J55" s="280">
        <f t="shared" si="5"/>
        <v>42</v>
      </c>
      <c r="K55" s="280">
        <v>11100</v>
      </c>
      <c r="L55" s="280">
        <f t="shared" si="6"/>
        <v>33.299999999999997</v>
      </c>
      <c r="M55" s="280">
        <f t="shared" si="7"/>
        <v>6634.0860000000002</v>
      </c>
    </row>
    <row r="56" spans="1:13">
      <c r="A56" s="250">
        <f t="shared" si="1"/>
        <v>45</v>
      </c>
      <c r="B56" s="251" t="s">
        <v>475</v>
      </c>
      <c r="C56" s="279"/>
      <c r="D56" s="280">
        <v>50820.11</v>
      </c>
      <c r="E56" s="280">
        <v>50765.255000000005</v>
      </c>
      <c r="F56" s="281">
        <f t="shared" si="2"/>
        <v>3147.4458100000002</v>
      </c>
      <c r="G56" s="280">
        <f t="shared" si="3"/>
        <v>50820.11</v>
      </c>
      <c r="H56" s="280">
        <f t="shared" si="4"/>
        <v>736.89159500000005</v>
      </c>
      <c r="I56" s="280">
        <v>7000</v>
      </c>
      <c r="J56" s="280">
        <f t="shared" si="5"/>
        <v>42</v>
      </c>
      <c r="K56" s="280">
        <v>11100</v>
      </c>
      <c r="L56" s="280">
        <f t="shared" si="6"/>
        <v>33.299999999999997</v>
      </c>
      <c r="M56" s="280">
        <f t="shared" si="7"/>
        <v>3959.6374050000004</v>
      </c>
    </row>
    <row r="57" spans="1:13">
      <c r="A57" s="250">
        <f t="shared" si="1"/>
        <v>46</v>
      </c>
      <c r="B57" s="256" t="s">
        <v>476</v>
      </c>
      <c r="C57" s="279"/>
      <c r="D57" s="280">
        <v>59160.596124999996</v>
      </c>
      <c r="E57" s="280">
        <v>57792.378062499993</v>
      </c>
      <c r="F57" s="281">
        <f t="shared" si="2"/>
        <v>3583.1274398749997</v>
      </c>
      <c r="G57" s="280">
        <f t="shared" si="3"/>
        <v>59160.596124999996</v>
      </c>
      <c r="H57" s="280">
        <f t="shared" si="4"/>
        <v>857.82864381249999</v>
      </c>
      <c r="I57" s="280">
        <v>7000</v>
      </c>
      <c r="J57" s="280">
        <f t="shared" si="5"/>
        <v>42</v>
      </c>
      <c r="K57" s="280">
        <v>11100</v>
      </c>
      <c r="L57" s="280">
        <f t="shared" si="6"/>
        <v>33.299999999999997</v>
      </c>
      <c r="M57" s="280">
        <f t="shared" si="7"/>
        <v>4516.2560836875</v>
      </c>
    </row>
    <row r="58" spans="1:13">
      <c r="A58" s="250">
        <f t="shared" si="1"/>
        <v>47</v>
      </c>
      <c r="B58" s="251" t="s">
        <v>477</v>
      </c>
      <c r="C58" s="279"/>
      <c r="D58" s="280">
        <v>102987</v>
      </c>
      <c r="E58" s="280">
        <v>88933.5</v>
      </c>
      <c r="F58" s="281">
        <f t="shared" si="2"/>
        <v>5513.8770000000004</v>
      </c>
      <c r="G58" s="280">
        <f t="shared" si="3"/>
        <v>102987</v>
      </c>
      <c r="H58" s="280">
        <f t="shared" si="4"/>
        <v>1493.3115</v>
      </c>
      <c r="I58" s="280">
        <v>7000</v>
      </c>
      <c r="J58" s="280">
        <f t="shared" si="5"/>
        <v>42</v>
      </c>
      <c r="K58" s="280">
        <v>11100</v>
      </c>
      <c r="L58" s="280">
        <f t="shared" si="6"/>
        <v>33.299999999999997</v>
      </c>
      <c r="M58" s="280">
        <f t="shared" si="7"/>
        <v>7082.4885000000004</v>
      </c>
    </row>
    <row r="59" spans="1:13">
      <c r="A59" s="250">
        <f t="shared" si="1"/>
        <v>48</v>
      </c>
      <c r="B59" s="256" t="s">
        <v>478</v>
      </c>
      <c r="C59" s="279"/>
      <c r="D59" s="280">
        <v>77526.463000000003</v>
      </c>
      <c r="E59" s="280">
        <v>71140.511500000008</v>
      </c>
      <c r="F59" s="281">
        <f t="shared" si="2"/>
        <v>4410.7117130000006</v>
      </c>
      <c r="G59" s="280">
        <f t="shared" si="3"/>
        <v>77526.463000000003</v>
      </c>
      <c r="H59" s="280">
        <f t="shared" si="4"/>
        <v>1124.1337135000001</v>
      </c>
      <c r="I59" s="280">
        <v>7000</v>
      </c>
      <c r="J59" s="280">
        <f t="shared" si="5"/>
        <v>42</v>
      </c>
      <c r="K59" s="280">
        <v>11100</v>
      </c>
      <c r="L59" s="280">
        <f t="shared" si="6"/>
        <v>33.299999999999997</v>
      </c>
      <c r="M59" s="280">
        <f t="shared" si="7"/>
        <v>5610.1454265000011</v>
      </c>
    </row>
    <row r="60" spans="1:13">
      <c r="A60" s="250">
        <f t="shared" si="1"/>
        <v>49</v>
      </c>
      <c r="B60" s="251" t="s">
        <v>479</v>
      </c>
      <c r="C60" s="279"/>
      <c r="D60" s="280">
        <v>50941.275000000001</v>
      </c>
      <c r="E60" s="280">
        <v>49494.637499999997</v>
      </c>
      <c r="F60" s="281">
        <f t="shared" si="2"/>
        <v>3068.6675249999998</v>
      </c>
      <c r="G60" s="280">
        <f t="shared" si="3"/>
        <v>50941.275000000001</v>
      </c>
      <c r="H60" s="280">
        <f t="shared" si="4"/>
        <v>738.6484875000001</v>
      </c>
      <c r="I60" s="280">
        <v>7000</v>
      </c>
      <c r="J60" s="280">
        <f t="shared" si="5"/>
        <v>42</v>
      </c>
      <c r="K60" s="280">
        <v>11100</v>
      </c>
      <c r="L60" s="280">
        <f t="shared" si="6"/>
        <v>33.299999999999997</v>
      </c>
      <c r="M60" s="280">
        <f t="shared" si="7"/>
        <v>3882.6160125000001</v>
      </c>
    </row>
    <row r="61" spans="1:13">
      <c r="A61" s="250">
        <f t="shared" si="1"/>
        <v>50</v>
      </c>
      <c r="B61" s="256" t="s">
        <v>480</v>
      </c>
      <c r="C61" s="279"/>
      <c r="D61" s="280">
        <v>39920.280000000006</v>
      </c>
      <c r="E61" s="280">
        <v>39678.54</v>
      </c>
      <c r="F61" s="281">
        <f t="shared" si="2"/>
        <v>2460.0694800000001</v>
      </c>
      <c r="G61" s="280">
        <f t="shared" si="3"/>
        <v>39920.280000000006</v>
      </c>
      <c r="H61" s="280">
        <f t="shared" si="4"/>
        <v>578.84406000000013</v>
      </c>
      <c r="I61" s="280">
        <v>7000</v>
      </c>
      <c r="J61" s="280">
        <f t="shared" si="5"/>
        <v>42</v>
      </c>
      <c r="K61" s="280">
        <v>11100</v>
      </c>
      <c r="L61" s="280">
        <f t="shared" si="6"/>
        <v>33.299999999999997</v>
      </c>
      <c r="M61" s="280">
        <f t="shared" si="7"/>
        <v>3114.2135400000006</v>
      </c>
    </row>
    <row r="62" spans="1:13">
      <c r="A62" s="250">
        <f t="shared" si="1"/>
        <v>51</v>
      </c>
      <c r="B62" s="256" t="s">
        <v>481</v>
      </c>
      <c r="C62" s="279"/>
      <c r="D62" s="280">
        <v>78296.98000000001</v>
      </c>
      <c r="E62" s="280">
        <v>71525.77</v>
      </c>
      <c r="F62" s="281">
        <f t="shared" si="2"/>
        <v>4434.5977400000002</v>
      </c>
      <c r="G62" s="280">
        <f t="shared" si="3"/>
        <v>78296.98000000001</v>
      </c>
      <c r="H62" s="280">
        <f t="shared" si="4"/>
        <v>1135.3062100000002</v>
      </c>
      <c r="I62" s="280">
        <v>7000</v>
      </c>
      <c r="J62" s="280">
        <f t="shared" si="5"/>
        <v>42</v>
      </c>
      <c r="K62" s="280">
        <v>11100</v>
      </c>
      <c r="L62" s="280">
        <f t="shared" si="6"/>
        <v>33.299999999999997</v>
      </c>
      <c r="M62" s="280">
        <f t="shared" si="7"/>
        <v>5645.2039500000001</v>
      </c>
    </row>
    <row r="63" spans="1:13">
      <c r="A63" s="250">
        <f t="shared" si="1"/>
        <v>52</v>
      </c>
      <c r="B63" s="256" t="s">
        <v>482</v>
      </c>
      <c r="C63" s="279"/>
      <c r="D63" s="280">
        <v>72319.12</v>
      </c>
      <c r="E63" s="280">
        <v>64780.36</v>
      </c>
      <c r="F63" s="281">
        <f t="shared" si="2"/>
        <v>4016.3823200000002</v>
      </c>
      <c r="G63" s="280">
        <f t="shared" si="3"/>
        <v>72319.12</v>
      </c>
      <c r="H63" s="280">
        <f t="shared" si="4"/>
        <v>1048.62724</v>
      </c>
      <c r="I63" s="280">
        <v>7000</v>
      </c>
      <c r="J63" s="280">
        <f t="shared" si="5"/>
        <v>42</v>
      </c>
      <c r="K63" s="280">
        <v>11100</v>
      </c>
      <c r="L63" s="280">
        <f t="shared" si="6"/>
        <v>33.299999999999997</v>
      </c>
      <c r="M63" s="280">
        <f t="shared" si="7"/>
        <v>5140.3095600000006</v>
      </c>
    </row>
    <row r="64" spans="1:13">
      <c r="A64" s="250">
        <f t="shared" si="1"/>
        <v>53</v>
      </c>
      <c r="B64" s="251" t="s">
        <v>483</v>
      </c>
      <c r="C64" s="279"/>
      <c r="D64" s="280">
        <v>68509</v>
      </c>
      <c r="E64" s="280">
        <v>63374.5</v>
      </c>
      <c r="F64" s="281">
        <f t="shared" si="2"/>
        <v>3929.2190000000001</v>
      </c>
      <c r="G64" s="280">
        <f t="shared" si="3"/>
        <v>68509</v>
      </c>
      <c r="H64" s="280">
        <f t="shared" si="4"/>
        <v>993.3805000000001</v>
      </c>
      <c r="I64" s="280">
        <v>7000</v>
      </c>
      <c r="J64" s="280">
        <f t="shared" si="5"/>
        <v>42</v>
      </c>
      <c r="K64" s="280">
        <v>11100</v>
      </c>
      <c r="L64" s="280">
        <f t="shared" si="6"/>
        <v>33.299999999999997</v>
      </c>
      <c r="M64" s="280">
        <f t="shared" si="7"/>
        <v>4997.8995000000004</v>
      </c>
    </row>
    <row r="65" spans="1:13">
      <c r="A65" s="250">
        <f t="shared" si="1"/>
        <v>54</v>
      </c>
      <c r="B65" s="251" t="s">
        <v>484</v>
      </c>
      <c r="C65" s="279"/>
      <c r="D65" s="280">
        <v>61152</v>
      </c>
      <c r="E65" s="280">
        <v>61152</v>
      </c>
      <c r="F65" s="281">
        <f t="shared" si="2"/>
        <v>3791.424</v>
      </c>
      <c r="G65" s="280">
        <f t="shared" si="3"/>
        <v>61152</v>
      </c>
      <c r="H65" s="280">
        <f t="shared" si="4"/>
        <v>886.70400000000006</v>
      </c>
      <c r="I65" s="280">
        <v>7000</v>
      </c>
      <c r="J65" s="280">
        <f t="shared" si="5"/>
        <v>42</v>
      </c>
      <c r="K65" s="280">
        <v>11100</v>
      </c>
      <c r="L65" s="280">
        <f t="shared" si="6"/>
        <v>33.299999999999997</v>
      </c>
      <c r="M65" s="280">
        <f t="shared" si="7"/>
        <v>4753.4279999999999</v>
      </c>
    </row>
    <row r="66" spans="1:13">
      <c r="A66" s="250">
        <f t="shared" si="1"/>
        <v>55</v>
      </c>
      <c r="B66" s="251" t="s">
        <v>485</v>
      </c>
      <c r="C66" s="279"/>
      <c r="D66" s="280">
        <v>35386.487500000003</v>
      </c>
      <c r="E66" s="280">
        <v>35269.243750000001</v>
      </c>
      <c r="F66" s="281">
        <f t="shared" si="2"/>
        <v>2186.6931125000001</v>
      </c>
      <c r="G66" s="280">
        <f t="shared" si="3"/>
        <v>35386.487500000003</v>
      </c>
      <c r="H66" s="280">
        <f t="shared" si="4"/>
        <v>513.10406875000012</v>
      </c>
      <c r="I66" s="280">
        <v>7000</v>
      </c>
      <c r="J66" s="280">
        <f t="shared" si="5"/>
        <v>42</v>
      </c>
      <c r="K66" s="280">
        <v>11100</v>
      </c>
      <c r="L66" s="280">
        <f t="shared" si="6"/>
        <v>33.299999999999997</v>
      </c>
      <c r="M66" s="280">
        <f t="shared" si="7"/>
        <v>2775.0971812500002</v>
      </c>
    </row>
    <row r="67" spans="1:13">
      <c r="A67" s="250">
        <f t="shared" si="1"/>
        <v>56</v>
      </c>
      <c r="B67" s="251" t="s">
        <v>486</v>
      </c>
      <c r="C67" s="279"/>
      <c r="D67" s="280">
        <v>34037.65625</v>
      </c>
      <c r="E67" s="280">
        <v>33918.828125</v>
      </c>
      <c r="F67" s="281">
        <f t="shared" si="2"/>
        <v>2102.9673437500001</v>
      </c>
      <c r="G67" s="280">
        <f t="shared" si="3"/>
        <v>34037.65625</v>
      </c>
      <c r="H67" s="280">
        <f t="shared" si="4"/>
        <v>493.54601562500005</v>
      </c>
      <c r="I67" s="280">
        <v>7000</v>
      </c>
      <c r="J67" s="280">
        <f t="shared" si="5"/>
        <v>42</v>
      </c>
      <c r="K67" s="280">
        <v>11100</v>
      </c>
      <c r="L67" s="280">
        <f t="shared" si="6"/>
        <v>33.299999999999997</v>
      </c>
      <c r="M67" s="280">
        <f t="shared" si="7"/>
        <v>2671.8133593750003</v>
      </c>
    </row>
    <row r="68" spans="1:13">
      <c r="A68" s="250">
        <f t="shared" si="1"/>
        <v>57</v>
      </c>
      <c r="B68" s="251" t="s">
        <v>487</v>
      </c>
      <c r="C68" s="279"/>
      <c r="D68" s="280">
        <v>33958.4375</v>
      </c>
      <c r="E68" s="280">
        <v>33879.21875</v>
      </c>
      <c r="F68" s="281">
        <f t="shared" si="2"/>
        <v>2100.5115624999999</v>
      </c>
      <c r="G68" s="280">
        <f t="shared" si="3"/>
        <v>33958.4375</v>
      </c>
      <c r="H68" s="280">
        <f t="shared" si="4"/>
        <v>492.39734375</v>
      </c>
      <c r="I68" s="280">
        <v>7000</v>
      </c>
      <c r="J68" s="280">
        <f t="shared" si="5"/>
        <v>42</v>
      </c>
      <c r="K68" s="280">
        <v>11100</v>
      </c>
      <c r="L68" s="280">
        <f t="shared" si="6"/>
        <v>33.299999999999997</v>
      </c>
      <c r="M68" s="280">
        <f t="shared" si="7"/>
        <v>2668.2089062499999</v>
      </c>
    </row>
    <row r="69" spans="1:13">
      <c r="A69" s="250">
        <f t="shared" si="1"/>
        <v>58</v>
      </c>
      <c r="B69" s="251" t="s">
        <v>488</v>
      </c>
      <c r="C69" s="279"/>
      <c r="D69" s="280">
        <v>61159</v>
      </c>
      <c r="E69" s="280">
        <v>59699.5</v>
      </c>
      <c r="F69" s="281">
        <f t="shared" si="2"/>
        <v>3701.3690000000001</v>
      </c>
      <c r="G69" s="280">
        <f t="shared" si="3"/>
        <v>61159</v>
      </c>
      <c r="H69" s="280">
        <f t="shared" si="4"/>
        <v>886.80550000000005</v>
      </c>
      <c r="I69" s="280">
        <v>7000</v>
      </c>
      <c r="J69" s="280">
        <f t="shared" si="5"/>
        <v>42</v>
      </c>
      <c r="K69" s="280">
        <v>11100</v>
      </c>
      <c r="L69" s="280">
        <f t="shared" si="6"/>
        <v>33.299999999999997</v>
      </c>
      <c r="M69" s="280">
        <f t="shared" si="7"/>
        <v>4663.4745000000003</v>
      </c>
    </row>
    <row r="70" spans="1:13">
      <c r="A70" s="250">
        <f t="shared" si="1"/>
        <v>59</v>
      </c>
      <c r="B70" s="251" t="s">
        <v>489</v>
      </c>
      <c r="C70" s="279"/>
      <c r="D70" s="280">
        <v>55768.75</v>
      </c>
      <c r="E70" s="280">
        <v>53884.375</v>
      </c>
      <c r="F70" s="281">
        <f t="shared" si="2"/>
        <v>3340.8312500000002</v>
      </c>
      <c r="G70" s="280">
        <f t="shared" si="3"/>
        <v>55768.75</v>
      </c>
      <c r="H70" s="280">
        <f t="shared" si="4"/>
        <v>808.64687500000002</v>
      </c>
      <c r="I70" s="280">
        <v>7000</v>
      </c>
      <c r="J70" s="280">
        <f t="shared" si="5"/>
        <v>42</v>
      </c>
      <c r="K70" s="280">
        <v>11100</v>
      </c>
      <c r="L70" s="280">
        <f t="shared" si="6"/>
        <v>33.299999999999997</v>
      </c>
      <c r="M70" s="280">
        <f t="shared" si="7"/>
        <v>4224.7781250000007</v>
      </c>
    </row>
    <row r="71" spans="1:13">
      <c r="A71" s="250">
        <f t="shared" si="1"/>
        <v>60</v>
      </c>
      <c r="B71" s="251" t="s">
        <v>490</v>
      </c>
      <c r="C71" s="279"/>
      <c r="D71" s="280">
        <v>56927</v>
      </c>
      <c r="E71" s="280">
        <v>55503.5</v>
      </c>
      <c r="F71" s="281">
        <f t="shared" si="2"/>
        <v>3441.2170000000001</v>
      </c>
      <c r="G71" s="280">
        <f t="shared" si="3"/>
        <v>56927</v>
      </c>
      <c r="H71" s="280">
        <f t="shared" si="4"/>
        <v>825.44150000000002</v>
      </c>
      <c r="I71" s="280">
        <v>7000</v>
      </c>
      <c r="J71" s="280">
        <f t="shared" si="5"/>
        <v>42</v>
      </c>
      <c r="K71" s="280">
        <v>11100</v>
      </c>
      <c r="L71" s="280">
        <f t="shared" si="6"/>
        <v>33.299999999999997</v>
      </c>
      <c r="M71" s="280">
        <f t="shared" si="7"/>
        <v>4341.9585000000006</v>
      </c>
    </row>
    <row r="72" spans="1:13">
      <c r="A72" s="250">
        <f t="shared" si="1"/>
        <v>61</v>
      </c>
      <c r="B72" s="251" t="s">
        <v>491</v>
      </c>
      <c r="C72" s="279"/>
      <c r="D72" s="280">
        <v>33800</v>
      </c>
      <c r="E72" s="280">
        <v>33800</v>
      </c>
      <c r="F72" s="281">
        <f t="shared" si="2"/>
        <v>2095.6</v>
      </c>
      <c r="G72" s="280">
        <f t="shared" si="3"/>
        <v>33800</v>
      </c>
      <c r="H72" s="280">
        <f t="shared" si="4"/>
        <v>490.1</v>
      </c>
      <c r="I72" s="280">
        <v>7000</v>
      </c>
      <c r="J72" s="280">
        <f t="shared" si="5"/>
        <v>42</v>
      </c>
      <c r="K72" s="280">
        <v>11100</v>
      </c>
      <c r="L72" s="280">
        <f t="shared" si="6"/>
        <v>33.299999999999997</v>
      </c>
      <c r="M72" s="280">
        <f t="shared" si="7"/>
        <v>2661</v>
      </c>
    </row>
    <row r="73" spans="1:13">
      <c r="A73" s="250">
        <f t="shared" si="1"/>
        <v>62</v>
      </c>
      <c r="B73" s="251" t="s">
        <v>492</v>
      </c>
      <c r="C73" s="279"/>
      <c r="D73" s="280">
        <v>50835.200000000004</v>
      </c>
      <c r="E73" s="280">
        <v>50835.200000000004</v>
      </c>
      <c r="F73" s="281">
        <f t="shared" si="2"/>
        <v>3151.7824000000001</v>
      </c>
      <c r="G73" s="280">
        <f t="shared" si="3"/>
        <v>50835.200000000004</v>
      </c>
      <c r="H73" s="280">
        <f t="shared" si="4"/>
        <v>737.11040000000014</v>
      </c>
      <c r="I73" s="280">
        <v>7000</v>
      </c>
      <c r="J73" s="280">
        <f t="shared" si="5"/>
        <v>42</v>
      </c>
      <c r="K73" s="280">
        <v>11100</v>
      </c>
      <c r="L73" s="280">
        <f t="shared" si="6"/>
        <v>33.299999999999997</v>
      </c>
      <c r="M73" s="280">
        <f t="shared" si="7"/>
        <v>3964.1928000000003</v>
      </c>
    </row>
    <row r="74" spans="1:13">
      <c r="A74" s="250">
        <f t="shared" si="1"/>
        <v>63</v>
      </c>
      <c r="B74" s="251" t="s">
        <v>493</v>
      </c>
      <c r="C74" s="279"/>
      <c r="D74" s="280">
        <v>14315.67</v>
      </c>
      <c r="E74" s="280">
        <v>14315.67</v>
      </c>
      <c r="F74" s="281">
        <f t="shared" si="2"/>
        <v>887.57154000000003</v>
      </c>
      <c r="G74" s="280">
        <f t="shared" si="3"/>
        <v>14315.67</v>
      </c>
      <c r="H74" s="280">
        <f t="shared" si="4"/>
        <v>207.57721500000002</v>
      </c>
      <c r="I74" s="280">
        <v>7000</v>
      </c>
      <c r="J74" s="280">
        <f t="shared" si="5"/>
        <v>42</v>
      </c>
      <c r="K74" s="280">
        <v>11100</v>
      </c>
      <c r="L74" s="280">
        <f t="shared" si="6"/>
        <v>33.299999999999997</v>
      </c>
      <c r="M74" s="280">
        <f t="shared" si="7"/>
        <v>1170.4487550000001</v>
      </c>
    </row>
    <row r="75" spans="1:13">
      <c r="A75" s="250">
        <f t="shared" si="1"/>
        <v>64</v>
      </c>
      <c r="B75" s="251" t="s">
        <v>494</v>
      </c>
      <c r="C75" s="279"/>
      <c r="D75" s="280">
        <v>15254.73</v>
      </c>
      <c r="E75" s="280">
        <v>15254.73</v>
      </c>
      <c r="F75" s="281">
        <f t="shared" si="2"/>
        <v>945.79325999999992</v>
      </c>
      <c r="G75" s="280">
        <f t="shared" si="3"/>
        <v>15254.73</v>
      </c>
      <c r="H75" s="280">
        <f t="shared" si="4"/>
        <v>221.19358500000001</v>
      </c>
      <c r="I75" s="280">
        <v>7000</v>
      </c>
      <c r="J75" s="280">
        <f t="shared" si="5"/>
        <v>42</v>
      </c>
      <c r="K75" s="280">
        <v>11100</v>
      </c>
      <c r="L75" s="280">
        <f t="shared" si="6"/>
        <v>33.299999999999997</v>
      </c>
      <c r="M75" s="280">
        <f t="shared" si="7"/>
        <v>1242.2868449999999</v>
      </c>
    </row>
    <row r="76" spans="1:13">
      <c r="A76" s="250">
        <f t="shared" si="1"/>
        <v>65</v>
      </c>
      <c r="B76" s="256" t="s">
        <v>495</v>
      </c>
      <c r="C76" s="279"/>
      <c r="D76" s="280">
        <v>0</v>
      </c>
      <c r="E76" s="280">
        <v>0</v>
      </c>
      <c r="F76" s="281">
        <f t="shared" si="2"/>
        <v>0</v>
      </c>
      <c r="G76" s="280">
        <f t="shared" si="3"/>
        <v>0</v>
      </c>
      <c r="H76" s="280">
        <f t="shared" si="4"/>
        <v>0</v>
      </c>
      <c r="I76" s="280">
        <v>0</v>
      </c>
      <c r="J76" s="280">
        <f t="shared" si="5"/>
        <v>0</v>
      </c>
      <c r="K76" s="280">
        <v>0</v>
      </c>
      <c r="L76" s="280">
        <f t="shared" si="6"/>
        <v>0</v>
      </c>
      <c r="M76" s="280">
        <f t="shared" si="7"/>
        <v>0</v>
      </c>
    </row>
    <row r="77" spans="1:13">
      <c r="A77" s="250">
        <f t="shared" ref="A77:A110" si="8">A76+1</f>
        <v>66</v>
      </c>
      <c r="B77" s="256" t="s">
        <v>496</v>
      </c>
      <c r="C77" s="279"/>
      <c r="D77" s="280">
        <v>0</v>
      </c>
      <c r="E77" s="280">
        <v>0</v>
      </c>
      <c r="F77" s="281">
        <f t="shared" ref="F77:F87" si="9">E77*$F$10</f>
        <v>0</v>
      </c>
      <c r="G77" s="280">
        <f t="shared" ref="G77:G87" si="10">D77</f>
        <v>0</v>
      </c>
      <c r="H77" s="280">
        <f t="shared" ref="H77:H87" si="11">G77*$H$10</f>
        <v>0</v>
      </c>
      <c r="I77" s="280">
        <v>0</v>
      </c>
      <c r="J77" s="280">
        <f t="shared" ref="J77:J87" si="12">I77*$J$10</f>
        <v>0</v>
      </c>
      <c r="K77" s="280">
        <v>0</v>
      </c>
      <c r="L77" s="280">
        <f t="shared" ref="L77:L87" si="13">K77*$L$10</f>
        <v>0</v>
      </c>
      <c r="M77" s="280">
        <f t="shared" ref="M77:M87" si="14">F77+H77+J77+L77</f>
        <v>0</v>
      </c>
    </row>
    <row r="78" spans="1:13">
      <c r="A78" s="250">
        <f t="shared" si="8"/>
        <v>67</v>
      </c>
      <c r="B78" s="251" t="s">
        <v>497</v>
      </c>
      <c r="C78" s="279"/>
      <c r="D78" s="280">
        <v>0</v>
      </c>
      <c r="E78" s="280">
        <v>0</v>
      </c>
      <c r="F78" s="281">
        <f t="shared" si="9"/>
        <v>0</v>
      </c>
      <c r="G78" s="280">
        <f t="shared" si="10"/>
        <v>0</v>
      </c>
      <c r="H78" s="280">
        <f t="shared" si="11"/>
        <v>0</v>
      </c>
      <c r="I78" s="280">
        <v>0</v>
      </c>
      <c r="J78" s="280">
        <f t="shared" si="12"/>
        <v>0</v>
      </c>
      <c r="K78" s="280">
        <v>0</v>
      </c>
      <c r="L78" s="280">
        <f t="shared" si="13"/>
        <v>0</v>
      </c>
      <c r="M78" s="280">
        <f t="shared" si="14"/>
        <v>0</v>
      </c>
    </row>
    <row r="79" spans="1:13">
      <c r="A79" s="250">
        <f t="shared" si="8"/>
        <v>68</v>
      </c>
      <c r="B79" s="256" t="s">
        <v>498</v>
      </c>
      <c r="C79" s="279"/>
      <c r="D79" s="280">
        <v>0</v>
      </c>
      <c r="E79" s="280">
        <v>0</v>
      </c>
      <c r="F79" s="281">
        <f t="shared" si="9"/>
        <v>0</v>
      </c>
      <c r="G79" s="280">
        <f t="shared" si="10"/>
        <v>0</v>
      </c>
      <c r="H79" s="280">
        <f t="shared" si="11"/>
        <v>0</v>
      </c>
      <c r="I79" s="280">
        <v>0</v>
      </c>
      <c r="J79" s="280">
        <f t="shared" si="12"/>
        <v>0</v>
      </c>
      <c r="K79" s="280">
        <v>0</v>
      </c>
      <c r="L79" s="280">
        <f t="shared" si="13"/>
        <v>0</v>
      </c>
      <c r="M79" s="280">
        <f t="shared" si="14"/>
        <v>0</v>
      </c>
    </row>
    <row r="80" spans="1:13">
      <c r="A80" s="250">
        <f t="shared" si="8"/>
        <v>69</v>
      </c>
      <c r="B80" s="251" t="s">
        <v>499</v>
      </c>
      <c r="C80" s="279"/>
      <c r="D80" s="280">
        <v>0</v>
      </c>
      <c r="E80" s="280">
        <v>0</v>
      </c>
      <c r="F80" s="281">
        <f t="shared" si="9"/>
        <v>0</v>
      </c>
      <c r="G80" s="280">
        <f t="shared" si="10"/>
        <v>0</v>
      </c>
      <c r="H80" s="280">
        <f t="shared" si="11"/>
        <v>0</v>
      </c>
      <c r="I80" s="280">
        <v>0</v>
      </c>
      <c r="J80" s="280">
        <f t="shared" si="12"/>
        <v>0</v>
      </c>
      <c r="K80" s="280">
        <v>0</v>
      </c>
      <c r="L80" s="280">
        <f t="shared" si="13"/>
        <v>0</v>
      </c>
      <c r="M80" s="280">
        <f t="shared" si="14"/>
        <v>0</v>
      </c>
    </row>
    <row r="81" spans="1:13">
      <c r="A81" s="250">
        <f t="shared" si="8"/>
        <v>70</v>
      </c>
      <c r="B81" s="251" t="s">
        <v>500</v>
      </c>
      <c r="C81" s="279"/>
      <c r="D81" s="280">
        <v>0</v>
      </c>
      <c r="E81" s="280">
        <v>0</v>
      </c>
      <c r="F81" s="281">
        <f t="shared" si="9"/>
        <v>0</v>
      </c>
      <c r="G81" s="280">
        <f t="shared" si="10"/>
        <v>0</v>
      </c>
      <c r="H81" s="280">
        <f t="shared" si="11"/>
        <v>0</v>
      </c>
      <c r="I81" s="280">
        <v>0</v>
      </c>
      <c r="J81" s="280">
        <f t="shared" si="12"/>
        <v>0</v>
      </c>
      <c r="K81" s="280">
        <v>0</v>
      </c>
      <c r="L81" s="280">
        <f t="shared" si="13"/>
        <v>0</v>
      </c>
      <c r="M81" s="280">
        <f t="shared" si="14"/>
        <v>0</v>
      </c>
    </row>
    <row r="82" spans="1:13">
      <c r="A82" s="250">
        <f t="shared" si="8"/>
        <v>71</v>
      </c>
      <c r="B82" s="251" t="s">
        <v>544</v>
      </c>
      <c r="C82" s="279"/>
      <c r="D82" s="280">
        <v>0</v>
      </c>
      <c r="E82" s="280">
        <v>0</v>
      </c>
      <c r="F82" s="281">
        <f t="shared" si="9"/>
        <v>0</v>
      </c>
      <c r="G82" s="280">
        <f t="shared" si="10"/>
        <v>0</v>
      </c>
      <c r="H82" s="280">
        <f t="shared" si="11"/>
        <v>0</v>
      </c>
      <c r="I82" s="280">
        <v>0</v>
      </c>
      <c r="J82" s="280">
        <f t="shared" si="12"/>
        <v>0</v>
      </c>
      <c r="K82" s="280">
        <v>0</v>
      </c>
      <c r="L82" s="280">
        <f t="shared" si="13"/>
        <v>0</v>
      </c>
      <c r="M82" s="280">
        <f t="shared" si="14"/>
        <v>0</v>
      </c>
    </row>
    <row r="83" spans="1:13">
      <c r="A83" s="250">
        <f t="shared" si="8"/>
        <v>72</v>
      </c>
      <c r="B83" s="251" t="s">
        <v>545</v>
      </c>
      <c r="C83" s="279"/>
      <c r="D83" s="280">
        <v>0</v>
      </c>
      <c r="E83" s="280">
        <v>0</v>
      </c>
      <c r="F83" s="281">
        <f t="shared" si="9"/>
        <v>0</v>
      </c>
      <c r="G83" s="280">
        <f t="shared" si="10"/>
        <v>0</v>
      </c>
      <c r="H83" s="280">
        <f t="shared" si="11"/>
        <v>0</v>
      </c>
      <c r="I83" s="280">
        <v>0</v>
      </c>
      <c r="J83" s="280">
        <f t="shared" si="12"/>
        <v>0</v>
      </c>
      <c r="K83" s="280">
        <v>0</v>
      </c>
      <c r="L83" s="280">
        <f t="shared" si="13"/>
        <v>0</v>
      </c>
      <c r="M83" s="280">
        <f t="shared" si="14"/>
        <v>0</v>
      </c>
    </row>
    <row r="84" spans="1:13">
      <c r="A84" s="250">
        <f t="shared" si="8"/>
        <v>73</v>
      </c>
      <c r="B84" s="251" t="s">
        <v>501</v>
      </c>
      <c r="C84" s="279"/>
      <c r="D84" s="280">
        <v>0</v>
      </c>
      <c r="E84" s="280">
        <v>0</v>
      </c>
      <c r="F84" s="281">
        <f t="shared" si="9"/>
        <v>0</v>
      </c>
      <c r="G84" s="280">
        <f t="shared" si="10"/>
        <v>0</v>
      </c>
      <c r="H84" s="280">
        <f t="shared" si="11"/>
        <v>0</v>
      </c>
      <c r="I84" s="280">
        <v>0</v>
      </c>
      <c r="J84" s="280">
        <f t="shared" si="12"/>
        <v>0</v>
      </c>
      <c r="K84" s="280">
        <v>0</v>
      </c>
      <c r="L84" s="280">
        <f t="shared" si="13"/>
        <v>0</v>
      </c>
      <c r="M84" s="280">
        <f t="shared" si="14"/>
        <v>0</v>
      </c>
    </row>
    <row r="85" spans="1:13">
      <c r="A85" s="250">
        <f t="shared" si="8"/>
        <v>74</v>
      </c>
      <c r="B85" s="251" t="s">
        <v>502</v>
      </c>
      <c r="C85" s="279"/>
      <c r="D85" s="280">
        <v>0</v>
      </c>
      <c r="E85" s="280">
        <v>0</v>
      </c>
      <c r="F85" s="281">
        <f t="shared" si="9"/>
        <v>0</v>
      </c>
      <c r="G85" s="280">
        <f t="shared" si="10"/>
        <v>0</v>
      </c>
      <c r="H85" s="280">
        <f t="shared" si="11"/>
        <v>0</v>
      </c>
      <c r="I85" s="280">
        <v>0</v>
      </c>
      <c r="J85" s="280">
        <f t="shared" si="12"/>
        <v>0</v>
      </c>
      <c r="K85" s="280">
        <v>0</v>
      </c>
      <c r="L85" s="280">
        <f t="shared" si="13"/>
        <v>0</v>
      </c>
      <c r="M85" s="280">
        <f t="shared" si="14"/>
        <v>0</v>
      </c>
    </row>
    <row r="86" spans="1:13">
      <c r="A86" s="250">
        <f t="shared" si="8"/>
        <v>75</v>
      </c>
      <c r="B86" s="256" t="s">
        <v>503</v>
      </c>
      <c r="C86" s="279"/>
      <c r="D86" s="280">
        <v>0</v>
      </c>
      <c r="E86" s="280">
        <v>0</v>
      </c>
      <c r="F86" s="281">
        <f t="shared" si="9"/>
        <v>0</v>
      </c>
      <c r="G86" s="280">
        <f t="shared" si="10"/>
        <v>0</v>
      </c>
      <c r="H86" s="280">
        <f t="shared" si="11"/>
        <v>0</v>
      </c>
      <c r="I86" s="280">
        <v>0</v>
      </c>
      <c r="J86" s="280">
        <f t="shared" si="12"/>
        <v>0</v>
      </c>
      <c r="K86" s="280">
        <v>0</v>
      </c>
      <c r="L86" s="280">
        <f t="shared" si="13"/>
        <v>0</v>
      </c>
      <c r="M86" s="280">
        <f t="shared" si="14"/>
        <v>0</v>
      </c>
    </row>
    <row r="87" spans="1:13">
      <c r="A87" s="46">
        <f t="shared" si="8"/>
        <v>76</v>
      </c>
      <c r="B87" s="40" t="s">
        <v>504</v>
      </c>
      <c r="C87" s="38"/>
      <c r="D87" s="73">
        <v>0</v>
      </c>
      <c r="E87" s="73">
        <v>0</v>
      </c>
      <c r="F87" s="99">
        <f t="shared" si="9"/>
        <v>0</v>
      </c>
      <c r="G87" s="73">
        <f t="shared" si="10"/>
        <v>0</v>
      </c>
      <c r="H87" s="74">
        <f t="shared" si="11"/>
        <v>0</v>
      </c>
      <c r="I87" s="73">
        <v>0</v>
      </c>
      <c r="J87" s="74">
        <f t="shared" si="12"/>
        <v>0</v>
      </c>
      <c r="K87" s="73">
        <v>0</v>
      </c>
      <c r="L87" s="74">
        <f t="shared" si="13"/>
        <v>0</v>
      </c>
      <c r="M87" s="73">
        <f t="shared" si="14"/>
        <v>0</v>
      </c>
    </row>
    <row r="88" spans="1:13">
      <c r="A88" s="46">
        <f t="shared" si="8"/>
        <v>77</v>
      </c>
      <c r="B88" s="282" t="s">
        <v>110</v>
      </c>
      <c r="C88" s="50"/>
      <c r="D88" s="50"/>
      <c r="E88" s="230"/>
      <c r="F88" s="230">
        <f>SUM(F12:F87)</f>
        <v>275332.73883912503</v>
      </c>
      <c r="G88" s="230"/>
      <c r="H88" s="230">
        <f>SUM(H12:H87)</f>
        <v>67955.72744668751</v>
      </c>
      <c r="I88" s="230"/>
      <c r="J88" s="230">
        <f>SUM(J12:J87)</f>
        <v>2646</v>
      </c>
      <c r="K88" s="230"/>
      <c r="L88" s="230">
        <f>SUM(L12:L87)</f>
        <v>2097.8999999999983</v>
      </c>
      <c r="M88" s="230"/>
    </row>
    <row r="89" spans="1:13">
      <c r="A89" s="46">
        <f t="shared" si="8"/>
        <v>78</v>
      </c>
      <c r="C89" s="38"/>
      <c r="F89" s="74"/>
      <c r="G89" s="74"/>
      <c r="H89" s="74"/>
      <c r="I89" s="74"/>
      <c r="J89" s="74"/>
      <c r="K89" s="74"/>
      <c r="L89" s="74"/>
      <c r="M89" s="74"/>
    </row>
    <row r="90" spans="1:13">
      <c r="A90" s="46">
        <f t="shared" si="8"/>
        <v>79</v>
      </c>
      <c r="B90" s="38" t="s">
        <v>111</v>
      </c>
      <c r="C90" s="38"/>
      <c r="F90" s="74">
        <v>274352.86</v>
      </c>
      <c r="G90" s="74"/>
      <c r="H90" s="74">
        <v>65527.65</v>
      </c>
      <c r="I90" s="74"/>
      <c r="J90" s="74">
        <v>2997.37</v>
      </c>
      <c r="K90" s="74"/>
      <c r="L90" s="74">
        <v>2295.5100000000002</v>
      </c>
      <c r="M90" s="74">
        <f>SUM(F90:L90)</f>
        <v>345173.39</v>
      </c>
    </row>
    <row r="91" spans="1:13">
      <c r="A91" s="46">
        <f t="shared" si="8"/>
        <v>80</v>
      </c>
      <c r="C91" s="38"/>
      <c r="F91" s="74"/>
      <c r="G91" s="74"/>
      <c r="H91" s="74"/>
      <c r="I91" s="74"/>
      <c r="J91" s="74"/>
      <c r="K91" s="74"/>
      <c r="L91" s="74"/>
      <c r="M91" s="74"/>
    </row>
    <row r="92" spans="1:13">
      <c r="A92" s="46">
        <f t="shared" si="8"/>
        <v>81</v>
      </c>
      <c r="B92" s="38" t="s">
        <v>90</v>
      </c>
      <c r="C92" s="38"/>
      <c r="F92" s="74">
        <f>F88</f>
        <v>275332.73883912503</v>
      </c>
      <c r="G92" s="74"/>
      <c r="H92" s="74">
        <f>H88</f>
        <v>67955.72744668751</v>
      </c>
      <c r="I92" s="74"/>
      <c r="J92" s="74">
        <f>J88</f>
        <v>2646</v>
      </c>
      <c r="K92" s="74"/>
      <c r="L92" s="74">
        <f>L88</f>
        <v>2097.8999999999983</v>
      </c>
      <c r="M92" s="74">
        <f>SUM(F92:L92)</f>
        <v>348032.36628581258</v>
      </c>
    </row>
    <row r="93" spans="1:13">
      <c r="A93" s="46">
        <f t="shared" si="8"/>
        <v>82</v>
      </c>
      <c r="C93" s="38"/>
      <c r="F93" s="74"/>
      <c r="G93" s="74"/>
      <c r="H93" s="74"/>
      <c r="I93" s="74"/>
      <c r="J93" s="74"/>
      <c r="K93" s="74"/>
      <c r="L93" s="74"/>
      <c r="M93" s="74"/>
    </row>
    <row r="94" spans="1:13">
      <c r="A94" s="46">
        <f t="shared" si="8"/>
        <v>83</v>
      </c>
      <c r="B94" s="38" t="s">
        <v>546</v>
      </c>
      <c r="C94" s="38"/>
      <c r="F94" s="74">
        <f>F92-F90</f>
        <v>979.87883912504185</v>
      </c>
      <c r="G94" s="74"/>
      <c r="H94" s="74">
        <f>H92-H90</f>
        <v>2428.0774466875082</v>
      </c>
      <c r="I94" s="74"/>
      <c r="J94" s="74">
        <f>J92-J90</f>
        <v>-351.36999999999989</v>
      </c>
      <c r="K94" s="74"/>
      <c r="L94" s="74">
        <f>L92-L90</f>
        <v>-197.61000000000195</v>
      </c>
      <c r="M94" s="74">
        <f t="shared" ref="M94" si="15">SUM(F94:L94)</f>
        <v>2858.9762858125482</v>
      </c>
    </row>
    <row r="95" spans="1:13">
      <c r="A95" s="46">
        <f t="shared" si="8"/>
        <v>84</v>
      </c>
      <c r="C95" s="38"/>
      <c r="F95" s="74"/>
      <c r="G95" s="74"/>
      <c r="H95" s="74"/>
      <c r="I95" s="74"/>
      <c r="J95" s="74"/>
      <c r="K95" s="74"/>
      <c r="L95" s="74"/>
      <c r="M95" s="74"/>
    </row>
    <row r="96" spans="1:13">
      <c r="A96" s="46">
        <f t="shared" si="8"/>
        <v>85</v>
      </c>
      <c r="C96" s="38"/>
      <c r="F96" s="74"/>
      <c r="G96" s="74"/>
      <c r="H96" s="74"/>
      <c r="I96" s="74"/>
      <c r="J96" s="74"/>
      <c r="K96" s="74"/>
      <c r="L96" s="74"/>
      <c r="M96" s="74"/>
    </row>
    <row r="97" spans="1:14">
      <c r="A97" s="46">
        <f t="shared" si="8"/>
        <v>86</v>
      </c>
      <c r="C97" s="38"/>
      <c r="F97" s="74"/>
      <c r="G97" s="74"/>
      <c r="H97" s="74"/>
      <c r="I97" s="74"/>
      <c r="J97" s="74"/>
      <c r="K97" s="74"/>
      <c r="L97" s="74"/>
      <c r="M97" s="74"/>
    </row>
    <row r="98" spans="1:14">
      <c r="A98" s="46">
        <f t="shared" si="8"/>
        <v>87</v>
      </c>
      <c r="C98" s="38"/>
      <c r="D98" s="201" t="s">
        <v>517</v>
      </c>
      <c r="E98" s="44" t="s">
        <v>506</v>
      </c>
      <c r="F98" s="5"/>
      <c r="G98" s="5"/>
      <c r="H98" s="2"/>
      <c r="I98" s="1" t="s">
        <v>547</v>
      </c>
      <c r="J98" s="2"/>
      <c r="L98" s="283" t="s">
        <v>397</v>
      </c>
      <c r="M98" s="283" t="s">
        <v>8</v>
      </c>
    </row>
    <row r="99" spans="1:14">
      <c r="A99" s="46">
        <f t="shared" si="8"/>
        <v>88</v>
      </c>
      <c r="C99" s="38"/>
      <c r="D99" s="81" t="s">
        <v>507</v>
      </c>
      <c r="E99" s="40" t="s">
        <v>508</v>
      </c>
      <c r="F99" s="2"/>
      <c r="G99" s="5"/>
      <c r="H99" s="5"/>
      <c r="I99" s="5" t="s">
        <v>399</v>
      </c>
      <c r="J99" s="5"/>
      <c r="L99" s="174">
        <v>0.11980426624165266</v>
      </c>
      <c r="M99" s="19">
        <f>L99*$M$94</f>
        <v>342.51755612405776</v>
      </c>
    </row>
    <row r="100" spans="1:14">
      <c r="A100" s="46">
        <f t="shared" si="8"/>
        <v>89</v>
      </c>
      <c r="C100" s="38"/>
      <c r="D100" s="40" t="s">
        <v>509</v>
      </c>
      <c r="E100" s="40" t="s">
        <v>510</v>
      </c>
      <c r="F100" s="2"/>
      <c r="G100" s="5"/>
      <c r="H100" s="5"/>
      <c r="I100" s="5" t="s">
        <v>401</v>
      </c>
      <c r="J100" s="5"/>
      <c r="L100" s="174">
        <v>0.2110888529831273</v>
      </c>
      <c r="M100" s="19">
        <f>L100*$M$94</f>
        <v>603.49802487813236</v>
      </c>
    </row>
    <row r="101" spans="1:14">
      <c r="A101" s="46">
        <f t="shared" si="8"/>
        <v>90</v>
      </c>
      <c r="C101" s="38"/>
      <c r="D101" s="40" t="s">
        <v>511</v>
      </c>
      <c r="E101" s="40" t="s">
        <v>512</v>
      </c>
      <c r="F101" s="2"/>
      <c r="G101" s="5"/>
      <c r="H101" s="5"/>
      <c r="I101" s="5" t="s">
        <v>403</v>
      </c>
      <c r="J101" s="5"/>
      <c r="L101" s="174">
        <v>0.10299313700545087</v>
      </c>
      <c r="M101" s="19">
        <f>L101*$M$94</f>
        <v>294.45493630002687</v>
      </c>
    </row>
    <row r="102" spans="1:14">
      <c r="A102" s="46">
        <f t="shared" si="8"/>
        <v>91</v>
      </c>
      <c r="C102" s="38"/>
      <c r="D102" s="40" t="s">
        <v>513</v>
      </c>
      <c r="E102" s="40" t="s">
        <v>69</v>
      </c>
      <c r="F102" s="2"/>
      <c r="G102" s="5"/>
      <c r="H102" s="5"/>
      <c r="I102" s="5" t="s">
        <v>548</v>
      </c>
      <c r="J102" s="5"/>
      <c r="L102" s="174">
        <v>1.342268443356078E-2</v>
      </c>
      <c r="M102" s="19">
        <f>L102*$M$94</f>
        <v>38.375136487495503</v>
      </c>
    </row>
    <row r="103" spans="1:14">
      <c r="A103" s="46">
        <f t="shared" si="8"/>
        <v>92</v>
      </c>
      <c r="C103" s="38"/>
      <c r="D103" s="40" t="s">
        <v>514</v>
      </c>
      <c r="E103" s="40" t="s">
        <v>515</v>
      </c>
      <c r="F103" s="2"/>
      <c r="G103" s="5"/>
      <c r="H103" s="5"/>
      <c r="I103" s="5" t="s">
        <v>405</v>
      </c>
      <c r="J103" s="5"/>
      <c r="K103" s="66"/>
      <c r="L103" s="174">
        <v>0.12584216016638919</v>
      </c>
      <c r="M103" s="19">
        <f>L103*$M$94</f>
        <v>359.77975167113118</v>
      </c>
    </row>
    <row r="104" spans="1:14">
      <c r="A104" s="46">
        <f t="shared" si="8"/>
        <v>93</v>
      </c>
      <c r="C104" s="38"/>
      <c r="F104" s="22"/>
      <c r="G104" s="5"/>
      <c r="H104" s="5"/>
      <c r="I104" s="206" t="s">
        <v>549</v>
      </c>
      <c r="J104" s="60"/>
      <c r="L104" s="284">
        <v>0.57315110083018073</v>
      </c>
      <c r="M104" s="285">
        <f>SUM(M99:M103)</f>
        <v>1638.6254054608437</v>
      </c>
      <c r="N104" s="38" t="s">
        <v>628</v>
      </c>
    </row>
    <row r="105" spans="1:14">
      <c r="A105" s="46">
        <f t="shared" si="8"/>
        <v>94</v>
      </c>
      <c r="C105" s="38"/>
      <c r="E105" s="5"/>
      <c r="F105" s="2"/>
      <c r="G105" s="5"/>
      <c r="H105" s="5"/>
      <c r="I105" s="5"/>
      <c r="J105" s="5"/>
      <c r="L105" s="174"/>
      <c r="M105" s="2"/>
    </row>
    <row r="106" spans="1:14">
      <c r="A106" s="46">
        <f t="shared" si="8"/>
        <v>95</v>
      </c>
      <c r="C106" s="38"/>
      <c r="E106" s="5"/>
      <c r="F106" s="2"/>
      <c r="G106" s="5"/>
      <c r="H106" s="5"/>
      <c r="I106" s="5" t="s">
        <v>550</v>
      </c>
      <c r="J106" s="5"/>
      <c r="L106" s="174">
        <v>0.29812954230486577</v>
      </c>
      <c r="M106" s="19">
        <f>L106*$M$94</f>
        <v>852.34529154976008</v>
      </c>
    </row>
    <row r="107" spans="1:14">
      <c r="A107" s="46">
        <f t="shared" si="8"/>
        <v>96</v>
      </c>
      <c r="C107" s="38"/>
      <c r="E107" s="5"/>
      <c r="F107" s="2"/>
      <c r="G107" s="5"/>
      <c r="H107" s="5"/>
      <c r="I107" s="5" t="s">
        <v>551</v>
      </c>
      <c r="J107" s="5"/>
      <c r="K107" s="66"/>
      <c r="L107" s="174">
        <v>0.12871935686495345</v>
      </c>
      <c r="M107" s="19">
        <f>L107*$M$94</f>
        <v>368.00558880194455</v>
      </c>
    </row>
    <row r="108" spans="1:14">
      <c r="A108" s="46">
        <f t="shared" si="8"/>
        <v>97</v>
      </c>
      <c r="C108" s="38"/>
      <c r="E108" s="5"/>
      <c r="F108" s="2"/>
      <c r="G108" s="5"/>
      <c r="H108" s="5"/>
      <c r="I108" s="60" t="s">
        <v>552</v>
      </c>
      <c r="J108" s="60"/>
      <c r="L108" s="284">
        <v>0.42684889916981922</v>
      </c>
      <c r="M108" s="286">
        <f>SUM(M106:M107)</f>
        <v>1220.3508803517047</v>
      </c>
    </row>
    <row r="109" spans="1:14">
      <c r="A109" s="46">
        <f t="shared" si="8"/>
        <v>98</v>
      </c>
      <c r="C109" s="38"/>
      <c r="E109" s="5"/>
      <c r="F109" s="2"/>
      <c r="G109" s="5"/>
      <c r="H109" s="5"/>
      <c r="I109" s="5"/>
      <c r="J109" s="5"/>
      <c r="L109" s="194"/>
      <c r="M109" s="2"/>
    </row>
    <row r="110" spans="1:14" ht="13.8" thickBot="1">
      <c r="A110" s="46">
        <f t="shared" si="8"/>
        <v>99</v>
      </c>
      <c r="C110" s="38"/>
      <c r="E110" s="5"/>
      <c r="F110" s="2"/>
      <c r="G110" s="5"/>
      <c r="H110" s="5"/>
      <c r="I110" s="195" t="s">
        <v>62</v>
      </c>
      <c r="J110" s="195"/>
      <c r="K110" s="195"/>
      <c r="L110" s="197">
        <v>1</v>
      </c>
      <c r="M110" s="287">
        <f>M104+M108</f>
        <v>2858.9762858125487</v>
      </c>
    </row>
    <row r="111" spans="1:14" ht="13.8" thickTop="1">
      <c r="C111" s="38"/>
    </row>
    <row r="112" spans="1:14">
      <c r="B112" s="38" t="s">
        <v>553</v>
      </c>
      <c r="C112" s="38"/>
    </row>
    <row r="113" spans="3:3">
      <c r="C113" s="38"/>
    </row>
    <row r="114" spans="3:3">
      <c r="C114" s="38"/>
    </row>
    <row r="115" spans="3:3">
      <c r="C115" s="38"/>
    </row>
    <row r="116" spans="3:3">
      <c r="C116" s="38"/>
    </row>
    <row r="117" spans="3:3">
      <c r="C117" s="38"/>
    </row>
    <row r="118" spans="3:3">
      <c r="C118" s="38"/>
    </row>
    <row r="119" spans="3:3">
      <c r="C119" s="38"/>
    </row>
    <row r="120" spans="3:3">
      <c r="C120" s="38"/>
    </row>
    <row r="121" spans="3:3">
      <c r="C121" s="38"/>
    </row>
    <row r="122" spans="3:3">
      <c r="C122" s="38"/>
    </row>
    <row r="123" spans="3:3">
      <c r="C123" s="38"/>
    </row>
    <row r="124" spans="3:3">
      <c r="C124" s="38"/>
    </row>
    <row r="125" spans="3:3">
      <c r="C125" s="38"/>
    </row>
    <row r="126" spans="3:3">
      <c r="C126" s="38"/>
    </row>
    <row r="127" spans="3:3">
      <c r="C127" s="38"/>
    </row>
  </sheetData>
  <mergeCells count="8">
    <mergeCell ref="B3:M3"/>
    <mergeCell ref="B4:M4"/>
    <mergeCell ref="B6:M6"/>
    <mergeCell ref="I8:J8"/>
    <mergeCell ref="K8:L8"/>
    <mergeCell ref="B8:D8"/>
    <mergeCell ref="E8:F8"/>
    <mergeCell ref="G8:H8"/>
  </mergeCells>
  <printOptions horizontalCentered="1"/>
  <pageMargins left="0.7" right="0.7" top="0.75" bottom="0.75" header="0.3" footer="0.3"/>
  <pageSetup scale="74" orientation="portrait" r:id="rId1"/>
  <headerFooter>
    <oddFooter>&amp;R&amp;"Times New Roman,Regular"Exhibit  JW-2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6"/>
  <sheetViews>
    <sheetView view="pageBreakPreview" topLeftCell="A34" zoomScale="60" zoomScaleNormal="100" workbookViewId="0">
      <selection activeCell="D68" sqref="D68"/>
    </sheetView>
  </sheetViews>
  <sheetFormatPr defaultColWidth="9.109375" defaultRowHeight="14.4"/>
  <cols>
    <col min="1" max="1" width="9.109375" style="33"/>
    <col min="2" max="2" width="1.5546875" style="33" customWidth="1"/>
    <col min="3" max="3" width="40.33203125" bestFit="1" customWidth="1"/>
    <col min="4" max="4" width="16.21875" style="123" bestFit="1" customWidth="1"/>
    <col min="5" max="5" width="15.5546875" style="124" customWidth="1"/>
    <col min="6" max="6" width="17.5546875" bestFit="1" customWidth="1"/>
    <col min="7" max="7" width="4.5546875" customWidth="1"/>
    <col min="8" max="8" width="13.44140625" bestFit="1" customWidth="1"/>
    <col min="9" max="9" width="5.88671875" customWidth="1"/>
    <col min="12" max="12" width="12.5546875" bestFit="1" customWidth="1"/>
  </cols>
  <sheetData>
    <row r="1" spans="1:7">
      <c r="A1" s="159" t="str">
        <f>RevReq!A1</f>
        <v>FARMERS RECC</v>
      </c>
      <c r="B1" s="159"/>
      <c r="C1" s="159"/>
      <c r="D1" s="159"/>
      <c r="E1" s="159"/>
      <c r="F1" s="159"/>
      <c r="G1" s="51"/>
    </row>
    <row r="2" spans="1:7">
      <c r="A2" s="159" t="s">
        <v>169</v>
      </c>
      <c r="B2" s="159"/>
      <c r="C2" s="159"/>
      <c r="D2" s="159"/>
      <c r="E2" s="159"/>
      <c r="F2" s="159"/>
      <c r="G2" s="51"/>
    </row>
    <row r="3" spans="1:7">
      <c r="A3" s="51"/>
      <c r="B3" s="51"/>
      <c r="C3" s="51"/>
      <c r="D3" s="1"/>
      <c r="E3" s="112"/>
      <c r="F3" s="51"/>
      <c r="G3" s="51"/>
    </row>
    <row r="4" spans="1:7">
      <c r="A4" s="40"/>
      <c r="B4" s="40"/>
      <c r="C4" s="38"/>
      <c r="D4" s="3"/>
      <c r="E4" s="52"/>
      <c r="F4" s="52"/>
      <c r="G4" s="113"/>
    </row>
    <row r="5" spans="1:7">
      <c r="A5" s="52" t="s">
        <v>5</v>
      </c>
      <c r="B5" s="52"/>
      <c r="C5" s="52" t="s">
        <v>6</v>
      </c>
      <c r="D5" s="3" t="s">
        <v>7</v>
      </c>
      <c r="E5" s="114" t="s">
        <v>170</v>
      </c>
      <c r="F5" s="52" t="s">
        <v>171</v>
      </c>
      <c r="G5" s="113"/>
    </row>
    <row r="6" spans="1:7" s="115" customFormat="1">
      <c r="A6" s="6" t="s">
        <v>10</v>
      </c>
      <c r="B6" s="6"/>
      <c r="C6" s="7">
        <v>1</v>
      </c>
      <c r="D6" s="7">
        <f>C6+1</f>
        <v>2</v>
      </c>
      <c r="E6" s="7">
        <f>D6+1</f>
        <v>3</v>
      </c>
      <c r="F6" s="7" t="s">
        <v>11</v>
      </c>
    </row>
    <row r="7" spans="1:7">
      <c r="A7" s="40">
        <v>1</v>
      </c>
      <c r="B7" s="116" t="s">
        <v>172</v>
      </c>
      <c r="C7" s="38"/>
      <c r="D7" s="2"/>
      <c r="E7" s="100"/>
      <c r="F7" s="38"/>
    </row>
    <row r="8" spans="1:7">
      <c r="A8" s="40">
        <f>A7+1</f>
        <v>2</v>
      </c>
      <c r="B8" s="40"/>
      <c r="C8" s="38" t="s">
        <v>173</v>
      </c>
      <c r="D8" s="117">
        <v>102490432.15000001</v>
      </c>
      <c r="E8" s="117">
        <f>'Adj List'!F20</f>
        <v>0</v>
      </c>
      <c r="F8" s="117">
        <f>D8+E8</f>
        <v>102490432.15000001</v>
      </c>
    </row>
    <row r="9" spans="1:7">
      <c r="A9" s="40">
        <f t="shared" ref="A9:A70" si="0">A8+1</f>
        <v>3</v>
      </c>
      <c r="B9" s="40"/>
      <c r="C9" s="38" t="s">
        <v>174</v>
      </c>
      <c r="D9" s="117">
        <v>348360.18</v>
      </c>
      <c r="E9" s="117">
        <v>0</v>
      </c>
      <c r="F9" s="117">
        <f>D9+E9</f>
        <v>348360.18</v>
      </c>
    </row>
    <row r="10" spans="1:7">
      <c r="A10" s="40">
        <f t="shared" si="0"/>
        <v>4</v>
      </c>
      <c r="B10" s="40"/>
      <c r="C10" s="38" t="s">
        <v>175</v>
      </c>
      <c r="D10" s="117">
        <f>SUM(D8:D9)</f>
        <v>102838792.33000001</v>
      </c>
      <c r="E10" s="117">
        <f>SUM(E8:E9)</f>
        <v>0</v>
      </c>
      <c r="F10" s="117">
        <f>D10+E10</f>
        <v>102838792.33000001</v>
      </c>
    </row>
    <row r="11" spans="1:7">
      <c r="A11" s="40">
        <f t="shared" si="0"/>
        <v>5</v>
      </c>
      <c r="B11" s="40"/>
      <c r="C11" s="38" t="s">
        <v>176</v>
      </c>
      <c r="D11" s="117">
        <v>38947245.159999996</v>
      </c>
      <c r="E11" s="117">
        <v>0</v>
      </c>
      <c r="F11" s="117">
        <f>D11+E11</f>
        <v>38947245.159999996</v>
      </c>
    </row>
    <row r="12" spans="1:7">
      <c r="A12" s="40">
        <f t="shared" si="0"/>
        <v>6</v>
      </c>
      <c r="B12" s="40"/>
      <c r="C12" s="50" t="s">
        <v>177</v>
      </c>
      <c r="D12" s="118">
        <f>SUM(D10:D10)-D11</f>
        <v>63891547.170000017</v>
      </c>
      <c r="E12" s="118">
        <f t="shared" ref="E12:F12" si="1">SUM(E10:E10)-E11</f>
        <v>0</v>
      </c>
      <c r="F12" s="118">
        <f t="shared" si="1"/>
        <v>63891547.170000017</v>
      </c>
    </row>
    <row r="13" spans="1:7">
      <c r="A13" s="40">
        <f t="shared" si="0"/>
        <v>7</v>
      </c>
      <c r="B13" s="40"/>
      <c r="C13" s="38"/>
      <c r="D13" s="117"/>
      <c r="E13" s="117"/>
      <c r="F13" s="117"/>
    </row>
    <row r="14" spans="1:7">
      <c r="A14" s="40">
        <f t="shared" si="0"/>
        <v>8</v>
      </c>
      <c r="B14" s="40"/>
      <c r="C14" s="38" t="s">
        <v>178</v>
      </c>
      <c r="D14" s="117">
        <v>0</v>
      </c>
      <c r="E14" s="117">
        <v>0</v>
      </c>
      <c r="F14" s="117">
        <f t="shared" ref="F14:F20" si="2">D14+E14</f>
        <v>0</v>
      </c>
    </row>
    <row r="15" spans="1:7">
      <c r="A15" s="40">
        <f t="shared" si="0"/>
        <v>9</v>
      </c>
      <c r="B15" s="40"/>
      <c r="C15" s="38" t="s">
        <v>179</v>
      </c>
      <c r="D15" s="117">
        <v>31732249.789999999</v>
      </c>
      <c r="E15" s="117">
        <v>0</v>
      </c>
      <c r="F15" s="117">
        <f t="shared" si="2"/>
        <v>31732249.789999999</v>
      </c>
    </row>
    <row r="16" spans="1:7">
      <c r="A16" s="40">
        <f t="shared" si="0"/>
        <v>10</v>
      </c>
      <c r="B16" s="40"/>
      <c r="C16" s="38" t="s">
        <v>180</v>
      </c>
      <c r="D16" s="117">
        <v>226794.23</v>
      </c>
      <c r="E16" s="117">
        <v>0</v>
      </c>
      <c r="F16" s="117">
        <f t="shared" si="2"/>
        <v>226794.23</v>
      </c>
    </row>
    <row r="17" spans="1:6">
      <c r="A17" s="40">
        <f t="shared" si="0"/>
        <v>11</v>
      </c>
      <c r="B17" s="40"/>
      <c r="C17" s="38" t="s">
        <v>181</v>
      </c>
      <c r="D17" s="117">
        <v>1172494.02</v>
      </c>
      <c r="E17" s="117">
        <v>0</v>
      </c>
      <c r="F17" s="117">
        <f t="shared" si="2"/>
        <v>1172494.02</v>
      </c>
    </row>
    <row r="18" spans="1:6">
      <c r="A18" s="40">
        <f t="shared" si="0"/>
        <v>12</v>
      </c>
      <c r="B18" s="40"/>
      <c r="C18" s="38" t="s">
        <v>182</v>
      </c>
      <c r="D18" s="117">
        <v>0</v>
      </c>
      <c r="E18" s="117">
        <v>0</v>
      </c>
      <c r="F18" s="117">
        <f t="shared" si="2"/>
        <v>0</v>
      </c>
    </row>
    <row r="19" spans="1:6">
      <c r="A19" s="40">
        <f t="shared" si="0"/>
        <v>13</v>
      </c>
      <c r="B19" s="40"/>
      <c r="C19" s="38" t="s">
        <v>183</v>
      </c>
      <c r="D19" s="117">
        <v>7400</v>
      </c>
      <c r="E19" s="117">
        <v>0</v>
      </c>
      <c r="F19" s="117">
        <f t="shared" si="2"/>
        <v>7400</v>
      </c>
    </row>
    <row r="20" spans="1:6">
      <c r="A20" s="40">
        <f t="shared" si="0"/>
        <v>14</v>
      </c>
      <c r="B20" s="40"/>
      <c r="C20" s="38" t="s">
        <v>184</v>
      </c>
      <c r="D20" s="117">
        <v>0</v>
      </c>
      <c r="E20" s="117">
        <v>0</v>
      </c>
      <c r="F20" s="117">
        <f t="shared" si="2"/>
        <v>0</v>
      </c>
    </row>
    <row r="21" spans="1:6">
      <c r="A21" s="40">
        <f t="shared" si="0"/>
        <v>15</v>
      </c>
      <c r="B21" s="40"/>
      <c r="C21" s="50" t="s">
        <v>185</v>
      </c>
      <c r="D21" s="118">
        <f>SUM(D14:D20)</f>
        <v>33138938.039999999</v>
      </c>
      <c r="E21" s="118">
        <f t="shared" ref="E21:F21" si="3">SUM(E14:E20)</f>
        <v>0</v>
      </c>
      <c r="F21" s="118">
        <f t="shared" si="3"/>
        <v>33138938.039999999</v>
      </c>
    </row>
    <row r="22" spans="1:6">
      <c r="A22" s="40">
        <f t="shared" si="0"/>
        <v>16</v>
      </c>
      <c r="B22" s="40"/>
      <c r="C22" s="38"/>
      <c r="D22" s="117"/>
      <c r="E22" s="117"/>
      <c r="F22" s="117"/>
    </row>
    <row r="23" spans="1:6">
      <c r="A23" s="40">
        <f t="shared" si="0"/>
        <v>17</v>
      </c>
      <c r="B23" s="40"/>
      <c r="C23" s="38" t="s">
        <v>186</v>
      </c>
      <c r="D23" s="117">
        <v>1588492.76</v>
      </c>
      <c r="E23" s="117">
        <v>0</v>
      </c>
      <c r="F23" s="117">
        <f t="shared" ref="F23:F32" si="4">D23+E23</f>
        <v>1588492.76</v>
      </c>
    </row>
    <row r="24" spans="1:6">
      <c r="A24" s="40">
        <f t="shared" si="0"/>
        <v>18</v>
      </c>
      <c r="B24" s="40"/>
      <c r="C24" s="38" t="s">
        <v>187</v>
      </c>
      <c r="D24" s="117">
        <v>0</v>
      </c>
      <c r="E24" s="117">
        <v>0</v>
      </c>
      <c r="F24" s="117">
        <f t="shared" si="4"/>
        <v>0</v>
      </c>
    </row>
    <row r="25" spans="1:6">
      <c r="A25" s="40">
        <f t="shared" si="0"/>
        <v>19</v>
      </c>
      <c r="B25" s="40"/>
      <c r="C25" s="38" t="s">
        <v>188</v>
      </c>
      <c r="D25" s="117">
        <v>0</v>
      </c>
      <c r="E25" s="117">
        <v>0</v>
      </c>
      <c r="F25" s="117">
        <f t="shared" si="4"/>
        <v>0</v>
      </c>
    </row>
    <row r="26" spans="1:6">
      <c r="A26" s="40">
        <f t="shared" si="0"/>
        <v>20</v>
      </c>
      <c r="B26" s="40"/>
      <c r="C26" s="38" t="s">
        <v>189</v>
      </c>
      <c r="D26" s="117">
        <v>1918072.3</v>
      </c>
      <c r="E26" s="117">
        <v>0</v>
      </c>
      <c r="F26" s="117">
        <f t="shared" si="4"/>
        <v>1918072.3</v>
      </c>
    </row>
    <row r="27" spans="1:6">
      <c r="A27" s="40">
        <f t="shared" si="0"/>
        <v>21</v>
      </c>
      <c r="B27" s="40"/>
      <c r="C27" s="38" t="s">
        <v>190</v>
      </c>
      <c r="D27" s="117">
        <v>599088.82999999996</v>
      </c>
      <c r="E27" s="117">
        <v>0</v>
      </c>
      <c r="F27" s="117">
        <f t="shared" si="4"/>
        <v>599088.82999999996</v>
      </c>
    </row>
    <row r="28" spans="1:6">
      <c r="A28" s="40">
        <f t="shared" si="0"/>
        <v>22</v>
      </c>
      <c r="B28" s="40"/>
      <c r="C28" s="38" t="s">
        <v>191</v>
      </c>
      <c r="D28" s="117">
        <v>124754.68</v>
      </c>
      <c r="E28" s="117">
        <v>0</v>
      </c>
      <c r="F28" s="117">
        <f t="shared" si="4"/>
        <v>124754.68</v>
      </c>
    </row>
    <row r="29" spans="1:6">
      <c r="A29" s="40">
        <f t="shared" si="0"/>
        <v>23</v>
      </c>
      <c r="B29" s="40"/>
      <c r="C29" s="38" t="s">
        <v>192</v>
      </c>
      <c r="D29" s="119">
        <v>0</v>
      </c>
      <c r="E29" s="117">
        <v>0</v>
      </c>
      <c r="F29" s="117">
        <f t="shared" si="4"/>
        <v>0</v>
      </c>
    </row>
    <row r="30" spans="1:6">
      <c r="A30" s="40">
        <f t="shared" si="0"/>
        <v>24</v>
      </c>
      <c r="B30" s="40"/>
      <c r="C30" s="38" t="s">
        <v>193</v>
      </c>
      <c r="D30" s="117">
        <v>906215.97</v>
      </c>
      <c r="E30" s="117">
        <v>0</v>
      </c>
      <c r="F30" s="117">
        <f t="shared" si="4"/>
        <v>906215.97</v>
      </c>
    </row>
    <row r="31" spans="1:6">
      <c r="A31" s="40">
        <f t="shared" si="0"/>
        <v>25</v>
      </c>
      <c r="B31" s="40"/>
      <c r="C31" s="38" t="s">
        <v>194</v>
      </c>
      <c r="D31" s="117">
        <v>263281.39</v>
      </c>
      <c r="E31" s="117">
        <v>0</v>
      </c>
      <c r="F31" s="117">
        <f t="shared" si="4"/>
        <v>263281.39</v>
      </c>
    </row>
    <row r="32" spans="1:6">
      <c r="A32" s="40">
        <f t="shared" si="0"/>
        <v>26</v>
      </c>
      <c r="B32" s="40"/>
      <c r="C32" s="38" t="s">
        <v>195</v>
      </c>
      <c r="D32" s="117">
        <v>0</v>
      </c>
      <c r="E32" s="117">
        <v>0</v>
      </c>
      <c r="F32" s="117">
        <f t="shared" si="4"/>
        <v>0</v>
      </c>
    </row>
    <row r="33" spans="1:6">
      <c r="A33" s="40">
        <f t="shared" si="0"/>
        <v>27</v>
      </c>
      <c r="B33" s="40"/>
      <c r="C33" s="50" t="s">
        <v>196</v>
      </c>
      <c r="D33" s="118">
        <f>SUM(D23:D32)</f>
        <v>5399905.9299999997</v>
      </c>
      <c r="E33" s="118">
        <f>SUM(E23:E32)</f>
        <v>0</v>
      </c>
      <c r="F33" s="118">
        <f>SUM(F23:F32)</f>
        <v>5399905.9299999997</v>
      </c>
    </row>
    <row r="34" spans="1:6">
      <c r="A34" s="40">
        <f t="shared" si="0"/>
        <v>28</v>
      </c>
      <c r="B34" s="40"/>
      <c r="C34" s="38"/>
      <c r="D34" s="117"/>
      <c r="E34" s="117"/>
      <c r="F34" s="117"/>
    </row>
    <row r="35" spans="1:6">
      <c r="A35" s="40">
        <f t="shared" si="0"/>
        <v>29</v>
      </c>
      <c r="B35" s="40"/>
      <c r="C35" s="38" t="s">
        <v>197</v>
      </c>
      <c r="D35" s="117">
        <v>0</v>
      </c>
      <c r="E35" s="117">
        <v>0</v>
      </c>
      <c r="F35" s="117">
        <f>D35+E35</f>
        <v>0</v>
      </c>
    </row>
    <row r="36" spans="1:6">
      <c r="A36" s="40">
        <f t="shared" si="0"/>
        <v>30</v>
      </c>
      <c r="B36" s="40"/>
      <c r="C36" s="38" t="s">
        <v>198</v>
      </c>
      <c r="D36" s="117">
        <v>0</v>
      </c>
      <c r="E36" s="117">
        <v>0</v>
      </c>
      <c r="F36" s="117">
        <f>D36+E36</f>
        <v>0</v>
      </c>
    </row>
    <row r="37" spans="1:6">
      <c r="A37" s="40">
        <f t="shared" si="0"/>
        <v>31</v>
      </c>
      <c r="B37" s="40"/>
      <c r="C37" s="38"/>
      <c r="D37" s="10"/>
      <c r="E37" s="117"/>
      <c r="F37" s="117"/>
    </row>
    <row r="38" spans="1:6" ht="15" thickBot="1">
      <c r="A38" s="40">
        <f t="shared" si="0"/>
        <v>32</v>
      </c>
      <c r="B38" s="40"/>
      <c r="C38" s="48" t="s">
        <v>199</v>
      </c>
      <c r="D38" s="120">
        <f>D36+D35+D33+D21+D12</f>
        <v>102430391.14000002</v>
      </c>
      <c r="E38" s="120">
        <f>E36+E35+E33+E21+E12</f>
        <v>0</v>
      </c>
      <c r="F38" s="120">
        <f>F36+F35+F33+F21+F12</f>
        <v>102430391.14000002</v>
      </c>
    </row>
    <row r="39" spans="1:6" ht="15" thickTop="1">
      <c r="A39" s="40">
        <f t="shared" si="0"/>
        <v>33</v>
      </c>
      <c r="B39" s="40"/>
      <c r="C39" s="38"/>
      <c r="D39" s="121"/>
      <c r="E39" s="117"/>
      <c r="F39" s="117"/>
    </row>
    <row r="40" spans="1:6">
      <c r="A40" s="40">
        <f t="shared" si="0"/>
        <v>34</v>
      </c>
      <c r="B40" s="122" t="s">
        <v>200</v>
      </c>
      <c r="C40" s="38"/>
      <c r="D40" s="117"/>
      <c r="E40" s="117"/>
      <c r="F40" s="117"/>
    </row>
    <row r="41" spans="1:6">
      <c r="A41" s="40">
        <f t="shared" si="0"/>
        <v>35</v>
      </c>
      <c r="B41" s="40"/>
      <c r="C41" s="38" t="s">
        <v>201</v>
      </c>
      <c r="D41" s="117">
        <v>0</v>
      </c>
      <c r="E41" s="100">
        <v>0</v>
      </c>
      <c r="F41" s="117">
        <f>D41+E41</f>
        <v>0</v>
      </c>
    </row>
    <row r="42" spans="1:6">
      <c r="A42" s="40">
        <f t="shared" si="0"/>
        <v>36</v>
      </c>
      <c r="B42" s="40"/>
      <c r="C42" s="38" t="s">
        <v>202</v>
      </c>
      <c r="D42" s="117">
        <v>62915311.829999998</v>
      </c>
      <c r="E42" s="117">
        <v>0</v>
      </c>
      <c r="F42" s="117">
        <f>D42+E42</f>
        <v>62915311.829999998</v>
      </c>
    </row>
    <row r="43" spans="1:6">
      <c r="A43" s="40"/>
      <c r="B43" s="40"/>
      <c r="C43" s="38" t="s">
        <v>203</v>
      </c>
      <c r="D43" s="117">
        <v>0</v>
      </c>
      <c r="E43" s="117"/>
      <c r="F43" s="117"/>
    </row>
    <row r="44" spans="1:6">
      <c r="A44" s="40">
        <f>A42+1</f>
        <v>37</v>
      </c>
      <c r="B44" s="40"/>
      <c r="C44" s="38" t="s">
        <v>204</v>
      </c>
      <c r="D44" s="117">
        <v>1549.62</v>
      </c>
      <c r="E44" s="117">
        <f>E8</f>
        <v>0</v>
      </c>
      <c r="F44" s="117">
        <f>D44+E44</f>
        <v>1549.62</v>
      </c>
    </row>
    <row r="45" spans="1:6">
      <c r="A45" s="40">
        <f t="shared" si="0"/>
        <v>38</v>
      </c>
      <c r="B45" s="40"/>
      <c r="C45" s="38" t="s">
        <v>205</v>
      </c>
      <c r="D45" s="117">
        <v>5448582.8899999997</v>
      </c>
      <c r="E45" s="117">
        <v>0</v>
      </c>
      <c r="F45" s="117">
        <f>D45+E45</f>
        <v>5448582.8899999997</v>
      </c>
    </row>
    <row r="46" spans="1:6">
      <c r="A46" s="40">
        <f t="shared" si="0"/>
        <v>39</v>
      </c>
      <c r="B46" s="40"/>
      <c r="C46" s="38" t="s">
        <v>206</v>
      </c>
      <c r="D46" s="117">
        <v>-1778797.97</v>
      </c>
      <c r="E46" s="117">
        <v>0</v>
      </c>
      <c r="F46" s="117">
        <f>D46+E46</f>
        <v>-1778797.97</v>
      </c>
    </row>
    <row r="47" spans="1:6">
      <c r="A47" s="40">
        <f t="shared" si="0"/>
        <v>40</v>
      </c>
      <c r="B47" s="40"/>
      <c r="C47" s="50" t="s">
        <v>207</v>
      </c>
      <c r="D47" s="118">
        <f>SUM(D41:D46)</f>
        <v>66586646.36999999</v>
      </c>
      <c r="E47" s="118">
        <f>SUM(E41:E46)</f>
        <v>0</v>
      </c>
      <c r="F47" s="118">
        <f>SUM(F41:F46)</f>
        <v>66586646.36999999</v>
      </c>
    </row>
    <row r="48" spans="1:6">
      <c r="A48" s="40">
        <f t="shared" si="0"/>
        <v>41</v>
      </c>
      <c r="B48" s="40"/>
      <c r="C48" s="38"/>
      <c r="D48" s="117"/>
      <c r="E48" s="117"/>
      <c r="F48" s="117"/>
    </row>
    <row r="49" spans="1:6">
      <c r="A49" s="40">
        <f t="shared" si="0"/>
        <v>42</v>
      </c>
      <c r="B49" s="40"/>
      <c r="C49" s="38" t="s">
        <v>208</v>
      </c>
      <c r="D49" s="121">
        <v>4205665.8600000003</v>
      </c>
      <c r="E49" s="117">
        <v>0</v>
      </c>
      <c r="F49" s="117">
        <f>D49+E49</f>
        <v>4205665.8600000003</v>
      </c>
    </row>
    <row r="50" spans="1:6">
      <c r="A50" s="40">
        <f t="shared" si="0"/>
        <v>43</v>
      </c>
      <c r="B50" s="40"/>
      <c r="C50" s="38" t="s">
        <v>209</v>
      </c>
      <c r="D50" s="121">
        <v>19304048.309999999</v>
      </c>
      <c r="E50" s="117">
        <v>0</v>
      </c>
      <c r="F50" s="117">
        <f>D50+E50</f>
        <v>19304048.309999999</v>
      </c>
    </row>
    <row r="51" spans="1:6">
      <c r="A51" s="40">
        <f t="shared" si="0"/>
        <v>44</v>
      </c>
      <c r="B51" s="40"/>
      <c r="C51" s="38" t="s">
        <v>210</v>
      </c>
      <c r="D51" s="121">
        <v>-6200000</v>
      </c>
      <c r="E51" s="117">
        <v>0</v>
      </c>
      <c r="F51" s="117">
        <f>D51+E51</f>
        <v>-6200000</v>
      </c>
    </row>
    <row r="52" spans="1:6">
      <c r="A52" s="40">
        <f t="shared" si="0"/>
        <v>45</v>
      </c>
      <c r="B52" s="40"/>
      <c r="C52" s="38" t="s">
        <v>211</v>
      </c>
      <c r="D52" s="121">
        <v>8267996.9299999997</v>
      </c>
      <c r="E52" s="117">
        <v>0</v>
      </c>
      <c r="F52" s="117">
        <f>D52+E52</f>
        <v>8267996.9299999997</v>
      </c>
    </row>
    <row r="53" spans="1:6">
      <c r="A53" s="40">
        <f t="shared" si="0"/>
        <v>46</v>
      </c>
      <c r="B53" s="40"/>
      <c r="C53" s="38" t="s">
        <v>224</v>
      </c>
      <c r="D53" s="121">
        <v>-372445.77</v>
      </c>
      <c r="E53" s="117">
        <v>0</v>
      </c>
      <c r="F53" s="117">
        <f>D53+E53</f>
        <v>-372445.77</v>
      </c>
    </row>
    <row r="54" spans="1:6">
      <c r="A54" s="40">
        <f t="shared" si="0"/>
        <v>47</v>
      </c>
      <c r="B54" s="40"/>
      <c r="C54" s="50" t="s">
        <v>212</v>
      </c>
      <c r="D54" s="118">
        <f>SUM(D49:D53)</f>
        <v>25205265.329999998</v>
      </c>
      <c r="E54" s="118">
        <f>SUM(E49:E53)</f>
        <v>0</v>
      </c>
      <c r="F54" s="118">
        <f>SUM(F49:F53)</f>
        <v>25205265.329999998</v>
      </c>
    </row>
    <row r="55" spans="1:6">
      <c r="A55" s="40">
        <f t="shared" si="0"/>
        <v>48</v>
      </c>
      <c r="B55" s="40"/>
      <c r="C55" s="38"/>
      <c r="D55" s="117"/>
      <c r="E55" s="117"/>
      <c r="F55" s="117"/>
    </row>
    <row r="56" spans="1:6">
      <c r="A56" s="40">
        <f t="shared" si="0"/>
        <v>49</v>
      </c>
      <c r="B56" s="40"/>
      <c r="C56" s="38" t="s">
        <v>225</v>
      </c>
      <c r="D56" s="117">
        <v>434888.46</v>
      </c>
      <c r="E56" s="117">
        <v>0</v>
      </c>
      <c r="F56" s="117">
        <f>D56+E56</f>
        <v>434888.46</v>
      </c>
    </row>
    <row r="57" spans="1:6">
      <c r="A57" s="40">
        <f t="shared" si="0"/>
        <v>50</v>
      </c>
      <c r="B57" s="40"/>
      <c r="C57" s="66" t="s">
        <v>213</v>
      </c>
      <c r="D57" s="125">
        <v>5625762.6299999999</v>
      </c>
      <c r="E57" s="125">
        <v>0</v>
      </c>
      <c r="F57" s="125">
        <f>D57+E57</f>
        <v>5625762.6299999999</v>
      </c>
    </row>
    <row r="58" spans="1:6">
      <c r="A58" s="40">
        <f t="shared" si="0"/>
        <v>51</v>
      </c>
      <c r="B58" s="40"/>
      <c r="C58" s="38" t="s">
        <v>226</v>
      </c>
      <c r="D58" s="117">
        <f>SUM(D56:D57)</f>
        <v>6060651.0899999999</v>
      </c>
      <c r="E58" s="117">
        <f t="shared" ref="E58:F58" si="5">SUM(E56:E57)</f>
        <v>0</v>
      </c>
      <c r="F58" s="117">
        <f t="shared" si="5"/>
        <v>6060651.0899999999</v>
      </c>
    </row>
    <row r="59" spans="1:6">
      <c r="A59" s="40">
        <f t="shared" si="0"/>
        <v>52</v>
      </c>
      <c r="B59" s="40"/>
      <c r="C59" s="38"/>
      <c r="D59" s="117"/>
      <c r="E59" s="117"/>
      <c r="F59" s="117"/>
    </row>
    <row r="60" spans="1:6">
      <c r="A60" s="40">
        <f t="shared" si="0"/>
        <v>53</v>
      </c>
      <c r="B60" s="40"/>
      <c r="C60" s="38" t="s">
        <v>214</v>
      </c>
      <c r="D60" s="117">
        <v>1400000</v>
      </c>
      <c r="E60" s="117">
        <v>0</v>
      </c>
      <c r="F60" s="117">
        <f t="shared" ref="F60:F65" si="6">D60+E60</f>
        <v>1400000</v>
      </c>
    </row>
    <row r="61" spans="1:6">
      <c r="A61" s="40">
        <f t="shared" si="0"/>
        <v>54</v>
      </c>
      <c r="B61" s="40"/>
      <c r="C61" s="38" t="s">
        <v>215</v>
      </c>
      <c r="D61" s="117">
        <v>549153</v>
      </c>
      <c r="E61" s="117">
        <v>0</v>
      </c>
      <c r="F61" s="117">
        <f t="shared" si="6"/>
        <v>549153</v>
      </c>
    </row>
    <row r="62" spans="1:6">
      <c r="A62" s="40">
        <f t="shared" si="0"/>
        <v>55</v>
      </c>
      <c r="B62" s="40"/>
      <c r="C62" s="38" t="s">
        <v>216</v>
      </c>
      <c r="D62" s="117">
        <v>1911908.32</v>
      </c>
      <c r="E62" s="117">
        <v>0</v>
      </c>
      <c r="F62" s="117">
        <f t="shared" si="6"/>
        <v>1911908.32</v>
      </c>
    </row>
    <row r="63" spans="1:6">
      <c r="A63" s="40">
        <f t="shared" si="0"/>
        <v>56</v>
      </c>
      <c r="B63" s="40"/>
      <c r="C63" s="38" t="s">
        <v>217</v>
      </c>
      <c r="D63" s="117">
        <v>0</v>
      </c>
      <c r="E63" s="117">
        <v>0</v>
      </c>
      <c r="F63" s="117">
        <f t="shared" si="6"/>
        <v>0</v>
      </c>
    </row>
    <row r="64" spans="1:6">
      <c r="A64" s="40">
        <f t="shared" si="0"/>
        <v>57</v>
      </c>
      <c r="B64" s="40"/>
      <c r="C64" s="38" t="s">
        <v>218</v>
      </c>
      <c r="D64" s="117">
        <v>0</v>
      </c>
      <c r="E64" s="117">
        <v>0</v>
      </c>
      <c r="F64" s="117">
        <f t="shared" si="6"/>
        <v>0</v>
      </c>
    </row>
    <row r="65" spans="1:12">
      <c r="A65" s="40">
        <f t="shared" si="0"/>
        <v>58</v>
      </c>
      <c r="B65" s="40"/>
      <c r="C65" s="38" t="s">
        <v>219</v>
      </c>
      <c r="D65" s="117">
        <v>224448.42</v>
      </c>
      <c r="E65" s="117">
        <v>0</v>
      </c>
      <c r="F65" s="117">
        <f t="shared" si="6"/>
        <v>224448.42</v>
      </c>
    </row>
    <row r="66" spans="1:12">
      <c r="A66" s="40">
        <f t="shared" si="0"/>
        <v>59</v>
      </c>
      <c r="B66" s="40"/>
      <c r="C66" s="50" t="s">
        <v>220</v>
      </c>
      <c r="D66" s="118">
        <f>SUM(D60:D65)</f>
        <v>4085509.74</v>
      </c>
      <c r="E66" s="118">
        <f>SUM(E60:E65)</f>
        <v>0</v>
      </c>
      <c r="F66" s="118">
        <f>SUM(F60:F65)</f>
        <v>4085509.74</v>
      </c>
    </row>
    <row r="67" spans="1:12">
      <c r="A67" s="40">
        <f t="shared" si="0"/>
        <v>60</v>
      </c>
      <c r="B67" s="40"/>
      <c r="C67" s="38"/>
      <c r="D67" s="117"/>
      <c r="E67" s="117"/>
      <c r="F67" s="117"/>
      <c r="K67" s="157" t="s">
        <v>286</v>
      </c>
      <c r="L67" s="157"/>
    </row>
    <row r="68" spans="1:12">
      <c r="A68" s="40">
        <f t="shared" si="0"/>
        <v>61</v>
      </c>
      <c r="B68" s="40"/>
      <c r="C68" s="38" t="s">
        <v>221</v>
      </c>
      <c r="D68" s="117">
        <v>0</v>
      </c>
      <c r="E68" s="117">
        <v>0</v>
      </c>
      <c r="F68" s="117">
        <f>D68+E68</f>
        <v>0</v>
      </c>
      <c r="K68" s="157" t="s">
        <v>287</v>
      </c>
      <c r="L68" s="158">
        <f>F38</f>
        <v>102430391.14000002</v>
      </c>
    </row>
    <row r="69" spans="1:12">
      <c r="A69" s="40">
        <f t="shared" si="0"/>
        <v>62</v>
      </c>
      <c r="B69" s="40"/>
      <c r="C69" s="38" t="s">
        <v>222</v>
      </c>
      <c r="D69" s="117">
        <v>492318.61</v>
      </c>
      <c r="E69" s="117">
        <v>0</v>
      </c>
      <c r="F69" s="117">
        <f>D69+E69</f>
        <v>492318.61</v>
      </c>
      <c r="K69" s="157" t="s">
        <v>288</v>
      </c>
      <c r="L69" s="158">
        <f>F70</f>
        <v>102430391.13999999</v>
      </c>
    </row>
    <row r="70" spans="1:12" ht="15" thickBot="1">
      <c r="A70" s="40">
        <f t="shared" si="0"/>
        <v>63</v>
      </c>
      <c r="B70" s="40"/>
      <c r="C70" s="48" t="s">
        <v>223</v>
      </c>
      <c r="D70" s="120">
        <f>D69+D68+D66+D58+D54+D47</f>
        <v>102430391.13999999</v>
      </c>
      <c r="E70" s="120">
        <f t="shared" ref="E70:F70" si="7">E69+E68+E66+E58+E54+E47</f>
        <v>0</v>
      </c>
      <c r="F70" s="120">
        <f t="shared" si="7"/>
        <v>102430391.13999999</v>
      </c>
      <c r="K70" s="157" t="s">
        <v>289</v>
      </c>
      <c r="L70" s="158">
        <f>L69-L68</f>
        <v>0</v>
      </c>
    </row>
    <row r="71" spans="1:12" ht="15" thickTop="1">
      <c r="A71" s="40"/>
      <c r="B71" s="40"/>
      <c r="C71" s="38"/>
      <c r="D71" s="117"/>
      <c r="E71" s="117"/>
      <c r="F71" s="117"/>
    </row>
    <row r="72" spans="1:12">
      <c r="A72" s="40"/>
      <c r="B72" s="40"/>
      <c r="C72" s="38"/>
      <c r="D72" s="10"/>
      <c r="E72" s="117"/>
      <c r="F72" s="117"/>
    </row>
    <row r="73" spans="1:12">
      <c r="A73" s="40"/>
      <c r="B73" s="40"/>
      <c r="C73" s="38"/>
      <c r="D73" s="10"/>
      <c r="E73" s="117"/>
      <c r="F73" s="117"/>
    </row>
    <row r="74" spans="1:12">
      <c r="A74" s="40"/>
      <c r="B74" s="40"/>
      <c r="C74" s="38"/>
      <c r="D74" s="10"/>
      <c r="E74" s="117"/>
      <c r="F74" s="117"/>
    </row>
    <row r="75" spans="1:12">
      <c r="A75" s="40"/>
      <c r="B75" s="40"/>
      <c r="C75" s="38"/>
      <c r="D75" s="10"/>
      <c r="E75" s="117"/>
      <c r="F75" s="117"/>
    </row>
    <row r="76" spans="1:12">
      <c r="C76" s="38"/>
      <c r="D76" s="10"/>
      <c r="E76" s="117"/>
      <c r="F76" s="117"/>
    </row>
  </sheetData>
  <printOptions horizontalCentered="1"/>
  <pageMargins left="0.7" right="0.7" top="0.75" bottom="0.75" header="0.3" footer="0.3"/>
  <pageSetup scale="67" orientation="portrait" r:id="rId1"/>
  <headerFooter>
    <oddFooter>&amp;RExhibit  JW-2
Page &amp;P of &amp;N</oddFooter>
  </headerFooter>
  <ignoredErrors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1"/>
  <sheetViews>
    <sheetView view="pageBreakPreview" zoomScale="60" zoomScaleNormal="100" workbookViewId="0">
      <pane xSplit="2" ySplit="6" topLeftCell="C7" activePane="bottomRight" state="frozen"/>
      <selection activeCell="D68" sqref="D68"/>
      <selection pane="topRight" activeCell="D68" sqref="D68"/>
      <selection pane="bottomLeft" activeCell="D68" sqref="D68"/>
      <selection pane="bottomRight" activeCell="D68" sqref="D68"/>
    </sheetView>
  </sheetViews>
  <sheetFormatPr defaultColWidth="12.5546875" defaultRowHeight="13.8"/>
  <cols>
    <col min="1" max="1" width="6.109375" style="132" customWidth="1"/>
    <col min="2" max="2" width="33.109375" style="131" customWidth="1"/>
    <col min="3" max="3" width="12.33203125" style="131" customWidth="1"/>
    <col min="4" max="4" width="13.88671875" style="131" customWidth="1"/>
    <col min="5" max="5" width="10.5546875" style="131" customWidth="1"/>
    <col min="6" max="6" width="14.33203125" style="131" customWidth="1"/>
    <col min="7" max="7" width="12" style="131" bestFit="1" customWidth="1"/>
    <col min="8" max="8" width="13.88671875" style="131" customWidth="1"/>
    <col min="9" max="9" width="9.5546875" style="131" bestFit="1" customWidth="1"/>
    <col min="10" max="10" width="13.109375" style="131" bestFit="1" customWidth="1"/>
    <col min="11" max="11" width="10.88671875" style="131" bestFit="1" customWidth="1"/>
    <col min="12" max="12" width="10.6640625" style="131" customWidth="1"/>
    <col min="13" max="13" width="14" style="131" customWidth="1"/>
    <col min="14" max="14" width="11.88671875" style="131" customWidth="1"/>
    <col min="15" max="15" width="11.5546875" style="131" customWidth="1"/>
    <col min="16" max="16" width="11.109375" style="131" customWidth="1"/>
    <col min="17" max="17" width="11.88671875" style="131" bestFit="1" customWidth="1"/>
    <col min="18" max="18" width="9.5546875" style="131" customWidth="1"/>
    <col min="19" max="19" width="18" style="131" hidden="1" customWidth="1"/>
    <col min="20" max="20" width="13.21875" style="131" hidden="1" customWidth="1"/>
    <col min="21" max="21" width="1.88671875" style="131" hidden="1" customWidth="1"/>
    <col min="22" max="22" width="14.6640625" style="131" bestFit="1" customWidth="1"/>
    <col min="23" max="23" width="3.5546875" style="131" customWidth="1"/>
    <col min="24" max="24" width="15.5546875" style="131" bestFit="1" customWidth="1"/>
    <col min="25" max="25" width="12.6640625" style="131" bestFit="1" customWidth="1"/>
    <col min="26" max="16384" width="12.5546875" style="131"/>
  </cols>
  <sheetData>
    <row r="1" spans="1:35">
      <c r="A1" s="159" t="str">
        <f>RevReq!A1</f>
        <v>FARMERS RECC</v>
      </c>
      <c r="B1" s="127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9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</row>
    <row r="2" spans="1:35">
      <c r="A2" s="160" t="s">
        <v>227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9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</row>
    <row r="3" spans="1:35" s="132" customFormat="1" ht="29.4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</row>
    <row r="4" spans="1:35">
      <c r="A4" s="126"/>
      <c r="B4" s="129" t="s">
        <v>228</v>
      </c>
      <c r="C4" s="126">
        <f>'Adj List'!B7</f>
        <v>1.01</v>
      </c>
      <c r="D4" s="126">
        <f>'Adj List'!B8</f>
        <v>1.02</v>
      </c>
      <c r="E4" s="126">
        <f>'Adj List'!B9</f>
        <v>1.03</v>
      </c>
      <c r="F4" s="126">
        <f>'Adj List'!B10</f>
        <v>1.04</v>
      </c>
      <c r="G4" s="126">
        <f>'Adj List'!B11</f>
        <v>1.05</v>
      </c>
      <c r="H4" s="126">
        <f>'Adj List'!B12</f>
        <v>1.06</v>
      </c>
      <c r="I4" s="126">
        <f>'Adj List'!B13</f>
        <v>1.07</v>
      </c>
      <c r="J4" s="126">
        <f>'Adj List'!B14</f>
        <v>1.08</v>
      </c>
      <c r="K4" s="126">
        <f>'Adj List'!B15</f>
        <v>1.0900000000000001</v>
      </c>
      <c r="L4" s="133">
        <f>'Adj List'!B16</f>
        <v>1.1000000000000001</v>
      </c>
      <c r="M4" s="126">
        <f>'Adj List'!B17</f>
        <v>1.1100000000000001</v>
      </c>
      <c r="N4" s="126">
        <f>'Adj List'!B18</f>
        <v>1.1200000000000001</v>
      </c>
      <c r="O4" s="126">
        <f>'Adj List'!B19</f>
        <v>1.1299999999999999</v>
      </c>
      <c r="P4" s="126">
        <f>'Adj List'!B20</f>
        <v>1.1399999999999999</v>
      </c>
      <c r="Q4" s="126">
        <f>'Adj List'!B21</f>
        <v>1.1499999999999999</v>
      </c>
      <c r="R4" s="126">
        <f>'Adj List'!B22</f>
        <v>1.1599999999999999</v>
      </c>
      <c r="S4" s="126"/>
      <c r="T4" s="126"/>
      <c r="U4" s="126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</row>
    <row r="5" spans="1:35" ht="9" customHeight="1">
      <c r="A5" s="126"/>
      <c r="B5" s="130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34"/>
      <c r="T5" s="126"/>
      <c r="U5" s="126"/>
      <c r="V5" s="126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</row>
    <row r="6" spans="1:35" s="137" customFormat="1" ht="59.25" customHeight="1">
      <c r="A6" s="135"/>
      <c r="B6" s="136" t="s">
        <v>229</v>
      </c>
      <c r="C6" s="135" t="str">
        <f>'Adj List'!C7</f>
        <v>Fuel Adjustment Clause</v>
      </c>
      <c r="D6" s="135" t="str">
        <f>'Adj List'!C8</f>
        <v>Environmental Surcharge</v>
      </c>
      <c r="E6" s="135" t="str">
        <f>'Adj List'!C9</f>
        <v>Interest Expense</v>
      </c>
      <c r="F6" s="135" t="str">
        <f>'Adj List'!C10</f>
        <v>Depreciation Normalization</v>
      </c>
      <c r="G6" s="135" t="str">
        <f>'Adj List'!C11</f>
        <v xml:space="preserve">Right of Way </v>
      </c>
      <c r="H6" s="135" t="str">
        <f>'Adj List'!C12</f>
        <v>Year End Customers</v>
      </c>
      <c r="I6" s="135" t="str">
        <f>'Adj List'!C13</f>
        <v>FEMA Credit</v>
      </c>
      <c r="J6" s="135" t="str">
        <f>'Adj List'!C14</f>
        <v>Donations, Promo Ads &amp; Dues</v>
      </c>
      <c r="K6" s="135" t="str">
        <f>'Adj List'!C15</f>
        <v>Directors Expenses</v>
      </c>
      <c r="L6" s="135" t="str">
        <f>'Adj List'!C16</f>
        <v>Wages &amp; Salaries</v>
      </c>
      <c r="M6" s="135" t="str">
        <f>'Adj List'!C17</f>
        <v>401k Contributions</v>
      </c>
      <c r="N6" s="135" t="str">
        <f>'Adj List'!C18</f>
        <v>Life Insurance</v>
      </c>
      <c r="O6" s="135" t="str">
        <f>'Adj List'!C19</f>
        <v>Rate Case Costs</v>
      </c>
      <c r="P6" s="135" t="str">
        <f>'Adj List'!C20</f>
        <v>Outside Services</v>
      </c>
      <c r="Q6" s="135" t="str">
        <f>'Adj List'!C21</f>
        <v>G&amp;T Capital Credits</v>
      </c>
      <c r="R6" s="135" t="str">
        <f>'Adj List'!C22</f>
        <v>Payroll Taxes</v>
      </c>
      <c r="S6" s="135"/>
      <c r="T6" s="135"/>
      <c r="U6" s="135"/>
      <c r="V6" s="135" t="s">
        <v>110</v>
      </c>
      <c r="W6" s="135"/>
      <c r="X6" s="135" t="s">
        <v>230</v>
      </c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</row>
    <row r="7" spans="1:35">
      <c r="A7" s="126">
        <v>1</v>
      </c>
      <c r="B7" s="130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0"/>
      <c r="X7" s="130"/>
      <c r="Y7" s="130"/>
      <c r="Z7" s="138"/>
      <c r="AA7" s="138"/>
      <c r="AB7" s="138"/>
      <c r="AC7" s="138"/>
      <c r="AD7" s="138"/>
      <c r="AE7" s="138"/>
      <c r="AF7" s="138"/>
      <c r="AG7" s="138"/>
      <c r="AH7" s="138"/>
      <c r="AI7" s="130"/>
    </row>
    <row r="8" spans="1:35">
      <c r="A8" s="126">
        <f t="shared" ref="A8:A42" si="0">(A7+1)</f>
        <v>2</v>
      </c>
      <c r="B8" s="139" t="s">
        <v>231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0"/>
      <c r="X8" s="130"/>
      <c r="Y8" s="130"/>
      <c r="Z8" s="138"/>
      <c r="AA8" s="138"/>
      <c r="AB8" s="138"/>
      <c r="AC8" s="138"/>
      <c r="AD8" s="138"/>
      <c r="AE8" s="138"/>
      <c r="AF8" s="138"/>
      <c r="AG8" s="138"/>
      <c r="AH8" s="138"/>
      <c r="AI8" s="130"/>
    </row>
    <row r="9" spans="1:35">
      <c r="A9" s="126">
        <f t="shared" si="0"/>
        <v>3</v>
      </c>
      <c r="B9" s="130" t="s">
        <v>232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>
        <f>'Adj List'!D22</f>
        <v>0</v>
      </c>
      <c r="S9" s="161"/>
      <c r="T9" s="161"/>
      <c r="U9" s="161"/>
      <c r="V9" s="161">
        <f>SUM(C9:U9)</f>
        <v>0</v>
      </c>
      <c r="W9" s="130"/>
      <c r="X9" s="130"/>
      <c r="Y9" s="130"/>
      <c r="Z9" s="138"/>
      <c r="AA9" s="138"/>
      <c r="AB9" s="138"/>
      <c r="AC9" s="138"/>
      <c r="AD9" s="138"/>
      <c r="AE9" s="138"/>
      <c r="AF9" s="138"/>
      <c r="AG9" s="138"/>
      <c r="AH9" s="138"/>
      <c r="AI9" s="130"/>
    </row>
    <row r="10" spans="1:35">
      <c r="A10" s="126">
        <f t="shared" si="0"/>
        <v>4</v>
      </c>
      <c r="B10" s="130" t="s">
        <v>233</v>
      </c>
      <c r="C10" s="161">
        <f>'Adj List'!D7</f>
        <v>-6746654.9900000002</v>
      </c>
      <c r="D10" s="161">
        <f>'Adj List'!D8</f>
        <v>-5815832.3899999997</v>
      </c>
      <c r="E10" s="161"/>
      <c r="F10" s="161"/>
      <c r="G10" s="161"/>
      <c r="H10" s="161">
        <f>'Adj List'!D12</f>
        <v>171589.7</v>
      </c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>
        <f>SUM(C10:U10)</f>
        <v>-12390897.68</v>
      </c>
      <c r="W10" s="130"/>
      <c r="X10" s="140"/>
      <c r="Y10" s="140"/>
      <c r="Z10" s="138"/>
      <c r="AA10" s="138"/>
      <c r="AB10" s="138"/>
      <c r="AC10" s="138"/>
      <c r="AD10" s="138"/>
      <c r="AE10" s="138"/>
      <c r="AF10" s="138"/>
      <c r="AG10" s="138"/>
      <c r="AH10" s="138"/>
      <c r="AI10" s="130"/>
    </row>
    <row r="11" spans="1:35">
      <c r="A11" s="126">
        <f t="shared" si="0"/>
        <v>5</v>
      </c>
      <c r="B11" s="130" t="s">
        <v>15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2">
        <f>SUM(C11:U11)</f>
        <v>0</v>
      </c>
      <c r="W11" s="130"/>
      <c r="X11" s="130"/>
      <c r="Y11" s="130"/>
      <c r="Z11" s="138"/>
      <c r="AA11" s="138"/>
      <c r="AB11" s="138"/>
      <c r="AC11" s="138"/>
      <c r="AD11" s="138"/>
      <c r="AE11" s="138"/>
      <c r="AF11" s="138"/>
      <c r="AG11" s="138"/>
      <c r="AH11" s="138"/>
      <c r="AI11" s="130"/>
    </row>
    <row r="12" spans="1:35">
      <c r="A12" s="126">
        <f t="shared" si="0"/>
        <v>6</v>
      </c>
      <c r="B12" s="141" t="s">
        <v>234</v>
      </c>
      <c r="C12" s="163">
        <f t="shared" ref="C12:T12" si="1">SUM(C7:C11)</f>
        <v>-6746654.9900000002</v>
      </c>
      <c r="D12" s="163">
        <f t="shared" si="1"/>
        <v>-5815832.3899999997</v>
      </c>
      <c r="E12" s="163">
        <f t="shared" si="1"/>
        <v>0</v>
      </c>
      <c r="F12" s="163">
        <f t="shared" si="1"/>
        <v>0</v>
      </c>
      <c r="G12" s="163">
        <f t="shared" si="1"/>
        <v>0</v>
      </c>
      <c r="H12" s="163">
        <f t="shared" si="1"/>
        <v>171589.7</v>
      </c>
      <c r="I12" s="163">
        <f t="shared" si="1"/>
        <v>0</v>
      </c>
      <c r="J12" s="163">
        <f t="shared" si="1"/>
        <v>0</v>
      </c>
      <c r="K12" s="163">
        <f t="shared" si="1"/>
        <v>0</v>
      </c>
      <c r="L12" s="163">
        <f t="shared" si="1"/>
        <v>0</v>
      </c>
      <c r="M12" s="163">
        <f t="shared" si="1"/>
        <v>0</v>
      </c>
      <c r="N12" s="163">
        <f t="shared" si="1"/>
        <v>0</v>
      </c>
      <c r="O12" s="163">
        <f t="shared" si="1"/>
        <v>0</v>
      </c>
      <c r="P12" s="163">
        <f t="shared" si="1"/>
        <v>0</v>
      </c>
      <c r="Q12" s="163">
        <f t="shared" ref="Q12" si="2">SUM(Q7:Q11)</f>
        <v>0</v>
      </c>
      <c r="R12" s="163">
        <f t="shared" si="1"/>
        <v>0</v>
      </c>
      <c r="S12" s="163">
        <f t="shared" si="1"/>
        <v>0</v>
      </c>
      <c r="T12" s="163">
        <f t="shared" si="1"/>
        <v>0</v>
      </c>
      <c r="U12" s="163"/>
      <c r="V12" s="163">
        <f>SUM(C12:U12)</f>
        <v>-12390897.68</v>
      </c>
      <c r="W12" s="130"/>
      <c r="X12" s="138">
        <f>'Adj List'!D30-V12</f>
        <v>0</v>
      </c>
      <c r="Y12" s="130"/>
      <c r="Z12" s="138"/>
      <c r="AA12" s="138"/>
      <c r="AB12" s="138"/>
      <c r="AC12" s="138"/>
      <c r="AD12" s="138"/>
      <c r="AE12" s="138"/>
      <c r="AF12" s="138"/>
      <c r="AG12" s="138"/>
      <c r="AH12" s="138"/>
      <c r="AI12" s="130"/>
    </row>
    <row r="13" spans="1:35">
      <c r="A13" s="126">
        <f t="shared" si="0"/>
        <v>7</v>
      </c>
      <c r="B13" s="130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30"/>
      <c r="X13" s="130"/>
      <c r="Y13" s="130"/>
      <c r="Z13" s="138"/>
      <c r="AA13" s="138"/>
      <c r="AB13" s="138"/>
      <c r="AC13" s="138"/>
      <c r="AD13" s="138"/>
      <c r="AE13" s="138"/>
      <c r="AF13" s="138"/>
      <c r="AG13" s="138"/>
      <c r="AH13" s="138"/>
      <c r="AI13" s="130"/>
    </row>
    <row r="14" spans="1:35">
      <c r="A14" s="126">
        <f t="shared" si="0"/>
        <v>8</v>
      </c>
      <c r="B14" s="139" t="s">
        <v>17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30"/>
      <c r="X14" s="130"/>
      <c r="Y14" s="130"/>
      <c r="Z14" s="138"/>
      <c r="AA14" s="138"/>
      <c r="AB14" s="138"/>
      <c r="AC14" s="138"/>
      <c r="AD14" s="138"/>
      <c r="AE14" s="138"/>
      <c r="AF14" s="138"/>
      <c r="AG14" s="138"/>
      <c r="AH14" s="138"/>
      <c r="AI14" s="130"/>
    </row>
    <row r="15" spans="1:35">
      <c r="A15" s="126">
        <f t="shared" si="0"/>
        <v>9</v>
      </c>
      <c r="B15" s="130" t="s">
        <v>18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>
        <f t="shared" ref="V15:V24" si="3">SUM(C15:U15)</f>
        <v>0</v>
      </c>
      <c r="W15" s="130"/>
      <c r="X15" s="130"/>
      <c r="Y15" s="130"/>
      <c r="Z15" s="138"/>
      <c r="AA15" s="138"/>
      <c r="AB15" s="138"/>
      <c r="AC15" s="138"/>
      <c r="AD15" s="138"/>
      <c r="AE15" s="138"/>
      <c r="AF15" s="138"/>
      <c r="AG15" s="138"/>
      <c r="AH15" s="138"/>
      <c r="AI15" s="130"/>
    </row>
    <row r="16" spans="1:35">
      <c r="A16" s="126">
        <f t="shared" si="0"/>
        <v>10</v>
      </c>
      <c r="B16" s="130" t="s">
        <v>235</v>
      </c>
      <c r="C16" s="161"/>
      <c r="D16" s="161"/>
      <c r="E16" s="161"/>
      <c r="F16" s="161"/>
      <c r="G16" s="161"/>
      <c r="H16" s="161">
        <f>'Adj List'!E12</f>
        <v>108695.85</v>
      </c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>
        <f t="shared" si="3"/>
        <v>108695.85</v>
      </c>
      <c r="W16" s="130"/>
      <c r="X16" s="130"/>
      <c r="Y16" s="130"/>
      <c r="Z16" s="138"/>
      <c r="AA16" s="138"/>
      <c r="AB16" s="138"/>
      <c r="AC16" s="138"/>
      <c r="AD16" s="138"/>
      <c r="AE16" s="138"/>
      <c r="AF16" s="138"/>
      <c r="AG16" s="138"/>
      <c r="AH16" s="138"/>
      <c r="AI16" s="130"/>
    </row>
    <row r="17" spans="1:35">
      <c r="A17" s="126">
        <f t="shared" si="0"/>
        <v>11</v>
      </c>
      <c r="B17" s="130" t="s">
        <v>236</v>
      </c>
      <c r="C17" s="161">
        <f>'Adj List'!E7</f>
        <v>-6648054</v>
      </c>
      <c r="D17" s="161">
        <f>'Adj List'!E8</f>
        <v>-5860474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>
        <f t="shared" si="3"/>
        <v>-12508528</v>
      </c>
      <c r="W17" s="130"/>
      <c r="X17" s="130"/>
      <c r="Y17" s="130"/>
      <c r="Z17" s="138"/>
      <c r="AA17" s="138"/>
      <c r="AB17" s="138"/>
      <c r="AC17" s="138"/>
      <c r="AD17" s="138"/>
      <c r="AE17" s="138"/>
      <c r="AF17" s="138"/>
      <c r="AG17" s="138"/>
      <c r="AH17" s="138"/>
      <c r="AI17" s="130"/>
    </row>
    <row r="18" spans="1:35">
      <c r="A18" s="126">
        <f t="shared" si="0"/>
        <v>12</v>
      </c>
      <c r="B18" s="130" t="s">
        <v>237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>
        <f t="shared" si="3"/>
        <v>0</v>
      </c>
      <c r="W18" s="130"/>
      <c r="X18" s="130"/>
      <c r="Y18" s="130"/>
      <c r="Z18" s="138"/>
      <c r="AA18" s="138"/>
      <c r="AB18" s="138"/>
      <c r="AC18" s="138"/>
      <c r="AD18" s="138"/>
      <c r="AE18" s="138"/>
      <c r="AF18" s="138"/>
      <c r="AG18" s="138"/>
      <c r="AH18" s="138"/>
      <c r="AI18" s="130"/>
    </row>
    <row r="19" spans="1:35">
      <c r="A19" s="126">
        <f t="shared" si="0"/>
        <v>13</v>
      </c>
      <c r="B19" s="130" t="s">
        <v>238</v>
      </c>
      <c r="C19" s="161"/>
      <c r="D19" s="161"/>
      <c r="E19" s="161"/>
      <c r="F19" s="161"/>
      <c r="G19" s="161">
        <f>'Adj List'!E11</f>
        <v>1284763.21</v>
      </c>
      <c r="H19" s="161"/>
      <c r="I19" s="161">
        <f>'Adj List'!E13</f>
        <v>66994.67</v>
      </c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>
        <f t="shared" si="3"/>
        <v>1351757.88</v>
      </c>
      <c r="W19" s="130"/>
      <c r="X19" s="130"/>
      <c r="Y19" s="130"/>
      <c r="Z19" s="138"/>
      <c r="AA19" s="138"/>
      <c r="AB19" s="138"/>
      <c r="AC19" s="138"/>
      <c r="AD19" s="138"/>
      <c r="AE19" s="138"/>
      <c r="AF19" s="138"/>
      <c r="AG19" s="138"/>
      <c r="AH19" s="138"/>
      <c r="AI19" s="130"/>
    </row>
    <row r="20" spans="1:35">
      <c r="A20" s="126">
        <f t="shared" si="0"/>
        <v>14</v>
      </c>
      <c r="B20" s="130" t="s">
        <v>239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>
        <f t="shared" si="3"/>
        <v>0</v>
      </c>
      <c r="W20" s="130"/>
      <c r="X20" s="130"/>
      <c r="Y20" s="130"/>
      <c r="Z20" s="138"/>
      <c r="AA20" s="138"/>
      <c r="AB20" s="138"/>
      <c r="AC20" s="138"/>
      <c r="AD20" s="138"/>
      <c r="AE20" s="138"/>
      <c r="AF20" s="138"/>
      <c r="AG20" s="138"/>
      <c r="AH20" s="138"/>
      <c r="AI20" s="130"/>
    </row>
    <row r="21" spans="1:35">
      <c r="A21" s="126">
        <f t="shared" si="0"/>
        <v>15</v>
      </c>
      <c r="B21" s="130" t="s">
        <v>22</v>
      </c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>
        <f t="shared" si="3"/>
        <v>0</v>
      </c>
      <c r="W21" s="130"/>
      <c r="X21" s="130"/>
      <c r="Y21" s="130"/>
      <c r="Z21" s="138"/>
      <c r="AA21" s="138"/>
      <c r="AB21" s="138"/>
      <c r="AC21" s="138"/>
      <c r="AD21" s="138"/>
      <c r="AE21" s="138"/>
      <c r="AF21" s="138"/>
      <c r="AG21" s="138"/>
      <c r="AH21" s="138"/>
      <c r="AI21" s="130"/>
    </row>
    <row r="22" spans="1:35">
      <c r="A22" s="126">
        <f t="shared" si="0"/>
        <v>16</v>
      </c>
      <c r="B22" s="130" t="s">
        <v>240</v>
      </c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>
        <f t="shared" si="3"/>
        <v>0</v>
      </c>
      <c r="W22" s="130"/>
      <c r="X22" s="130"/>
      <c r="Y22" s="130"/>
      <c r="Z22" s="138"/>
      <c r="AA22" s="138"/>
      <c r="AB22" s="138"/>
      <c r="AC22" s="138"/>
      <c r="AD22" s="138"/>
      <c r="AE22" s="138"/>
      <c r="AF22" s="138"/>
      <c r="AG22" s="138"/>
      <c r="AH22" s="138"/>
      <c r="AI22" s="130"/>
    </row>
    <row r="23" spans="1:35">
      <c r="A23" s="126">
        <f t="shared" si="0"/>
        <v>17</v>
      </c>
      <c r="B23" s="130" t="s">
        <v>241</v>
      </c>
      <c r="C23" s="161"/>
      <c r="D23" s="161"/>
      <c r="E23" s="161"/>
      <c r="F23" s="161"/>
      <c r="G23" s="161"/>
      <c r="H23" s="161"/>
      <c r="I23" s="161"/>
      <c r="J23" s="161">
        <f>'Adj List'!E14</f>
        <v>-284932.02</v>
      </c>
      <c r="K23" s="161">
        <f>'Adj List'!E15</f>
        <v>-30533.67</v>
      </c>
      <c r="L23" s="161">
        <f>'Adj List'!E16</f>
        <v>23561.223193978643</v>
      </c>
      <c r="M23" s="161">
        <f>'Adj List'!E17</f>
        <v>-14594.306962747129</v>
      </c>
      <c r="N23" s="161">
        <f>'Adj List'!E18</f>
        <v>-7748.1316875689417</v>
      </c>
      <c r="O23" s="161">
        <f>'Adj List'!E19</f>
        <v>23333.33</v>
      </c>
      <c r="P23" s="161">
        <f>'Adj List'!E20</f>
        <v>-78515.926666666666</v>
      </c>
      <c r="Q23" s="161"/>
      <c r="R23" s="161">
        <f>'Adj List'!E22</f>
        <v>1638.6254054608437</v>
      </c>
      <c r="S23" s="161"/>
      <c r="T23" s="161"/>
      <c r="U23" s="161"/>
      <c r="V23" s="161">
        <f t="shared" si="3"/>
        <v>-367790.87671754323</v>
      </c>
      <c r="W23" s="130"/>
      <c r="X23" s="130"/>
      <c r="Y23" s="130"/>
      <c r="Z23" s="138"/>
      <c r="AA23" s="138"/>
      <c r="AB23" s="138"/>
      <c r="AC23" s="138"/>
      <c r="AD23" s="138"/>
      <c r="AE23" s="138"/>
      <c r="AF23" s="138"/>
      <c r="AG23" s="138"/>
      <c r="AH23" s="138"/>
      <c r="AI23" s="130"/>
    </row>
    <row r="24" spans="1:35">
      <c r="A24" s="126">
        <f t="shared" si="0"/>
        <v>18</v>
      </c>
      <c r="B24" s="141" t="s">
        <v>242</v>
      </c>
      <c r="C24" s="163">
        <f t="shared" ref="C24:T24" si="4">SUM(C15:C23)</f>
        <v>-6648054</v>
      </c>
      <c r="D24" s="163">
        <f t="shared" si="4"/>
        <v>-5860474</v>
      </c>
      <c r="E24" s="163">
        <f t="shared" si="4"/>
        <v>0</v>
      </c>
      <c r="F24" s="163">
        <f t="shared" si="4"/>
        <v>0</v>
      </c>
      <c r="G24" s="163">
        <f t="shared" si="4"/>
        <v>1284763.21</v>
      </c>
      <c r="H24" s="163">
        <f t="shared" si="4"/>
        <v>108695.85</v>
      </c>
      <c r="I24" s="163">
        <f t="shared" si="4"/>
        <v>66994.67</v>
      </c>
      <c r="J24" s="163">
        <f t="shared" si="4"/>
        <v>-284932.02</v>
      </c>
      <c r="K24" s="163">
        <f t="shared" si="4"/>
        <v>-30533.67</v>
      </c>
      <c r="L24" s="163">
        <f t="shared" si="4"/>
        <v>23561.223193978643</v>
      </c>
      <c r="M24" s="163">
        <f t="shared" si="4"/>
        <v>-14594.306962747129</v>
      </c>
      <c r="N24" s="163">
        <f t="shared" si="4"/>
        <v>-7748.1316875689417</v>
      </c>
      <c r="O24" s="163">
        <f t="shared" si="4"/>
        <v>23333.33</v>
      </c>
      <c r="P24" s="163">
        <f t="shared" si="4"/>
        <v>-78515.926666666666</v>
      </c>
      <c r="Q24" s="163">
        <f t="shared" ref="Q24" si="5">SUM(Q15:Q23)</f>
        <v>0</v>
      </c>
      <c r="R24" s="163">
        <f t="shared" si="4"/>
        <v>1638.6254054608437</v>
      </c>
      <c r="S24" s="163">
        <f t="shared" si="4"/>
        <v>0</v>
      </c>
      <c r="T24" s="163">
        <f t="shared" si="4"/>
        <v>0</v>
      </c>
      <c r="U24" s="163"/>
      <c r="V24" s="163">
        <f t="shared" si="3"/>
        <v>-11415865.146717541</v>
      </c>
      <c r="W24" s="130"/>
      <c r="X24" s="138"/>
      <c r="Y24" s="130"/>
      <c r="Z24" s="138"/>
      <c r="AA24" s="138"/>
      <c r="AB24" s="138"/>
      <c r="AC24" s="138"/>
      <c r="AD24" s="138"/>
      <c r="AE24" s="138"/>
      <c r="AF24" s="138"/>
      <c r="AG24" s="138"/>
      <c r="AH24" s="138"/>
      <c r="AI24" s="130"/>
    </row>
    <row r="25" spans="1:35">
      <c r="A25" s="126">
        <f t="shared" si="0"/>
        <v>19</v>
      </c>
      <c r="B25" s="130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30"/>
      <c r="X25" s="130"/>
      <c r="Y25" s="130"/>
      <c r="Z25" s="138"/>
      <c r="AA25" s="138"/>
      <c r="AB25" s="138"/>
      <c r="AC25" s="138"/>
      <c r="AD25" s="138"/>
      <c r="AE25" s="138"/>
      <c r="AF25" s="138"/>
      <c r="AG25" s="138"/>
      <c r="AH25" s="138"/>
      <c r="AI25" s="130"/>
    </row>
    <row r="26" spans="1:35">
      <c r="A26" s="126">
        <f t="shared" si="0"/>
        <v>20</v>
      </c>
      <c r="B26" s="130" t="s">
        <v>243</v>
      </c>
      <c r="C26" s="161"/>
      <c r="D26" s="161"/>
      <c r="E26" s="161"/>
      <c r="F26" s="161">
        <f>'Adj List'!E10</f>
        <v>126591.96000000005</v>
      </c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>
        <f t="shared" ref="V26:V31" si="6">SUM(C26:U26)</f>
        <v>126591.96000000005</v>
      </c>
      <c r="W26" s="130"/>
      <c r="X26" s="130"/>
      <c r="Y26" s="130"/>
      <c r="Z26" s="138"/>
      <c r="AA26" s="138"/>
      <c r="AB26" s="138"/>
      <c r="AC26" s="138"/>
      <c r="AD26" s="138"/>
      <c r="AE26" s="138"/>
      <c r="AF26" s="138"/>
      <c r="AG26" s="138"/>
      <c r="AH26" s="138"/>
      <c r="AI26" s="130"/>
    </row>
    <row r="27" spans="1:35">
      <c r="A27" s="126">
        <f t="shared" si="0"/>
        <v>21</v>
      </c>
      <c r="B27" s="130" t="s">
        <v>27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>
        <f t="shared" si="6"/>
        <v>0</v>
      </c>
      <c r="W27" s="130"/>
      <c r="X27" s="130"/>
      <c r="Y27" s="130"/>
      <c r="Z27" s="138"/>
      <c r="AA27" s="138"/>
      <c r="AB27" s="138"/>
      <c r="AC27" s="138"/>
      <c r="AD27" s="138"/>
      <c r="AE27" s="138"/>
      <c r="AF27" s="138"/>
      <c r="AG27" s="138"/>
      <c r="AH27" s="138"/>
      <c r="AI27" s="130"/>
    </row>
    <row r="28" spans="1:35">
      <c r="A28" s="126">
        <f t="shared" si="0"/>
        <v>22</v>
      </c>
      <c r="B28" s="130" t="s">
        <v>244</v>
      </c>
      <c r="C28" s="161"/>
      <c r="D28" s="161"/>
      <c r="E28" s="161">
        <f>'Adj List'!E9</f>
        <v>284255.26003</v>
      </c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>
        <f t="shared" si="6"/>
        <v>284255.26003</v>
      </c>
      <c r="W28" s="130"/>
      <c r="X28" s="130"/>
      <c r="Y28" s="130"/>
      <c r="Z28" s="138"/>
      <c r="AA28" s="138"/>
      <c r="AB28" s="138"/>
      <c r="AC28" s="138"/>
      <c r="AD28" s="138"/>
      <c r="AE28" s="138"/>
      <c r="AF28" s="138"/>
      <c r="AG28" s="138"/>
      <c r="AH28" s="138"/>
      <c r="AI28" s="130"/>
    </row>
    <row r="29" spans="1:35">
      <c r="A29" s="126">
        <f>(A28+1)</f>
        <v>23</v>
      </c>
      <c r="B29" s="130" t="s">
        <v>245</v>
      </c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>
        <f t="shared" si="6"/>
        <v>0</v>
      </c>
      <c r="W29" s="130"/>
      <c r="X29" s="130"/>
      <c r="Y29" s="130"/>
      <c r="Z29" s="138"/>
      <c r="AA29" s="138"/>
      <c r="AB29" s="138"/>
      <c r="AC29" s="138"/>
      <c r="AD29" s="138"/>
      <c r="AE29" s="138"/>
      <c r="AF29" s="138"/>
      <c r="AG29" s="138"/>
      <c r="AH29" s="138"/>
      <c r="AI29" s="130"/>
    </row>
    <row r="30" spans="1:35">
      <c r="A30" s="126">
        <f>(A29+1)</f>
        <v>24</v>
      </c>
      <c r="B30" s="130" t="s">
        <v>30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>
        <f t="shared" si="6"/>
        <v>0</v>
      </c>
      <c r="W30" s="130"/>
      <c r="X30" s="130"/>
      <c r="Y30" s="130"/>
      <c r="Z30" s="138"/>
      <c r="AA30" s="138"/>
      <c r="AB30" s="138"/>
      <c r="AC30" s="138"/>
      <c r="AD30" s="138"/>
      <c r="AE30" s="138"/>
      <c r="AF30" s="138"/>
      <c r="AG30" s="138"/>
      <c r="AH30" s="138"/>
      <c r="AI30" s="130"/>
    </row>
    <row r="31" spans="1:35">
      <c r="A31" s="126">
        <f t="shared" si="0"/>
        <v>25</v>
      </c>
      <c r="B31" s="141" t="s">
        <v>31</v>
      </c>
      <c r="C31" s="163">
        <f t="shared" ref="C31:T31" si="7">SUM(C24:C30)</f>
        <v>-6648054</v>
      </c>
      <c r="D31" s="163">
        <f t="shared" si="7"/>
        <v>-5860474</v>
      </c>
      <c r="E31" s="163">
        <f t="shared" si="7"/>
        <v>284255.26003</v>
      </c>
      <c r="F31" s="163">
        <f t="shared" si="7"/>
        <v>126591.96000000005</v>
      </c>
      <c r="G31" s="163">
        <f t="shared" si="7"/>
        <v>1284763.21</v>
      </c>
      <c r="H31" s="163">
        <f t="shared" si="7"/>
        <v>108695.85</v>
      </c>
      <c r="I31" s="163">
        <f t="shared" si="7"/>
        <v>66994.67</v>
      </c>
      <c r="J31" s="163">
        <f t="shared" si="7"/>
        <v>-284932.02</v>
      </c>
      <c r="K31" s="163">
        <f t="shared" si="7"/>
        <v>-30533.67</v>
      </c>
      <c r="L31" s="163">
        <f t="shared" si="7"/>
        <v>23561.223193978643</v>
      </c>
      <c r="M31" s="163">
        <f t="shared" si="7"/>
        <v>-14594.306962747129</v>
      </c>
      <c r="N31" s="163">
        <f t="shared" si="7"/>
        <v>-7748.1316875689417</v>
      </c>
      <c r="O31" s="163">
        <f t="shared" si="7"/>
        <v>23333.33</v>
      </c>
      <c r="P31" s="163">
        <f t="shared" si="7"/>
        <v>-78515.926666666666</v>
      </c>
      <c r="Q31" s="163">
        <f t="shared" ref="Q31" si="8">SUM(Q24:Q30)</f>
        <v>0</v>
      </c>
      <c r="R31" s="163">
        <f t="shared" si="7"/>
        <v>1638.6254054608437</v>
      </c>
      <c r="S31" s="163">
        <f t="shared" si="7"/>
        <v>0</v>
      </c>
      <c r="T31" s="163">
        <f t="shared" si="7"/>
        <v>0</v>
      </c>
      <c r="U31" s="163"/>
      <c r="V31" s="163">
        <f t="shared" si="6"/>
        <v>-11005017.926687542</v>
      </c>
      <c r="W31" s="130"/>
      <c r="X31" s="138">
        <f>'Adj List'!E30-V31</f>
        <v>0</v>
      </c>
      <c r="Y31" s="130"/>
      <c r="Z31" s="138"/>
      <c r="AA31" s="138"/>
      <c r="AB31" s="138"/>
      <c r="AC31" s="138"/>
      <c r="AD31" s="138"/>
      <c r="AE31" s="138"/>
      <c r="AF31" s="138"/>
      <c r="AG31" s="138"/>
      <c r="AH31" s="138"/>
      <c r="AI31" s="130"/>
    </row>
    <row r="32" spans="1:35">
      <c r="A32" s="126">
        <f t="shared" si="0"/>
        <v>26</v>
      </c>
      <c r="B32" s="130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30"/>
      <c r="X32" s="130"/>
      <c r="Y32" s="130"/>
      <c r="Z32" s="138"/>
      <c r="AA32" s="138"/>
      <c r="AB32" s="138"/>
      <c r="AC32" s="138"/>
      <c r="AD32" s="138"/>
      <c r="AE32" s="138"/>
      <c r="AF32" s="138"/>
      <c r="AG32" s="138"/>
      <c r="AH32" s="138"/>
      <c r="AI32" s="130"/>
    </row>
    <row r="33" spans="1:35">
      <c r="A33" s="126">
        <f t="shared" si="0"/>
        <v>27</v>
      </c>
      <c r="B33" s="130" t="s">
        <v>32</v>
      </c>
      <c r="C33" s="161">
        <f t="shared" ref="C33:T33" si="9">(+C12-C31)</f>
        <v>-98600.990000000224</v>
      </c>
      <c r="D33" s="161">
        <f t="shared" si="9"/>
        <v>44641.610000000335</v>
      </c>
      <c r="E33" s="161">
        <f t="shared" si="9"/>
        <v>-284255.26003</v>
      </c>
      <c r="F33" s="161">
        <f t="shared" si="9"/>
        <v>-126591.96000000005</v>
      </c>
      <c r="G33" s="161">
        <f t="shared" si="9"/>
        <v>-1284763.21</v>
      </c>
      <c r="H33" s="161">
        <f t="shared" si="9"/>
        <v>62893.850000000006</v>
      </c>
      <c r="I33" s="161">
        <f t="shared" si="9"/>
        <v>-66994.67</v>
      </c>
      <c r="J33" s="161">
        <f t="shared" si="9"/>
        <v>284932.02</v>
      </c>
      <c r="K33" s="161">
        <f t="shared" si="9"/>
        <v>30533.67</v>
      </c>
      <c r="L33" s="161">
        <f t="shared" si="9"/>
        <v>-23561.223193978643</v>
      </c>
      <c r="M33" s="161">
        <f t="shared" si="9"/>
        <v>14594.306962747129</v>
      </c>
      <c r="N33" s="161">
        <f t="shared" si="9"/>
        <v>7748.1316875689417</v>
      </c>
      <c r="O33" s="161">
        <f t="shared" si="9"/>
        <v>-23333.33</v>
      </c>
      <c r="P33" s="161">
        <f t="shared" si="9"/>
        <v>78515.926666666666</v>
      </c>
      <c r="Q33" s="161">
        <f t="shared" ref="Q33" si="10">(+Q12-Q31)</f>
        <v>0</v>
      </c>
      <c r="R33" s="161">
        <f t="shared" si="9"/>
        <v>-1638.6254054608437</v>
      </c>
      <c r="S33" s="161">
        <f t="shared" si="9"/>
        <v>0</v>
      </c>
      <c r="T33" s="161">
        <f t="shared" si="9"/>
        <v>0</v>
      </c>
      <c r="U33" s="161"/>
      <c r="V33" s="161">
        <f>SUM(C33:U33)</f>
        <v>-1385879.7533124564</v>
      </c>
      <c r="W33" s="130"/>
      <c r="X33" s="130"/>
      <c r="Y33" s="130"/>
      <c r="Z33" s="138"/>
      <c r="AA33" s="138"/>
      <c r="AB33" s="138"/>
      <c r="AC33" s="138"/>
      <c r="AD33" s="138"/>
      <c r="AE33" s="138"/>
      <c r="AF33" s="138"/>
      <c r="AG33" s="138"/>
      <c r="AH33" s="138"/>
      <c r="AI33" s="130"/>
    </row>
    <row r="34" spans="1:35">
      <c r="A34" s="126">
        <f t="shared" si="0"/>
        <v>28</v>
      </c>
      <c r="B34" s="130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30"/>
      <c r="X34" s="130"/>
      <c r="Y34" s="130"/>
      <c r="Z34" s="138"/>
      <c r="AA34" s="138"/>
      <c r="AB34" s="138"/>
      <c r="AC34" s="138"/>
      <c r="AD34" s="138"/>
      <c r="AE34" s="138"/>
      <c r="AF34" s="138"/>
      <c r="AG34" s="138"/>
      <c r="AH34" s="138"/>
      <c r="AI34" s="130"/>
    </row>
    <row r="35" spans="1:35">
      <c r="A35" s="126">
        <f t="shared" si="0"/>
        <v>29</v>
      </c>
      <c r="B35" s="130" t="s">
        <v>33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>
        <f>SUM(C35:U35)</f>
        <v>0</v>
      </c>
      <c r="W35" s="130"/>
      <c r="X35" s="130"/>
      <c r="Y35" s="130"/>
      <c r="Z35" s="138"/>
      <c r="AA35" s="138"/>
      <c r="AB35" s="138"/>
      <c r="AC35" s="138"/>
      <c r="AD35" s="138"/>
      <c r="AE35" s="138"/>
      <c r="AF35" s="138"/>
      <c r="AG35" s="138"/>
      <c r="AH35" s="138"/>
      <c r="AI35" s="130"/>
    </row>
    <row r="36" spans="1:35">
      <c r="A36" s="126">
        <f t="shared" si="0"/>
        <v>30</v>
      </c>
      <c r="B36" s="130" t="s">
        <v>246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30"/>
      <c r="X36" s="130"/>
      <c r="Y36" s="130"/>
      <c r="Z36" s="138"/>
      <c r="AA36" s="138"/>
      <c r="AB36" s="138"/>
      <c r="AC36" s="138"/>
      <c r="AD36" s="138"/>
      <c r="AE36" s="138"/>
      <c r="AF36" s="138"/>
      <c r="AG36" s="138"/>
      <c r="AH36" s="138"/>
      <c r="AI36" s="130"/>
    </row>
    <row r="37" spans="1:35">
      <c r="A37" s="126">
        <f t="shared" si="0"/>
        <v>31</v>
      </c>
      <c r="B37" s="130" t="s">
        <v>36</v>
      </c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>
        <f>'Adj List'!F20</f>
        <v>0</v>
      </c>
      <c r="Q37" s="161">
        <f>'Adj List'!F21</f>
        <v>-1516655</v>
      </c>
      <c r="R37" s="161"/>
      <c r="S37" s="161"/>
      <c r="T37" s="161"/>
      <c r="U37" s="161"/>
      <c r="V37" s="161">
        <f>SUM(C37:U37)</f>
        <v>-1516655</v>
      </c>
      <c r="W37" s="130"/>
      <c r="X37" s="130"/>
      <c r="Y37" s="130"/>
      <c r="Z37" s="138"/>
      <c r="AA37" s="138"/>
      <c r="AB37" s="138"/>
      <c r="AC37" s="138"/>
      <c r="AD37" s="138"/>
      <c r="AE37" s="138"/>
      <c r="AF37" s="138"/>
      <c r="AG37" s="138"/>
      <c r="AH37" s="138"/>
      <c r="AI37" s="130"/>
    </row>
    <row r="38" spans="1:35">
      <c r="A38" s="126">
        <f t="shared" si="0"/>
        <v>32</v>
      </c>
      <c r="B38" s="130" t="s">
        <v>37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>
        <f>SUM(C38:U38)</f>
        <v>0</v>
      </c>
      <c r="W38" s="130"/>
      <c r="X38" s="130"/>
      <c r="Y38" s="130"/>
      <c r="Z38" s="138"/>
      <c r="AA38" s="138"/>
      <c r="AB38" s="138"/>
      <c r="AC38" s="138"/>
      <c r="AD38" s="138"/>
      <c r="AE38" s="138"/>
      <c r="AF38" s="138"/>
      <c r="AG38" s="138"/>
      <c r="AH38" s="138"/>
      <c r="AI38" s="130"/>
    </row>
    <row r="39" spans="1:35">
      <c r="A39" s="126">
        <f t="shared" si="0"/>
        <v>33</v>
      </c>
      <c r="B39" s="130" t="s">
        <v>38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>
        <f>SUM(C39:U39)</f>
        <v>0</v>
      </c>
      <c r="W39" s="130"/>
      <c r="X39" s="130"/>
      <c r="Y39" s="130"/>
      <c r="Z39" s="138"/>
      <c r="AA39" s="138"/>
      <c r="AB39" s="138"/>
      <c r="AC39" s="138"/>
      <c r="AD39" s="138"/>
      <c r="AE39" s="138"/>
      <c r="AF39" s="138"/>
      <c r="AG39" s="138"/>
      <c r="AH39" s="138"/>
      <c r="AI39" s="130"/>
    </row>
    <row r="40" spans="1:35">
      <c r="A40" s="126">
        <f t="shared" si="0"/>
        <v>34</v>
      </c>
      <c r="B40" s="141" t="s">
        <v>247</v>
      </c>
      <c r="C40" s="163">
        <f t="shared" ref="C40:T40" si="11">SUM(C35:C39)</f>
        <v>0</v>
      </c>
      <c r="D40" s="163">
        <f t="shared" si="11"/>
        <v>0</v>
      </c>
      <c r="E40" s="163">
        <f t="shared" si="11"/>
        <v>0</v>
      </c>
      <c r="F40" s="163">
        <f t="shared" si="11"/>
        <v>0</v>
      </c>
      <c r="G40" s="163">
        <f t="shared" si="11"/>
        <v>0</v>
      </c>
      <c r="H40" s="163">
        <f t="shared" si="11"/>
        <v>0</v>
      </c>
      <c r="I40" s="163">
        <f t="shared" si="11"/>
        <v>0</v>
      </c>
      <c r="J40" s="163">
        <f t="shared" si="11"/>
        <v>0</v>
      </c>
      <c r="K40" s="163">
        <f t="shared" si="11"/>
        <v>0</v>
      </c>
      <c r="L40" s="163">
        <f t="shared" si="11"/>
        <v>0</v>
      </c>
      <c r="M40" s="163">
        <f t="shared" si="11"/>
        <v>0</v>
      </c>
      <c r="N40" s="163">
        <f t="shared" si="11"/>
        <v>0</v>
      </c>
      <c r="O40" s="163">
        <f t="shared" si="11"/>
        <v>0</v>
      </c>
      <c r="P40" s="163">
        <f t="shared" si="11"/>
        <v>0</v>
      </c>
      <c r="Q40" s="163">
        <f t="shared" ref="Q40" si="12">SUM(Q35:Q39)</f>
        <v>-1516655</v>
      </c>
      <c r="R40" s="163">
        <f t="shared" si="11"/>
        <v>0</v>
      </c>
      <c r="S40" s="163">
        <f t="shared" si="11"/>
        <v>0</v>
      </c>
      <c r="T40" s="163">
        <f t="shared" si="11"/>
        <v>0</v>
      </c>
      <c r="U40" s="163"/>
      <c r="V40" s="163">
        <f>SUM(C40:U40)</f>
        <v>-1516655</v>
      </c>
      <c r="W40" s="130"/>
      <c r="X40" s="138">
        <f>'Adj List'!F30-V40</f>
        <v>0</v>
      </c>
      <c r="Y40" s="130"/>
      <c r="Z40" s="138"/>
      <c r="AA40" s="138"/>
      <c r="AB40" s="138"/>
      <c r="AC40" s="138"/>
      <c r="AD40" s="138"/>
      <c r="AE40" s="138"/>
      <c r="AF40" s="138"/>
      <c r="AG40" s="138"/>
      <c r="AH40" s="138"/>
      <c r="AI40" s="130"/>
    </row>
    <row r="41" spans="1:35">
      <c r="A41" s="126">
        <f t="shared" si="0"/>
        <v>35</v>
      </c>
      <c r="B41" s="130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30"/>
      <c r="X41" s="130"/>
      <c r="Y41" s="130"/>
      <c r="Z41" s="138"/>
      <c r="AA41" s="138"/>
      <c r="AB41" s="138"/>
      <c r="AC41" s="138"/>
      <c r="AD41" s="138"/>
      <c r="AE41" s="138"/>
      <c r="AF41" s="138"/>
      <c r="AG41" s="138"/>
      <c r="AH41" s="138"/>
      <c r="AI41" s="130"/>
    </row>
    <row r="42" spans="1:35" ht="14.4" thickBot="1">
      <c r="A42" s="126">
        <f t="shared" si="0"/>
        <v>36</v>
      </c>
      <c r="B42" s="142" t="s">
        <v>39</v>
      </c>
      <c r="C42" s="165">
        <f t="shared" ref="C42:T42" si="13">+C33+C40</f>
        <v>-98600.990000000224</v>
      </c>
      <c r="D42" s="165">
        <f t="shared" si="13"/>
        <v>44641.610000000335</v>
      </c>
      <c r="E42" s="165">
        <f t="shared" si="13"/>
        <v>-284255.26003</v>
      </c>
      <c r="F42" s="165">
        <f t="shared" si="13"/>
        <v>-126591.96000000005</v>
      </c>
      <c r="G42" s="165">
        <f t="shared" si="13"/>
        <v>-1284763.21</v>
      </c>
      <c r="H42" s="165">
        <f t="shared" si="13"/>
        <v>62893.850000000006</v>
      </c>
      <c r="I42" s="165">
        <f t="shared" si="13"/>
        <v>-66994.67</v>
      </c>
      <c r="J42" s="165">
        <f t="shared" si="13"/>
        <v>284932.02</v>
      </c>
      <c r="K42" s="165">
        <f t="shared" si="13"/>
        <v>30533.67</v>
      </c>
      <c r="L42" s="165">
        <f t="shared" si="13"/>
        <v>-23561.223193978643</v>
      </c>
      <c r="M42" s="165">
        <f t="shared" si="13"/>
        <v>14594.306962747129</v>
      </c>
      <c r="N42" s="165">
        <f t="shared" si="13"/>
        <v>7748.1316875689417</v>
      </c>
      <c r="O42" s="165">
        <f t="shared" si="13"/>
        <v>-23333.33</v>
      </c>
      <c r="P42" s="165">
        <f t="shared" si="13"/>
        <v>78515.926666666666</v>
      </c>
      <c r="Q42" s="165">
        <f t="shared" ref="Q42" si="14">+Q33+Q40</f>
        <v>-1516655</v>
      </c>
      <c r="R42" s="165">
        <f t="shared" si="13"/>
        <v>-1638.6254054608437</v>
      </c>
      <c r="S42" s="165">
        <f t="shared" si="13"/>
        <v>0</v>
      </c>
      <c r="T42" s="165">
        <f t="shared" si="13"/>
        <v>0</v>
      </c>
      <c r="U42" s="165"/>
      <c r="V42" s="165">
        <f>SUM(C42:U42)</f>
        <v>-2902534.7533124569</v>
      </c>
      <c r="W42" s="130"/>
      <c r="X42" s="138">
        <f>'Adj List'!G30-V42</f>
        <v>0</v>
      </c>
      <c r="Y42" s="130"/>
      <c r="Z42" s="138"/>
      <c r="AA42" s="138"/>
      <c r="AB42" s="138"/>
      <c r="AC42" s="138"/>
      <c r="AD42" s="138"/>
      <c r="AE42" s="138"/>
      <c r="AF42" s="138"/>
      <c r="AG42" s="138"/>
      <c r="AH42" s="138"/>
      <c r="AI42" s="130"/>
    </row>
    <row r="43" spans="1:35" ht="37.200000000000003" customHeight="1" thickTop="1">
      <c r="A43" s="126"/>
      <c r="B43" s="130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</row>
    <row r="44" spans="1:35" ht="18" customHeight="1">
      <c r="A44" s="126"/>
      <c r="B44" s="130" t="s">
        <v>248</v>
      </c>
      <c r="C44" s="161">
        <f>C12</f>
        <v>-6746654.9900000002</v>
      </c>
      <c r="D44" s="161">
        <f t="shared" ref="D44:T44" si="15">D12</f>
        <v>-5815832.3899999997</v>
      </c>
      <c r="E44" s="161">
        <f t="shared" si="15"/>
        <v>0</v>
      </c>
      <c r="F44" s="161">
        <f t="shared" si="15"/>
        <v>0</v>
      </c>
      <c r="G44" s="161">
        <f t="shared" si="15"/>
        <v>0</v>
      </c>
      <c r="H44" s="161">
        <f t="shared" si="15"/>
        <v>171589.7</v>
      </c>
      <c r="I44" s="161">
        <f t="shared" si="15"/>
        <v>0</v>
      </c>
      <c r="J44" s="161">
        <f t="shared" si="15"/>
        <v>0</v>
      </c>
      <c r="K44" s="161">
        <f t="shared" si="15"/>
        <v>0</v>
      </c>
      <c r="L44" s="161">
        <f t="shared" si="15"/>
        <v>0</v>
      </c>
      <c r="M44" s="161">
        <f t="shared" si="15"/>
        <v>0</v>
      </c>
      <c r="N44" s="161">
        <f t="shared" si="15"/>
        <v>0</v>
      </c>
      <c r="O44" s="161">
        <f t="shared" si="15"/>
        <v>0</v>
      </c>
      <c r="P44" s="161">
        <f t="shared" si="15"/>
        <v>0</v>
      </c>
      <c r="Q44" s="161">
        <f t="shared" ref="Q44" si="16">Q12</f>
        <v>0</v>
      </c>
      <c r="R44" s="161">
        <f t="shared" si="15"/>
        <v>0</v>
      </c>
      <c r="S44" s="161">
        <f t="shared" si="15"/>
        <v>0</v>
      </c>
      <c r="T44" s="161">
        <f t="shared" si="15"/>
        <v>0</v>
      </c>
      <c r="U44" s="161"/>
      <c r="V44" s="161">
        <f>SUM(C44:U44)</f>
        <v>-12390897.68</v>
      </c>
      <c r="W44" s="130"/>
      <c r="X44" s="138">
        <f>'Adj List'!D30-V44</f>
        <v>0</v>
      </c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</row>
    <row r="45" spans="1:35" ht="18" customHeight="1">
      <c r="A45" s="126"/>
      <c r="B45" s="130" t="s">
        <v>249</v>
      </c>
      <c r="C45" s="161">
        <f>C31</f>
        <v>-6648054</v>
      </c>
      <c r="D45" s="161">
        <f t="shared" ref="D45:U45" si="17">D31</f>
        <v>-5860474</v>
      </c>
      <c r="E45" s="161">
        <f t="shared" si="17"/>
        <v>284255.26003</v>
      </c>
      <c r="F45" s="161">
        <f t="shared" si="17"/>
        <v>126591.96000000005</v>
      </c>
      <c r="G45" s="161">
        <f t="shared" si="17"/>
        <v>1284763.21</v>
      </c>
      <c r="H45" s="161">
        <f t="shared" si="17"/>
        <v>108695.85</v>
      </c>
      <c r="I45" s="161">
        <f t="shared" si="17"/>
        <v>66994.67</v>
      </c>
      <c r="J45" s="161">
        <f t="shared" si="17"/>
        <v>-284932.02</v>
      </c>
      <c r="K45" s="161">
        <f t="shared" si="17"/>
        <v>-30533.67</v>
      </c>
      <c r="L45" s="161">
        <f t="shared" si="17"/>
        <v>23561.223193978643</v>
      </c>
      <c r="M45" s="161">
        <f t="shared" si="17"/>
        <v>-14594.306962747129</v>
      </c>
      <c r="N45" s="161">
        <f t="shared" si="17"/>
        <v>-7748.1316875689417</v>
      </c>
      <c r="O45" s="161">
        <f t="shared" si="17"/>
        <v>23333.33</v>
      </c>
      <c r="P45" s="161">
        <f t="shared" si="17"/>
        <v>-78515.926666666666</v>
      </c>
      <c r="Q45" s="161">
        <f t="shared" si="17"/>
        <v>0</v>
      </c>
      <c r="R45" s="161">
        <f t="shared" si="17"/>
        <v>1638.6254054608437</v>
      </c>
      <c r="S45" s="161">
        <f t="shared" si="17"/>
        <v>0</v>
      </c>
      <c r="T45" s="161">
        <f t="shared" si="17"/>
        <v>0</v>
      </c>
      <c r="U45" s="161">
        <f t="shared" si="17"/>
        <v>0</v>
      </c>
      <c r="V45" s="161">
        <f>SUM(C45:U45)</f>
        <v>-11005017.926687542</v>
      </c>
      <c r="W45" s="130"/>
      <c r="X45" s="138">
        <f>'Adj List'!E30-V45</f>
        <v>0</v>
      </c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</row>
    <row r="46" spans="1:35" ht="18" customHeight="1">
      <c r="A46" s="126"/>
      <c r="B46" s="130" t="s">
        <v>250</v>
      </c>
      <c r="C46" s="161">
        <f>C40</f>
        <v>0</v>
      </c>
      <c r="D46" s="161">
        <f t="shared" ref="D46:O46" si="18">D40</f>
        <v>0</v>
      </c>
      <c r="E46" s="161">
        <f t="shared" si="18"/>
        <v>0</v>
      </c>
      <c r="F46" s="161">
        <f t="shared" si="18"/>
        <v>0</v>
      </c>
      <c r="G46" s="161">
        <f t="shared" si="18"/>
        <v>0</v>
      </c>
      <c r="H46" s="161">
        <f t="shared" si="18"/>
        <v>0</v>
      </c>
      <c r="I46" s="161">
        <f t="shared" si="18"/>
        <v>0</v>
      </c>
      <c r="J46" s="161">
        <f t="shared" si="18"/>
        <v>0</v>
      </c>
      <c r="K46" s="161">
        <f t="shared" si="18"/>
        <v>0</v>
      </c>
      <c r="L46" s="161">
        <f t="shared" si="18"/>
        <v>0</v>
      </c>
      <c r="M46" s="161">
        <f t="shared" si="18"/>
        <v>0</v>
      </c>
      <c r="N46" s="161">
        <f t="shared" si="18"/>
        <v>0</v>
      </c>
      <c r="O46" s="161">
        <f t="shared" si="18"/>
        <v>0</v>
      </c>
      <c r="P46" s="161">
        <f>P40</f>
        <v>0</v>
      </c>
      <c r="Q46" s="161">
        <f>Q40</f>
        <v>-1516655</v>
      </c>
      <c r="R46" s="161"/>
      <c r="S46" s="161"/>
      <c r="T46" s="161"/>
      <c r="U46" s="161"/>
      <c r="V46" s="161">
        <f>SUM(C46:U46)</f>
        <v>-1516655</v>
      </c>
      <c r="W46" s="130"/>
      <c r="X46" s="138">
        <f>'Adj List'!F30-V46</f>
        <v>0</v>
      </c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</row>
    <row r="47" spans="1:35" ht="18" customHeight="1">
      <c r="A47" s="126"/>
      <c r="B47" s="130" t="s">
        <v>251</v>
      </c>
      <c r="C47" s="161">
        <f>C44-C45+C46</f>
        <v>-98600.990000000224</v>
      </c>
      <c r="D47" s="161">
        <f t="shared" ref="D47:P47" si="19">D44-D45+D46</f>
        <v>44641.610000000335</v>
      </c>
      <c r="E47" s="161">
        <f t="shared" si="19"/>
        <v>-284255.26003</v>
      </c>
      <c r="F47" s="161">
        <f t="shared" si="19"/>
        <v>-126591.96000000005</v>
      </c>
      <c r="G47" s="161">
        <f t="shared" si="19"/>
        <v>-1284763.21</v>
      </c>
      <c r="H47" s="161">
        <f t="shared" si="19"/>
        <v>62893.850000000006</v>
      </c>
      <c r="I47" s="161">
        <f t="shared" si="19"/>
        <v>-66994.67</v>
      </c>
      <c r="J47" s="161">
        <f t="shared" si="19"/>
        <v>284932.02</v>
      </c>
      <c r="K47" s="161">
        <f t="shared" si="19"/>
        <v>30533.67</v>
      </c>
      <c r="L47" s="161">
        <f t="shared" si="19"/>
        <v>-23561.223193978643</v>
      </c>
      <c r="M47" s="161">
        <f t="shared" si="19"/>
        <v>14594.306962747129</v>
      </c>
      <c r="N47" s="161">
        <f t="shared" si="19"/>
        <v>7748.1316875689417</v>
      </c>
      <c r="O47" s="161">
        <f t="shared" si="19"/>
        <v>-23333.33</v>
      </c>
      <c r="P47" s="161">
        <f t="shared" si="19"/>
        <v>78515.926666666666</v>
      </c>
      <c r="Q47" s="161">
        <f t="shared" ref="Q47" si="20">Q44-Q45+Q46</f>
        <v>-1516655</v>
      </c>
      <c r="R47" s="161">
        <f t="shared" ref="R47:T47" si="21">R44-R45</f>
        <v>-1638.6254054608437</v>
      </c>
      <c r="S47" s="161">
        <f t="shared" si="21"/>
        <v>0</v>
      </c>
      <c r="T47" s="161">
        <f t="shared" si="21"/>
        <v>0</v>
      </c>
      <c r="U47" s="161"/>
      <c r="V47" s="161">
        <f>SUM(C47:U47)</f>
        <v>-2902534.7533124569</v>
      </c>
      <c r="W47" s="130"/>
      <c r="X47" s="138">
        <f>'Adj List'!G30-V47</f>
        <v>0</v>
      </c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</row>
    <row r="48" spans="1:35" ht="18" customHeight="1">
      <c r="A48" s="126"/>
      <c r="B48" s="130" t="s">
        <v>158</v>
      </c>
      <c r="C48" s="161">
        <f t="shared" ref="C48:V48" si="22">C47-C42</f>
        <v>0</v>
      </c>
      <c r="D48" s="161">
        <f t="shared" si="22"/>
        <v>0</v>
      </c>
      <c r="E48" s="161">
        <f t="shared" si="22"/>
        <v>0</v>
      </c>
      <c r="F48" s="161">
        <f t="shared" si="22"/>
        <v>0</v>
      </c>
      <c r="G48" s="161">
        <f t="shared" si="22"/>
        <v>0</v>
      </c>
      <c r="H48" s="161">
        <f t="shared" si="22"/>
        <v>0</v>
      </c>
      <c r="I48" s="161">
        <f t="shared" si="22"/>
        <v>0</v>
      </c>
      <c r="J48" s="161">
        <f t="shared" si="22"/>
        <v>0</v>
      </c>
      <c r="K48" s="161">
        <f t="shared" si="22"/>
        <v>0</v>
      </c>
      <c r="L48" s="161">
        <f t="shared" si="22"/>
        <v>0</v>
      </c>
      <c r="M48" s="161">
        <f t="shared" si="22"/>
        <v>0</v>
      </c>
      <c r="N48" s="161">
        <f t="shared" si="22"/>
        <v>0</v>
      </c>
      <c r="O48" s="161">
        <f t="shared" si="22"/>
        <v>0</v>
      </c>
      <c r="P48" s="161">
        <f t="shared" si="22"/>
        <v>0</v>
      </c>
      <c r="Q48" s="161">
        <f t="shared" ref="Q48" si="23">Q47-Q42</f>
        <v>0</v>
      </c>
      <c r="R48" s="161">
        <f t="shared" si="22"/>
        <v>0</v>
      </c>
      <c r="S48" s="161">
        <f t="shared" si="22"/>
        <v>0</v>
      </c>
      <c r="T48" s="161">
        <f t="shared" si="22"/>
        <v>0</v>
      </c>
      <c r="U48" s="161"/>
      <c r="V48" s="161">
        <f t="shared" si="22"/>
        <v>0</v>
      </c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</row>
    <row r="49" spans="1:35" ht="18" customHeight="1">
      <c r="A49" s="126"/>
      <c r="B49" s="13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</row>
    <row r="50" spans="1:35" ht="18" customHeight="1">
      <c r="A50" s="126"/>
      <c r="B50" s="13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</row>
    <row r="51" spans="1:35">
      <c r="A51" s="126"/>
      <c r="B51" s="13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</row>
    <row r="52" spans="1:35">
      <c r="A52" s="126"/>
      <c r="B52" s="130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</row>
    <row r="53" spans="1:35">
      <c r="A53" s="126"/>
      <c r="B53" s="13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</row>
    <row r="54" spans="1:35">
      <c r="A54" s="126"/>
      <c r="B54" s="130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</row>
    <row r="55" spans="1:35">
      <c r="A55" s="126"/>
      <c r="B55" s="130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</row>
    <row r="56" spans="1:35">
      <c r="A56" s="126"/>
      <c r="B56" s="130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</row>
    <row r="57" spans="1:35">
      <c r="A57" s="126"/>
      <c r="B57" s="130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</row>
    <row r="58" spans="1:35">
      <c r="A58" s="126"/>
      <c r="B58" s="130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</row>
    <row r="59" spans="1:35">
      <c r="A59" s="126"/>
      <c r="B59" s="130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</row>
    <row r="60" spans="1:35">
      <c r="A60" s="126"/>
      <c r="B60" s="130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</row>
    <row r="61" spans="1:35">
      <c r="A61" s="126"/>
      <c r="B61" s="130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</row>
    <row r="62" spans="1:35">
      <c r="A62" s="126"/>
      <c r="B62" s="130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</row>
    <row r="63" spans="1:35">
      <c r="A63" s="126"/>
      <c r="B63" s="130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</row>
    <row r="64" spans="1:35">
      <c r="A64" s="126"/>
      <c r="B64" s="130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</row>
    <row r="65" spans="1:35">
      <c r="A65" s="126"/>
      <c r="B65" s="130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</row>
    <row r="66" spans="1:35">
      <c r="A66" s="126"/>
      <c r="B66" s="130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</row>
    <row r="67" spans="1:35">
      <c r="A67" s="126"/>
      <c r="B67" s="130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</row>
    <row r="68" spans="1:35">
      <c r="A68" s="126"/>
      <c r="B68" s="130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</row>
    <row r="69" spans="1:35">
      <c r="A69" s="126"/>
      <c r="B69" s="130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</row>
    <row r="70" spans="1:35">
      <c r="A70" s="126"/>
      <c r="B70" s="130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</row>
    <row r="71" spans="1:35">
      <c r="A71" s="126"/>
      <c r="B71" s="130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</row>
    <row r="72" spans="1:35">
      <c r="A72" s="126"/>
      <c r="B72" s="130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</row>
    <row r="73" spans="1:35">
      <c r="A73" s="126"/>
      <c r="B73" s="130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</row>
    <row r="74" spans="1:35">
      <c r="A74" s="126"/>
      <c r="B74" s="130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</row>
    <row r="75" spans="1:35">
      <c r="A75" s="126"/>
      <c r="B75" s="130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</row>
    <row r="76" spans="1:35">
      <c r="A76" s="126"/>
      <c r="B76" s="130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</row>
    <row r="77" spans="1:35">
      <c r="A77" s="126"/>
      <c r="B77" s="130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</row>
    <row r="78" spans="1:35">
      <c r="A78" s="126"/>
      <c r="B78" s="130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</row>
    <row r="79" spans="1:35">
      <c r="A79" s="126"/>
      <c r="B79" s="130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</row>
    <row r="80" spans="1:35">
      <c r="A80" s="126"/>
      <c r="B80" s="130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</row>
    <row r="81" spans="1:35">
      <c r="A81" s="126"/>
      <c r="B81" s="130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</row>
    <row r="82" spans="1:35">
      <c r="A82" s="126"/>
      <c r="B82" s="130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</row>
    <row r="83" spans="1:35">
      <c r="A83" s="126"/>
      <c r="B83" s="130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</row>
    <row r="84" spans="1:35">
      <c r="A84" s="126"/>
      <c r="B84" s="130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</row>
    <row r="85" spans="1:35">
      <c r="A85" s="126"/>
      <c r="B85" s="130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</row>
    <row r="86" spans="1:35">
      <c r="A86" s="126"/>
      <c r="B86" s="130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</row>
    <row r="87" spans="1:35">
      <c r="A87" s="126"/>
      <c r="B87" s="130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</row>
    <row r="88" spans="1:35">
      <c r="A88" s="126"/>
      <c r="B88" s="130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</row>
    <row r="89" spans="1:35">
      <c r="A89" s="126"/>
      <c r="B89" s="130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</row>
    <row r="90" spans="1:35">
      <c r="A90" s="126"/>
      <c r="B90" s="130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</row>
    <row r="91" spans="1:35">
      <c r="A91" s="126"/>
      <c r="B91" s="130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</row>
    <row r="92" spans="1:35">
      <c r="A92" s="126"/>
      <c r="B92" s="130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</row>
    <row r="93" spans="1:35">
      <c r="A93" s="126"/>
      <c r="B93" s="130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</row>
    <row r="94" spans="1:35">
      <c r="A94" s="126"/>
      <c r="B94" s="130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</row>
    <row r="95" spans="1:35">
      <c r="A95" s="126"/>
      <c r="B95" s="130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</row>
    <row r="96" spans="1:35">
      <c r="A96" s="126"/>
      <c r="B96" s="130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</row>
    <row r="97" spans="1:35">
      <c r="A97" s="126"/>
      <c r="B97" s="130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</row>
    <row r="98" spans="1:35">
      <c r="A98" s="126"/>
      <c r="B98" s="130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</row>
    <row r="99" spans="1:35">
      <c r="A99" s="126"/>
      <c r="B99" s="130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</row>
    <row r="100" spans="1:35">
      <c r="A100" s="126"/>
      <c r="B100" s="130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</row>
    <row r="101" spans="1:35">
      <c r="A101" s="126"/>
      <c r="B101" s="130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</row>
    <row r="102" spans="1:35">
      <c r="B102" s="130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30"/>
      <c r="X102" s="130"/>
      <c r="Y102" s="130"/>
      <c r="Z102" s="130"/>
      <c r="AA102" s="130"/>
      <c r="AB102" s="130"/>
      <c r="AC102" s="130"/>
    </row>
    <row r="103" spans="1:35">
      <c r="B103" s="130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30"/>
      <c r="X103" s="130"/>
      <c r="Y103" s="130"/>
      <c r="Z103" s="130"/>
      <c r="AA103" s="130"/>
      <c r="AB103" s="130"/>
      <c r="AC103" s="130"/>
    </row>
    <row r="104" spans="1:35">
      <c r="B104" s="130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30"/>
      <c r="X104" s="130"/>
      <c r="Y104" s="130"/>
      <c r="Z104" s="130"/>
      <c r="AA104" s="130"/>
      <c r="AB104" s="130"/>
      <c r="AC104" s="130"/>
    </row>
    <row r="105" spans="1:35">
      <c r="B105" s="130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30"/>
      <c r="X105" s="130"/>
      <c r="Y105" s="130"/>
      <c r="Z105" s="130"/>
      <c r="AA105" s="130"/>
      <c r="AB105" s="130"/>
      <c r="AC105" s="130"/>
    </row>
    <row r="106" spans="1:35">
      <c r="B106" s="130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30"/>
      <c r="X106" s="130"/>
      <c r="Y106" s="130"/>
      <c r="Z106" s="130"/>
      <c r="AA106" s="130"/>
      <c r="AB106" s="130"/>
      <c r="AC106" s="130"/>
    </row>
    <row r="107" spans="1:35">
      <c r="B107" s="130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30"/>
      <c r="X107" s="130"/>
      <c r="Y107" s="130"/>
      <c r="Z107" s="130"/>
      <c r="AA107" s="130"/>
      <c r="AB107" s="130"/>
      <c r="AC107" s="130"/>
    </row>
    <row r="108" spans="1:35">
      <c r="B108" s="130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30"/>
      <c r="X108" s="130"/>
      <c r="Y108" s="130"/>
      <c r="Z108" s="130"/>
      <c r="AA108" s="130"/>
      <c r="AB108" s="130"/>
      <c r="AC108" s="130"/>
    </row>
    <row r="109" spans="1:35">
      <c r="B109" s="130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30"/>
      <c r="X109" s="130"/>
      <c r="Y109" s="130"/>
      <c r="Z109" s="130"/>
      <c r="AA109" s="130"/>
      <c r="AB109" s="130"/>
      <c r="AC109" s="130"/>
    </row>
    <row r="110" spans="1:35">
      <c r="B110" s="130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30"/>
      <c r="X110" s="130"/>
      <c r="Y110" s="130"/>
      <c r="Z110" s="130"/>
      <c r="AA110" s="130"/>
      <c r="AB110" s="130"/>
      <c r="AC110" s="130"/>
    </row>
    <row r="111" spans="1:35">
      <c r="B111" s="130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30"/>
      <c r="X111" s="130"/>
      <c r="Y111" s="130"/>
      <c r="Z111" s="130"/>
      <c r="AA111" s="130"/>
      <c r="AB111" s="130"/>
      <c r="AC111" s="130"/>
    </row>
    <row r="112" spans="1:35">
      <c r="B112" s="130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30"/>
      <c r="X112" s="130"/>
      <c r="Y112" s="130"/>
      <c r="Z112" s="130"/>
      <c r="AA112" s="130"/>
      <c r="AB112" s="130"/>
      <c r="AC112" s="130"/>
    </row>
    <row r="113" spans="2:29">
      <c r="B113" s="130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30"/>
      <c r="X113" s="130"/>
      <c r="Y113" s="130"/>
      <c r="Z113" s="130"/>
      <c r="AA113" s="130"/>
      <c r="AB113" s="130"/>
      <c r="AC113" s="130"/>
    </row>
    <row r="114" spans="2:29">
      <c r="B114" s="130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30"/>
      <c r="X114" s="130"/>
      <c r="Y114" s="130"/>
      <c r="Z114" s="130"/>
      <c r="AA114" s="130"/>
      <c r="AB114" s="130"/>
      <c r="AC114" s="130"/>
    </row>
    <row r="115" spans="2:29">
      <c r="B115" s="130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30"/>
      <c r="X115" s="130"/>
      <c r="Y115" s="130"/>
      <c r="Z115" s="130"/>
      <c r="AA115" s="130"/>
      <c r="AB115" s="130"/>
      <c r="AC115" s="130"/>
    </row>
    <row r="116" spans="2:29">
      <c r="B116" s="130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30"/>
      <c r="X116" s="130"/>
      <c r="Y116" s="130"/>
      <c r="Z116" s="130"/>
      <c r="AA116" s="130"/>
      <c r="AB116" s="130"/>
      <c r="AC116" s="130"/>
    </row>
    <row r="117" spans="2:29">
      <c r="B117" s="130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30"/>
      <c r="X117" s="130"/>
      <c r="Y117" s="130"/>
      <c r="Z117" s="130"/>
      <c r="AA117" s="130"/>
      <c r="AB117" s="130"/>
      <c r="AC117" s="130"/>
    </row>
    <row r="118" spans="2:29">
      <c r="B118" s="130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30"/>
      <c r="X118" s="130"/>
      <c r="Y118" s="130"/>
      <c r="Z118" s="130"/>
      <c r="AA118" s="130"/>
      <c r="AB118" s="130"/>
      <c r="AC118" s="130"/>
    </row>
    <row r="119" spans="2:29">
      <c r="B119" s="130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30"/>
      <c r="X119" s="130"/>
      <c r="Y119" s="130"/>
      <c r="Z119" s="130"/>
      <c r="AA119" s="130"/>
      <c r="AB119" s="130"/>
      <c r="AC119" s="130"/>
    </row>
    <row r="120" spans="2:29">
      <c r="B120" s="130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30"/>
      <c r="X120" s="130"/>
      <c r="Y120" s="130"/>
      <c r="Z120" s="130"/>
      <c r="AA120" s="130"/>
      <c r="AB120" s="130"/>
      <c r="AC120" s="130"/>
    </row>
    <row r="121" spans="2:29">
      <c r="B121" s="130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30"/>
      <c r="X121" s="130"/>
      <c r="Y121" s="130"/>
      <c r="Z121" s="130"/>
      <c r="AA121" s="130"/>
      <c r="AB121" s="130"/>
      <c r="AC121" s="130"/>
    </row>
    <row r="122" spans="2:29">
      <c r="B122" s="130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30"/>
      <c r="X122" s="130"/>
      <c r="Y122" s="130"/>
      <c r="Z122" s="130"/>
      <c r="AA122" s="130"/>
      <c r="AB122" s="130"/>
      <c r="AC122" s="130"/>
    </row>
    <row r="123" spans="2:29">
      <c r="B123" s="130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30"/>
      <c r="X123" s="130"/>
      <c r="Y123" s="130"/>
      <c r="Z123" s="130"/>
      <c r="AA123" s="130"/>
      <c r="AB123" s="130"/>
      <c r="AC123" s="130"/>
    </row>
    <row r="124" spans="2:29">
      <c r="B124" s="130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30"/>
      <c r="X124" s="130"/>
      <c r="Y124" s="130"/>
      <c r="Z124" s="130"/>
      <c r="AA124" s="130"/>
      <c r="AB124" s="130"/>
      <c r="AC124" s="130"/>
    </row>
    <row r="125" spans="2:29">
      <c r="B125" s="130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30"/>
      <c r="X125" s="130"/>
      <c r="Y125" s="130"/>
      <c r="Z125" s="130"/>
      <c r="AA125" s="130"/>
      <c r="AB125" s="130"/>
      <c r="AC125" s="130"/>
    </row>
    <row r="126" spans="2:29">
      <c r="B126" s="130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30"/>
      <c r="X126" s="130"/>
      <c r="Y126" s="130"/>
      <c r="Z126" s="130"/>
      <c r="AA126" s="130"/>
      <c r="AB126" s="130"/>
      <c r="AC126" s="130"/>
    </row>
    <row r="127" spans="2:29">
      <c r="B127" s="130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30"/>
      <c r="X127" s="130"/>
      <c r="Y127" s="130"/>
      <c r="Z127" s="130"/>
      <c r="AA127" s="130"/>
      <c r="AB127" s="130"/>
      <c r="AC127" s="130"/>
    </row>
    <row r="128" spans="2:29">
      <c r="B128" s="130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30"/>
      <c r="X128" s="130"/>
      <c r="Y128" s="130"/>
      <c r="Z128" s="130"/>
      <c r="AA128" s="130"/>
      <c r="AB128" s="130"/>
      <c r="AC128" s="130"/>
    </row>
    <row r="129" spans="2:29">
      <c r="B129" s="130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30"/>
      <c r="X129" s="130"/>
      <c r="Y129" s="130"/>
      <c r="Z129" s="130"/>
      <c r="AA129" s="130"/>
      <c r="AB129" s="130"/>
      <c r="AC129" s="130"/>
    </row>
    <row r="130" spans="2:29">
      <c r="B130" s="130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30"/>
      <c r="X130" s="130"/>
      <c r="Y130" s="130"/>
      <c r="Z130" s="130"/>
      <c r="AA130" s="130"/>
      <c r="AB130" s="130"/>
      <c r="AC130" s="130"/>
    </row>
    <row r="131" spans="2:29"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</row>
    <row r="132" spans="2:29"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</row>
    <row r="133" spans="2:29"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</row>
    <row r="134" spans="2:29"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</row>
    <row r="135" spans="2:29"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</row>
    <row r="136" spans="2:29"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</row>
    <row r="137" spans="2:29"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</row>
    <row r="138" spans="2:29"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</row>
    <row r="139" spans="2:29"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</row>
    <row r="140" spans="2:29"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</row>
    <row r="141" spans="2:29"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</row>
    <row r="142" spans="2:29"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</row>
    <row r="143" spans="2:29"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</row>
    <row r="144" spans="2:29"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</row>
    <row r="145" spans="2:29"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</row>
    <row r="146" spans="2:29"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</row>
    <row r="147" spans="2:29">
      <c r="W147" s="130"/>
      <c r="X147" s="130"/>
      <c r="Y147" s="130"/>
      <c r="Z147" s="130"/>
      <c r="AA147" s="130"/>
      <c r="AB147" s="130"/>
      <c r="AC147" s="130"/>
    </row>
    <row r="148" spans="2:29">
      <c r="W148" s="130"/>
      <c r="X148" s="130"/>
      <c r="Y148" s="130"/>
      <c r="Z148" s="130"/>
      <c r="AA148" s="130"/>
      <c r="AB148" s="130"/>
      <c r="AC148" s="130"/>
    </row>
    <row r="149" spans="2:29">
      <c r="W149" s="130"/>
      <c r="X149" s="130"/>
      <c r="Y149" s="130"/>
      <c r="Z149" s="130"/>
      <c r="AA149" s="130"/>
      <c r="AB149" s="130"/>
      <c r="AC149" s="130"/>
    </row>
    <row r="150" spans="2:29">
      <c r="W150" s="130"/>
      <c r="X150" s="130"/>
      <c r="Y150" s="130"/>
      <c r="Z150" s="130"/>
      <c r="AA150" s="130"/>
      <c r="AB150" s="130"/>
      <c r="AC150" s="130"/>
    </row>
    <row r="151" spans="2:29">
      <c r="W151" s="130"/>
      <c r="X151" s="130"/>
      <c r="Y151" s="130"/>
      <c r="Z151" s="130"/>
      <c r="AA151" s="130"/>
      <c r="AB151" s="130"/>
      <c r="AC151" s="130"/>
    </row>
  </sheetData>
  <conditionalFormatting sqref="C48:V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X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X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X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X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X44:X47">
    <cfRule type="cellIs" dxfId="1" priority="3" operator="not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scale="49" fitToHeight="0" orientation="landscape" r:id="rId1"/>
  <headerFooter>
    <oddFooter>&amp;RExhibit  JW-2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view="pageBreakPreview" zoomScale="60" zoomScaleNormal="100" workbookViewId="0">
      <selection activeCell="D68" sqref="D68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11.6640625" style="2" customWidth="1"/>
    <col min="4" max="4" width="10.88671875" style="2" customWidth="1"/>
    <col min="5" max="5" width="3" style="2" customWidth="1"/>
    <col min="6" max="6" width="15.33203125" style="2" customWidth="1"/>
    <col min="7" max="7" width="3.33203125" style="2" customWidth="1"/>
    <col min="8" max="8" width="15.6640625" style="2" customWidth="1"/>
    <col min="9" max="9" width="9.109375" style="2"/>
    <col min="10" max="10" width="9.5546875" style="2" bestFit="1" customWidth="1"/>
    <col min="11" max="16384" width="9.109375" style="2"/>
  </cols>
  <sheetData>
    <row r="1" spans="1:15">
      <c r="G1" s="27"/>
      <c r="H1" s="27" t="s">
        <v>104</v>
      </c>
    </row>
    <row r="2" spans="1:15">
      <c r="G2" s="27"/>
      <c r="H2" s="27"/>
    </row>
    <row r="3" spans="1:15">
      <c r="G3" s="27"/>
      <c r="H3" s="27"/>
    </row>
    <row r="4" spans="1:15">
      <c r="A4" s="327" t="str">
        <f>RevReq!A1</f>
        <v>FARMERS RECC</v>
      </c>
      <c r="B4" s="327"/>
      <c r="C4" s="327"/>
      <c r="D4" s="327"/>
      <c r="E4" s="327"/>
      <c r="F4" s="327"/>
      <c r="G4" s="327"/>
      <c r="H4" s="327"/>
      <c r="J4" s="58"/>
      <c r="K4" s="58"/>
      <c r="L4" s="58"/>
      <c r="M4" s="58"/>
      <c r="N4" s="58"/>
      <c r="O4" s="58"/>
    </row>
    <row r="5" spans="1:15">
      <c r="A5" s="327" t="str">
        <f>RevReq!A3</f>
        <v>For the 12 Months Ended December 31, 2022</v>
      </c>
      <c r="B5" s="327"/>
      <c r="C5" s="327"/>
      <c r="D5" s="327"/>
      <c r="E5" s="327"/>
      <c r="F5" s="327"/>
      <c r="G5" s="327"/>
      <c r="H5" s="327"/>
    </row>
    <row r="7" spans="1:15" s="28" customFormat="1">
      <c r="A7" s="328" t="s">
        <v>105</v>
      </c>
      <c r="B7" s="328"/>
      <c r="C7" s="328"/>
      <c r="D7" s="328"/>
      <c r="E7" s="328"/>
      <c r="F7" s="328"/>
      <c r="G7" s="328"/>
      <c r="H7" s="328"/>
    </row>
    <row r="9" spans="1:15">
      <c r="A9" s="5" t="s">
        <v>5</v>
      </c>
      <c r="C9" s="5" t="s">
        <v>106</v>
      </c>
      <c r="D9" s="5" t="s">
        <v>107</v>
      </c>
      <c r="E9" s="5"/>
      <c r="F9" s="5" t="s">
        <v>108</v>
      </c>
      <c r="G9" s="5"/>
      <c r="H9" s="5" t="s">
        <v>109</v>
      </c>
    </row>
    <row r="10" spans="1:15">
      <c r="A10" s="30" t="s">
        <v>10</v>
      </c>
      <c r="C10" s="59" t="s">
        <v>71</v>
      </c>
      <c r="D10" s="59" t="s">
        <v>72</v>
      </c>
      <c r="E10" s="5"/>
      <c r="F10" s="59" t="s">
        <v>73</v>
      </c>
      <c r="G10" s="59"/>
      <c r="H10" s="59" t="s">
        <v>11</v>
      </c>
    </row>
    <row r="11" spans="1:15">
      <c r="A11" s="5"/>
    </row>
    <row r="12" spans="1:15">
      <c r="A12" s="5"/>
    </row>
    <row r="13" spans="1:15">
      <c r="A13" s="5">
        <v>1</v>
      </c>
      <c r="C13" s="5">
        <v>2022</v>
      </c>
      <c r="D13" s="5" t="s">
        <v>78</v>
      </c>
      <c r="E13" s="32"/>
      <c r="F13" s="32">
        <v>538286.89000000013</v>
      </c>
      <c r="G13" s="32"/>
      <c r="H13" s="32">
        <v>458337</v>
      </c>
    </row>
    <row r="14" spans="1:15">
      <c r="A14" s="5">
        <v>2</v>
      </c>
      <c r="C14" s="5">
        <f>C13</f>
        <v>2022</v>
      </c>
      <c r="D14" s="5" t="s">
        <v>79</v>
      </c>
      <c r="E14" s="32"/>
      <c r="F14" s="32">
        <v>988932.52</v>
      </c>
      <c r="G14" s="32"/>
      <c r="H14" s="32">
        <v>459601</v>
      </c>
    </row>
    <row r="15" spans="1:15">
      <c r="A15" s="5">
        <v>3</v>
      </c>
      <c r="C15" s="5">
        <f t="shared" ref="C15:C24" si="0">C14</f>
        <v>2022</v>
      </c>
      <c r="D15" s="5" t="s">
        <v>80</v>
      </c>
      <c r="E15" s="32"/>
      <c r="F15" s="32">
        <v>292771.38999999996</v>
      </c>
      <c r="G15" s="32"/>
      <c r="H15" s="32">
        <v>407104</v>
      </c>
    </row>
    <row r="16" spans="1:15">
      <c r="A16" s="5">
        <v>4</v>
      </c>
      <c r="C16" s="5">
        <f t="shared" si="0"/>
        <v>2022</v>
      </c>
      <c r="D16" s="5" t="s">
        <v>81</v>
      </c>
      <c r="E16" s="32"/>
      <c r="F16" s="32">
        <v>171714.57000000007</v>
      </c>
      <c r="G16" s="32"/>
      <c r="H16" s="32">
        <v>263415</v>
      </c>
    </row>
    <row r="17" spans="1:10">
      <c r="A17" s="5">
        <v>5</v>
      </c>
      <c r="C17" s="5">
        <f t="shared" si="0"/>
        <v>2022</v>
      </c>
      <c r="D17" s="5" t="s">
        <v>82</v>
      </c>
      <c r="E17" s="32"/>
      <c r="F17" s="32">
        <v>443094.52999999997</v>
      </c>
      <c r="G17" s="32"/>
      <c r="H17" s="32">
        <v>263094</v>
      </c>
    </row>
    <row r="18" spans="1:10">
      <c r="A18" s="5">
        <v>6</v>
      </c>
      <c r="C18" s="5">
        <f t="shared" si="0"/>
        <v>2022</v>
      </c>
      <c r="D18" s="5" t="s">
        <v>83</v>
      </c>
      <c r="E18" s="32"/>
      <c r="F18" s="32">
        <v>327008.01999999996</v>
      </c>
      <c r="G18" s="32"/>
      <c r="H18" s="32">
        <v>413528</v>
      </c>
    </row>
    <row r="19" spans="1:10">
      <c r="A19" s="5">
        <v>7</v>
      </c>
      <c r="C19" s="5">
        <f t="shared" si="0"/>
        <v>2022</v>
      </c>
      <c r="D19" s="5" t="s">
        <v>84</v>
      </c>
      <c r="E19" s="32"/>
      <c r="F19" s="32">
        <v>454014.35</v>
      </c>
      <c r="G19" s="32"/>
      <c r="H19" s="32">
        <v>825102</v>
      </c>
    </row>
    <row r="20" spans="1:10">
      <c r="A20" s="5">
        <v>8</v>
      </c>
      <c r="C20" s="5">
        <f t="shared" si="0"/>
        <v>2022</v>
      </c>
      <c r="D20" s="5" t="s">
        <v>85</v>
      </c>
      <c r="E20" s="32"/>
      <c r="F20" s="32">
        <v>398439.9800000001</v>
      </c>
      <c r="G20" s="32"/>
      <c r="H20" s="32">
        <v>693219</v>
      </c>
    </row>
    <row r="21" spans="1:10">
      <c r="A21" s="5">
        <v>9</v>
      </c>
      <c r="C21" s="5">
        <f t="shared" si="0"/>
        <v>2022</v>
      </c>
      <c r="D21" s="5" t="s">
        <v>86</v>
      </c>
      <c r="E21" s="32"/>
      <c r="F21" s="32">
        <v>622674.38000000012</v>
      </c>
      <c r="G21" s="32"/>
      <c r="H21" s="32">
        <v>744322</v>
      </c>
    </row>
    <row r="22" spans="1:10">
      <c r="A22" s="5">
        <v>10</v>
      </c>
      <c r="C22" s="5">
        <f t="shared" si="0"/>
        <v>2022</v>
      </c>
      <c r="D22" s="5" t="s">
        <v>87</v>
      </c>
      <c r="E22" s="32"/>
      <c r="F22" s="32">
        <v>526070.00000000012</v>
      </c>
      <c r="G22" s="32"/>
      <c r="H22" s="32">
        <v>729174</v>
      </c>
    </row>
    <row r="23" spans="1:10">
      <c r="A23" s="5">
        <v>11</v>
      </c>
      <c r="C23" s="5">
        <f t="shared" si="0"/>
        <v>2022</v>
      </c>
      <c r="D23" s="5" t="s">
        <v>88</v>
      </c>
      <c r="E23" s="32"/>
      <c r="F23" s="32">
        <v>806880.92999999993</v>
      </c>
      <c r="G23" s="32"/>
      <c r="H23" s="32">
        <v>614969</v>
      </c>
    </row>
    <row r="24" spans="1:10">
      <c r="A24" s="5">
        <v>12</v>
      </c>
      <c r="C24" s="5">
        <f t="shared" si="0"/>
        <v>2022</v>
      </c>
      <c r="D24" s="5" t="s">
        <v>89</v>
      </c>
      <c r="E24" s="32"/>
      <c r="F24" s="32">
        <v>1176767.4299999997</v>
      </c>
      <c r="G24" s="32"/>
      <c r="H24" s="32">
        <v>776189</v>
      </c>
    </row>
    <row r="25" spans="1:10">
      <c r="A25" s="5">
        <v>13</v>
      </c>
      <c r="C25" s="11"/>
      <c r="D25" s="60" t="s">
        <v>110</v>
      </c>
      <c r="E25" s="61"/>
      <c r="F25" s="61">
        <f>SUM(F13:F24)</f>
        <v>6746654.9899999993</v>
      </c>
      <c r="G25" s="61"/>
      <c r="H25" s="61">
        <f>SUM(H13:H24)</f>
        <v>6648054</v>
      </c>
    </row>
    <row r="26" spans="1:10">
      <c r="A26" s="5">
        <v>14</v>
      </c>
      <c r="E26" s="62"/>
      <c r="F26" s="62"/>
      <c r="G26" s="62"/>
    </row>
    <row r="27" spans="1:10">
      <c r="A27" s="5">
        <v>15</v>
      </c>
      <c r="C27" s="2" t="s">
        <v>111</v>
      </c>
      <c r="E27" s="62"/>
      <c r="F27" s="63">
        <f>F25</f>
        <v>6746654.9899999993</v>
      </c>
      <c r="G27" s="63"/>
      <c r="H27" s="63">
        <f>H25</f>
        <v>6648054</v>
      </c>
      <c r="J27" s="19"/>
    </row>
    <row r="28" spans="1:10">
      <c r="A28" s="5">
        <v>16</v>
      </c>
      <c r="E28" s="62"/>
      <c r="F28" s="62"/>
      <c r="G28" s="62"/>
    </row>
    <row r="29" spans="1:10">
      <c r="A29" s="5">
        <v>17</v>
      </c>
      <c r="C29" s="2" t="s">
        <v>112</v>
      </c>
      <c r="E29" s="32"/>
      <c r="F29" s="32">
        <v>0</v>
      </c>
      <c r="G29" s="32"/>
      <c r="H29" s="32">
        <v>0</v>
      </c>
    </row>
    <row r="30" spans="1:10">
      <c r="A30" s="5">
        <v>18</v>
      </c>
    </row>
    <row r="31" spans="1:10" ht="13.8" thickBot="1">
      <c r="A31" s="5">
        <v>19</v>
      </c>
      <c r="C31" s="16" t="s">
        <v>8</v>
      </c>
      <c r="D31" s="16"/>
      <c r="E31" s="64"/>
      <c r="F31" s="65">
        <f>ROUND(F29-F27,2)</f>
        <v>-6746654.9900000002</v>
      </c>
      <c r="G31" s="64"/>
      <c r="H31" s="65">
        <f>ROUND(H29-H27,2)</f>
        <v>-6648054</v>
      </c>
    </row>
    <row r="32" spans="1:10" ht="13.8" thickTop="1"/>
    <row r="34" spans="3:8" ht="30" customHeight="1">
      <c r="C34" s="329" t="s">
        <v>113</v>
      </c>
      <c r="D34" s="329"/>
      <c r="E34" s="329"/>
      <c r="F34" s="329"/>
      <c r="G34" s="329"/>
      <c r="H34" s="329"/>
    </row>
  </sheetData>
  <mergeCells count="4">
    <mergeCell ref="A4:H4"/>
    <mergeCell ref="A5:H5"/>
    <mergeCell ref="A7:H7"/>
    <mergeCell ref="C34:H34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view="pageBreakPreview" zoomScale="60" zoomScaleNormal="100" workbookViewId="0">
      <selection activeCell="D68" sqref="D68"/>
    </sheetView>
  </sheetViews>
  <sheetFormatPr defaultColWidth="9.109375" defaultRowHeight="13.2"/>
  <cols>
    <col min="1" max="1" width="5.88671875" style="2" customWidth="1"/>
    <col min="2" max="2" width="2.33203125" style="2" customWidth="1"/>
    <col min="3" max="3" width="11.6640625" style="2" customWidth="1"/>
    <col min="4" max="4" width="10.88671875" style="2" customWidth="1"/>
    <col min="5" max="5" width="3.44140625" style="2" customWidth="1"/>
    <col min="6" max="6" width="15.33203125" style="2" customWidth="1"/>
    <col min="7" max="7" width="3.33203125" style="2" customWidth="1"/>
    <col min="8" max="8" width="14.44140625" style="2" customWidth="1"/>
    <col min="9" max="16384" width="9.109375" style="2"/>
  </cols>
  <sheetData>
    <row r="1" spans="1:8">
      <c r="G1" s="27"/>
      <c r="H1" s="27" t="s">
        <v>114</v>
      </c>
    </row>
    <row r="2" spans="1:8">
      <c r="G2" s="27"/>
      <c r="H2" s="27"/>
    </row>
    <row r="3" spans="1:8">
      <c r="G3" s="27"/>
      <c r="H3" s="27"/>
    </row>
    <row r="4" spans="1:8">
      <c r="A4" s="327" t="str">
        <f>RevReq!A1</f>
        <v>FARMERS RECC</v>
      </c>
      <c r="B4" s="327"/>
      <c r="C4" s="327"/>
      <c r="D4" s="327"/>
      <c r="E4" s="327"/>
      <c r="F4" s="327"/>
      <c r="G4" s="327"/>
      <c r="H4" s="327"/>
    </row>
    <row r="5" spans="1:8">
      <c r="A5" s="327" t="str">
        <f>RevReq!A3</f>
        <v>For the 12 Months Ended December 31, 2022</v>
      </c>
      <c r="B5" s="327"/>
      <c r="C5" s="327"/>
      <c r="D5" s="327"/>
      <c r="E5" s="327"/>
      <c r="F5" s="327"/>
      <c r="G5" s="327"/>
      <c r="H5" s="327"/>
    </row>
    <row r="7" spans="1:8" s="28" customFormat="1">
      <c r="A7" s="328" t="s">
        <v>115</v>
      </c>
      <c r="B7" s="328"/>
      <c r="C7" s="328"/>
      <c r="D7" s="328"/>
      <c r="E7" s="328"/>
      <c r="F7" s="328"/>
      <c r="G7" s="328"/>
      <c r="H7" s="328"/>
    </row>
    <row r="9" spans="1:8">
      <c r="A9" s="5" t="s">
        <v>5</v>
      </c>
      <c r="C9" s="5" t="s">
        <v>106</v>
      </c>
      <c r="D9" s="5" t="s">
        <v>107</v>
      </c>
      <c r="E9" s="5"/>
      <c r="F9" s="5" t="s">
        <v>108</v>
      </c>
      <c r="G9" s="5"/>
      <c r="H9" s="5" t="s">
        <v>109</v>
      </c>
    </row>
    <row r="10" spans="1:8">
      <c r="A10" s="30" t="s">
        <v>10</v>
      </c>
      <c r="C10" s="59" t="s">
        <v>71</v>
      </c>
      <c r="D10" s="59" t="s">
        <v>72</v>
      </c>
      <c r="E10" s="5"/>
      <c r="F10" s="59" t="s">
        <v>73</v>
      </c>
      <c r="G10" s="59"/>
      <c r="H10" s="59" t="s">
        <v>11</v>
      </c>
    </row>
    <row r="11" spans="1:8">
      <c r="A11" s="5"/>
    </row>
    <row r="12" spans="1:8">
      <c r="A12" s="5"/>
    </row>
    <row r="13" spans="1:8">
      <c r="A13" s="5">
        <v>1</v>
      </c>
      <c r="C13" s="5">
        <v>2022</v>
      </c>
      <c r="D13" s="5" t="s">
        <v>78</v>
      </c>
      <c r="E13" s="32"/>
      <c r="F13" s="32">
        <v>676665.95</v>
      </c>
      <c r="G13" s="32"/>
      <c r="H13" s="32">
        <v>545353</v>
      </c>
    </row>
    <row r="14" spans="1:8">
      <c r="A14" s="5">
        <v>2</v>
      </c>
      <c r="C14" s="5">
        <f>C13</f>
        <v>2022</v>
      </c>
      <c r="D14" s="5" t="s">
        <v>79</v>
      </c>
      <c r="E14" s="32"/>
      <c r="F14" s="32">
        <v>557008.53999999992</v>
      </c>
      <c r="G14" s="32"/>
      <c r="H14" s="32">
        <v>449937</v>
      </c>
    </row>
    <row r="15" spans="1:8">
      <c r="A15" s="5">
        <v>3</v>
      </c>
      <c r="C15" s="5">
        <f t="shared" ref="C15:C24" si="0">C14</f>
        <v>2022</v>
      </c>
      <c r="D15" s="5" t="s">
        <v>80</v>
      </c>
      <c r="E15" s="32"/>
      <c r="F15" s="32">
        <v>397737.11999999994</v>
      </c>
      <c r="G15" s="32"/>
      <c r="H15" s="32">
        <v>309601</v>
      </c>
    </row>
    <row r="16" spans="1:8">
      <c r="A16" s="5">
        <v>4</v>
      </c>
      <c r="C16" s="5">
        <f t="shared" si="0"/>
        <v>2022</v>
      </c>
      <c r="D16" s="5" t="s">
        <v>81</v>
      </c>
      <c r="E16" s="32"/>
      <c r="F16" s="32">
        <v>277140.85999999993</v>
      </c>
      <c r="G16" s="32"/>
      <c r="H16" s="32">
        <v>377625</v>
      </c>
    </row>
    <row r="17" spans="1:10">
      <c r="A17" s="5">
        <v>5</v>
      </c>
      <c r="C17" s="5">
        <f t="shared" si="0"/>
        <v>2022</v>
      </c>
      <c r="D17" s="5" t="s">
        <v>82</v>
      </c>
      <c r="E17" s="32"/>
      <c r="F17" s="32">
        <v>395583.8</v>
      </c>
      <c r="G17" s="32"/>
      <c r="H17" s="32">
        <v>433886</v>
      </c>
    </row>
    <row r="18" spans="1:10">
      <c r="A18" s="5">
        <v>6</v>
      </c>
      <c r="C18" s="5">
        <f t="shared" si="0"/>
        <v>2022</v>
      </c>
      <c r="D18" s="5" t="s">
        <v>83</v>
      </c>
      <c r="E18" s="32"/>
      <c r="F18" s="32">
        <v>457519.14000000013</v>
      </c>
      <c r="G18" s="32"/>
      <c r="H18" s="32">
        <v>603390</v>
      </c>
    </row>
    <row r="19" spans="1:10">
      <c r="A19" s="5">
        <v>7</v>
      </c>
      <c r="C19" s="5">
        <f t="shared" si="0"/>
        <v>2022</v>
      </c>
      <c r="D19" s="5" t="s">
        <v>84</v>
      </c>
      <c r="E19" s="32"/>
      <c r="F19" s="32">
        <v>636920.06999999995</v>
      </c>
      <c r="G19" s="32"/>
      <c r="H19" s="32">
        <v>696495</v>
      </c>
    </row>
    <row r="20" spans="1:10">
      <c r="A20" s="5">
        <v>8</v>
      </c>
      <c r="C20" s="5">
        <f t="shared" si="0"/>
        <v>2022</v>
      </c>
      <c r="D20" s="5" t="s">
        <v>85</v>
      </c>
      <c r="E20" s="32"/>
      <c r="F20" s="32">
        <v>588316.70000000007</v>
      </c>
      <c r="G20" s="32"/>
      <c r="H20" s="32">
        <v>523449</v>
      </c>
    </row>
    <row r="21" spans="1:10">
      <c r="A21" s="5">
        <v>9</v>
      </c>
      <c r="C21" s="5">
        <f t="shared" si="0"/>
        <v>2022</v>
      </c>
      <c r="D21" s="5" t="s">
        <v>86</v>
      </c>
      <c r="E21" s="32"/>
      <c r="F21" s="32">
        <v>475235.2</v>
      </c>
      <c r="G21" s="32"/>
      <c r="H21" s="32">
        <v>369300</v>
      </c>
    </row>
    <row r="22" spans="1:10">
      <c r="A22" s="5">
        <v>10</v>
      </c>
      <c r="C22" s="5">
        <f t="shared" si="0"/>
        <v>2022</v>
      </c>
      <c r="D22" s="5" t="s">
        <v>87</v>
      </c>
      <c r="E22" s="32"/>
      <c r="F22" s="32">
        <v>325837.43</v>
      </c>
      <c r="G22" s="32"/>
      <c r="H22" s="32">
        <v>391235</v>
      </c>
    </row>
    <row r="23" spans="1:10">
      <c r="A23" s="5">
        <v>11</v>
      </c>
      <c r="C23" s="5">
        <f t="shared" si="0"/>
        <v>2022</v>
      </c>
      <c r="D23" s="5" t="s">
        <v>88</v>
      </c>
      <c r="E23" s="32"/>
      <c r="F23" s="32">
        <v>421579.43</v>
      </c>
      <c r="G23" s="32"/>
      <c r="H23" s="32">
        <v>485955</v>
      </c>
    </row>
    <row r="24" spans="1:10">
      <c r="A24" s="5">
        <v>12</v>
      </c>
      <c r="C24" s="5">
        <f t="shared" si="0"/>
        <v>2022</v>
      </c>
      <c r="D24" s="5" t="s">
        <v>89</v>
      </c>
      <c r="E24" s="32"/>
      <c r="F24" s="32">
        <v>606288.14999999991</v>
      </c>
      <c r="G24" s="32"/>
      <c r="H24" s="32">
        <v>674248</v>
      </c>
    </row>
    <row r="25" spans="1:10">
      <c r="A25" s="5">
        <v>13</v>
      </c>
      <c r="C25" s="11"/>
      <c r="D25" s="60" t="s">
        <v>110</v>
      </c>
      <c r="E25" s="61"/>
      <c r="F25" s="61">
        <f>SUM(F13:F24)</f>
        <v>5815832.3899999987</v>
      </c>
      <c r="G25" s="61"/>
      <c r="H25" s="61">
        <f>SUM(H13:H24)</f>
        <v>5860474</v>
      </c>
    </row>
    <row r="26" spans="1:10">
      <c r="A26" s="5">
        <v>14</v>
      </c>
      <c r="E26" s="62"/>
      <c r="F26" s="62"/>
      <c r="G26" s="62"/>
    </row>
    <row r="27" spans="1:10">
      <c r="A27" s="5">
        <v>15</v>
      </c>
      <c r="C27" s="2" t="s">
        <v>111</v>
      </c>
      <c r="E27" s="62"/>
      <c r="F27" s="63">
        <f>F25</f>
        <v>5815832.3899999987</v>
      </c>
      <c r="G27" s="63"/>
      <c r="H27" s="63">
        <f>H25</f>
        <v>5860474</v>
      </c>
      <c r="J27" s="19"/>
    </row>
    <row r="28" spans="1:10">
      <c r="A28" s="5">
        <v>16</v>
      </c>
      <c r="E28" s="62"/>
      <c r="F28" s="63"/>
      <c r="G28" s="63"/>
    </row>
    <row r="29" spans="1:10">
      <c r="A29" s="5">
        <v>17</v>
      </c>
      <c r="C29" s="2" t="s">
        <v>112</v>
      </c>
      <c r="E29" s="32"/>
      <c r="F29" s="32">
        <v>0</v>
      </c>
      <c r="G29" s="32"/>
      <c r="H29" s="32">
        <v>0</v>
      </c>
    </row>
    <row r="30" spans="1:10">
      <c r="A30" s="5">
        <v>18</v>
      </c>
    </row>
    <row r="31" spans="1:10" ht="13.8" thickBot="1">
      <c r="A31" s="5">
        <v>19</v>
      </c>
      <c r="C31" s="16" t="s">
        <v>8</v>
      </c>
      <c r="D31" s="16"/>
      <c r="E31" s="64"/>
      <c r="F31" s="65">
        <f>ROUND(F29-F27,2)</f>
        <v>-5815832.3899999997</v>
      </c>
      <c r="G31" s="64"/>
      <c r="H31" s="65">
        <f>ROUND(H29-H27,2)</f>
        <v>-5860474</v>
      </c>
    </row>
    <row r="32" spans="1:10" ht="13.8" thickTop="1"/>
    <row r="34" spans="3:8" ht="28.2" customHeight="1">
      <c r="C34" s="329" t="s">
        <v>116</v>
      </c>
      <c r="D34" s="329"/>
      <c r="E34" s="329"/>
      <c r="F34" s="329"/>
      <c r="G34" s="329"/>
      <c r="H34" s="329"/>
    </row>
  </sheetData>
  <mergeCells count="4">
    <mergeCell ref="A4:H4"/>
    <mergeCell ref="A5:H5"/>
    <mergeCell ref="A7:H7"/>
    <mergeCell ref="C34:H34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5"/>
  <sheetViews>
    <sheetView view="pageBreakPreview" topLeftCell="A34" zoomScale="60" zoomScaleNormal="100" workbookViewId="0">
      <selection activeCell="D68" sqref="D68"/>
    </sheetView>
  </sheetViews>
  <sheetFormatPr defaultColWidth="9.109375" defaultRowHeight="13.2"/>
  <cols>
    <col min="1" max="1" width="8" style="46" customWidth="1"/>
    <col min="2" max="2" width="18.33203125" style="38" customWidth="1"/>
    <col min="3" max="3" width="12.44140625" style="38" bestFit="1" customWidth="1"/>
    <col min="4" max="4" width="11.5546875" style="38" bestFit="1" customWidth="1"/>
    <col min="5" max="5" width="14.6640625" style="40" customWidth="1"/>
    <col min="6" max="8" width="18.109375" style="38" customWidth="1"/>
    <col min="9" max="9" width="10.5546875" style="38" bestFit="1" customWidth="1"/>
    <col min="10" max="16384" width="9.109375" style="38"/>
  </cols>
  <sheetData>
    <row r="1" spans="1:11" ht="15" customHeight="1">
      <c r="E1" s="26" t="s">
        <v>122</v>
      </c>
    </row>
    <row r="2" spans="1:11" ht="15" customHeight="1"/>
    <row r="4" spans="1:11">
      <c r="B4" s="331" t="str">
        <f>RevReq!A1</f>
        <v>FARMERS RECC</v>
      </c>
      <c r="C4" s="331"/>
      <c r="D4" s="331"/>
      <c r="E4" s="331"/>
      <c r="F4" s="34"/>
      <c r="G4" s="34"/>
      <c r="H4" s="34"/>
      <c r="I4" s="34"/>
      <c r="J4" s="34"/>
      <c r="K4" s="34"/>
    </row>
    <row r="5" spans="1:11">
      <c r="B5" s="331" t="str">
        <f>RevReq!A3</f>
        <v>For the 12 Months Ended December 31, 2022</v>
      </c>
      <c r="C5" s="331"/>
      <c r="D5" s="331"/>
      <c r="E5" s="331"/>
      <c r="F5" s="34"/>
      <c r="G5" s="34"/>
      <c r="H5" s="34"/>
    </row>
    <row r="7" spans="1:11" s="35" customFormat="1" ht="15" customHeight="1">
      <c r="A7" s="239"/>
      <c r="B7" s="328" t="s">
        <v>117</v>
      </c>
      <c r="C7" s="328"/>
      <c r="D7" s="328"/>
      <c r="E7" s="328"/>
      <c r="F7" s="37"/>
      <c r="G7" s="37"/>
      <c r="H7" s="37"/>
    </row>
    <row r="9" spans="1:11">
      <c r="A9" s="313" t="s">
        <v>10</v>
      </c>
      <c r="B9" s="314" t="s">
        <v>118</v>
      </c>
      <c r="C9" s="314" t="s">
        <v>119</v>
      </c>
      <c r="D9" s="314" t="s">
        <v>294</v>
      </c>
      <c r="E9" s="314" t="s">
        <v>120</v>
      </c>
      <c r="F9" s="68"/>
      <c r="G9" s="68"/>
      <c r="H9" s="68"/>
    </row>
    <row r="10" spans="1:11" ht="22.2" customHeight="1">
      <c r="E10" s="38"/>
      <c r="F10" s="68"/>
      <c r="G10" s="68"/>
      <c r="H10" s="68"/>
    </row>
    <row r="11" spans="1:11">
      <c r="A11" s="46">
        <v>1</v>
      </c>
      <c r="B11" s="2" t="s">
        <v>295</v>
      </c>
      <c r="C11" s="315">
        <v>4.7699999999999999E-2</v>
      </c>
      <c r="D11" s="74">
        <v>3229813</v>
      </c>
      <c r="E11" s="74">
        <f>D11*C11</f>
        <v>154062.08009999999</v>
      </c>
      <c r="F11" s="68"/>
      <c r="G11" s="68"/>
      <c r="H11" s="68"/>
    </row>
    <row r="12" spans="1:11">
      <c r="A12" s="46">
        <f>A11+1</f>
        <v>2</v>
      </c>
      <c r="B12" s="2" t="s">
        <v>296</v>
      </c>
      <c r="C12" s="315">
        <v>4.7699999999999999E-2</v>
      </c>
      <c r="D12" s="74">
        <v>645963</v>
      </c>
      <c r="E12" s="74">
        <f t="shared" ref="E12:E69" si="0">D12*C12</f>
        <v>30812.435099999999</v>
      </c>
      <c r="F12" s="68"/>
      <c r="G12" s="68"/>
      <c r="H12" s="68"/>
    </row>
    <row r="13" spans="1:11">
      <c r="A13" s="46">
        <f t="shared" ref="A13:A75" si="1">A12+1</f>
        <v>3</v>
      </c>
      <c r="B13" s="2" t="s">
        <v>297</v>
      </c>
      <c r="C13" s="315">
        <v>4.7699999999999999E-2</v>
      </c>
      <c r="D13" s="74">
        <v>645963</v>
      </c>
      <c r="E13" s="74">
        <f t="shared" si="0"/>
        <v>30812.435099999999</v>
      </c>
      <c r="F13" s="68"/>
      <c r="G13" s="68"/>
      <c r="H13" s="68"/>
    </row>
    <row r="14" spans="1:11">
      <c r="A14" s="46">
        <f t="shared" si="1"/>
        <v>4</v>
      </c>
      <c r="B14" s="2" t="s">
        <v>298</v>
      </c>
      <c r="C14" s="316">
        <v>4.7699999999999999E-2</v>
      </c>
      <c r="D14" s="74">
        <v>1291925</v>
      </c>
      <c r="E14" s="74">
        <f t="shared" si="0"/>
        <v>61624.822500000002</v>
      </c>
      <c r="F14" s="68"/>
      <c r="G14" s="68"/>
      <c r="H14" s="68"/>
    </row>
    <row r="15" spans="1:11">
      <c r="A15" s="46">
        <f t="shared" si="1"/>
        <v>5</v>
      </c>
      <c r="B15" s="2" t="s">
        <v>299</v>
      </c>
      <c r="C15" s="316">
        <v>4.3529999999999999E-2</v>
      </c>
      <c r="D15" s="74">
        <v>1905173</v>
      </c>
      <c r="E15" s="74">
        <f t="shared" si="0"/>
        <v>82932.180689999994</v>
      </c>
      <c r="F15" s="68"/>
      <c r="G15" s="68"/>
      <c r="H15" s="68"/>
    </row>
    <row r="16" spans="1:11">
      <c r="A16" s="46">
        <f t="shared" si="1"/>
        <v>6</v>
      </c>
      <c r="B16" s="2" t="s">
        <v>300</v>
      </c>
      <c r="C16" s="316">
        <v>4.6710000000000002E-2</v>
      </c>
      <c r="D16" s="74">
        <v>650570</v>
      </c>
      <c r="E16" s="74">
        <f t="shared" si="0"/>
        <v>30388.1247</v>
      </c>
      <c r="F16" s="68"/>
      <c r="G16" s="68"/>
      <c r="H16" s="68"/>
    </row>
    <row r="17" spans="1:8">
      <c r="A17" s="46">
        <f t="shared" si="1"/>
        <v>7</v>
      </c>
      <c r="B17" s="2" t="s">
        <v>301</v>
      </c>
      <c r="C17" s="316">
        <v>4.5870000000000001E-2</v>
      </c>
      <c r="D17" s="74">
        <v>648039</v>
      </c>
      <c r="E17" s="74">
        <f t="shared" si="0"/>
        <v>29725.548930000001</v>
      </c>
      <c r="F17" s="68"/>
      <c r="G17" s="68"/>
      <c r="H17" s="68"/>
    </row>
    <row r="18" spans="1:8">
      <c r="A18" s="46">
        <f t="shared" si="1"/>
        <v>8</v>
      </c>
      <c r="B18" s="2" t="s">
        <v>302</v>
      </c>
      <c r="C18" s="316">
        <v>4.8980000000000003E-2</v>
      </c>
      <c r="D18" s="74">
        <v>665389</v>
      </c>
      <c r="E18" s="74">
        <f t="shared" si="0"/>
        <v>32590.753220000002</v>
      </c>
      <c r="F18" s="68"/>
      <c r="G18" s="68"/>
      <c r="H18" s="68"/>
    </row>
    <row r="19" spans="1:8">
      <c r="A19" s="46">
        <f t="shared" si="1"/>
        <v>9</v>
      </c>
      <c r="B19" s="2" t="s">
        <v>303</v>
      </c>
      <c r="C19" s="316">
        <v>3.406E-2</v>
      </c>
      <c r="D19" s="74">
        <v>4964111</v>
      </c>
      <c r="E19" s="74">
        <f t="shared" si="0"/>
        <v>169077.62065999999</v>
      </c>
      <c r="F19" s="68"/>
      <c r="G19" s="68"/>
      <c r="H19" s="68"/>
    </row>
    <row r="20" spans="1:8">
      <c r="A20" s="46">
        <f t="shared" si="1"/>
        <v>10</v>
      </c>
      <c r="B20" s="2" t="s">
        <v>304</v>
      </c>
      <c r="C20" s="316">
        <v>3.6299999999999999E-2</v>
      </c>
      <c r="D20" s="74">
        <v>716339</v>
      </c>
      <c r="E20" s="74">
        <f t="shared" si="0"/>
        <v>26003.1057</v>
      </c>
      <c r="F20" s="68"/>
      <c r="G20" s="68"/>
      <c r="H20" s="68"/>
    </row>
    <row r="21" spans="1:8">
      <c r="A21" s="46">
        <f t="shared" si="1"/>
        <v>11</v>
      </c>
      <c r="B21" s="2" t="s">
        <v>305</v>
      </c>
      <c r="C21" s="316">
        <v>4.4490000000000002E-2</v>
      </c>
      <c r="D21" s="74">
        <v>741746</v>
      </c>
      <c r="E21" s="74">
        <f t="shared" si="0"/>
        <v>33000.279540000003</v>
      </c>
      <c r="F21" s="68"/>
      <c r="G21" s="68"/>
      <c r="H21" s="68"/>
    </row>
    <row r="22" spans="1:8">
      <c r="A22" s="46">
        <f t="shared" si="1"/>
        <v>12</v>
      </c>
      <c r="B22" s="2" t="s">
        <v>306</v>
      </c>
      <c r="C22" s="316">
        <v>3.4909999999999997E-2</v>
      </c>
      <c r="D22" s="74">
        <v>718262</v>
      </c>
      <c r="E22" s="74">
        <f t="shared" si="0"/>
        <v>25074.526419999998</v>
      </c>
      <c r="F22" s="68"/>
      <c r="G22" s="68"/>
      <c r="H22" s="68"/>
    </row>
    <row r="23" spans="1:8">
      <c r="A23" s="46">
        <f t="shared" si="1"/>
        <v>13</v>
      </c>
      <c r="B23" s="2" t="s">
        <v>307</v>
      </c>
      <c r="C23" s="316">
        <v>2.8680000000000001E-2</v>
      </c>
      <c r="D23" s="74">
        <v>532544</v>
      </c>
      <c r="E23" s="74">
        <f t="shared" si="0"/>
        <v>15273.361920000001</v>
      </c>
      <c r="F23" s="68"/>
      <c r="G23" s="68"/>
      <c r="H23" s="68"/>
    </row>
    <row r="24" spans="1:8">
      <c r="A24" s="46">
        <f t="shared" si="1"/>
        <v>14</v>
      </c>
      <c r="B24" s="2" t="s">
        <v>308</v>
      </c>
      <c r="C24" s="316">
        <v>1.804E-2</v>
      </c>
      <c r="D24" s="74">
        <v>658241</v>
      </c>
      <c r="E24" s="74">
        <f t="shared" si="0"/>
        <v>11874.66764</v>
      </c>
      <c r="F24" s="68"/>
      <c r="G24" s="68"/>
      <c r="H24" s="68"/>
    </row>
    <row r="25" spans="1:8">
      <c r="A25" s="46">
        <f t="shared" si="1"/>
        <v>15</v>
      </c>
      <c r="B25" s="2" t="s">
        <v>309</v>
      </c>
      <c r="C25" s="316">
        <v>1.804E-2</v>
      </c>
      <c r="D25" s="74">
        <v>675738</v>
      </c>
      <c r="E25" s="74">
        <f t="shared" si="0"/>
        <v>12190.31352</v>
      </c>
      <c r="F25" s="68"/>
      <c r="G25" s="68"/>
      <c r="H25" s="68"/>
    </row>
    <row r="26" spans="1:8">
      <c r="A26" s="46">
        <f t="shared" si="1"/>
        <v>16</v>
      </c>
      <c r="B26" s="2" t="s">
        <v>310</v>
      </c>
      <c r="C26" s="316">
        <v>1.804E-2</v>
      </c>
      <c r="D26" s="74">
        <v>1022647</v>
      </c>
      <c r="E26" s="74">
        <f t="shared" si="0"/>
        <v>18448.551879999999</v>
      </c>
      <c r="F26" s="68"/>
      <c r="G26" s="68"/>
      <c r="H26" s="68"/>
    </row>
    <row r="27" spans="1:8">
      <c r="A27" s="46">
        <f t="shared" si="1"/>
        <v>17</v>
      </c>
      <c r="B27" s="2" t="s">
        <v>311</v>
      </c>
      <c r="C27" s="316">
        <v>1.804E-2</v>
      </c>
      <c r="D27" s="74">
        <v>2188091</v>
      </c>
      <c r="E27" s="74">
        <f t="shared" si="0"/>
        <v>39473.161639999998</v>
      </c>
      <c r="F27" s="68"/>
      <c r="G27" s="68"/>
      <c r="H27" s="68"/>
    </row>
    <row r="28" spans="1:8">
      <c r="A28" s="46">
        <f t="shared" si="1"/>
        <v>18</v>
      </c>
      <c r="B28" s="2" t="s">
        <v>312</v>
      </c>
      <c r="C28" s="316">
        <v>1.9269999999999999E-2</v>
      </c>
      <c r="D28" s="74">
        <v>1035331</v>
      </c>
      <c r="E28" s="74">
        <f t="shared" si="0"/>
        <v>19950.828369999999</v>
      </c>
      <c r="F28" s="68"/>
      <c r="G28" s="68"/>
      <c r="H28" s="68"/>
    </row>
    <row r="29" spans="1:8">
      <c r="A29" s="46">
        <f t="shared" si="1"/>
        <v>19</v>
      </c>
      <c r="B29" s="2" t="s">
        <v>313</v>
      </c>
      <c r="C29" s="316">
        <v>1.9269999999999999E-2</v>
      </c>
      <c r="D29" s="74">
        <v>796409</v>
      </c>
      <c r="E29" s="74">
        <f t="shared" si="0"/>
        <v>15346.80143</v>
      </c>
      <c r="F29" s="68"/>
      <c r="G29" s="68"/>
      <c r="H29" s="68"/>
    </row>
    <row r="30" spans="1:8">
      <c r="A30" s="46">
        <f t="shared" si="1"/>
        <v>20</v>
      </c>
      <c r="B30" s="2" t="s">
        <v>314</v>
      </c>
      <c r="C30" s="316">
        <v>3.3329999999999999E-2</v>
      </c>
      <c r="D30" s="74">
        <v>783790</v>
      </c>
      <c r="E30" s="74">
        <f t="shared" si="0"/>
        <v>26123.720699999998</v>
      </c>
      <c r="F30" s="68"/>
      <c r="G30" s="68"/>
      <c r="H30" s="68"/>
    </row>
    <row r="31" spans="1:8">
      <c r="A31" s="46">
        <f t="shared" si="1"/>
        <v>21</v>
      </c>
      <c r="B31" s="2" t="s">
        <v>315</v>
      </c>
      <c r="C31" s="316">
        <v>3.3329999999999999E-2</v>
      </c>
      <c r="D31" s="74">
        <v>795828</v>
      </c>
      <c r="E31" s="74">
        <f t="shared" si="0"/>
        <v>26524.947239999998</v>
      </c>
      <c r="F31" s="68"/>
      <c r="G31" s="68"/>
      <c r="H31" s="68"/>
    </row>
    <row r="32" spans="1:8">
      <c r="A32" s="46">
        <f t="shared" si="1"/>
        <v>22</v>
      </c>
      <c r="B32" s="2" t="s">
        <v>316</v>
      </c>
      <c r="C32" s="316">
        <v>3.3950000000000001E-2</v>
      </c>
      <c r="D32" s="100">
        <v>1201330</v>
      </c>
      <c r="E32" s="100">
        <f t="shared" si="0"/>
        <v>40785.1535</v>
      </c>
      <c r="F32" s="68"/>
      <c r="G32" s="68"/>
      <c r="H32" s="68"/>
    </row>
    <row r="33" spans="1:8">
      <c r="A33" s="46">
        <f t="shared" si="1"/>
        <v>23</v>
      </c>
      <c r="B33" s="2" t="s">
        <v>317</v>
      </c>
      <c r="C33" s="316">
        <v>3.3950000000000001E-2</v>
      </c>
      <c r="D33" s="100">
        <v>1210878</v>
      </c>
      <c r="E33" s="100">
        <f t="shared" si="0"/>
        <v>41109.308100000002</v>
      </c>
      <c r="F33" s="68"/>
      <c r="G33" s="68"/>
      <c r="H33" s="68"/>
    </row>
    <row r="34" spans="1:8">
      <c r="A34" s="46">
        <f t="shared" si="1"/>
        <v>24</v>
      </c>
      <c r="B34" s="2" t="s">
        <v>318</v>
      </c>
      <c r="C34" s="316">
        <v>3.3950000000000001E-2</v>
      </c>
      <c r="D34" s="100">
        <v>976165</v>
      </c>
      <c r="E34" s="100">
        <f t="shared" si="0"/>
        <v>33140.801749999999</v>
      </c>
      <c r="F34" s="68"/>
      <c r="G34" s="68"/>
      <c r="H34" s="68"/>
    </row>
    <row r="35" spans="1:8">
      <c r="A35" s="46">
        <f t="shared" si="1"/>
        <v>25</v>
      </c>
      <c r="B35" s="2" t="s">
        <v>319</v>
      </c>
      <c r="C35" s="316">
        <v>3.3329999999999999E-2</v>
      </c>
      <c r="D35" s="74">
        <v>984933</v>
      </c>
      <c r="E35" s="74">
        <f t="shared" si="0"/>
        <v>32827.816890000002</v>
      </c>
      <c r="F35" s="68"/>
      <c r="G35" s="68"/>
      <c r="H35" s="68"/>
    </row>
    <row r="36" spans="1:8">
      <c r="A36" s="46">
        <f t="shared" si="1"/>
        <v>26</v>
      </c>
      <c r="B36" s="2" t="s">
        <v>320</v>
      </c>
      <c r="C36" s="316">
        <v>2.1389999999999999E-2</v>
      </c>
      <c r="D36" s="74">
        <v>1708648</v>
      </c>
      <c r="E36" s="74">
        <f t="shared" si="0"/>
        <v>36547.98072</v>
      </c>
      <c r="F36" s="68"/>
      <c r="G36" s="68"/>
      <c r="H36" s="68"/>
    </row>
    <row r="37" spans="1:8">
      <c r="A37" s="46">
        <f t="shared" si="1"/>
        <v>27</v>
      </c>
      <c r="B37" s="2" t="s">
        <v>321</v>
      </c>
      <c r="C37" s="316">
        <v>2.8160000000000001E-2</v>
      </c>
      <c r="D37" s="74">
        <v>1748828</v>
      </c>
      <c r="E37" s="74">
        <f t="shared" si="0"/>
        <v>49246.996480000002</v>
      </c>
      <c r="F37" s="68"/>
      <c r="G37" s="68"/>
      <c r="H37" s="68"/>
    </row>
    <row r="38" spans="1:8">
      <c r="A38" s="46">
        <f t="shared" si="1"/>
        <v>28</v>
      </c>
      <c r="B38" s="2" t="s">
        <v>322</v>
      </c>
      <c r="C38" s="316">
        <v>2.6120000000000001E-2</v>
      </c>
      <c r="D38" s="74">
        <v>1141212</v>
      </c>
      <c r="E38" s="74">
        <f t="shared" si="0"/>
        <v>29808.457440000002</v>
      </c>
      <c r="F38" s="68"/>
      <c r="G38" s="68"/>
      <c r="H38" s="68"/>
    </row>
    <row r="39" spans="1:8">
      <c r="A39" s="46">
        <f t="shared" si="1"/>
        <v>29</v>
      </c>
      <c r="B39" s="2" t="s">
        <v>323</v>
      </c>
      <c r="C39" s="316">
        <v>2.6540000000000001E-2</v>
      </c>
      <c r="D39" s="74">
        <v>1148319</v>
      </c>
      <c r="E39" s="74">
        <f t="shared" si="0"/>
        <v>30476.386260000003</v>
      </c>
      <c r="F39" s="68"/>
      <c r="G39" s="68"/>
      <c r="H39" s="68"/>
    </row>
    <row r="40" spans="1:8">
      <c r="A40" s="46">
        <f t="shared" si="1"/>
        <v>30</v>
      </c>
      <c r="B40" s="2" t="s">
        <v>324</v>
      </c>
      <c r="C40" s="316">
        <v>2.7629999999999998E-2</v>
      </c>
      <c r="D40" s="74">
        <v>1140987</v>
      </c>
      <c r="E40" s="74">
        <f t="shared" si="0"/>
        <v>31525.470809999999</v>
      </c>
      <c r="F40" s="68"/>
      <c r="G40" s="68"/>
      <c r="H40" s="68"/>
    </row>
    <row r="41" spans="1:8">
      <c r="A41" s="46">
        <f t="shared" si="1"/>
        <v>31</v>
      </c>
      <c r="B41" s="2" t="s">
        <v>325</v>
      </c>
      <c r="C41" s="317">
        <v>2.9100000000000001E-2</v>
      </c>
      <c r="D41" s="74">
        <v>1864099</v>
      </c>
      <c r="E41" s="74">
        <f t="shared" si="0"/>
        <v>54245.280900000005</v>
      </c>
      <c r="F41" s="68"/>
      <c r="G41" s="68"/>
      <c r="H41" s="68"/>
    </row>
    <row r="42" spans="1:8">
      <c r="A42" s="46">
        <f t="shared" si="1"/>
        <v>32</v>
      </c>
      <c r="B42" s="2" t="s">
        <v>326</v>
      </c>
      <c r="C42" s="317">
        <v>2.98E-2</v>
      </c>
      <c r="D42" s="74">
        <v>1865715</v>
      </c>
      <c r="E42" s="74">
        <f t="shared" si="0"/>
        <v>55598.307000000001</v>
      </c>
      <c r="F42" s="68"/>
      <c r="G42" s="68"/>
      <c r="H42" s="68"/>
    </row>
    <row r="43" spans="1:8">
      <c r="A43" s="46">
        <f t="shared" si="1"/>
        <v>33</v>
      </c>
      <c r="B43" s="2" t="s">
        <v>327</v>
      </c>
      <c r="C43" s="317">
        <v>2.869E-2</v>
      </c>
      <c r="D43" s="74">
        <v>1117887</v>
      </c>
      <c r="E43" s="74">
        <f t="shared" si="0"/>
        <v>32072.178029999999</v>
      </c>
      <c r="F43" s="68"/>
      <c r="G43" s="68"/>
      <c r="H43" s="68"/>
    </row>
    <row r="44" spans="1:8">
      <c r="A44" s="46">
        <f t="shared" si="1"/>
        <v>34</v>
      </c>
      <c r="B44" s="2" t="s">
        <v>328</v>
      </c>
      <c r="C44" s="317">
        <v>2.3470000000000001E-2</v>
      </c>
      <c r="D44" s="74">
        <v>925890</v>
      </c>
      <c r="E44" s="74">
        <f t="shared" si="0"/>
        <v>21730.638300000002</v>
      </c>
      <c r="F44" s="68"/>
      <c r="G44" s="68"/>
      <c r="H44" s="68"/>
    </row>
    <row r="45" spans="1:8">
      <c r="A45" s="46">
        <f t="shared" si="1"/>
        <v>35</v>
      </c>
      <c r="B45" s="2" t="s">
        <v>329</v>
      </c>
      <c r="C45" s="317">
        <v>1.813E-2</v>
      </c>
      <c r="D45" s="74">
        <v>915755</v>
      </c>
      <c r="E45" s="74">
        <f t="shared" si="0"/>
        <v>16602.638149999999</v>
      </c>
      <c r="F45" s="68"/>
      <c r="G45" s="68"/>
      <c r="H45" s="68"/>
    </row>
    <row r="46" spans="1:8">
      <c r="A46" s="46">
        <f t="shared" si="1"/>
        <v>36</v>
      </c>
      <c r="B46" s="2" t="s">
        <v>330</v>
      </c>
      <c r="C46" s="317">
        <v>2.0789999999999999E-2</v>
      </c>
      <c r="D46" s="74">
        <v>1211599</v>
      </c>
      <c r="E46" s="74">
        <f t="shared" si="0"/>
        <v>25189.143209999998</v>
      </c>
      <c r="F46" s="68"/>
      <c r="G46" s="68"/>
      <c r="H46" s="68"/>
    </row>
    <row r="47" spans="1:8">
      <c r="A47" s="46">
        <f t="shared" si="1"/>
        <v>37</v>
      </c>
      <c r="B47" s="2" t="s">
        <v>331</v>
      </c>
      <c r="C47" s="317">
        <v>1.8360000000000001E-2</v>
      </c>
      <c r="D47" s="74">
        <v>934673</v>
      </c>
      <c r="E47" s="74">
        <f t="shared" si="0"/>
        <v>17160.596280000002</v>
      </c>
      <c r="F47" s="68"/>
      <c r="G47" s="68"/>
      <c r="H47" s="68"/>
    </row>
    <row r="48" spans="1:8">
      <c r="A48" s="46">
        <f t="shared" si="1"/>
        <v>38</v>
      </c>
      <c r="B48" s="2" t="s">
        <v>332</v>
      </c>
      <c r="C48" s="317">
        <v>3.3140000000000003E-2</v>
      </c>
      <c r="D48" s="74">
        <v>460651</v>
      </c>
      <c r="E48" s="74">
        <f t="shared" si="0"/>
        <v>15265.974140000002</v>
      </c>
      <c r="F48" s="68"/>
      <c r="G48" s="68"/>
      <c r="H48" s="68"/>
    </row>
    <row r="49" spans="1:9">
      <c r="A49" s="46">
        <f t="shared" si="1"/>
        <v>39</v>
      </c>
      <c r="B49" s="2" t="s">
        <v>333</v>
      </c>
      <c r="C49" s="317">
        <v>3.3140000000000003E-2</v>
      </c>
      <c r="D49" s="74">
        <v>1414948</v>
      </c>
      <c r="E49" s="74">
        <f t="shared" si="0"/>
        <v>46891.376720000007</v>
      </c>
      <c r="F49" s="68"/>
      <c r="G49" s="68"/>
      <c r="H49" s="68"/>
    </row>
    <row r="50" spans="1:9">
      <c r="A50" s="46">
        <f t="shared" si="1"/>
        <v>40</v>
      </c>
      <c r="B50" s="2" t="s">
        <v>334</v>
      </c>
      <c r="C50" s="317">
        <v>3.3140000000000003E-2</v>
      </c>
      <c r="D50" s="74">
        <v>1426386</v>
      </c>
      <c r="E50" s="74">
        <f t="shared" si="0"/>
        <v>47270.432040000007</v>
      </c>
      <c r="F50" s="68"/>
      <c r="G50" s="68"/>
      <c r="H50" s="68"/>
    </row>
    <row r="51" spans="1:9">
      <c r="A51" s="46">
        <f t="shared" si="1"/>
        <v>41</v>
      </c>
      <c r="B51" s="2" t="s">
        <v>335</v>
      </c>
      <c r="C51" s="317">
        <v>3.3140000000000003E-2</v>
      </c>
      <c r="D51" s="74">
        <v>1449764</v>
      </c>
      <c r="E51" s="74">
        <f t="shared" si="0"/>
        <v>48045.178960000005</v>
      </c>
      <c r="F51" s="69"/>
      <c r="G51" s="69"/>
      <c r="H51" s="69"/>
    </row>
    <row r="52" spans="1:9">
      <c r="A52" s="46">
        <f t="shared" si="1"/>
        <v>42</v>
      </c>
      <c r="B52" s="2" t="s">
        <v>336</v>
      </c>
      <c r="C52" s="316">
        <v>3.3950000000000001E-2</v>
      </c>
      <c r="D52" s="100">
        <v>1447759</v>
      </c>
      <c r="E52" s="100">
        <f t="shared" si="0"/>
        <v>49151.41805</v>
      </c>
      <c r="F52" s="67"/>
      <c r="G52" s="67"/>
      <c r="H52" s="67"/>
      <c r="I52" s="67"/>
    </row>
    <row r="53" spans="1:9">
      <c r="A53" s="46">
        <f t="shared" si="1"/>
        <v>43</v>
      </c>
      <c r="B53" s="2" t="s">
        <v>337</v>
      </c>
      <c r="C53" s="316">
        <v>3.3950000000000001E-2</v>
      </c>
      <c r="D53" s="100">
        <v>1946469</v>
      </c>
      <c r="E53" s="100">
        <f t="shared" si="0"/>
        <v>66082.62255</v>
      </c>
      <c r="F53" s="67"/>
      <c r="G53" s="67"/>
      <c r="H53" s="67"/>
    </row>
    <row r="54" spans="1:9">
      <c r="A54" s="46">
        <f t="shared" si="1"/>
        <v>44</v>
      </c>
      <c r="B54" s="2" t="s">
        <v>338</v>
      </c>
      <c r="C54" s="316">
        <v>3.3950000000000001E-2</v>
      </c>
      <c r="D54" s="100">
        <v>1913835</v>
      </c>
      <c r="E54" s="100">
        <f t="shared" si="0"/>
        <v>64974.698250000001</v>
      </c>
      <c r="F54" s="67"/>
      <c r="G54" s="67"/>
      <c r="H54" s="67"/>
    </row>
    <row r="55" spans="1:9">
      <c r="A55" s="46">
        <f t="shared" si="1"/>
        <v>45</v>
      </c>
      <c r="B55" s="2" t="s">
        <v>339</v>
      </c>
      <c r="C55" s="317">
        <v>3.3270000000000001E-2</v>
      </c>
      <c r="D55" s="74">
        <v>2000000</v>
      </c>
      <c r="E55" s="74">
        <f t="shared" si="0"/>
        <v>66540</v>
      </c>
      <c r="F55" s="67"/>
      <c r="G55" s="67"/>
      <c r="H55" s="67"/>
    </row>
    <row r="56" spans="1:9">
      <c r="A56" s="46">
        <f t="shared" si="1"/>
        <v>46</v>
      </c>
      <c r="B56" s="2" t="s">
        <v>340</v>
      </c>
      <c r="C56" s="317">
        <v>3.7420000000000002E-2</v>
      </c>
      <c r="D56" s="74">
        <v>1000000</v>
      </c>
      <c r="E56" s="74">
        <f t="shared" si="0"/>
        <v>37420</v>
      </c>
      <c r="F56" s="67"/>
      <c r="G56" s="67"/>
      <c r="H56" s="67"/>
    </row>
    <row r="57" spans="1:9">
      <c r="A57" s="46">
        <f t="shared" si="1"/>
        <v>47</v>
      </c>
      <c r="B57" s="2" t="s">
        <v>341</v>
      </c>
      <c r="C57" s="317">
        <v>3.8870000000000002E-2</v>
      </c>
      <c r="D57" s="74">
        <v>2000000</v>
      </c>
      <c r="E57" s="74">
        <f t="shared" si="0"/>
        <v>77740</v>
      </c>
      <c r="F57" s="80"/>
      <c r="G57" s="80"/>
      <c r="H57" s="80"/>
    </row>
    <row r="58" spans="1:9">
      <c r="A58" s="46">
        <f t="shared" si="1"/>
        <v>48</v>
      </c>
      <c r="B58" s="2" t="s">
        <v>342</v>
      </c>
      <c r="C58" s="317"/>
      <c r="D58" s="74"/>
      <c r="E58" s="74"/>
      <c r="F58" s="67"/>
      <c r="G58" s="67"/>
      <c r="H58" s="67"/>
    </row>
    <row r="59" spans="1:9">
      <c r="A59" s="46">
        <f t="shared" si="1"/>
        <v>49</v>
      </c>
      <c r="B59" s="2" t="s">
        <v>343</v>
      </c>
      <c r="C59" s="317"/>
      <c r="D59" s="74"/>
      <c r="E59" s="74"/>
      <c r="G59" s="67"/>
      <c r="H59" s="67"/>
    </row>
    <row r="60" spans="1:9">
      <c r="A60" s="46">
        <f t="shared" si="1"/>
        <v>50</v>
      </c>
      <c r="B60" s="2" t="s">
        <v>344</v>
      </c>
      <c r="C60" s="317">
        <v>3.5499999999999997E-2</v>
      </c>
      <c r="D60" s="74">
        <v>38529</v>
      </c>
      <c r="E60" s="74">
        <f t="shared" si="0"/>
        <v>1367.7794999999999</v>
      </c>
      <c r="F60" s="67"/>
      <c r="G60" s="67"/>
      <c r="H60" s="67"/>
    </row>
    <row r="61" spans="1:9">
      <c r="A61" s="46">
        <f t="shared" si="1"/>
        <v>51</v>
      </c>
      <c r="B61" s="2" t="s">
        <v>345</v>
      </c>
      <c r="C61" s="317">
        <v>0.04</v>
      </c>
      <c r="D61" s="74">
        <v>240219</v>
      </c>
      <c r="E61" s="74">
        <f t="shared" si="0"/>
        <v>9608.76</v>
      </c>
      <c r="F61" s="67"/>
      <c r="G61" s="67"/>
      <c r="H61" s="67"/>
    </row>
    <row r="62" spans="1:9">
      <c r="A62" s="46">
        <f t="shared" si="1"/>
        <v>52</v>
      </c>
      <c r="B62" s="2" t="s">
        <v>346</v>
      </c>
      <c r="C62" s="317">
        <v>4.3999999999999997E-2</v>
      </c>
      <c r="D62" s="74">
        <v>466865</v>
      </c>
      <c r="E62" s="74">
        <f t="shared" si="0"/>
        <v>20542.059999999998</v>
      </c>
      <c r="F62" s="67"/>
      <c r="G62" s="67"/>
      <c r="H62" s="67"/>
    </row>
    <row r="63" spans="1:9">
      <c r="A63" s="46">
        <f t="shared" si="1"/>
        <v>53</v>
      </c>
      <c r="B63" s="2" t="s">
        <v>347</v>
      </c>
      <c r="C63" s="317">
        <v>4.3999999999999997E-2</v>
      </c>
      <c r="D63" s="74">
        <v>207496</v>
      </c>
      <c r="E63" s="74">
        <f t="shared" si="0"/>
        <v>9129.8239999999987</v>
      </c>
      <c r="F63" s="67"/>
      <c r="G63" s="67"/>
      <c r="H63" s="67"/>
    </row>
    <row r="64" spans="1:9">
      <c r="A64" s="46">
        <f t="shared" si="1"/>
        <v>54</v>
      </c>
      <c r="B64" s="2" t="s">
        <v>348</v>
      </c>
      <c r="C64" s="317">
        <v>4.3999999999999997E-2</v>
      </c>
      <c r="D64" s="74">
        <v>331633</v>
      </c>
      <c r="E64" s="74">
        <f t="shared" si="0"/>
        <v>14591.851999999999</v>
      </c>
      <c r="F64" s="67"/>
      <c r="G64" s="67"/>
      <c r="H64" s="67"/>
    </row>
    <row r="65" spans="1:11">
      <c r="A65" s="46">
        <f t="shared" si="1"/>
        <v>55</v>
      </c>
      <c r="B65" s="2" t="s">
        <v>349</v>
      </c>
      <c r="C65" s="317">
        <v>4.2999999999999997E-2</v>
      </c>
      <c r="D65" s="74">
        <v>110309</v>
      </c>
      <c r="E65" s="74">
        <f t="shared" si="0"/>
        <v>4743.2869999999994</v>
      </c>
      <c r="F65" s="67"/>
      <c r="G65" s="67"/>
      <c r="H65" s="67"/>
    </row>
    <row r="66" spans="1:11">
      <c r="A66" s="46">
        <f t="shared" si="1"/>
        <v>56</v>
      </c>
      <c r="B66" s="2" t="s">
        <v>350</v>
      </c>
      <c r="C66" s="317">
        <v>4.3999999999999997E-2</v>
      </c>
      <c r="D66" s="74">
        <v>151914</v>
      </c>
      <c r="E66" s="74">
        <f t="shared" si="0"/>
        <v>6684.2159999999994</v>
      </c>
      <c r="F66" s="67"/>
      <c r="G66" s="67"/>
      <c r="H66" s="67"/>
      <c r="I66" s="67"/>
    </row>
    <row r="67" spans="1:11">
      <c r="A67" s="46">
        <f t="shared" si="1"/>
        <v>57</v>
      </c>
      <c r="B67" s="2" t="s">
        <v>351</v>
      </c>
      <c r="C67" s="316">
        <v>3.5000000000000003E-2</v>
      </c>
      <c r="D67" s="74">
        <v>1754496</v>
      </c>
      <c r="E67" s="74">
        <f t="shared" si="0"/>
        <v>61407.360000000008</v>
      </c>
      <c r="F67" s="67"/>
      <c r="G67" s="67"/>
      <c r="H67" s="67"/>
    </row>
    <row r="68" spans="1:11">
      <c r="A68" s="46">
        <f t="shared" si="1"/>
        <v>58</v>
      </c>
      <c r="B68" s="2" t="s">
        <v>352</v>
      </c>
      <c r="C68" s="316">
        <v>0</v>
      </c>
      <c r="D68" s="74">
        <v>111040</v>
      </c>
      <c r="E68" s="74">
        <f t="shared" si="0"/>
        <v>0</v>
      </c>
      <c r="F68" s="67"/>
      <c r="G68" s="67"/>
      <c r="H68" s="67"/>
    </row>
    <row r="69" spans="1:11">
      <c r="A69" s="46">
        <f t="shared" si="1"/>
        <v>59</v>
      </c>
      <c r="B69" s="2" t="s">
        <v>352</v>
      </c>
      <c r="C69" s="316">
        <v>0</v>
      </c>
      <c r="D69" s="74">
        <v>1481468</v>
      </c>
      <c r="E69" s="74">
        <f t="shared" si="0"/>
        <v>0</v>
      </c>
    </row>
    <row r="70" spans="1:11">
      <c r="A70" s="46">
        <f>A69+1</f>
        <v>60</v>
      </c>
      <c r="E70" s="38"/>
    </row>
    <row r="71" spans="1:11" ht="13.8" thickBot="1">
      <c r="A71" s="46">
        <f t="shared" si="1"/>
        <v>61</v>
      </c>
      <c r="B71" s="318" t="s">
        <v>630</v>
      </c>
      <c r="C71" s="48"/>
      <c r="D71" s="48"/>
      <c r="E71" s="312">
        <f>SUM(E10:E69)</f>
        <v>2086834.26003</v>
      </c>
    </row>
    <row r="72" spans="1:11" ht="13.8" thickTop="1">
      <c r="A72" s="46">
        <f t="shared" si="1"/>
        <v>62</v>
      </c>
      <c r="B72" s="78"/>
      <c r="C72" s="74"/>
      <c r="D72" s="74"/>
      <c r="E72" s="77"/>
    </row>
    <row r="73" spans="1:11" ht="13.8" thickBot="1">
      <c r="A73" s="46">
        <f t="shared" si="1"/>
        <v>63</v>
      </c>
      <c r="B73" s="48" t="s">
        <v>631</v>
      </c>
      <c r="C73" s="319"/>
      <c r="D73" s="319"/>
      <c r="E73" s="320">
        <v>1802579</v>
      </c>
    </row>
    <row r="74" spans="1:11" ht="13.8" thickTop="1">
      <c r="A74" s="46">
        <f t="shared" si="1"/>
        <v>64</v>
      </c>
      <c r="C74" s="74"/>
      <c r="D74" s="74"/>
      <c r="E74" s="77"/>
    </row>
    <row r="75" spans="1:11" ht="13.8" thickBot="1">
      <c r="A75" s="46">
        <f t="shared" si="1"/>
        <v>65</v>
      </c>
      <c r="B75" s="321" t="s">
        <v>546</v>
      </c>
      <c r="C75" s="322"/>
      <c r="D75" s="322"/>
      <c r="E75" s="323">
        <f>E71-E73</f>
        <v>284255.26003</v>
      </c>
    </row>
    <row r="76" spans="1:11" ht="13.8" thickTop="1">
      <c r="B76" s="46"/>
      <c r="E76" s="99"/>
    </row>
    <row r="77" spans="1:11">
      <c r="B77" s="78"/>
      <c r="C77" s="74"/>
      <c r="D77" s="74"/>
      <c r="E77" s="77"/>
    </row>
    <row r="78" spans="1:11" ht="35.25" customHeight="1">
      <c r="B78" s="330" t="s">
        <v>121</v>
      </c>
      <c r="C78" s="330"/>
      <c r="D78" s="330"/>
      <c r="E78" s="330"/>
      <c r="F78" s="79"/>
      <c r="G78" s="79"/>
      <c r="H78" s="79"/>
      <c r="I78" s="79"/>
      <c r="J78" s="79"/>
      <c r="K78" s="79"/>
    </row>
    <row r="79" spans="1:11">
      <c r="C79" s="74"/>
      <c r="D79" s="74"/>
      <c r="E79" s="77"/>
    </row>
    <row r="80" spans="1:11">
      <c r="C80" s="74"/>
      <c r="D80" s="74"/>
      <c r="E80" s="77"/>
    </row>
    <row r="81" spans="3:5">
      <c r="C81" s="74"/>
      <c r="D81" s="74"/>
      <c r="E81" s="77"/>
    </row>
    <row r="84" spans="3:5">
      <c r="E84" s="38"/>
    </row>
    <row r="85" spans="3:5">
      <c r="E85" s="38"/>
    </row>
  </sheetData>
  <mergeCells count="4">
    <mergeCell ref="B78:E78"/>
    <mergeCell ref="B4:E4"/>
    <mergeCell ref="B5:E5"/>
    <mergeCell ref="B7:E7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81"/>
  <sheetViews>
    <sheetView view="pageBreakPreview" zoomScale="60" zoomScaleNormal="100" workbookViewId="0">
      <selection activeCell="D68" sqref="D68"/>
    </sheetView>
  </sheetViews>
  <sheetFormatPr defaultColWidth="9.109375" defaultRowHeight="13.2"/>
  <cols>
    <col min="1" max="1" width="5.88671875" style="38" customWidth="1"/>
    <col min="2" max="2" width="2.33203125" style="38" customWidth="1"/>
    <col min="3" max="3" width="9.33203125" style="38" customWidth="1"/>
    <col min="4" max="4" width="30.5546875" style="38" bestFit="1" customWidth="1"/>
    <col min="5" max="5" width="16.5546875" style="38" bestFit="1" customWidth="1"/>
    <col min="6" max="6" width="11.33203125" style="38" bestFit="1" customWidth="1"/>
    <col min="7" max="7" width="9.6640625" style="38" customWidth="1"/>
    <col min="8" max="8" width="11.33203125" style="38" bestFit="1" customWidth="1"/>
    <col min="9" max="9" width="11.6640625" style="38" customWidth="1"/>
    <col min="10" max="10" width="12" style="38" customWidth="1"/>
    <col min="11" max="13" width="9.109375" style="38"/>
    <col min="14" max="14" width="10.44140625" style="38" bestFit="1" customWidth="1"/>
    <col min="15" max="16384" width="9.109375" style="38"/>
  </cols>
  <sheetData>
    <row r="1" spans="1:13">
      <c r="G1" s="26"/>
      <c r="J1" s="26" t="s">
        <v>135</v>
      </c>
    </row>
    <row r="2" spans="1:13" ht="14.25" customHeight="1">
      <c r="G2" s="26"/>
    </row>
    <row r="3" spans="1:13">
      <c r="A3" s="331" t="str">
        <f>RevReq!A1</f>
        <v>FARMERS RECC</v>
      </c>
      <c r="B3" s="331"/>
      <c r="C3" s="331"/>
      <c r="D3" s="331"/>
      <c r="E3" s="331"/>
      <c r="F3" s="331"/>
      <c r="G3" s="331"/>
      <c r="H3" s="331"/>
      <c r="I3" s="331"/>
      <c r="J3" s="331"/>
    </row>
    <row r="4" spans="1:13">
      <c r="A4" s="331" t="str">
        <f>RevReq!A3</f>
        <v>For the 12 Months Ended December 31, 2022</v>
      </c>
      <c r="B4" s="331"/>
      <c r="C4" s="331"/>
      <c r="D4" s="331"/>
      <c r="E4" s="331"/>
      <c r="F4" s="331"/>
      <c r="G4" s="331"/>
      <c r="H4" s="331"/>
      <c r="I4" s="331"/>
      <c r="J4" s="331"/>
    </row>
    <row r="6" spans="1:13" s="35" customFormat="1" ht="15" customHeight="1">
      <c r="A6" s="328" t="s">
        <v>123</v>
      </c>
      <c r="B6" s="328"/>
      <c r="C6" s="328"/>
      <c r="D6" s="328"/>
      <c r="E6" s="328"/>
      <c r="F6" s="328"/>
      <c r="G6" s="328"/>
      <c r="H6" s="328"/>
      <c r="I6" s="328"/>
      <c r="J6" s="328"/>
    </row>
    <row r="8" spans="1:13" s="29" customFormat="1" ht="38.25" customHeight="1">
      <c r="A8" s="29" t="s">
        <v>5</v>
      </c>
      <c r="C8" s="29" t="s">
        <v>124</v>
      </c>
      <c r="D8" s="29" t="s">
        <v>6</v>
      </c>
      <c r="E8" s="29" t="s">
        <v>356</v>
      </c>
      <c r="F8" s="29" t="s">
        <v>125</v>
      </c>
      <c r="G8" s="29" t="s">
        <v>119</v>
      </c>
      <c r="H8" s="29" t="s">
        <v>126</v>
      </c>
      <c r="I8" s="29" t="s">
        <v>127</v>
      </c>
      <c r="J8" s="29" t="s">
        <v>128</v>
      </c>
      <c r="L8" s="171"/>
      <c r="M8" s="171"/>
    </row>
    <row r="9" spans="1:13" s="2" customFormat="1">
      <c r="A9" s="30" t="s">
        <v>10</v>
      </c>
      <c r="B9" s="5"/>
      <c r="C9" s="59" t="s">
        <v>71</v>
      </c>
      <c r="D9" s="59" t="s">
        <v>72</v>
      </c>
      <c r="E9" s="59" t="s">
        <v>73</v>
      </c>
      <c r="F9" s="59" t="s">
        <v>11</v>
      </c>
      <c r="G9" s="59" t="s">
        <v>12</v>
      </c>
      <c r="H9" s="59" t="s">
        <v>46</v>
      </c>
      <c r="I9" s="59" t="s">
        <v>75</v>
      </c>
      <c r="J9" s="59" t="s">
        <v>76</v>
      </c>
      <c r="L9" s="24"/>
      <c r="M9" s="24"/>
    </row>
    <row r="10" spans="1:13" s="2" customFormat="1">
      <c r="A10" s="5"/>
      <c r="B10" s="5"/>
      <c r="L10" s="24"/>
      <c r="M10" s="24"/>
    </row>
    <row r="11" spans="1:13" s="2" customFormat="1">
      <c r="A11" s="5">
        <v>1</v>
      </c>
      <c r="B11" s="5"/>
      <c r="C11" s="172" t="s">
        <v>357</v>
      </c>
      <c r="L11" s="24"/>
      <c r="M11" s="24"/>
    </row>
    <row r="12" spans="1:13" s="2" customFormat="1">
      <c r="A12" s="5">
        <f>A11+1</f>
        <v>2</v>
      </c>
      <c r="B12" s="5"/>
      <c r="C12" s="173">
        <v>303</v>
      </c>
      <c r="D12" s="2" t="s">
        <v>358</v>
      </c>
      <c r="E12" s="82">
        <v>3624.6</v>
      </c>
      <c r="F12" s="82"/>
      <c r="G12" s="174"/>
      <c r="H12" s="82">
        <f t="shared" ref="H12" si="0">ROUND(((+E12-F12)*G12),2)</f>
        <v>0</v>
      </c>
      <c r="I12" s="82">
        <v>0</v>
      </c>
      <c r="J12" s="82">
        <f t="shared" ref="J12" si="1">H12-I12</f>
        <v>0</v>
      </c>
      <c r="L12" s="24"/>
      <c r="M12" s="24"/>
    </row>
    <row r="13" spans="1:13" s="2" customFormat="1">
      <c r="A13" s="5">
        <f t="shared" ref="A13:A76" si="2">A12+1</f>
        <v>3</v>
      </c>
      <c r="B13" s="5"/>
      <c r="C13" s="172"/>
      <c r="D13" s="36" t="s">
        <v>131</v>
      </c>
      <c r="E13" s="175">
        <f>SUM(E11:E12)</f>
        <v>3624.6</v>
      </c>
      <c r="F13" s="175">
        <f t="shared" ref="F13:J13" si="3">SUM(F11:F12)</f>
        <v>0</v>
      </c>
      <c r="G13" s="175"/>
      <c r="H13" s="175">
        <f t="shared" si="3"/>
        <v>0</v>
      </c>
      <c r="I13" s="175">
        <f t="shared" si="3"/>
        <v>0</v>
      </c>
      <c r="J13" s="175">
        <f t="shared" si="3"/>
        <v>0</v>
      </c>
      <c r="L13" s="24"/>
      <c r="M13" s="24"/>
    </row>
    <row r="14" spans="1:13" s="2" customFormat="1">
      <c r="A14" s="5">
        <f t="shared" si="2"/>
        <v>4</v>
      </c>
      <c r="B14" s="5"/>
      <c r="C14" s="172"/>
      <c r="L14" s="24"/>
      <c r="M14" s="24"/>
    </row>
    <row r="15" spans="1:13" s="2" customFormat="1">
      <c r="A15" s="5">
        <f t="shared" si="2"/>
        <v>5</v>
      </c>
      <c r="B15" s="5"/>
      <c r="C15" s="172" t="s">
        <v>129</v>
      </c>
      <c r="L15" s="24"/>
      <c r="M15" s="24"/>
    </row>
    <row r="16" spans="1:13" s="2" customFormat="1">
      <c r="A16" s="5">
        <f t="shared" si="2"/>
        <v>6</v>
      </c>
      <c r="B16" s="5"/>
      <c r="C16" s="173">
        <v>342</v>
      </c>
      <c r="D16" s="2" t="s">
        <v>359</v>
      </c>
      <c r="E16" s="82">
        <v>53958.97</v>
      </c>
      <c r="F16" s="82">
        <v>0</v>
      </c>
      <c r="G16" s="174">
        <v>3.2399999999999998E-2</v>
      </c>
      <c r="H16" s="82">
        <f t="shared" ref="H16:H18" si="4">ROUND(((+E16-F16)*G16),2)</f>
        <v>1748.27</v>
      </c>
      <c r="I16" s="82">
        <v>1748.28</v>
      </c>
      <c r="J16" s="82">
        <f t="shared" ref="J16:J18" si="5">H16-I16</f>
        <v>-9.9999999999909051E-3</v>
      </c>
      <c r="L16" s="24"/>
      <c r="M16" s="24"/>
    </row>
    <row r="17" spans="1:18" s="2" customFormat="1">
      <c r="A17" s="5">
        <f t="shared" si="2"/>
        <v>7</v>
      </c>
      <c r="B17" s="5"/>
      <c r="C17" s="173">
        <v>344</v>
      </c>
      <c r="D17" s="2" t="s">
        <v>360</v>
      </c>
      <c r="E17" s="82">
        <v>1218592.74</v>
      </c>
      <c r="F17" s="82">
        <v>0</v>
      </c>
      <c r="G17" s="174">
        <v>3.2399999999999998E-2</v>
      </c>
      <c r="H17" s="82">
        <f t="shared" si="4"/>
        <v>39482.400000000001</v>
      </c>
      <c r="I17" s="82">
        <v>39482.400000000001</v>
      </c>
      <c r="J17" s="82">
        <f t="shared" si="5"/>
        <v>0</v>
      </c>
      <c r="L17" s="24"/>
      <c r="M17" s="24"/>
    </row>
    <row r="18" spans="1:18" s="2" customFormat="1">
      <c r="A18" s="5">
        <f t="shared" si="2"/>
        <v>8</v>
      </c>
      <c r="B18" s="5"/>
      <c r="C18" s="173">
        <v>345</v>
      </c>
      <c r="D18" s="2" t="s">
        <v>361</v>
      </c>
      <c r="E18" s="82">
        <v>229519.65</v>
      </c>
      <c r="F18" s="82">
        <v>0</v>
      </c>
      <c r="G18" s="174">
        <v>3.2399999999999998E-2</v>
      </c>
      <c r="H18" s="82">
        <f t="shared" si="4"/>
        <v>7436.44</v>
      </c>
      <c r="I18" s="82">
        <v>7436.4</v>
      </c>
      <c r="J18" s="82">
        <f t="shared" si="5"/>
        <v>3.999999999996362E-2</v>
      </c>
      <c r="L18" s="24"/>
      <c r="M18" s="24"/>
    </row>
    <row r="19" spans="1:18" s="2" customFormat="1">
      <c r="A19" s="5">
        <f t="shared" si="2"/>
        <v>9</v>
      </c>
      <c r="B19" s="5"/>
      <c r="C19" s="173"/>
      <c r="D19" s="36" t="s">
        <v>131</v>
      </c>
      <c r="E19" s="175">
        <f>SUM(E16:E18)</f>
        <v>1502071.3599999999</v>
      </c>
      <c r="F19" s="175">
        <f t="shared" ref="F19:J19" si="6">SUM(F16:F18)</f>
        <v>0</v>
      </c>
      <c r="G19" s="175"/>
      <c r="H19" s="175">
        <f t="shared" si="6"/>
        <v>48667.11</v>
      </c>
      <c r="I19" s="175">
        <f t="shared" si="6"/>
        <v>48667.08</v>
      </c>
      <c r="J19" s="175">
        <f t="shared" si="6"/>
        <v>2.9999999999972715E-2</v>
      </c>
      <c r="L19" s="24"/>
      <c r="M19" s="24"/>
    </row>
    <row r="20" spans="1:18" s="2" customFormat="1">
      <c r="A20" s="5">
        <f t="shared" si="2"/>
        <v>10</v>
      </c>
      <c r="B20" s="5"/>
      <c r="C20" s="172"/>
      <c r="L20" s="24"/>
      <c r="M20" s="24"/>
    </row>
    <row r="21" spans="1:18" s="2" customFormat="1">
      <c r="A21" s="5">
        <f t="shared" si="2"/>
        <v>11</v>
      </c>
      <c r="B21" s="5"/>
      <c r="C21" s="172" t="s">
        <v>129</v>
      </c>
      <c r="L21" s="24"/>
      <c r="M21" s="24"/>
    </row>
    <row r="22" spans="1:18" s="2" customFormat="1">
      <c r="A22" s="5">
        <f t="shared" si="2"/>
        <v>12</v>
      </c>
      <c r="B22" s="5"/>
      <c r="C22" s="173">
        <v>362.01</v>
      </c>
      <c r="D22" s="2" t="s">
        <v>362</v>
      </c>
      <c r="E22" s="82">
        <v>41355.769999999997</v>
      </c>
      <c r="F22" s="82">
        <v>41356</v>
      </c>
      <c r="G22" s="174"/>
      <c r="H22" s="82">
        <f t="shared" ref="H22:H42" si="7">ROUND(((+E22-F22)*G22),2)</f>
        <v>0</v>
      </c>
      <c r="I22" s="82">
        <v>0</v>
      </c>
      <c r="J22" s="82">
        <f t="shared" ref="J22:J42" si="8">H22-I22</f>
        <v>0</v>
      </c>
      <c r="L22" s="24"/>
      <c r="M22" s="24"/>
    </row>
    <row r="23" spans="1:18" s="2" customFormat="1">
      <c r="A23" s="5">
        <f t="shared" si="2"/>
        <v>13</v>
      </c>
      <c r="B23" s="5"/>
      <c r="C23" s="173">
        <v>364</v>
      </c>
      <c r="D23" s="2" t="s">
        <v>363</v>
      </c>
      <c r="E23" s="82">
        <v>32168075.82</v>
      </c>
      <c r="F23" s="82">
        <v>0</v>
      </c>
      <c r="G23" s="174">
        <v>3.2399999999999998E-2</v>
      </c>
      <c r="H23" s="82">
        <f t="shared" si="7"/>
        <v>1042245.66</v>
      </c>
      <c r="I23" s="82">
        <v>1017551.15</v>
      </c>
      <c r="J23" s="82">
        <f t="shared" si="8"/>
        <v>24694.510000000009</v>
      </c>
      <c r="L23" s="24"/>
      <c r="M23" s="24"/>
    </row>
    <row r="24" spans="1:18" s="2" customFormat="1">
      <c r="A24" s="5">
        <f t="shared" si="2"/>
        <v>14</v>
      </c>
      <c r="B24" s="5"/>
      <c r="C24" s="173">
        <v>365</v>
      </c>
      <c r="D24" s="2" t="s">
        <v>364</v>
      </c>
      <c r="E24" s="82">
        <v>26986599.859999999</v>
      </c>
      <c r="F24" s="82">
        <v>0</v>
      </c>
      <c r="G24" s="174">
        <v>3.2399999999999998E-2</v>
      </c>
      <c r="H24" s="82">
        <f t="shared" si="7"/>
        <v>874365.84</v>
      </c>
      <c r="I24" s="82">
        <v>852593.51</v>
      </c>
      <c r="J24" s="82">
        <f t="shared" si="8"/>
        <v>21772.329999999958</v>
      </c>
      <c r="L24" s="24"/>
      <c r="M24" s="24"/>
      <c r="P24" s="176"/>
      <c r="R24" s="176"/>
    </row>
    <row r="25" spans="1:18" s="2" customFormat="1">
      <c r="A25" s="5">
        <f t="shared" si="2"/>
        <v>15</v>
      </c>
      <c r="B25" s="5"/>
      <c r="C25" s="173">
        <v>367</v>
      </c>
      <c r="D25" s="2" t="s">
        <v>365</v>
      </c>
      <c r="E25" s="82">
        <v>2816564.27</v>
      </c>
      <c r="F25" s="82">
        <v>0</v>
      </c>
      <c r="G25" s="174">
        <v>3.2399999999999998E-2</v>
      </c>
      <c r="H25" s="82">
        <f t="shared" si="7"/>
        <v>91256.68</v>
      </c>
      <c r="I25" s="82">
        <v>86325.88</v>
      </c>
      <c r="J25" s="82">
        <f t="shared" si="8"/>
        <v>4930.7999999999884</v>
      </c>
      <c r="L25" s="24"/>
      <c r="M25" s="24"/>
    </row>
    <row r="26" spans="1:18" s="2" customFormat="1">
      <c r="A26" s="5">
        <f t="shared" si="2"/>
        <v>16</v>
      </c>
      <c r="B26" s="5"/>
      <c r="C26" s="173">
        <v>368</v>
      </c>
      <c r="D26" s="2" t="s">
        <v>366</v>
      </c>
      <c r="E26" s="82">
        <v>20261575.210000001</v>
      </c>
      <c r="F26" s="82">
        <v>0</v>
      </c>
      <c r="G26" s="174">
        <v>3.2399999999999998E-2</v>
      </c>
      <c r="H26" s="82">
        <f t="shared" si="7"/>
        <v>656475.04</v>
      </c>
      <c r="I26" s="82">
        <v>643798.94999999995</v>
      </c>
      <c r="J26" s="82">
        <f t="shared" si="8"/>
        <v>12676.090000000084</v>
      </c>
      <c r="L26" s="24"/>
      <c r="M26" s="24"/>
    </row>
    <row r="27" spans="1:18" s="2" customFormat="1">
      <c r="A27" s="5">
        <f t="shared" si="2"/>
        <v>17</v>
      </c>
      <c r="C27" s="173">
        <v>369</v>
      </c>
      <c r="D27" s="2" t="s">
        <v>130</v>
      </c>
      <c r="E27" s="82">
        <v>10100042.27</v>
      </c>
      <c r="F27" s="82">
        <v>0</v>
      </c>
      <c r="G27" s="174">
        <v>3.2399999999999998E-2</v>
      </c>
      <c r="H27" s="82">
        <f t="shared" si="7"/>
        <v>327241.37</v>
      </c>
      <c r="I27" s="82">
        <v>317404</v>
      </c>
      <c r="J27" s="82">
        <f t="shared" si="8"/>
        <v>9837.3699999999953</v>
      </c>
      <c r="L27" s="24"/>
      <c r="M27" s="24"/>
    </row>
    <row r="28" spans="1:18" s="2" customFormat="1">
      <c r="A28" s="5">
        <f t="shared" si="2"/>
        <v>18</v>
      </c>
      <c r="C28" s="173">
        <v>370</v>
      </c>
      <c r="D28" s="2" t="s">
        <v>367</v>
      </c>
      <c r="E28" s="82">
        <v>105453.09</v>
      </c>
      <c r="F28" s="82">
        <v>0</v>
      </c>
      <c r="G28" s="174">
        <v>3.2399999999999998E-2</v>
      </c>
      <c r="H28" s="82">
        <f t="shared" si="7"/>
        <v>3416.68</v>
      </c>
      <c r="I28" s="82">
        <v>3416.64</v>
      </c>
      <c r="J28" s="82">
        <f t="shared" si="8"/>
        <v>3.999999999996362E-2</v>
      </c>
      <c r="L28" s="24"/>
      <c r="M28" s="24"/>
    </row>
    <row r="29" spans="1:18" s="2" customFormat="1">
      <c r="A29" s="5">
        <f t="shared" si="2"/>
        <v>19</v>
      </c>
      <c r="C29" s="173">
        <v>370.01</v>
      </c>
      <c r="D29" s="2" t="s">
        <v>368</v>
      </c>
      <c r="E29" s="82">
        <v>4746212.6399999997</v>
      </c>
      <c r="F29" s="82">
        <v>0</v>
      </c>
      <c r="G29" s="174">
        <v>6.6699999999999995E-2</v>
      </c>
      <c r="H29" s="82">
        <f>ROUND(((+E29-F29)*G29),2)</f>
        <v>316572.38</v>
      </c>
      <c r="I29" s="82">
        <v>291490.53999999998</v>
      </c>
      <c r="J29" s="82">
        <f t="shared" si="8"/>
        <v>25081.840000000026</v>
      </c>
      <c r="L29" s="24"/>
      <c r="M29" s="24"/>
    </row>
    <row r="30" spans="1:18" s="2" customFormat="1">
      <c r="A30" s="5">
        <f t="shared" si="2"/>
        <v>20</v>
      </c>
      <c r="C30" s="173">
        <v>370.02</v>
      </c>
      <c r="D30" s="2" t="s">
        <v>369</v>
      </c>
      <c r="E30" s="82">
        <v>686491.38</v>
      </c>
      <c r="F30" s="82">
        <v>0</v>
      </c>
      <c r="G30" s="174">
        <v>6.6699999999999995E-2</v>
      </c>
      <c r="H30" s="82">
        <f t="shared" ref="H30:H41" si="9">ROUND(((+E30-F30)*G30),2)</f>
        <v>45788.98</v>
      </c>
      <c r="I30" s="82">
        <v>42837.120000000003</v>
      </c>
      <c r="J30" s="82">
        <f t="shared" si="8"/>
        <v>2951.8600000000006</v>
      </c>
      <c r="L30" s="24"/>
      <c r="M30" s="24"/>
    </row>
    <row r="31" spans="1:18" s="2" customFormat="1">
      <c r="A31" s="5">
        <f t="shared" si="2"/>
        <v>21</v>
      </c>
      <c r="C31" s="173">
        <v>370.03</v>
      </c>
      <c r="D31" s="2" t="s">
        <v>370</v>
      </c>
      <c r="E31" s="82">
        <v>274532.78999999998</v>
      </c>
      <c r="F31" s="82">
        <v>0</v>
      </c>
      <c r="G31" s="174">
        <v>6.6699999999999995E-2</v>
      </c>
      <c r="H31" s="82">
        <f t="shared" si="9"/>
        <v>18311.34</v>
      </c>
      <c r="I31" s="82">
        <v>17130.84</v>
      </c>
      <c r="J31" s="82">
        <f t="shared" si="8"/>
        <v>1180.5</v>
      </c>
      <c r="L31" s="24"/>
      <c r="M31" s="24"/>
    </row>
    <row r="32" spans="1:18" s="2" customFormat="1">
      <c r="A32" s="5">
        <f t="shared" si="2"/>
        <v>22</v>
      </c>
      <c r="C32" s="173">
        <v>370.04</v>
      </c>
      <c r="D32" s="2" t="s">
        <v>371</v>
      </c>
      <c r="E32" s="82">
        <v>38277.56</v>
      </c>
      <c r="F32" s="82">
        <v>38277.56</v>
      </c>
      <c r="G32" s="174"/>
      <c r="H32" s="82">
        <f t="shared" si="9"/>
        <v>0</v>
      </c>
      <c r="I32" s="82">
        <v>0</v>
      </c>
      <c r="J32" s="82">
        <f t="shared" si="8"/>
        <v>0</v>
      </c>
      <c r="L32" s="24"/>
      <c r="M32" s="24"/>
    </row>
    <row r="33" spans="1:16" s="2" customFormat="1">
      <c r="A33" s="5">
        <f t="shared" si="2"/>
        <v>23</v>
      </c>
      <c r="C33" s="173">
        <v>370.05</v>
      </c>
      <c r="D33" s="2" t="s">
        <v>372</v>
      </c>
      <c r="E33" s="82">
        <v>11378.86</v>
      </c>
      <c r="F33" s="82">
        <v>11378.86</v>
      </c>
      <c r="G33" s="174"/>
      <c r="H33" s="82">
        <f t="shared" si="9"/>
        <v>0</v>
      </c>
      <c r="I33" s="82">
        <v>0</v>
      </c>
      <c r="J33" s="82">
        <f t="shared" si="8"/>
        <v>0</v>
      </c>
      <c r="L33" s="24"/>
      <c r="M33" s="24"/>
    </row>
    <row r="34" spans="1:16" s="2" customFormat="1">
      <c r="A34" s="5">
        <f t="shared" si="2"/>
        <v>24</v>
      </c>
      <c r="C34" s="173">
        <v>371</v>
      </c>
      <c r="D34" s="2" t="s">
        <v>373</v>
      </c>
      <c r="E34" s="82">
        <v>918281.71</v>
      </c>
      <c r="F34" s="82">
        <v>0</v>
      </c>
      <c r="G34" s="174">
        <v>3.2399999999999998E-2</v>
      </c>
      <c r="H34" s="82">
        <f t="shared" si="9"/>
        <v>29752.33</v>
      </c>
      <c r="I34" s="82">
        <v>31376.16</v>
      </c>
      <c r="J34" s="82">
        <f t="shared" si="8"/>
        <v>-1623.8299999999981</v>
      </c>
      <c r="L34" s="24"/>
      <c r="M34" s="24"/>
    </row>
    <row r="35" spans="1:16" s="2" customFormat="1">
      <c r="A35" s="5">
        <f t="shared" si="2"/>
        <v>25</v>
      </c>
      <c r="C35" s="173">
        <v>371.2</v>
      </c>
      <c r="D35" s="2" t="s">
        <v>374</v>
      </c>
      <c r="E35" s="82">
        <v>2655294.9</v>
      </c>
      <c r="F35" s="82">
        <v>0</v>
      </c>
      <c r="G35" s="174">
        <v>4.4999999999999998E-2</v>
      </c>
      <c r="H35" s="82">
        <f t="shared" si="9"/>
        <v>119488.27</v>
      </c>
      <c r="I35" s="82">
        <v>110120.61</v>
      </c>
      <c r="J35" s="82">
        <f t="shared" si="8"/>
        <v>9367.6600000000035</v>
      </c>
      <c r="L35" s="24"/>
      <c r="M35" s="24"/>
      <c r="N35" s="83"/>
    </row>
    <row r="36" spans="1:16" s="2" customFormat="1">
      <c r="A36" s="5">
        <f t="shared" si="2"/>
        <v>26</v>
      </c>
      <c r="C36" s="173">
        <v>373</v>
      </c>
      <c r="D36" s="2" t="s">
        <v>375</v>
      </c>
      <c r="E36" s="82">
        <v>2849.77</v>
      </c>
      <c r="F36" s="82">
        <v>0</v>
      </c>
      <c r="G36" s="174">
        <v>3.2399999999999998E-2</v>
      </c>
      <c r="H36" s="82">
        <f t="shared" si="9"/>
        <v>92.33</v>
      </c>
      <c r="I36" s="82">
        <v>92.28</v>
      </c>
      <c r="J36" s="82">
        <f t="shared" si="8"/>
        <v>4.9999999999997158E-2</v>
      </c>
      <c r="L36" s="24"/>
      <c r="M36" s="24"/>
    </row>
    <row r="37" spans="1:16" s="2" customFormat="1">
      <c r="A37" s="5">
        <f t="shared" si="2"/>
        <v>27</v>
      </c>
      <c r="C37" s="173">
        <v>373.1</v>
      </c>
      <c r="D37" s="2" t="s">
        <v>376</v>
      </c>
      <c r="E37" s="82">
        <v>192732.96</v>
      </c>
      <c r="F37" s="82">
        <v>0</v>
      </c>
      <c r="G37" s="174">
        <v>3.2399999999999998E-2</v>
      </c>
      <c r="H37" s="82">
        <f t="shared" si="9"/>
        <v>6244.55</v>
      </c>
      <c r="I37" s="82">
        <v>5623.78</v>
      </c>
      <c r="J37" s="82">
        <f t="shared" si="8"/>
        <v>620.77000000000044</v>
      </c>
      <c r="L37" s="24"/>
      <c r="M37" s="24"/>
    </row>
    <row r="38" spans="1:16" s="2" customFormat="1">
      <c r="A38" s="5">
        <f t="shared" si="2"/>
        <v>28</v>
      </c>
      <c r="C38" s="173">
        <v>373.2</v>
      </c>
      <c r="D38" s="2" t="s">
        <v>377</v>
      </c>
      <c r="E38" s="82">
        <v>203273.92</v>
      </c>
      <c r="F38" s="82">
        <v>0</v>
      </c>
      <c r="G38" s="174">
        <v>3.2399999999999998E-2</v>
      </c>
      <c r="H38" s="82">
        <f t="shared" si="9"/>
        <v>6586.08</v>
      </c>
      <c r="I38" s="82">
        <v>6285.82</v>
      </c>
      <c r="J38" s="82">
        <f t="shared" si="8"/>
        <v>300.26000000000022</v>
      </c>
      <c r="L38" s="24"/>
      <c r="M38" s="24"/>
    </row>
    <row r="39" spans="1:16" s="2" customFormat="1">
      <c r="A39" s="5">
        <f t="shared" si="2"/>
        <v>29</v>
      </c>
      <c r="C39" s="173">
        <v>373.3</v>
      </c>
      <c r="D39" s="2" t="s">
        <v>378</v>
      </c>
      <c r="E39" s="82">
        <v>9286.91</v>
      </c>
      <c r="F39" s="82">
        <v>0</v>
      </c>
      <c r="G39" s="174">
        <v>3.2399999999999998E-2</v>
      </c>
      <c r="H39" s="82">
        <f t="shared" si="9"/>
        <v>300.89999999999998</v>
      </c>
      <c r="I39" s="82">
        <v>307.83</v>
      </c>
      <c r="J39" s="82">
        <f t="shared" si="8"/>
        <v>-6.9300000000000068</v>
      </c>
      <c r="L39" s="24"/>
      <c r="M39" s="24"/>
    </row>
    <row r="40" spans="1:16" s="2" customFormat="1">
      <c r="A40" s="5">
        <f t="shared" si="2"/>
        <v>30</v>
      </c>
      <c r="C40" s="173">
        <v>373.4</v>
      </c>
      <c r="D40" s="2" t="s">
        <v>379</v>
      </c>
      <c r="E40" s="82">
        <v>6047.73</v>
      </c>
      <c r="F40" s="82">
        <v>0</v>
      </c>
      <c r="G40" s="174">
        <v>3.2399999999999998E-2</v>
      </c>
      <c r="H40" s="82">
        <f t="shared" si="9"/>
        <v>195.95</v>
      </c>
      <c r="I40" s="82">
        <v>195.96</v>
      </c>
      <c r="J40" s="82">
        <f t="shared" si="8"/>
        <v>-1.0000000000019327E-2</v>
      </c>
      <c r="L40" s="24"/>
      <c r="M40" s="24"/>
    </row>
    <row r="41" spans="1:16" s="2" customFormat="1">
      <c r="A41" s="5">
        <f t="shared" si="2"/>
        <v>31</v>
      </c>
      <c r="C41" s="173">
        <v>373.5</v>
      </c>
      <c r="D41" s="2" t="s">
        <v>380</v>
      </c>
      <c r="E41" s="82">
        <v>22636.66</v>
      </c>
      <c r="F41" s="82">
        <v>0</v>
      </c>
      <c r="G41" s="174">
        <v>3.2399999999999998E-2</v>
      </c>
      <c r="H41" s="82">
        <f t="shared" si="9"/>
        <v>733.43</v>
      </c>
      <c r="I41" s="82">
        <v>723.28</v>
      </c>
      <c r="J41" s="82">
        <f t="shared" si="8"/>
        <v>10.149999999999977</v>
      </c>
      <c r="L41" s="24"/>
      <c r="M41" s="24"/>
    </row>
    <row r="42" spans="1:16" s="2" customFormat="1">
      <c r="A42" s="5">
        <f t="shared" si="2"/>
        <v>32</v>
      </c>
      <c r="C42" s="173">
        <v>373.7</v>
      </c>
      <c r="D42" s="2" t="s">
        <v>381</v>
      </c>
      <c r="E42" s="82">
        <v>19040.7</v>
      </c>
      <c r="F42" s="82">
        <v>0</v>
      </c>
      <c r="G42" s="174">
        <v>3.2399999999999998E-2</v>
      </c>
      <c r="H42" s="82">
        <f t="shared" si="7"/>
        <v>616.91999999999996</v>
      </c>
      <c r="I42" s="82">
        <v>616.91999999999996</v>
      </c>
      <c r="J42" s="82">
        <f t="shared" si="8"/>
        <v>0</v>
      </c>
      <c r="L42" s="24"/>
      <c r="M42" s="24"/>
    </row>
    <row r="43" spans="1:16" s="2" customFormat="1">
      <c r="A43" s="5">
        <f t="shared" si="2"/>
        <v>33</v>
      </c>
      <c r="D43" s="36" t="s">
        <v>131</v>
      </c>
      <c r="E43" s="175">
        <f>SUM(E22:E42)</f>
        <v>102266004.78</v>
      </c>
      <c r="F43" s="175">
        <f t="shared" ref="F43:J43" si="10">SUM(F22:F42)</f>
        <v>91012.42</v>
      </c>
      <c r="G43" s="175"/>
      <c r="H43" s="175">
        <f t="shared" si="10"/>
        <v>3539684.73</v>
      </c>
      <c r="I43" s="175">
        <f>SUM(I22:I42)</f>
        <v>3427891.2699999996</v>
      </c>
      <c r="J43" s="175">
        <f t="shared" si="10"/>
        <v>111793.46000000006</v>
      </c>
      <c r="L43" s="24"/>
      <c r="M43" s="24"/>
    </row>
    <row r="44" spans="1:16" s="2" customFormat="1">
      <c r="A44" s="5">
        <f t="shared" si="2"/>
        <v>34</v>
      </c>
      <c r="L44" s="24"/>
      <c r="M44" s="24"/>
    </row>
    <row r="45" spans="1:16" s="2" customFormat="1">
      <c r="A45" s="5">
        <f t="shared" si="2"/>
        <v>35</v>
      </c>
      <c r="C45" s="172" t="s">
        <v>132</v>
      </c>
      <c r="I45" s="18"/>
      <c r="L45" s="24"/>
      <c r="M45" s="24"/>
    </row>
    <row r="46" spans="1:16" s="2" customFormat="1">
      <c r="A46" s="5">
        <f t="shared" si="2"/>
        <v>36</v>
      </c>
      <c r="C46" s="177">
        <v>389</v>
      </c>
      <c r="D46" s="2" t="s">
        <v>382</v>
      </c>
      <c r="E46" s="82">
        <v>1021243.79</v>
      </c>
      <c r="F46" s="82"/>
      <c r="G46" s="84"/>
      <c r="H46" s="82"/>
      <c r="I46" s="82"/>
      <c r="J46" s="62"/>
      <c r="L46" s="24"/>
      <c r="M46" s="24"/>
    </row>
    <row r="47" spans="1:16" s="2" customFormat="1">
      <c r="A47" s="5">
        <f t="shared" si="2"/>
        <v>37</v>
      </c>
      <c r="C47" s="177">
        <v>390</v>
      </c>
      <c r="D47" s="2" t="s">
        <v>383</v>
      </c>
      <c r="E47" s="82">
        <v>2611529.69</v>
      </c>
      <c r="F47" s="82">
        <v>435695.82</v>
      </c>
      <c r="G47" s="83">
        <v>2.5000000000000001E-2</v>
      </c>
      <c r="H47" s="82">
        <f>ROUND(((+E47-F47)*G47),2)</f>
        <v>54395.85</v>
      </c>
      <c r="I47" s="82">
        <v>53111.040000000001</v>
      </c>
      <c r="J47" s="82">
        <f t="shared" ref="J47:J54" si="11">H47-I47</f>
        <v>1284.8099999999977</v>
      </c>
      <c r="L47" s="24"/>
      <c r="M47" s="24"/>
    </row>
    <row r="48" spans="1:16" s="2" customFormat="1">
      <c r="A48" s="5">
        <f t="shared" si="2"/>
        <v>38</v>
      </c>
      <c r="C48" s="177">
        <v>391</v>
      </c>
      <c r="D48" s="2" t="s">
        <v>384</v>
      </c>
      <c r="E48" s="82">
        <v>1178259.8</v>
      </c>
      <c r="F48" s="82">
        <v>541339.03</v>
      </c>
      <c r="G48" s="83">
        <v>0.2</v>
      </c>
      <c r="H48" s="82">
        <f t="shared" ref="H48:H54" si="12">ROUND(((+E48-F48)*G48),2)</f>
        <v>127384.15</v>
      </c>
      <c r="I48" s="82">
        <v>148219.17000000001</v>
      </c>
      <c r="J48" s="82">
        <f t="shared" si="11"/>
        <v>-20835.020000000019</v>
      </c>
      <c r="L48" s="24"/>
      <c r="M48" s="24"/>
      <c r="N48" s="18"/>
      <c r="P48" s="176"/>
    </row>
    <row r="49" spans="1:25" s="2" customFormat="1">
      <c r="A49" s="5">
        <f>A48+1</f>
        <v>39</v>
      </c>
      <c r="C49" s="177">
        <v>394</v>
      </c>
      <c r="D49" s="2" t="s">
        <v>385</v>
      </c>
      <c r="E49" s="82">
        <v>34251.83</v>
      </c>
      <c r="F49" s="82">
        <v>20939.259999999998</v>
      </c>
      <c r="G49" s="83">
        <v>0.1</v>
      </c>
      <c r="H49" s="82">
        <f t="shared" si="12"/>
        <v>1331.26</v>
      </c>
      <c r="I49" s="82">
        <v>1330.68</v>
      </c>
      <c r="J49" s="82">
        <f t="shared" si="11"/>
        <v>0.57999999999992724</v>
      </c>
      <c r="L49" s="24"/>
      <c r="M49" s="24"/>
    </row>
    <row r="50" spans="1:25" s="2" customFormat="1">
      <c r="A50" s="5">
        <f t="shared" si="2"/>
        <v>40</v>
      </c>
      <c r="C50" s="177">
        <v>395</v>
      </c>
      <c r="D50" s="2" t="s">
        <v>386</v>
      </c>
      <c r="E50" s="82">
        <v>85100.99</v>
      </c>
      <c r="F50" s="82">
        <v>14091.36</v>
      </c>
      <c r="G50" s="83">
        <v>0.08</v>
      </c>
      <c r="H50" s="82">
        <f>ROUND(((+E50-F50)*G50),2)</f>
        <v>5680.77</v>
      </c>
      <c r="I50" s="82">
        <v>6709.28</v>
      </c>
      <c r="J50" s="82">
        <f t="shared" si="11"/>
        <v>-1028.5099999999993</v>
      </c>
      <c r="L50" s="24"/>
      <c r="M50" s="24"/>
      <c r="P50" s="176"/>
    </row>
    <row r="51" spans="1:25" s="2" customFormat="1">
      <c r="A51" s="5">
        <f t="shared" si="2"/>
        <v>41</v>
      </c>
      <c r="C51" s="177">
        <v>396</v>
      </c>
      <c r="D51" s="2" t="s">
        <v>387</v>
      </c>
      <c r="E51" s="82">
        <v>266661.02</v>
      </c>
      <c r="F51" s="82">
        <v>98735.41</v>
      </c>
      <c r="G51" s="83">
        <v>0.12</v>
      </c>
      <c r="H51" s="82">
        <f t="shared" si="12"/>
        <v>20151.07</v>
      </c>
      <c r="I51" s="82">
        <f>4363.22+12192.96</f>
        <v>16556.18</v>
      </c>
      <c r="J51" s="82">
        <f t="shared" si="11"/>
        <v>3594.8899999999994</v>
      </c>
      <c r="L51" s="24"/>
      <c r="M51" s="24"/>
    </row>
    <row r="52" spans="1:25" s="2" customFormat="1">
      <c r="A52" s="5">
        <f t="shared" si="2"/>
        <v>42</v>
      </c>
      <c r="C52" s="177">
        <v>397</v>
      </c>
      <c r="D52" s="2" t="s">
        <v>388</v>
      </c>
      <c r="E52" s="82">
        <v>281388.07</v>
      </c>
      <c r="F52" s="82">
        <v>205019.79</v>
      </c>
      <c r="G52" s="83">
        <v>0.09</v>
      </c>
      <c r="H52" s="82">
        <f t="shared" si="12"/>
        <v>6873.15</v>
      </c>
      <c r="I52" s="82">
        <v>7313.63</v>
      </c>
      <c r="J52" s="82">
        <f t="shared" si="11"/>
        <v>-440.48000000000047</v>
      </c>
      <c r="L52" s="24"/>
      <c r="M52" s="24"/>
    </row>
    <row r="53" spans="1:25" s="2" customFormat="1">
      <c r="A53" s="5">
        <f t="shared" si="2"/>
        <v>43</v>
      </c>
      <c r="C53" s="177">
        <v>398</v>
      </c>
      <c r="D53" s="2" t="s">
        <v>133</v>
      </c>
      <c r="E53" s="82">
        <v>260409.59</v>
      </c>
      <c r="F53" s="82">
        <v>50512.42</v>
      </c>
      <c r="G53" s="83">
        <v>7.0000000000000007E-2</v>
      </c>
      <c r="H53" s="82">
        <f t="shared" si="12"/>
        <v>14692.8</v>
      </c>
      <c r="I53" s="82">
        <f>600+17707.78</f>
        <v>18307.78</v>
      </c>
      <c r="J53" s="82">
        <f t="shared" si="11"/>
        <v>-3614.9799999999996</v>
      </c>
      <c r="L53" s="24"/>
      <c r="M53" s="24"/>
    </row>
    <row r="54" spans="1:25" s="2" customFormat="1">
      <c r="A54" s="5">
        <f t="shared" si="2"/>
        <v>44</v>
      </c>
      <c r="C54" s="177">
        <v>399</v>
      </c>
      <c r="D54" s="2" t="s">
        <v>389</v>
      </c>
      <c r="E54" s="82">
        <v>1301.82</v>
      </c>
      <c r="F54" s="82">
        <v>1302</v>
      </c>
      <c r="G54" s="83"/>
      <c r="H54" s="82">
        <f t="shared" si="12"/>
        <v>0</v>
      </c>
      <c r="I54" s="82">
        <v>0</v>
      </c>
      <c r="J54" s="82">
        <f t="shared" si="11"/>
        <v>0</v>
      </c>
      <c r="L54" s="24"/>
      <c r="M54" s="24"/>
    </row>
    <row r="55" spans="1:25" s="2" customFormat="1">
      <c r="A55" s="5">
        <f t="shared" si="2"/>
        <v>45</v>
      </c>
      <c r="D55" s="36" t="s">
        <v>131</v>
      </c>
      <c r="E55" s="175">
        <f>SUM(E46:E54)</f>
        <v>5740146.6000000015</v>
      </c>
      <c r="F55" s="175">
        <f>SUM(F46:F54)</f>
        <v>1367635.09</v>
      </c>
      <c r="G55" s="175"/>
      <c r="H55" s="175">
        <f>SUM(H46:H54)</f>
        <v>230509.05</v>
      </c>
      <c r="I55" s="175">
        <f>SUM(I46:I54)</f>
        <v>251547.76</v>
      </c>
      <c r="J55" s="175">
        <f>SUM(J46:J54)</f>
        <v>-21038.710000000017</v>
      </c>
      <c r="L55" s="24"/>
      <c r="M55" s="24"/>
    </row>
    <row r="56" spans="1:25" s="2" customFormat="1">
      <c r="A56" s="5">
        <f t="shared" si="2"/>
        <v>46</v>
      </c>
      <c r="C56" s="14" t="s">
        <v>66</v>
      </c>
      <c r="D56" s="178" t="s">
        <v>390</v>
      </c>
      <c r="E56" s="179">
        <f t="shared" ref="E56:J56" si="13">E43+E55+E19+E13</f>
        <v>109511847.33999999</v>
      </c>
      <c r="F56" s="179">
        <f t="shared" si="13"/>
        <v>1458647.51</v>
      </c>
      <c r="G56" s="179">
        <f t="shared" si="13"/>
        <v>0</v>
      </c>
      <c r="H56" s="179">
        <f t="shared" si="13"/>
        <v>3818860.8899999997</v>
      </c>
      <c r="I56" s="179">
        <f t="shared" si="13"/>
        <v>3728106.1099999994</v>
      </c>
      <c r="J56" s="179">
        <f t="shared" si="13"/>
        <v>90754.780000000042</v>
      </c>
      <c r="L56" s="24"/>
      <c r="M56" s="24"/>
    </row>
    <row r="57" spans="1:25" s="2" customFormat="1">
      <c r="A57" s="5">
        <f t="shared" si="2"/>
        <v>47</v>
      </c>
      <c r="D57" s="22"/>
      <c r="E57" s="82"/>
      <c r="F57" s="82"/>
      <c r="G57" s="82"/>
      <c r="H57" s="82"/>
      <c r="I57" s="82"/>
      <c r="J57" s="82"/>
      <c r="L57" s="24"/>
      <c r="M57" s="24"/>
    </row>
    <row r="58" spans="1:25" s="2" customFormat="1">
      <c r="A58" s="5">
        <f t="shared" si="2"/>
        <v>48</v>
      </c>
      <c r="C58" s="172" t="s">
        <v>391</v>
      </c>
      <c r="E58" s="82"/>
      <c r="F58" s="82"/>
      <c r="G58" s="82"/>
      <c r="H58" s="82"/>
      <c r="I58" s="82"/>
      <c r="J58" s="82"/>
      <c r="L58" s="24"/>
      <c r="M58" s="24"/>
    </row>
    <row r="59" spans="1:25" s="2" customFormat="1">
      <c r="A59" s="5">
        <f t="shared" si="2"/>
        <v>49</v>
      </c>
      <c r="C59" s="177">
        <v>392</v>
      </c>
      <c r="D59" s="2" t="s">
        <v>392</v>
      </c>
      <c r="E59" s="82">
        <v>4951307.9000000004</v>
      </c>
      <c r="F59" s="82">
        <f>178500+1757626.11</f>
        <v>1936126.11</v>
      </c>
      <c r="G59" s="83">
        <v>0.125</v>
      </c>
      <c r="H59" s="82">
        <f>ROUND(((+E59-F59)*G59),2)</f>
        <v>376897.72</v>
      </c>
      <c r="I59" s="82">
        <v>314371.11</v>
      </c>
      <c r="J59" s="62">
        <f>H59-I59</f>
        <v>62526.609999999986</v>
      </c>
      <c r="L59" s="24"/>
      <c r="M59" s="24"/>
    </row>
    <row r="60" spans="1:25" s="2" customFormat="1">
      <c r="A60" s="5">
        <f t="shared" si="2"/>
        <v>50</v>
      </c>
      <c r="C60" s="180" t="s">
        <v>68</v>
      </c>
      <c r="D60" s="14" t="s">
        <v>393</v>
      </c>
      <c r="E60" s="179"/>
      <c r="F60" s="179"/>
      <c r="G60" s="181"/>
      <c r="H60" s="179"/>
      <c r="I60" s="179"/>
      <c r="J60" s="182">
        <f>G73</f>
        <v>35837.18</v>
      </c>
      <c r="L60" s="24"/>
      <c r="M60" s="24"/>
    </row>
    <row r="61" spans="1:25" s="2" customFormat="1">
      <c r="A61" s="5">
        <f t="shared" si="2"/>
        <v>51</v>
      </c>
      <c r="L61" s="24"/>
      <c r="M61" s="24"/>
    </row>
    <row r="62" spans="1:25" s="2" customFormat="1" ht="13.8" thickBot="1">
      <c r="A62" s="5">
        <f t="shared" si="2"/>
        <v>52</v>
      </c>
      <c r="C62" s="16" t="s">
        <v>394</v>
      </c>
      <c r="D62" s="16" t="s">
        <v>110</v>
      </c>
      <c r="E62" s="183">
        <f>E56+E59</f>
        <v>114463155.23999999</v>
      </c>
      <c r="F62" s="183">
        <f>F56+F59</f>
        <v>3394773.62</v>
      </c>
      <c r="G62" s="16"/>
      <c r="H62" s="183">
        <f>H56+H59</f>
        <v>4195758.6099999994</v>
      </c>
      <c r="I62" s="183">
        <f>I56+I59</f>
        <v>4042477.2199999993</v>
      </c>
      <c r="J62" s="184">
        <f>J60+J56</f>
        <v>126591.96000000005</v>
      </c>
      <c r="L62" s="24"/>
      <c r="M62" s="24"/>
    </row>
    <row r="63" spans="1:25" s="2" customFormat="1" ht="13.8" thickTop="1">
      <c r="A63" s="5">
        <f t="shared" si="2"/>
        <v>53</v>
      </c>
      <c r="L63" s="185"/>
      <c r="M63" s="24"/>
    </row>
    <row r="64" spans="1:25" s="2" customFormat="1" ht="29.25" customHeight="1">
      <c r="A64" s="5">
        <f t="shared" si="2"/>
        <v>54</v>
      </c>
      <c r="B64" s="186"/>
      <c r="C64" s="329" t="s">
        <v>395</v>
      </c>
      <c r="D64" s="329"/>
      <c r="E64" s="329"/>
      <c r="F64" s="329"/>
      <c r="G64" s="329"/>
      <c r="H64" s="329"/>
      <c r="I64" s="329"/>
      <c r="J64" s="329"/>
      <c r="K64" s="186"/>
      <c r="L64" s="24"/>
      <c r="M64" s="185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</row>
    <row r="65" spans="1:13" s="2" customFormat="1">
      <c r="A65" s="5">
        <f t="shared" si="2"/>
        <v>55</v>
      </c>
      <c r="L65" s="24"/>
      <c r="M65" s="24"/>
    </row>
    <row r="66" spans="1:13" s="2" customFormat="1">
      <c r="A66" s="5">
        <f t="shared" si="2"/>
        <v>56</v>
      </c>
      <c r="C66" s="172" t="s">
        <v>393</v>
      </c>
      <c r="D66" s="5"/>
      <c r="E66" s="187" t="s">
        <v>396</v>
      </c>
      <c r="F66" s="187" t="s">
        <v>397</v>
      </c>
      <c r="G66" s="187" t="s">
        <v>398</v>
      </c>
      <c r="L66" s="24"/>
      <c r="M66" s="24"/>
    </row>
    <row r="67" spans="1:13" s="2" customFormat="1">
      <c r="A67" s="5">
        <f t="shared" si="2"/>
        <v>57</v>
      </c>
      <c r="D67" s="5"/>
      <c r="L67" s="24"/>
      <c r="M67" s="24"/>
    </row>
    <row r="68" spans="1:13" s="2" customFormat="1">
      <c r="A68" s="5">
        <f t="shared" si="2"/>
        <v>58</v>
      </c>
      <c r="C68" s="5" t="s">
        <v>399</v>
      </c>
      <c r="D68" s="2" t="s">
        <v>400</v>
      </c>
      <c r="E68" s="188">
        <v>556550</v>
      </c>
      <c r="F68" s="189">
        <f>E68/E$78</f>
        <v>0.11980426624165266</v>
      </c>
      <c r="G68" s="188">
        <f>ROUND(F68*$J$59,2)</f>
        <v>7490.95</v>
      </c>
      <c r="L68" s="24"/>
      <c r="M68" s="24"/>
    </row>
    <row r="69" spans="1:13" s="2" customFormat="1">
      <c r="A69" s="5">
        <f t="shared" si="2"/>
        <v>59</v>
      </c>
      <c r="C69" s="5" t="s">
        <v>401</v>
      </c>
      <c r="D69" s="2" t="s">
        <v>402</v>
      </c>
      <c r="E69" s="188">
        <v>980612</v>
      </c>
      <c r="F69" s="189">
        <f t="shared" ref="F69:F72" si="14">E69/E$78</f>
        <v>0.2110888529831273</v>
      </c>
      <c r="G69" s="188">
        <f>ROUND(F69*$J$59,2)</f>
        <v>13198.67</v>
      </c>
      <c r="L69" s="24"/>
      <c r="M69" s="24"/>
    </row>
    <row r="70" spans="1:13" s="2" customFormat="1">
      <c r="A70" s="5">
        <f t="shared" si="2"/>
        <v>60</v>
      </c>
      <c r="C70" s="5" t="s">
        <v>403</v>
      </c>
      <c r="D70" s="2" t="s">
        <v>239</v>
      </c>
      <c r="E70" s="188">
        <v>478454</v>
      </c>
      <c r="F70" s="189">
        <f t="shared" si="14"/>
        <v>0.10299313700545087</v>
      </c>
      <c r="G70" s="188">
        <f>ROUND(F70*$J$59,2)</f>
        <v>6439.81</v>
      </c>
      <c r="L70" s="24"/>
      <c r="M70" s="24"/>
    </row>
    <row r="71" spans="1:13" s="2" customFormat="1">
      <c r="A71" s="5">
        <f t="shared" si="2"/>
        <v>61</v>
      </c>
      <c r="C71" s="5" t="s">
        <v>404</v>
      </c>
      <c r="D71" s="2" t="s">
        <v>22</v>
      </c>
      <c r="E71" s="188">
        <v>62355</v>
      </c>
      <c r="F71" s="189">
        <f t="shared" si="14"/>
        <v>1.342268443356078E-2</v>
      </c>
      <c r="G71" s="188">
        <f>ROUND(F71*$J$59,2)</f>
        <v>839.27</v>
      </c>
      <c r="L71" s="24"/>
      <c r="M71" s="24"/>
    </row>
    <row r="72" spans="1:13" s="2" customFormat="1">
      <c r="A72" s="5">
        <f t="shared" si="2"/>
        <v>62</v>
      </c>
      <c r="C72" s="5" t="s">
        <v>405</v>
      </c>
      <c r="D72" s="2" t="s">
        <v>406</v>
      </c>
      <c r="E72" s="188">
        <v>584599</v>
      </c>
      <c r="F72" s="189">
        <f t="shared" si="14"/>
        <v>0.12584216016638919</v>
      </c>
      <c r="G72" s="188">
        <f>ROUND(F72*$J$59,2)</f>
        <v>7868.48</v>
      </c>
      <c r="L72" s="24"/>
      <c r="M72" s="24"/>
    </row>
    <row r="73" spans="1:13" s="2" customFormat="1">
      <c r="A73" s="5">
        <f t="shared" si="2"/>
        <v>63</v>
      </c>
      <c r="C73" s="60"/>
      <c r="D73" s="11" t="s">
        <v>131</v>
      </c>
      <c r="E73" s="190">
        <f>SUM(E68:E72)</f>
        <v>2662570</v>
      </c>
      <c r="F73" s="191">
        <f>SUM(F68:F72)</f>
        <v>0.57315110083018073</v>
      </c>
      <c r="G73" s="190">
        <f>SUM(G68:G72)</f>
        <v>35837.18</v>
      </c>
      <c r="L73" s="24"/>
      <c r="M73" s="24"/>
    </row>
    <row r="74" spans="1:13" s="2" customFormat="1">
      <c r="A74" s="5">
        <f t="shared" si="2"/>
        <v>64</v>
      </c>
      <c r="C74" s="5"/>
      <c r="E74" s="192"/>
      <c r="F74" s="189"/>
      <c r="G74" s="192"/>
      <c r="L74" s="24"/>
      <c r="M74" s="24"/>
    </row>
    <row r="75" spans="1:13" s="2" customFormat="1">
      <c r="A75" s="5">
        <f t="shared" si="2"/>
        <v>65</v>
      </c>
      <c r="C75" s="5" t="s">
        <v>407</v>
      </c>
      <c r="D75" s="2" t="s">
        <v>408</v>
      </c>
      <c r="E75" s="188">
        <v>1982924</v>
      </c>
      <c r="F75" s="189">
        <f t="shared" ref="F75" si="15">E75/E$78</f>
        <v>0.42684889916981916</v>
      </c>
      <c r="G75" s="188">
        <f>ROUND(F75*$J$59,2)</f>
        <v>26689.41</v>
      </c>
      <c r="L75" s="24"/>
      <c r="M75" s="24"/>
    </row>
    <row r="76" spans="1:13" s="2" customFormat="1">
      <c r="A76" s="5">
        <f t="shared" si="2"/>
        <v>66</v>
      </c>
      <c r="C76" s="60"/>
      <c r="D76" s="11" t="s">
        <v>131</v>
      </c>
      <c r="E76" s="193"/>
      <c r="F76" s="191">
        <f>SUM(F75:F75)</f>
        <v>0.42684889916981916</v>
      </c>
      <c r="G76" s="193">
        <f>SUM(G75:G75)</f>
        <v>26689.41</v>
      </c>
      <c r="L76" s="24"/>
      <c r="M76" s="24"/>
    </row>
    <row r="77" spans="1:13" s="2" customFormat="1">
      <c r="A77" s="5">
        <f t="shared" ref="A77:A78" si="16">A76+1</f>
        <v>67</v>
      </c>
      <c r="C77" s="5"/>
      <c r="E77" s="192"/>
      <c r="F77" s="194"/>
      <c r="G77" s="192"/>
      <c r="L77" s="24"/>
      <c r="M77" s="24"/>
    </row>
    <row r="78" spans="1:13" s="2" customFormat="1" ht="13.8" thickBot="1">
      <c r="A78" s="5">
        <f t="shared" si="16"/>
        <v>68</v>
      </c>
      <c r="C78" s="195"/>
      <c r="D78" s="16" t="s">
        <v>62</v>
      </c>
      <c r="E78" s="196">
        <f>E75+E73</f>
        <v>4645494</v>
      </c>
      <c r="F78" s="197">
        <f>F73+F76</f>
        <v>0.99999999999999989</v>
      </c>
      <c r="G78" s="196">
        <f>G76+G73</f>
        <v>62526.59</v>
      </c>
      <c r="L78" s="24"/>
      <c r="M78" s="24"/>
    </row>
    <row r="79" spans="1:13" ht="13.8" thickTop="1">
      <c r="A79" s="40"/>
      <c r="D79" s="86"/>
      <c r="E79" s="85"/>
      <c r="F79" s="85"/>
      <c r="G79" s="85"/>
      <c r="H79" s="85"/>
      <c r="I79" s="85"/>
      <c r="J79" s="85"/>
    </row>
    <row r="81" spans="3:10" ht="29.4" customHeight="1">
      <c r="C81" s="329" t="s">
        <v>134</v>
      </c>
      <c r="D81" s="329"/>
      <c r="E81" s="329"/>
      <c r="F81" s="329"/>
      <c r="G81" s="329"/>
      <c r="H81" s="329"/>
      <c r="I81" s="329"/>
      <c r="J81" s="329"/>
    </row>
  </sheetData>
  <mergeCells count="5">
    <mergeCell ref="A3:J3"/>
    <mergeCell ref="A4:J4"/>
    <mergeCell ref="A6:J6"/>
    <mergeCell ref="C81:J81"/>
    <mergeCell ref="C64:J64"/>
  </mergeCells>
  <pageMargins left="0.7" right="0.7" top="0.75" bottom="0.75" header="0.3" footer="0.3"/>
  <pageSetup scale="74" orientation="portrait" r:id="rId1"/>
  <headerFooter>
    <oddFooter>&amp;RExhibit  JW-2
Page &amp;P of &amp;N</oddFooter>
  </headerFooter>
  <rowBreaks count="1" manualBreakCount="1">
    <brk id="62" max="9" man="1"/>
  </rowBreaks>
  <ignoredErrors>
    <ignoredError sqref="C9:J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6"/>
  <sheetViews>
    <sheetView view="pageBreakPreview" zoomScale="60" zoomScaleNormal="100" workbookViewId="0">
      <selection activeCell="D68" sqref="D68"/>
    </sheetView>
  </sheetViews>
  <sheetFormatPr defaultColWidth="8.88671875" defaultRowHeight="13.2"/>
  <cols>
    <col min="1" max="1" width="8.88671875" style="38"/>
    <col min="2" max="2" width="52.6640625" style="38" customWidth="1"/>
    <col min="3" max="3" width="23.5546875" style="38" customWidth="1"/>
    <col min="4" max="12" width="18.109375" style="38" customWidth="1"/>
    <col min="13" max="13" width="10.5546875" style="38" bestFit="1" customWidth="1"/>
    <col min="14" max="16384" width="8.88671875" style="38"/>
  </cols>
  <sheetData>
    <row r="1" spans="1:12">
      <c r="C1" s="26" t="s">
        <v>140</v>
      </c>
    </row>
    <row r="2" spans="1:12">
      <c r="K2" s="26"/>
    </row>
    <row r="3" spans="1:12">
      <c r="K3" s="26"/>
    </row>
    <row r="4" spans="1:12">
      <c r="A4" s="331" t="str">
        <f>RevReq!A1</f>
        <v>FARMERS RECC</v>
      </c>
      <c r="B4" s="331"/>
      <c r="C4" s="331"/>
      <c r="D4" s="34"/>
      <c r="E4" s="34"/>
      <c r="F4" s="34"/>
      <c r="G4" s="34"/>
      <c r="H4" s="34"/>
      <c r="I4" s="34"/>
      <c r="J4" s="34"/>
      <c r="K4" s="34"/>
    </row>
    <row r="5" spans="1:12">
      <c r="A5" s="331" t="str">
        <f>RevReq!A3</f>
        <v>For the 12 Months Ended December 31, 2022</v>
      </c>
      <c r="B5" s="331"/>
      <c r="C5" s="331"/>
      <c r="D5" s="34"/>
      <c r="E5" s="34"/>
      <c r="F5" s="34"/>
      <c r="G5" s="34"/>
      <c r="H5" s="34"/>
      <c r="I5" s="34"/>
      <c r="J5" s="34"/>
      <c r="K5" s="34"/>
      <c r="L5" s="34"/>
    </row>
    <row r="6" spans="1:1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>
      <c r="A7" s="328" t="s">
        <v>136</v>
      </c>
      <c r="B7" s="328"/>
      <c r="C7" s="328"/>
      <c r="D7" s="37"/>
      <c r="E7" s="37"/>
      <c r="F7" s="37"/>
      <c r="G7" s="37"/>
      <c r="H7" s="37"/>
      <c r="I7" s="37"/>
      <c r="J7" s="37"/>
      <c r="K7" s="37"/>
    </row>
    <row r="8" spans="1:12">
      <c r="A8" s="39"/>
      <c r="B8" s="39"/>
      <c r="C8" s="39"/>
      <c r="D8" s="37"/>
      <c r="E8" s="37"/>
      <c r="F8" s="37"/>
      <c r="G8" s="37"/>
      <c r="H8" s="37"/>
      <c r="I8" s="37"/>
      <c r="J8" s="37"/>
      <c r="K8" s="37"/>
    </row>
    <row r="9" spans="1:12">
      <c r="B9" s="40" t="s">
        <v>137</v>
      </c>
      <c r="C9" s="81"/>
      <c r="D9" s="68"/>
      <c r="E9" s="68"/>
      <c r="F9" s="68"/>
      <c r="G9" s="68"/>
      <c r="H9" s="68"/>
      <c r="I9" s="68"/>
      <c r="J9" s="68"/>
      <c r="K9" s="68"/>
      <c r="L9" s="68"/>
    </row>
    <row r="10" spans="1:12">
      <c r="A10" s="87" t="s">
        <v>10</v>
      </c>
      <c r="B10" s="75" t="s">
        <v>92</v>
      </c>
      <c r="C10" s="54" t="s">
        <v>138</v>
      </c>
      <c r="D10" s="69"/>
      <c r="E10" s="69"/>
      <c r="F10" s="69"/>
      <c r="G10" s="69"/>
      <c r="H10" s="69"/>
      <c r="I10" s="69"/>
      <c r="J10" s="69"/>
      <c r="K10" s="69"/>
      <c r="L10" s="69"/>
    </row>
    <row r="11" spans="1:12">
      <c r="A11" s="46"/>
      <c r="B11" s="52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2">
      <c r="A12" s="46">
        <v>1</v>
      </c>
      <c r="B12" s="46" t="s">
        <v>139</v>
      </c>
      <c r="C12" s="88">
        <f>1015236.79</f>
        <v>1015236.79</v>
      </c>
      <c r="D12" s="70"/>
      <c r="E12" s="69"/>
      <c r="F12" s="69"/>
      <c r="G12" s="69"/>
      <c r="H12" s="69"/>
      <c r="I12" s="69"/>
      <c r="J12" s="69"/>
      <c r="K12" s="69"/>
      <c r="L12" s="69"/>
    </row>
    <row r="13" spans="1:12">
      <c r="A13" s="46">
        <f>A12+1</f>
        <v>2</v>
      </c>
      <c r="B13" s="46" t="s">
        <v>409</v>
      </c>
      <c r="C13" s="88">
        <v>2300000</v>
      </c>
      <c r="D13" s="70"/>
      <c r="E13" s="69"/>
      <c r="F13" s="69"/>
      <c r="G13" s="69"/>
      <c r="H13" s="69"/>
      <c r="I13" s="69"/>
      <c r="J13" s="69"/>
      <c r="K13" s="69"/>
      <c r="L13" s="69"/>
    </row>
    <row r="14" spans="1:12">
      <c r="A14" s="46">
        <f>A13+1</f>
        <v>3</v>
      </c>
      <c r="B14" s="156" t="s">
        <v>8</v>
      </c>
      <c r="C14" s="166">
        <f>+C13-C12</f>
        <v>1284763.21</v>
      </c>
      <c r="D14" s="70"/>
      <c r="E14" s="69"/>
      <c r="F14" s="69"/>
      <c r="G14" s="69"/>
      <c r="H14" s="69"/>
      <c r="I14" s="69"/>
      <c r="J14" s="69"/>
      <c r="K14" s="69"/>
      <c r="L14" s="69"/>
    </row>
    <row r="15" spans="1:12">
      <c r="B15" s="52"/>
      <c r="D15" s="70"/>
      <c r="E15" s="69"/>
      <c r="F15" s="69"/>
      <c r="G15" s="69"/>
      <c r="H15" s="69"/>
      <c r="I15" s="69"/>
      <c r="J15" s="69"/>
      <c r="K15" s="69"/>
      <c r="L15" s="69"/>
    </row>
    <row r="16" spans="1:12">
      <c r="A16" s="38" t="s">
        <v>410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2:8">
      <c r="B17" s="89"/>
      <c r="C17" s="73"/>
      <c r="D17" s="73"/>
      <c r="E17" s="73"/>
      <c r="F17" s="73"/>
      <c r="G17" s="73"/>
      <c r="H17" s="73"/>
    </row>
    <row r="18" spans="2:8">
      <c r="C18" s="73"/>
      <c r="D18" s="73"/>
      <c r="E18" s="73"/>
      <c r="F18" s="73"/>
      <c r="G18" s="73"/>
      <c r="H18" s="73"/>
    </row>
    <row r="19" spans="2:8">
      <c r="B19" s="51"/>
      <c r="C19" s="74"/>
      <c r="D19" s="74"/>
      <c r="E19" s="74"/>
      <c r="F19" s="74"/>
      <c r="G19" s="74"/>
      <c r="H19" s="74"/>
    </row>
    <row r="20" spans="2:8">
      <c r="C20" s="74"/>
      <c r="D20" s="74"/>
      <c r="E20" s="74"/>
      <c r="F20" s="74"/>
      <c r="G20" s="74"/>
      <c r="H20" s="74"/>
    </row>
    <row r="21" spans="2:8">
      <c r="C21" s="74"/>
      <c r="D21" s="74"/>
      <c r="E21" s="74"/>
      <c r="F21" s="74"/>
      <c r="G21" s="74"/>
      <c r="H21" s="74"/>
    </row>
    <row r="22" spans="2:8">
      <c r="C22" s="74"/>
      <c r="D22" s="74"/>
      <c r="E22" s="74"/>
      <c r="F22" s="74"/>
      <c r="G22" s="74"/>
      <c r="H22" s="47"/>
    </row>
    <row r="23" spans="2:8">
      <c r="C23" s="74"/>
      <c r="D23" s="74"/>
      <c r="E23" s="74"/>
      <c r="F23" s="74"/>
      <c r="G23" s="74"/>
      <c r="H23" s="74"/>
    </row>
    <row r="24" spans="2:8">
      <c r="C24" s="74"/>
      <c r="D24" s="74"/>
      <c r="E24" s="74"/>
      <c r="F24" s="74"/>
      <c r="G24" s="74"/>
      <c r="H24" s="74"/>
    </row>
    <row r="25" spans="2:8">
      <c r="C25" s="74"/>
      <c r="D25" s="74"/>
      <c r="E25" s="74"/>
      <c r="F25" s="74"/>
      <c r="G25" s="74"/>
      <c r="H25" s="74"/>
    </row>
    <row r="26" spans="2:8">
      <c r="C26" s="74"/>
      <c r="D26" s="74"/>
      <c r="E26" s="74"/>
      <c r="F26" s="74"/>
      <c r="G26" s="74"/>
      <c r="H26" s="74"/>
    </row>
  </sheetData>
  <mergeCells count="3">
    <mergeCell ref="A4:C4"/>
    <mergeCell ref="A5:C5"/>
    <mergeCell ref="A7:C7"/>
  </mergeCells>
  <pageMargins left="0.7" right="0.7" top="0.75" bottom="0.75" header="0.3" footer="0.3"/>
  <pageSetup orientation="portrait" r:id="rId1"/>
  <headerFooter>
    <oddFooter>&amp;RExhibit  JW-2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RevReq</vt:lpstr>
      <vt:lpstr>Adj List</vt:lpstr>
      <vt:lpstr>Adj BS</vt:lpstr>
      <vt:lpstr>Adj IS</vt:lpstr>
      <vt:lpstr>1.01 FAC</vt:lpstr>
      <vt:lpstr>1.02 ES</vt:lpstr>
      <vt:lpstr>1.03 Int Exp</vt:lpstr>
      <vt:lpstr>1.04 Depr</vt:lpstr>
      <vt:lpstr>1.05 ROW</vt:lpstr>
      <vt:lpstr>1.06 YearEndCust</vt:lpstr>
      <vt:lpstr>1.07 FEMA</vt:lpstr>
      <vt:lpstr>1.08 DonAdsDues</vt:lpstr>
      <vt:lpstr>1.09 Directors</vt:lpstr>
      <vt:lpstr>1.10 Wages &amp; Salaries</vt:lpstr>
      <vt:lpstr>1.11 401K</vt:lpstr>
      <vt:lpstr>1.12 Life Insur</vt:lpstr>
      <vt:lpstr>1.13 RateCase</vt:lpstr>
      <vt:lpstr>1.14 Outside</vt:lpstr>
      <vt:lpstr>1.15 GTCC</vt:lpstr>
      <vt:lpstr>1.16 Payroll Tx</vt:lpstr>
      <vt:lpstr>'1.04 Depr'!Print_Area</vt:lpstr>
      <vt:lpstr>'1.08 DonAdsDues'!Print_Area</vt:lpstr>
      <vt:lpstr>'1.09 Directors'!Print_Area</vt:lpstr>
      <vt:lpstr>'1.14 Outside'!Print_Area</vt:lpstr>
      <vt:lpstr>'1.15 GTCC'!Print_Area</vt:lpstr>
      <vt:lpstr>'1.16 Payroll Tx'!Print_Area</vt:lpstr>
      <vt:lpstr>'Adj BS'!Print_Area</vt:lpstr>
      <vt:lpstr>'Adj IS'!Print_Area</vt:lpstr>
      <vt:lpstr>'Adj List'!Print_Area</vt:lpstr>
      <vt:lpstr>RevReq!Print_Area</vt:lpstr>
      <vt:lpstr>'1.03 Int Exp'!Print_Titles</vt:lpstr>
      <vt:lpstr>'1.04 Depr'!Print_Titles</vt:lpstr>
      <vt:lpstr>'1.06 YearEndCust'!Print_Titles</vt:lpstr>
      <vt:lpstr>'1.10 Wages &amp; Salaries'!Print_Titles</vt:lpstr>
      <vt:lpstr>'1.11 401K'!Print_Titles</vt:lpstr>
      <vt:lpstr>'1.12 Life Insur'!Print_Titles</vt:lpstr>
      <vt:lpstr>'1.16 Payroll Tx'!Print_Titles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2023-06-09T00:26:13Z</cp:lastPrinted>
  <dcterms:created xsi:type="dcterms:W3CDTF">2022-03-04T20:02:55Z</dcterms:created>
  <dcterms:modified xsi:type="dcterms:W3CDTF">2023-06-09T00:26:24Z</dcterms:modified>
</cp:coreProperties>
</file>