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Farmers/2022 COS ^0 Rates 2023-00158/COSS and Rates/"/>
    </mc:Choice>
  </mc:AlternateContent>
  <xr:revisionPtr revIDLastSave="169" documentId="8_{E9DC64C4-AAD2-458C-979D-19B823783A74}" xr6:coauthVersionLast="47" xr6:coauthVersionMax="47" xr10:uidLastSave="{4CADB6BB-5751-4057-9EAD-D6C88EFD18CC}"/>
  <bookViews>
    <workbookView xWindow="-108" yWindow="-108" windowWidth="23256" windowHeight="1245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Detail'!$A$1:$K$284</definedName>
    <definedName name="_xlnm.Print_Area" localSheetId="2">'Notice Table'!$A$1:$H$102</definedName>
    <definedName name="_xlnm.Print_Area" localSheetId="0">Summary!$A$1:$H$25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3" l="1"/>
  <c r="F83" i="3"/>
  <c r="F24" i="2" l="1"/>
  <c r="I14" i="1"/>
  <c r="G166" i="1"/>
  <c r="G165" i="1"/>
  <c r="E163" i="1"/>
  <c r="E162" i="1"/>
  <c r="E161" i="1"/>
  <c r="P16" i="1"/>
  <c r="E22" i="1" l="1"/>
  <c r="H20" i="1" l="1"/>
  <c r="J216" i="1"/>
  <c r="P7" i="1" l="1"/>
  <c r="C17" i="2"/>
  <c r="B17" i="2"/>
  <c r="P9" i="1" l="1"/>
  <c r="O16" i="1" s="1"/>
  <c r="O14" i="1" l="1"/>
  <c r="P10" i="1"/>
  <c r="O13" i="1"/>
  <c r="O12" i="1"/>
  <c r="P15" i="1"/>
  <c r="P11" i="1"/>
  <c r="E157" i="1" l="1"/>
  <c r="I154" i="1"/>
  <c r="I153" i="1"/>
  <c r="I152" i="1"/>
  <c r="J152" i="1" s="1"/>
  <c r="I151" i="1"/>
  <c r="J151" i="1" s="1"/>
  <c r="H149" i="1"/>
  <c r="I149" i="1" s="1"/>
  <c r="G149" i="1"/>
  <c r="H148" i="1"/>
  <c r="M148" i="1" s="1"/>
  <c r="G148" i="1"/>
  <c r="H147" i="1"/>
  <c r="M147" i="1" s="1"/>
  <c r="G147" i="1"/>
  <c r="H146" i="1"/>
  <c r="M146" i="1" s="1"/>
  <c r="G146" i="1"/>
  <c r="M149" i="1" l="1"/>
  <c r="I146" i="1"/>
  <c r="J146" i="1" s="1"/>
  <c r="J149" i="1"/>
  <c r="K149" i="1" s="1"/>
  <c r="J153" i="1"/>
  <c r="I155" i="1"/>
  <c r="I148" i="1"/>
  <c r="J148" i="1" s="1"/>
  <c r="K148" i="1" s="1"/>
  <c r="G150" i="1"/>
  <c r="G155" i="1"/>
  <c r="I147" i="1"/>
  <c r="J147" i="1" s="1"/>
  <c r="K147" i="1" s="1"/>
  <c r="G156" i="1" l="1"/>
  <c r="I150" i="1"/>
  <c r="I156" i="1" s="1"/>
  <c r="E17" i="2" s="1"/>
  <c r="J155" i="1"/>
  <c r="K155" i="1" s="1"/>
  <c r="J150" i="1"/>
  <c r="K150" i="1" s="1"/>
  <c r="K146" i="1"/>
  <c r="G157" i="1" l="1"/>
  <c r="D17" i="2"/>
  <c r="J156" i="1"/>
  <c r="I157" i="1"/>
  <c r="J157" i="1" l="1"/>
  <c r="K157" i="1" s="1"/>
  <c r="K156" i="1"/>
  <c r="F17" i="2"/>
  <c r="G17" i="2" s="1"/>
  <c r="F23" i="2"/>
  <c r="H96" i="1"/>
  <c r="H95" i="1"/>
  <c r="H94" i="1"/>
  <c r="G20" i="1"/>
  <c r="G99" i="3" l="1"/>
  <c r="G80" i="3"/>
  <c r="G213" i="1"/>
  <c r="E45" i="3" l="1"/>
  <c r="F45" i="3"/>
  <c r="E46" i="3"/>
  <c r="F46" i="3"/>
  <c r="E47" i="3"/>
  <c r="F47" i="3"/>
  <c r="F44" i="3"/>
  <c r="E44" i="3"/>
  <c r="G174" i="1"/>
  <c r="K174" i="1" l="1"/>
  <c r="E117" i="1" l="1"/>
  <c r="E96" i="3" s="1"/>
  <c r="J78" i="1"/>
  <c r="F93" i="3" s="1"/>
  <c r="E185" i="1"/>
  <c r="E100" i="3" s="1"/>
  <c r="E171" i="1"/>
  <c r="E99" i="3" s="1"/>
  <c r="E143" i="1"/>
  <c r="E98" i="3" s="1"/>
  <c r="E130" i="1"/>
  <c r="E97" i="3" s="1"/>
  <c r="E104" i="1"/>
  <c r="E95" i="3" s="1"/>
  <c r="E91" i="1"/>
  <c r="E94" i="3" s="1"/>
  <c r="E66" i="1"/>
  <c r="E92" i="3" s="1"/>
  <c r="E54" i="1"/>
  <c r="E91" i="3" s="1"/>
  <c r="E42" i="1"/>
  <c r="E90" i="3" s="1"/>
  <c r="E30" i="1"/>
  <c r="E89" i="3" s="1"/>
  <c r="E17" i="1" l="1"/>
  <c r="E88" i="3" s="1"/>
  <c r="E50" i="3" l="1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F49" i="3"/>
  <c r="E49" i="3"/>
  <c r="D48" i="3"/>
  <c r="C43" i="3"/>
  <c r="D43" i="3"/>
  <c r="E40" i="3"/>
  <c r="F40" i="3"/>
  <c r="E41" i="3"/>
  <c r="F41" i="3"/>
  <c r="E42" i="3"/>
  <c r="F42" i="3"/>
  <c r="F39" i="3"/>
  <c r="E39" i="3"/>
  <c r="C38" i="3"/>
  <c r="D38" i="3"/>
  <c r="E36" i="3"/>
  <c r="F36" i="3"/>
  <c r="E37" i="3"/>
  <c r="F37" i="3"/>
  <c r="F35" i="3"/>
  <c r="E35" i="3"/>
  <c r="C34" i="3"/>
  <c r="D34" i="3"/>
  <c r="E32" i="3"/>
  <c r="F32" i="3"/>
  <c r="E33" i="3"/>
  <c r="F33" i="3"/>
  <c r="F31" i="3"/>
  <c r="E31" i="3"/>
  <c r="C30" i="3"/>
  <c r="D30" i="3"/>
  <c r="E28" i="3"/>
  <c r="F28" i="3"/>
  <c r="E29" i="3"/>
  <c r="F29" i="3"/>
  <c r="F27" i="3"/>
  <c r="E27" i="3"/>
  <c r="C26" i="3"/>
  <c r="D26" i="3"/>
  <c r="E24" i="3"/>
  <c r="F24" i="3"/>
  <c r="E25" i="3"/>
  <c r="F25" i="3"/>
  <c r="F23" i="3"/>
  <c r="E23" i="3"/>
  <c r="C22" i="3"/>
  <c r="D22" i="3"/>
  <c r="F21" i="3"/>
  <c r="E21" i="3"/>
  <c r="C20" i="3"/>
  <c r="D20" i="3"/>
  <c r="E19" i="3"/>
  <c r="F19" i="3"/>
  <c r="F18" i="3"/>
  <c r="E18" i="3"/>
  <c r="C17" i="3"/>
  <c r="D17" i="3"/>
  <c r="F16" i="3"/>
  <c r="E16" i="3"/>
  <c r="C15" i="3"/>
  <c r="D15" i="3"/>
  <c r="E14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G121" i="1" l="1"/>
  <c r="G122" i="1"/>
  <c r="G108" i="1"/>
  <c r="C14" i="2"/>
  <c r="C15" i="2"/>
  <c r="C16" i="2"/>
  <c r="C18" i="2"/>
  <c r="C19" i="2"/>
  <c r="B19" i="2"/>
  <c r="B18" i="2"/>
  <c r="B16" i="2"/>
  <c r="B15" i="2"/>
  <c r="B14" i="2"/>
  <c r="C99" i="3" l="1"/>
  <c r="C80" i="3"/>
  <c r="D97" i="3"/>
  <c r="D78" i="3"/>
  <c r="C98" i="3"/>
  <c r="C79" i="3"/>
  <c r="D98" i="3"/>
  <c r="D79" i="3"/>
  <c r="D99" i="3"/>
  <c r="D80" i="3"/>
  <c r="D96" i="3"/>
  <c r="D77" i="3"/>
  <c r="D100" i="3"/>
  <c r="D81" i="3"/>
  <c r="C96" i="3"/>
  <c r="C77" i="3"/>
  <c r="C78" i="3"/>
  <c r="C97" i="3"/>
  <c r="C81" i="3"/>
  <c r="C100" i="3"/>
  <c r="I179" i="1"/>
  <c r="I165" i="1"/>
  <c r="I137" i="1"/>
  <c r="I124" i="1"/>
  <c r="J124" i="1" s="1"/>
  <c r="G161" i="1"/>
  <c r="F34" i="1"/>
  <c r="F33" i="1"/>
  <c r="F13" i="3" s="1"/>
  <c r="I182" i="1"/>
  <c r="I181" i="1"/>
  <c r="J181" i="1" s="1"/>
  <c r="I180" i="1"/>
  <c r="J180" i="1" s="1"/>
  <c r="G177" i="1"/>
  <c r="G176" i="1"/>
  <c r="G175" i="1"/>
  <c r="I168" i="1"/>
  <c r="I167" i="1"/>
  <c r="J167" i="1" s="1"/>
  <c r="I166" i="1"/>
  <c r="J166" i="1" s="1"/>
  <c r="G163" i="1"/>
  <c r="G162" i="1"/>
  <c r="G160" i="1"/>
  <c r="I140" i="1"/>
  <c r="I139" i="1"/>
  <c r="J139" i="1" s="1"/>
  <c r="I138" i="1"/>
  <c r="J138" i="1" s="1"/>
  <c r="G135" i="1"/>
  <c r="G134" i="1"/>
  <c r="G133" i="1"/>
  <c r="I127" i="1"/>
  <c r="I126" i="1"/>
  <c r="J126" i="1" s="1"/>
  <c r="I125" i="1"/>
  <c r="J125" i="1" s="1"/>
  <c r="G120" i="1"/>
  <c r="F14" i="3" l="1"/>
  <c r="G164" i="1"/>
  <c r="G128" i="1"/>
  <c r="G123" i="1"/>
  <c r="J165" i="1"/>
  <c r="I169" i="1"/>
  <c r="G183" i="1"/>
  <c r="I128" i="1"/>
  <c r="J137" i="1"/>
  <c r="I141" i="1"/>
  <c r="G136" i="1"/>
  <c r="J179" i="1"/>
  <c r="I183" i="1"/>
  <c r="G141" i="1"/>
  <c r="G169" i="1"/>
  <c r="G178" i="1"/>
  <c r="A1" i="3"/>
  <c r="G170" i="1" l="1"/>
  <c r="G129" i="1"/>
  <c r="J128" i="1"/>
  <c r="K128" i="1" s="1"/>
  <c r="J169" i="1"/>
  <c r="K169" i="1" s="1"/>
  <c r="G142" i="1"/>
  <c r="G184" i="1"/>
  <c r="J183" i="1"/>
  <c r="K183" i="1" s="1"/>
  <c r="J141" i="1"/>
  <c r="K141" i="1" s="1"/>
  <c r="I114" i="1"/>
  <c r="I113" i="1"/>
  <c r="J113" i="1" s="1"/>
  <c r="I112" i="1"/>
  <c r="J112" i="1" s="1"/>
  <c r="I111" i="1"/>
  <c r="G109" i="1"/>
  <c r="G107" i="1"/>
  <c r="G185" i="1" l="1"/>
  <c r="D19" i="2"/>
  <c r="G143" i="1"/>
  <c r="D16" i="2"/>
  <c r="G130" i="1"/>
  <c r="D15" i="2"/>
  <c r="G171" i="1"/>
  <c r="D18" i="2"/>
  <c r="G110" i="1"/>
  <c r="J111" i="1"/>
  <c r="I115" i="1"/>
  <c r="G115" i="1"/>
  <c r="G116" i="1" l="1"/>
  <c r="J115" i="1"/>
  <c r="K115" i="1" s="1"/>
  <c r="G117" i="1" l="1"/>
  <c r="D14" i="2"/>
  <c r="C10" i="2" l="1"/>
  <c r="B10" i="2"/>
  <c r="C8" i="2"/>
  <c r="G95" i="1"/>
  <c r="G70" i="1"/>
  <c r="G58" i="1"/>
  <c r="C71" i="3" l="1"/>
  <c r="C90" i="3"/>
  <c r="D92" i="3"/>
  <c r="D73" i="3"/>
  <c r="C92" i="3"/>
  <c r="C73" i="3"/>
  <c r="G46" i="1"/>
  <c r="I63" i="1" l="1"/>
  <c r="I62" i="1"/>
  <c r="J62" i="1" s="1"/>
  <c r="I61" i="1"/>
  <c r="J61" i="1" s="1"/>
  <c r="I60" i="1"/>
  <c r="G57" i="1"/>
  <c r="G34" i="1"/>
  <c r="G21" i="1"/>
  <c r="G59" i="1" l="1"/>
  <c r="J60" i="1"/>
  <c r="I64" i="1"/>
  <c r="G64" i="1"/>
  <c r="G65" i="1" l="1"/>
  <c r="J64" i="1"/>
  <c r="K64" i="1" s="1"/>
  <c r="A8" i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G66" i="1"/>
  <c r="D10" i="2"/>
  <c r="I51" i="1"/>
  <c r="I50" i="1"/>
  <c r="I49" i="1"/>
  <c r="I101" i="1"/>
  <c r="I99" i="1"/>
  <c r="I88" i="1"/>
  <c r="I75" i="1"/>
  <c r="G214" i="1"/>
  <c r="I39" i="1"/>
  <c r="I38" i="1"/>
  <c r="I37" i="1"/>
  <c r="I27" i="1"/>
  <c r="A145" i="1" l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31" i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G216" i="1"/>
  <c r="I73" i="1"/>
  <c r="I13" i="1"/>
  <c r="I12" i="1"/>
  <c r="I87" i="1"/>
  <c r="I216" i="1"/>
  <c r="I86" i="1"/>
  <c r="I74" i="1"/>
  <c r="G40" i="1"/>
  <c r="I25" i="1"/>
  <c r="G215" i="1" l="1"/>
  <c r="G217" i="1" s="1"/>
  <c r="I26" i="1"/>
  <c r="G89" i="1"/>
  <c r="G15" i="1"/>
  <c r="G52" i="1"/>
  <c r="G76" i="1"/>
  <c r="G102" i="1"/>
  <c r="I100" i="1"/>
  <c r="G28" i="1"/>
  <c r="G201" i="1"/>
  <c r="O201" i="1" s="1"/>
  <c r="G200" i="1"/>
  <c r="O200" i="1" s="1"/>
  <c r="G199" i="1"/>
  <c r="O199" i="1" s="1"/>
  <c r="G198" i="1"/>
  <c r="O198" i="1" s="1"/>
  <c r="G197" i="1"/>
  <c r="O197" i="1" s="1"/>
  <c r="G196" i="1"/>
  <c r="O196" i="1" s="1"/>
  <c r="G195" i="1"/>
  <c r="O195" i="1" s="1"/>
  <c r="G194" i="1"/>
  <c r="O194" i="1" s="1"/>
  <c r="G193" i="1"/>
  <c r="O193" i="1" s="1"/>
  <c r="G192" i="1"/>
  <c r="O192" i="1" s="1"/>
  <c r="G191" i="1"/>
  <c r="O191" i="1" s="1"/>
  <c r="G190" i="1"/>
  <c r="O190" i="1" s="1"/>
  <c r="G189" i="1"/>
  <c r="O189" i="1" s="1"/>
  <c r="C7" i="2" l="1"/>
  <c r="C11" i="2"/>
  <c r="C12" i="2"/>
  <c r="C13" i="2"/>
  <c r="C9" i="2"/>
  <c r="B20" i="2"/>
  <c r="B9" i="2"/>
  <c r="B13" i="2"/>
  <c r="B12" i="2"/>
  <c r="B11" i="2"/>
  <c r="B8" i="2"/>
  <c r="B7" i="2"/>
  <c r="D89" i="3" s="1"/>
  <c r="C6" i="2"/>
  <c r="B6" i="2"/>
  <c r="G83" i="1"/>
  <c r="J74" i="1"/>
  <c r="J73" i="1"/>
  <c r="I72" i="1"/>
  <c r="J38" i="1"/>
  <c r="J37" i="1"/>
  <c r="I36" i="1"/>
  <c r="G33" i="1"/>
  <c r="J25" i="1"/>
  <c r="I24" i="1"/>
  <c r="G22" i="1"/>
  <c r="J87" i="1"/>
  <c r="J86" i="1"/>
  <c r="I85" i="1"/>
  <c r="G82" i="1"/>
  <c r="G81" i="1"/>
  <c r="J100" i="1"/>
  <c r="J99" i="1"/>
  <c r="I98" i="1"/>
  <c r="G96" i="1"/>
  <c r="G94" i="1"/>
  <c r="J50" i="1"/>
  <c r="J49" i="1"/>
  <c r="I48" i="1"/>
  <c r="G45" i="1"/>
  <c r="D72" i="3" l="1"/>
  <c r="D91" i="3"/>
  <c r="D93" i="3"/>
  <c r="D74" i="3"/>
  <c r="D76" i="3"/>
  <c r="D95" i="3"/>
  <c r="C69" i="3"/>
  <c r="C88" i="3"/>
  <c r="D82" i="3"/>
  <c r="D101" i="3"/>
  <c r="D75" i="3"/>
  <c r="D94" i="3"/>
  <c r="C89" i="3"/>
  <c r="C70" i="3"/>
  <c r="C93" i="3"/>
  <c r="C74" i="3"/>
  <c r="D69" i="3"/>
  <c r="D88" i="3"/>
  <c r="D70" i="3"/>
  <c r="C91" i="3"/>
  <c r="C72" i="3"/>
  <c r="C75" i="3"/>
  <c r="C94" i="3"/>
  <c r="D90" i="3"/>
  <c r="D71" i="3"/>
  <c r="C76" i="3"/>
  <c r="C95" i="3"/>
  <c r="J48" i="1"/>
  <c r="I52" i="1"/>
  <c r="J98" i="1"/>
  <c r="I102" i="1"/>
  <c r="J85" i="1"/>
  <c r="I89" i="1"/>
  <c r="J72" i="1"/>
  <c r="I76" i="1"/>
  <c r="J36" i="1"/>
  <c r="I40" i="1"/>
  <c r="J24" i="1"/>
  <c r="I28" i="1"/>
  <c r="J28" i="1" s="1"/>
  <c r="K28" i="1" s="1"/>
  <c r="G71" i="1"/>
  <c r="G35" i="1"/>
  <c r="J26" i="1"/>
  <c r="G23" i="1"/>
  <c r="G47" i="1"/>
  <c r="G84" i="1"/>
  <c r="G97" i="1"/>
  <c r="G188" i="1"/>
  <c r="O188" i="1" s="1"/>
  <c r="I205" i="1"/>
  <c r="I215" i="1" s="1"/>
  <c r="I204" i="1"/>
  <c r="I214" i="1" s="1"/>
  <c r="I203" i="1"/>
  <c r="I11" i="1"/>
  <c r="G9" i="1"/>
  <c r="G8" i="1"/>
  <c r="A1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I213" i="1" l="1"/>
  <c r="K71" i="1"/>
  <c r="I15" i="1"/>
  <c r="J203" i="1"/>
  <c r="J204" i="1"/>
  <c r="J205" i="1"/>
  <c r="J12" i="1"/>
  <c r="J13" i="1"/>
  <c r="J215" i="1" s="1"/>
  <c r="G41" i="1"/>
  <c r="G53" i="1"/>
  <c r="G29" i="1"/>
  <c r="G90" i="1"/>
  <c r="G103" i="1"/>
  <c r="G77" i="1"/>
  <c r="J40" i="1"/>
  <c r="K40" i="1" s="1"/>
  <c r="J76" i="1"/>
  <c r="K76" i="1" s="1"/>
  <c r="J89" i="1"/>
  <c r="K89" i="1" s="1"/>
  <c r="J102" i="1"/>
  <c r="K102" i="1" s="1"/>
  <c r="J52" i="1"/>
  <c r="K52" i="1" s="1"/>
  <c r="G10" i="1"/>
  <c r="G207" i="1"/>
  <c r="G202" i="1"/>
  <c r="O202" i="1" s="1"/>
  <c r="J11" i="1"/>
  <c r="J213" i="1" l="1"/>
  <c r="G212" i="1"/>
  <c r="G218" i="1" s="1"/>
  <c r="J214" i="1"/>
  <c r="G30" i="1"/>
  <c r="D7" i="2"/>
  <c r="G54" i="1"/>
  <c r="D9" i="2"/>
  <c r="G91" i="1"/>
  <c r="D12" i="2"/>
  <c r="K77" i="1"/>
  <c r="D11" i="2"/>
  <c r="G104" i="1"/>
  <c r="D13" i="2"/>
  <c r="G42" i="1"/>
  <c r="D8" i="2"/>
  <c r="G208" i="1"/>
  <c r="D20" i="2" s="1"/>
  <c r="I207" i="1"/>
  <c r="I217" i="1" s="1"/>
  <c r="G16" i="1"/>
  <c r="J15" i="1"/>
  <c r="K15" i="1" s="1"/>
  <c r="G17" i="1" l="1"/>
  <c r="D6" i="2"/>
  <c r="D21" i="2" s="1"/>
  <c r="J207" i="1"/>
  <c r="K207" i="1" s="1"/>
  <c r="J217" i="1" l="1"/>
  <c r="H9" i="1" l="1"/>
  <c r="H122" i="1"/>
  <c r="H199" i="1"/>
  <c r="G9" i="3"/>
  <c r="H9" i="3" s="1"/>
  <c r="H46" i="1"/>
  <c r="G16" i="3" s="1"/>
  <c r="H16" i="3" s="1"/>
  <c r="H83" i="1"/>
  <c r="H163" i="1"/>
  <c r="G42" i="3" s="1"/>
  <c r="H42" i="3" s="1"/>
  <c r="H57" i="1"/>
  <c r="H108" i="1"/>
  <c r="H107" i="1"/>
  <c r="G27" i="3" s="1"/>
  <c r="H27" i="3" s="1"/>
  <c r="H109" i="1"/>
  <c r="G29" i="3" s="1"/>
  <c r="H29" i="3" s="1"/>
  <c r="H120" i="1" l="1"/>
  <c r="G31" i="3" s="1"/>
  <c r="H31" i="3" s="1"/>
  <c r="H121" i="1"/>
  <c r="H226" i="1" s="1"/>
  <c r="G7" i="3"/>
  <c r="H7" i="3" s="1"/>
  <c r="G25" i="3"/>
  <c r="H25" i="3" s="1"/>
  <c r="I95" i="1"/>
  <c r="J95" i="1" s="1"/>
  <c r="K95" i="1" s="1"/>
  <c r="G18" i="3"/>
  <c r="H18" i="3" s="1"/>
  <c r="H193" i="1"/>
  <c r="I193" i="1" s="1"/>
  <c r="J193" i="1" s="1"/>
  <c r="K193" i="1" s="1"/>
  <c r="H196" i="1"/>
  <c r="G57" i="3" s="1"/>
  <c r="H57" i="3" s="1"/>
  <c r="H197" i="1"/>
  <c r="G58" i="3" s="1"/>
  <c r="H58" i="3" s="1"/>
  <c r="H160" i="1"/>
  <c r="G39" i="3" s="1"/>
  <c r="H39" i="3" s="1"/>
  <c r="H161" i="1"/>
  <c r="H22" i="1"/>
  <c r="G11" i="3" s="1"/>
  <c r="H11" i="3" s="1"/>
  <c r="H21" i="1"/>
  <c r="G10" i="3" s="1"/>
  <c r="H10" i="3" s="1"/>
  <c r="H201" i="1"/>
  <c r="G62" i="3" s="1"/>
  <c r="H62" i="3" s="1"/>
  <c r="H162" i="1"/>
  <c r="G41" i="3" s="1"/>
  <c r="H41" i="3" s="1"/>
  <c r="H198" i="1"/>
  <c r="G59" i="3" s="1"/>
  <c r="H59" i="3" s="1"/>
  <c r="H192" i="1"/>
  <c r="G53" i="3" s="1"/>
  <c r="H53" i="3" s="1"/>
  <c r="H194" i="1"/>
  <c r="G55" i="3" s="1"/>
  <c r="H55" i="3" s="1"/>
  <c r="H191" i="1"/>
  <c r="G52" i="3" s="1"/>
  <c r="H52" i="3" s="1"/>
  <c r="H195" i="1"/>
  <c r="G56" i="3" s="1"/>
  <c r="H56" i="3" s="1"/>
  <c r="H188" i="1"/>
  <c r="G49" i="3" s="1"/>
  <c r="H49" i="3" s="1"/>
  <c r="H200" i="1"/>
  <c r="G61" i="3" s="1"/>
  <c r="H61" i="3" s="1"/>
  <c r="H189" i="1"/>
  <c r="G50" i="3" s="1"/>
  <c r="H50" i="3" s="1"/>
  <c r="H58" i="1"/>
  <c r="G19" i="3" s="1"/>
  <c r="H19" i="3" s="1"/>
  <c r="H190" i="1"/>
  <c r="G51" i="3" s="1"/>
  <c r="H51" i="3" s="1"/>
  <c r="H45" i="1"/>
  <c r="I45" i="1" s="1"/>
  <c r="J45" i="1" s="1"/>
  <c r="H81" i="1"/>
  <c r="G23" i="3" s="1"/>
  <c r="H23" i="3" s="1"/>
  <c r="H82" i="1"/>
  <c r="H174" i="1"/>
  <c r="G44" i="3" s="1"/>
  <c r="H44" i="3" s="1"/>
  <c r="M108" i="1"/>
  <c r="G28" i="3"/>
  <c r="H28" i="3" s="1"/>
  <c r="I122" i="1"/>
  <c r="G33" i="3"/>
  <c r="H33" i="3" s="1"/>
  <c r="M199" i="1"/>
  <c r="G60" i="3"/>
  <c r="H60" i="3" s="1"/>
  <c r="H133" i="1"/>
  <c r="H135" i="1"/>
  <c r="G37" i="3" s="1"/>
  <c r="H37" i="3" s="1"/>
  <c r="H134" i="1"/>
  <c r="G36" i="3" s="1"/>
  <c r="H36" i="3" s="1"/>
  <c r="M163" i="1"/>
  <c r="I163" i="1"/>
  <c r="J163" i="1" s="1"/>
  <c r="K163" i="1" s="1"/>
  <c r="I109" i="1"/>
  <c r="J109" i="1" s="1"/>
  <c r="K109" i="1" s="1"/>
  <c r="M109" i="1"/>
  <c r="M107" i="1"/>
  <c r="I107" i="1"/>
  <c r="J107" i="1" s="1"/>
  <c r="I108" i="1"/>
  <c r="J108" i="1" s="1"/>
  <c r="K108" i="1" s="1"/>
  <c r="M122" i="1"/>
  <c r="H34" i="1"/>
  <c r="G14" i="3" s="1"/>
  <c r="H14" i="3" s="1"/>
  <c r="I46" i="1"/>
  <c r="J46" i="1" s="1"/>
  <c r="K46" i="1" s="1"/>
  <c r="I199" i="1"/>
  <c r="J199" i="1" s="1"/>
  <c r="K199" i="1" s="1"/>
  <c r="I9" i="1"/>
  <c r="J9" i="1" s="1"/>
  <c r="K9" i="1" s="1"/>
  <c r="M46" i="1"/>
  <c r="M20" i="1"/>
  <c r="M57" i="1"/>
  <c r="I57" i="1"/>
  <c r="J57" i="1" s="1"/>
  <c r="I20" i="1"/>
  <c r="J20" i="1" s="1"/>
  <c r="M9" i="1"/>
  <c r="I83" i="1"/>
  <c r="J83" i="1" s="1"/>
  <c r="K83" i="1" s="1"/>
  <c r="I120" i="1" l="1"/>
  <c r="J120" i="1" s="1"/>
  <c r="M120" i="1"/>
  <c r="H257" i="1"/>
  <c r="G32" i="3"/>
  <c r="H32" i="3" s="1"/>
  <c r="I121" i="1"/>
  <c r="H234" i="1"/>
  <c r="M121" i="1"/>
  <c r="H230" i="1"/>
  <c r="H242" i="1"/>
  <c r="H252" i="1"/>
  <c r="H262" i="1"/>
  <c r="H238" i="1"/>
  <c r="G6" i="3"/>
  <c r="H6" i="3" s="1"/>
  <c r="M201" i="1"/>
  <c r="I200" i="1"/>
  <c r="J200" i="1" s="1"/>
  <c r="K200" i="1" s="1"/>
  <c r="I201" i="1"/>
  <c r="J201" i="1" s="1"/>
  <c r="K201" i="1" s="1"/>
  <c r="G54" i="3"/>
  <c r="H54" i="3" s="1"/>
  <c r="M193" i="1"/>
  <c r="I196" i="1"/>
  <c r="J196" i="1" s="1"/>
  <c r="K196" i="1" s="1"/>
  <c r="G24" i="3"/>
  <c r="H24" i="3" s="1"/>
  <c r="M197" i="1"/>
  <c r="I174" i="1"/>
  <c r="J174" i="1" s="1"/>
  <c r="M174" i="1"/>
  <c r="G40" i="3"/>
  <c r="H40" i="3" s="1"/>
  <c r="H267" i="1"/>
  <c r="M196" i="1"/>
  <c r="I94" i="1"/>
  <c r="J94" i="1" s="1"/>
  <c r="M21" i="1"/>
  <c r="M190" i="1"/>
  <c r="M194" i="1"/>
  <c r="I8" i="1"/>
  <c r="J8" i="1" s="1"/>
  <c r="K8" i="1" s="1"/>
  <c r="H33" i="1"/>
  <c r="G13" i="3" s="1"/>
  <c r="H13" i="3" s="1"/>
  <c r="M94" i="1"/>
  <c r="I197" i="1"/>
  <c r="J197" i="1" s="1"/>
  <c r="K197" i="1" s="1"/>
  <c r="M95" i="1"/>
  <c r="I58" i="1"/>
  <c r="J58" i="1" s="1"/>
  <c r="K58" i="1" s="1"/>
  <c r="I190" i="1"/>
  <c r="J190" i="1" s="1"/>
  <c r="K190" i="1" s="1"/>
  <c r="I160" i="1"/>
  <c r="J160" i="1" s="1"/>
  <c r="I192" i="1"/>
  <c r="J192" i="1" s="1"/>
  <c r="K192" i="1" s="1"/>
  <c r="I22" i="1"/>
  <c r="J22" i="1" s="1"/>
  <c r="K22" i="1" s="1"/>
  <c r="I195" i="1"/>
  <c r="J195" i="1" s="1"/>
  <c r="K195" i="1" s="1"/>
  <c r="I21" i="1"/>
  <c r="J21" i="1" s="1"/>
  <c r="K21" i="1" s="1"/>
  <c r="M22" i="1"/>
  <c r="M195" i="1"/>
  <c r="M200" i="1"/>
  <c r="M192" i="1"/>
  <c r="M160" i="1"/>
  <c r="M162" i="1"/>
  <c r="I162" i="1"/>
  <c r="J162" i="1" s="1"/>
  <c r="K162" i="1" s="1"/>
  <c r="I194" i="1"/>
  <c r="J194" i="1" s="1"/>
  <c r="K194" i="1" s="1"/>
  <c r="M58" i="1"/>
  <c r="I198" i="1"/>
  <c r="J198" i="1" s="1"/>
  <c r="K198" i="1" s="1"/>
  <c r="M161" i="1"/>
  <c r="M198" i="1"/>
  <c r="M8" i="1"/>
  <c r="I161" i="1"/>
  <c r="J161" i="1" s="1"/>
  <c r="K161" i="1" s="1"/>
  <c r="K70" i="1"/>
  <c r="M191" i="1"/>
  <c r="I191" i="1"/>
  <c r="J191" i="1" s="1"/>
  <c r="K191" i="1" s="1"/>
  <c r="I188" i="1"/>
  <c r="J188" i="1" s="1"/>
  <c r="K188" i="1" s="1"/>
  <c r="M188" i="1"/>
  <c r="I189" i="1"/>
  <c r="J189" i="1" s="1"/>
  <c r="K189" i="1" s="1"/>
  <c r="M189" i="1"/>
  <c r="M81" i="1"/>
  <c r="I81" i="1"/>
  <c r="J81" i="1" s="1"/>
  <c r="K81" i="1" s="1"/>
  <c r="K45" i="1"/>
  <c r="J47" i="1"/>
  <c r="K107" i="1"/>
  <c r="J110" i="1"/>
  <c r="H177" i="1"/>
  <c r="G47" i="3" s="1"/>
  <c r="H47" i="3" s="1"/>
  <c r="H175" i="1"/>
  <c r="H176" i="1"/>
  <c r="G46" i="3" s="1"/>
  <c r="H46" i="3" s="1"/>
  <c r="K20" i="1"/>
  <c r="K57" i="1"/>
  <c r="I133" i="1"/>
  <c r="J133" i="1" s="1"/>
  <c r="G35" i="3"/>
  <c r="H35" i="3" s="1"/>
  <c r="I110" i="1"/>
  <c r="M34" i="1"/>
  <c r="I134" i="1"/>
  <c r="M134" i="1"/>
  <c r="M135" i="1"/>
  <c r="I135" i="1"/>
  <c r="I34" i="1"/>
  <c r="J122" i="1"/>
  <c r="K122" i="1" s="1"/>
  <c r="I47" i="1"/>
  <c r="M83" i="1"/>
  <c r="M82" i="1"/>
  <c r="I82" i="1"/>
  <c r="I123" i="1" l="1"/>
  <c r="I10" i="1"/>
  <c r="J121" i="1"/>
  <c r="K121" i="1" s="1"/>
  <c r="H247" i="1"/>
  <c r="I96" i="1"/>
  <c r="M96" i="1"/>
  <c r="M175" i="1"/>
  <c r="G45" i="3"/>
  <c r="H45" i="3" s="1"/>
  <c r="J10" i="1"/>
  <c r="H272" i="1"/>
  <c r="H277" i="1"/>
  <c r="H282" i="1"/>
  <c r="I23" i="1"/>
  <c r="I33" i="1"/>
  <c r="J33" i="1" s="1"/>
  <c r="K33" i="1" s="1"/>
  <c r="J23" i="1"/>
  <c r="K23" i="1" s="1"/>
  <c r="I59" i="1"/>
  <c r="J59" i="1"/>
  <c r="I164" i="1"/>
  <c r="I202" i="1"/>
  <c r="J202" i="1"/>
  <c r="K202" i="1" s="1"/>
  <c r="K120" i="1"/>
  <c r="K133" i="1"/>
  <c r="K94" i="1"/>
  <c r="K160" i="1"/>
  <c r="J164" i="1"/>
  <c r="M176" i="1"/>
  <c r="I176" i="1"/>
  <c r="J176" i="1" s="1"/>
  <c r="K176" i="1" s="1"/>
  <c r="I175" i="1"/>
  <c r="M177" i="1"/>
  <c r="I177" i="1"/>
  <c r="I116" i="1"/>
  <c r="E14" i="2" s="1"/>
  <c r="I136" i="1"/>
  <c r="J34" i="1"/>
  <c r="K34" i="1" s="1"/>
  <c r="J135" i="1"/>
  <c r="K135" i="1" s="1"/>
  <c r="J134" i="1"/>
  <c r="K134" i="1" s="1"/>
  <c r="I53" i="1"/>
  <c r="J82" i="1"/>
  <c r="I84" i="1"/>
  <c r="K110" i="1"/>
  <c r="K10" i="1" l="1"/>
  <c r="I54" i="1"/>
  <c r="J54" i="1" s="1"/>
  <c r="K54" i="1" s="1"/>
  <c r="E9" i="2"/>
  <c r="I129" i="1"/>
  <c r="I16" i="1"/>
  <c r="J123" i="1"/>
  <c r="K123" i="1" s="1"/>
  <c r="J96" i="1"/>
  <c r="I97" i="1"/>
  <c r="I29" i="1"/>
  <c r="I35" i="1"/>
  <c r="I170" i="1"/>
  <c r="I65" i="1"/>
  <c r="I208" i="1"/>
  <c r="J116" i="1"/>
  <c r="I117" i="1"/>
  <c r="J117" i="1" s="1"/>
  <c r="F96" i="3" s="1"/>
  <c r="J35" i="1"/>
  <c r="K35" i="1" s="1"/>
  <c r="J177" i="1"/>
  <c r="K177" i="1" s="1"/>
  <c r="J136" i="1"/>
  <c r="K136" i="1" s="1"/>
  <c r="K82" i="1"/>
  <c r="J84" i="1"/>
  <c r="J175" i="1"/>
  <c r="I178" i="1"/>
  <c r="G11" i="2"/>
  <c r="K47" i="1"/>
  <c r="J53" i="1"/>
  <c r="F9" i="2" s="1"/>
  <c r="F72" i="3" s="1"/>
  <c r="I142" i="1"/>
  <c r="K164" i="1"/>
  <c r="I90" i="1"/>
  <c r="E12" i="2" s="1"/>
  <c r="K59" i="1"/>
  <c r="G74" i="3" l="1"/>
  <c r="G93" i="3"/>
  <c r="G9" i="2"/>
  <c r="K116" i="1"/>
  <c r="F14" i="2"/>
  <c r="I30" i="1"/>
  <c r="J30" i="1" s="1"/>
  <c r="K30" i="1" s="1"/>
  <c r="E7" i="2"/>
  <c r="F91" i="3"/>
  <c r="J208" i="1"/>
  <c r="E20" i="2"/>
  <c r="I66" i="1"/>
  <c r="J66" i="1" s="1"/>
  <c r="K66" i="1" s="1"/>
  <c r="E10" i="2"/>
  <c r="I17" i="1"/>
  <c r="J17" i="1" s="1"/>
  <c r="E6" i="2"/>
  <c r="J142" i="1"/>
  <c r="E16" i="2"/>
  <c r="I171" i="1"/>
  <c r="J171" i="1" s="1"/>
  <c r="K171" i="1" s="1"/>
  <c r="E18" i="2"/>
  <c r="J129" i="1"/>
  <c r="E15" i="2"/>
  <c r="I130" i="1"/>
  <c r="J130" i="1" s="1"/>
  <c r="F97" i="3" s="1"/>
  <c r="J16" i="1"/>
  <c r="I41" i="1"/>
  <c r="I103" i="1"/>
  <c r="E13" i="2" s="1"/>
  <c r="J29" i="1"/>
  <c r="K96" i="1"/>
  <c r="J97" i="1"/>
  <c r="J65" i="1"/>
  <c r="J170" i="1"/>
  <c r="J90" i="1"/>
  <c r="I91" i="1"/>
  <c r="J91" i="1" s="1"/>
  <c r="F94" i="3" s="1"/>
  <c r="K53" i="1"/>
  <c r="I184" i="1"/>
  <c r="E19" i="2" s="1"/>
  <c r="K175" i="1"/>
  <c r="J178" i="1"/>
  <c r="I143" i="1"/>
  <c r="J143" i="1" s="1"/>
  <c r="K84" i="1"/>
  <c r="G72" i="3" l="1"/>
  <c r="G91" i="3"/>
  <c r="F89" i="3"/>
  <c r="H7" i="2"/>
  <c r="K17" i="1"/>
  <c r="H6" i="2"/>
  <c r="K65" i="1"/>
  <c r="F10" i="2"/>
  <c r="F88" i="3"/>
  <c r="K142" i="1"/>
  <c r="F16" i="2"/>
  <c r="G16" i="2" s="1"/>
  <c r="G20" i="2"/>
  <c r="K90" i="1"/>
  <c r="F12" i="2"/>
  <c r="F75" i="3" s="1"/>
  <c r="K170" i="1"/>
  <c r="F18" i="2"/>
  <c r="K208" i="1"/>
  <c r="F20" i="2"/>
  <c r="F82" i="3" s="1"/>
  <c r="K29" i="1"/>
  <c r="F7" i="2"/>
  <c r="F77" i="3"/>
  <c r="G14" i="2"/>
  <c r="K129" i="1"/>
  <c r="F15" i="2"/>
  <c r="F78" i="3" s="1"/>
  <c r="K16" i="1"/>
  <c r="F6" i="2"/>
  <c r="F99" i="3"/>
  <c r="I42" i="1"/>
  <c r="J42" i="1" s="1"/>
  <c r="E8" i="2"/>
  <c r="F92" i="3"/>
  <c r="K130" i="1"/>
  <c r="J41" i="1"/>
  <c r="K97" i="1"/>
  <c r="I104" i="1"/>
  <c r="J104" i="1" s="1"/>
  <c r="J103" i="1"/>
  <c r="K143" i="1"/>
  <c r="F98" i="3"/>
  <c r="I185" i="1"/>
  <c r="J185" i="1" s="1"/>
  <c r="K185" i="1" s="1"/>
  <c r="F100" i="3" s="1"/>
  <c r="J184" i="1"/>
  <c r="F19" i="2" s="1"/>
  <c r="K178" i="1"/>
  <c r="F90" i="3" l="1"/>
  <c r="H8" i="2"/>
  <c r="G77" i="3"/>
  <c r="G96" i="3"/>
  <c r="G15" i="2"/>
  <c r="G79" i="3"/>
  <c r="G98" i="3"/>
  <c r="F79" i="3"/>
  <c r="G12" i="2"/>
  <c r="K103" i="1"/>
  <c r="F13" i="2"/>
  <c r="F76" i="3" s="1"/>
  <c r="G7" i="2"/>
  <c r="F70" i="3"/>
  <c r="G18" i="2"/>
  <c r="F80" i="3"/>
  <c r="G10" i="2"/>
  <c r="F73" i="3"/>
  <c r="K42" i="1"/>
  <c r="K41" i="1"/>
  <c r="F8" i="2"/>
  <c r="G6" i="2"/>
  <c r="F69" i="3"/>
  <c r="K104" i="1"/>
  <c r="F95" i="3"/>
  <c r="K184" i="1"/>
  <c r="G19" i="2"/>
  <c r="F81" i="3"/>
  <c r="G13" i="2" l="1"/>
  <c r="G95" i="3" s="1"/>
  <c r="G94" i="3"/>
  <c r="G75" i="3"/>
  <c r="G73" i="3"/>
  <c r="G92" i="3"/>
  <c r="G81" i="3"/>
  <c r="G100" i="3"/>
  <c r="G88" i="3"/>
  <c r="G69" i="3"/>
  <c r="G82" i="3"/>
  <c r="G101" i="3"/>
  <c r="G89" i="3"/>
  <c r="G70" i="3"/>
  <c r="G78" i="3"/>
  <c r="G97" i="3"/>
  <c r="G8" i="2"/>
  <c r="F71" i="3"/>
  <c r="G76" i="3" l="1"/>
  <c r="G71" i="3"/>
  <c r="G90" i="3"/>
  <c r="M262" i="1"/>
  <c r="M282" i="1"/>
  <c r="M238" i="1"/>
  <c r="M277" i="1"/>
  <c r="M226" i="1"/>
  <c r="M230" i="1"/>
  <c r="M252" i="1"/>
  <c r="M257" i="1"/>
  <c r="M234" i="1"/>
  <c r="M272" i="1"/>
  <c r="M267" i="1"/>
  <c r="M242" i="1"/>
  <c r="M247" i="1"/>
  <c r="H70" i="1" l="1"/>
  <c r="I70" i="1" s="1"/>
  <c r="I71" i="1" l="1"/>
  <c r="I212" i="1" s="1"/>
  <c r="J70" i="1"/>
  <c r="J71" i="1" s="1"/>
  <c r="J212" i="1" s="1"/>
  <c r="M70" i="1"/>
  <c r="G21" i="3"/>
  <c r="H21" i="3" s="1"/>
  <c r="K212" i="1" l="1"/>
  <c r="I77" i="1"/>
  <c r="I218" i="1" s="1"/>
  <c r="J77" i="1" l="1"/>
  <c r="E11" i="2"/>
  <c r="E21" i="2" s="1"/>
  <c r="L264" i="1"/>
  <c r="H264" i="1" s="1"/>
  <c r="L274" i="1"/>
  <c r="H274" i="1" s="1"/>
  <c r="L276" i="1"/>
  <c r="H276" i="1" s="1"/>
  <c r="L263" i="1"/>
  <c r="H263" i="1" s="1"/>
  <c r="L249" i="1"/>
  <c r="H249" i="1" s="1"/>
  <c r="L235" i="1"/>
  <c r="H235" i="1" s="1"/>
  <c r="L279" i="1"/>
  <c r="H279" i="1" s="1"/>
  <c r="L277" i="1"/>
  <c r="L247" i="1"/>
  <c r="L233" i="1"/>
  <c r="H233" i="1" s="1"/>
  <c r="L248" i="1"/>
  <c r="H248" i="1" s="1"/>
  <c r="L242" i="1"/>
  <c r="L246" i="1"/>
  <c r="H246" i="1" s="1"/>
  <c r="L273" i="1"/>
  <c r="H273" i="1" s="1"/>
  <c r="L244" i="1"/>
  <c r="H244" i="1" s="1"/>
  <c r="L271" i="1"/>
  <c r="H271" i="1" s="1"/>
  <c r="L230" i="1"/>
  <c r="L257" i="1"/>
  <c r="L259" i="1"/>
  <c r="H259" i="1" s="1"/>
  <c r="L241" i="1"/>
  <c r="H241" i="1" s="1"/>
  <c r="L281" i="1"/>
  <c r="H281" i="1" s="1"/>
  <c r="L267" i="1"/>
  <c r="L238" i="1"/>
  <c r="L258" i="1"/>
  <c r="H258" i="1" s="1"/>
  <c r="L268" i="1"/>
  <c r="H268" i="1" s="1"/>
  <c r="L225" i="1"/>
  <c r="H225" i="1" s="1"/>
  <c r="L272" i="1"/>
  <c r="L254" i="1"/>
  <c r="H254" i="1" s="1"/>
  <c r="L261" i="1"/>
  <c r="H261" i="1" s="1"/>
  <c r="L237" i="1"/>
  <c r="H237" i="1" s="1"/>
  <c r="L283" i="1"/>
  <c r="H283" i="1" s="1"/>
  <c r="L269" i="1"/>
  <c r="H269" i="1" s="1"/>
  <c r="L256" i="1"/>
  <c r="H256" i="1" s="1"/>
  <c r="L243" i="1"/>
  <c r="H243" i="1" s="1"/>
  <c r="L227" i="1"/>
  <c r="H227" i="1" s="1"/>
  <c r="L234" i="1"/>
  <c r="L252" i="1"/>
  <c r="L262" i="1"/>
  <c r="L278" i="1"/>
  <c r="H278" i="1" s="1"/>
  <c r="L282" i="1"/>
  <c r="L226" i="1"/>
  <c r="L253" i="1"/>
  <c r="H253" i="1" s="1"/>
  <c r="L266" i="1"/>
  <c r="H266" i="1" s="1"/>
  <c r="L231" i="1"/>
  <c r="H231" i="1" s="1"/>
  <c r="L251" i="1"/>
  <c r="H251" i="1" s="1"/>
  <c r="L284" i="1"/>
  <c r="H284" i="1" s="1"/>
  <c r="L239" i="1"/>
  <c r="H239" i="1" s="1"/>
  <c r="L229" i="1"/>
  <c r="H229" i="1" s="1"/>
  <c r="F11" i="2" l="1"/>
  <c r="F74" i="3" s="1"/>
  <c r="J218" i="1"/>
  <c r="M254" i="1"/>
  <c r="M227" i="1"/>
  <c r="M259" i="1"/>
  <c r="M248" i="1"/>
  <c r="M276" i="1"/>
  <c r="M243" i="1"/>
  <c r="M225" i="1"/>
  <c r="M233" i="1"/>
  <c r="M274" i="1"/>
  <c r="M263" i="1"/>
  <c r="M268" i="1"/>
  <c r="M264" i="1"/>
  <c r="M269" i="1"/>
  <c r="M241" i="1"/>
  <c r="M256" i="1"/>
  <c r="M258" i="1"/>
  <c r="M278" i="1"/>
  <c r="M283" i="1"/>
  <c r="M244" i="1"/>
  <c r="M279" i="1"/>
  <c r="M231" i="1"/>
  <c r="M253" i="1"/>
  <c r="M229" i="1"/>
  <c r="M239" i="1"/>
  <c r="M237" i="1"/>
  <c r="M273" i="1"/>
  <c r="M235" i="1"/>
  <c r="M266" i="1"/>
  <c r="M271" i="1"/>
  <c r="M284" i="1"/>
  <c r="M251" i="1"/>
  <c r="M261" i="1"/>
  <c r="M281" i="1"/>
  <c r="M246" i="1"/>
  <c r="M249" i="1"/>
  <c r="F21" i="2" l="1"/>
  <c r="F25" i="2" s="1"/>
  <c r="J221" i="1"/>
  <c r="K218" i="1"/>
  <c r="G21" i="2"/>
</calcChain>
</file>

<file path=xl/sharedStrings.xml><?xml version="1.0" encoding="utf-8"?>
<sst xmlns="http://schemas.openxmlformats.org/spreadsheetml/2006/main" count="341" uniqueCount="118">
  <si>
    <t>#</t>
  </si>
  <si>
    <t>Item</t>
  </si>
  <si>
    <t>Present Revenue</t>
  </si>
  <si>
    <t>Proposed Revenue</t>
  </si>
  <si>
    <t>Total Base Rates</t>
  </si>
  <si>
    <t>Total Riders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</si>
  <si>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</si>
  <si>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</si>
  <si>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</si>
  <si>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</si>
  <si>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</si>
  <si>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</si>
  <si>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</si>
  <si>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</si>
  <si>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</si>
  <si>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</si>
  <si>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</si>
  <si>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</si>
  <si>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</si>
  <si>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</si>
  <si>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</si>
  <si>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</si>
  <si>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 xml:space="preserve">    Misc Adj</t>
  </si>
  <si>
    <t>Per Unit Rate Change</t>
  </si>
  <si>
    <t>Rate Rounding Variance</t>
  </si>
  <si>
    <t xml:space="preserve">    Other</t>
  </si>
  <si>
    <t xml:space="preserve">    Prepay Daily Charges</t>
  </si>
  <si>
    <t>TOTAL Base Rates</t>
  </si>
  <si>
    <t>Present</t>
  </si>
  <si>
    <t>Proposed</t>
  </si>
  <si>
    <t>Energy Charge per kWh</t>
  </si>
  <si>
    <t>Energy Charge - On Peak per kWh</t>
  </si>
  <si>
    <t>Energy Charge - Off Peak per kWh</t>
  </si>
  <si>
    <t>Demand Charge per kW</t>
  </si>
  <si>
    <t>&lt; Set to 50% B2</t>
  </si>
  <si>
    <t>&lt; Set to increase at same % as B2</t>
  </si>
  <si>
    <t>&lt; Set to match B2</t>
  </si>
  <si>
    <t>FARMERS RECC</t>
  </si>
  <si>
    <t>Net Metering</t>
  </si>
  <si>
    <t>TOD Three Phase - Schedule C</t>
  </si>
  <si>
    <t>Sodium Vapor 100 Watt</t>
  </si>
  <si>
    <t>Mercury Vapor 175 Watt</t>
  </si>
  <si>
    <t>Mercury Vapor 175 Watt (shared)</t>
  </si>
  <si>
    <t>Mercury Vapor 250 Watt</t>
  </si>
  <si>
    <t>Mercury Vapor 400 Watt</t>
  </si>
  <si>
    <t>Mercury Vapor 1000 Watt</t>
  </si>
  <si>
    <t>Sodium Vapor 150 Watt</t>
  </si>
  <si>
    <t>Sodium Vapor 250 Watt</t>
  </si>
  <si>
    <t>Sodium Vapor 400 Watt</t>
  </si>
  <si>
    <t>Sodium Vapor 1000 Watt</t>
  </si>
  <si>
    <t>LED Light 70 Watt</t>
  </si>
  <si>
    <t>LED Light 105 Watt</t>
  </si>
  <si>
    <t>LED Light 145 Watt</t>
  </si>
  <si>
    <t>LED Flood Light 199 Watt</t>
  </si>
  <si>
    <t>&lt; Rate Same as 1</t>
  </si>
  <si>
    <t>&lt; Rate Same as 2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</si>
  <si>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</si>
  <si>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</si>
  <si>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</si>
  <si>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</si>
  <si>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</si>
  <si>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</si>
  <si>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</si>
  <si>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</si>
  <si>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</si>
  <si>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RATES WITH NO CURRENT MEMBERS</t>
  </si>
  <si>
    <t>Customer Charge Single Phase</t>
  </si>
  <si>
    <t>Customer Charge Three Phase</t>
  </si>
  <si>
    <t>Energy Charge On Peak per kWh</t>
  </si>
  <si>
    <t>Energy Charge Off Peak per kWh</t>
  </si>
  <si>
    <t>Large Power</t>
  </si>
  <si>
    <t>LPC-1</t>
  </si>
  <si>
    <t xml:space="preserve">Large Power </t>
  </si>
  <si>
    <t>LPC-3</t>
  </si>
  <si>
    <t>LPC-4</t>
  </si>
  <si>
    <t>LPC-5</t>
  </si>
  <si>
    <t>LPB-1</t>
  </si>
  <si>
    <t>Demand Charge Contract per kW</t>
  </si>
  <si>
    <t>Demand Charge Excess per kW</t>
  </si>
  <si>
    <t>LPB-2</t>
  </si>
  <si>
    <t>LPB-3</t>
  </si>
  <si>
    <t>LPB-4</t>
  </si>
  <si>
    <t>LPB-5</t>
  </si>
  <si>
    <t>LPE-1</t>
  </si>
  <si>
    <t>LPE-2</t>
  </si>
  <si>
    <t>LPE-3</t>
  </si>
  <si>
    <t>LPE-5</t>
  </si>
  <si>
    <t>Same as LPC2</t>
  </si>
  <si>
    <t>Same as LPE4</t>
  </si>
  <si>
    <t>Present &amp; Proposed Rates</t>
  </si>
  <si>
    <t>Variance</t>
  </si>
  <si>
    <t>Residential - Schedule R</t>
  </si>
  <si>
    <t>TOD Residential - Schedule R</t>
  </si>
  <si>
    <t>EST Small Commercial - Schedule CM</t>
  </si>
  <si>
    <t>Large Commercial - Schedule C</t>
  </si>
  <si>
    <t>Large Commercial - Schedule E</t>
  </si>
  <si>
    <t>Large Power - Schedule LPC2</t>
  </si>
  <si>
    <t>Large Commercial Optional TOD - Schedule D</t>
  </si>
  <si>
    <t>Large Power - Schedule LPE4</t>
  </si>
  <si>
    <t>Incr(Decr)</t>
  </si>
  <si>
    <t>Target</t>
  </si>
  <si>
    <t>Present &amp; Proposed Rate Summary</t>
  </si>
  <si>
    <t>Present and Proposed Rate Detail</t>
  </si>
  <si>
    <t>Large Power - Schedule LPE4 Interruptible 1500 Firm 200</t>
  </si>
  <si>
    <t>Small Commercial - Schedule C</t>
  </si>
  <si>
    <t>Current:</t>
  </si>
  <si>
    <t>COS:</t>
  </si>
  <si>
    <t>Lighting</t>
  </si>
  <si>
    <t>Scalar</t>
  </si>
  <si>
    <t>CUSTOMER CHARGE</t>
  </si>
  <si>
    <t>ETS Residential - Schedule RM</t>
  </si>
  <si>
    <t>&lt;Same Increment as Present</t>
  </si>
  <si>
    <t>No changes to any other rate schedules are proposed.</t>
  </si>
  <si>
    <t>Avg Bill Incr per Mon</t>
  </si>
  <si>
    <t>Incr(Decr) $</t>
  </si>
  <si>
    <t>Incr(Decr) %</t>
  </si>
  <si>
    <t>Total</t>
  </si>
  <si>
    <t>Large Commercial 10% Disc- Schedule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</si>
</sst>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_(&quot;$&quot;* #,##0.000000_);_(&quot;$&quot;* \(#,##0.000000\);_(&quot;$&quot;* &quot;-&quot;??_);_(@_)"/>
    <numFmt numFmtId="172" formatCode="_(&quot;$&quot;* #,##0.000000_);_(&quot;$&quot;* \(#,##0.000000\);_(&quot;$&quot;* &quot;-&quot;??????_);_(@_)"/>
    <numFmt numFmtId="173" formatCode="_(&quot;$&quot;* #,##0.0_);_(&quot;$&quot;* \(#,##0.0\);_(&quot;$&quot;* &quot;-&quot;??_);_(@_)"/>
    <numFmt numFmtId="174" formatCode="&quot;$&quot;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 wrapText="1"/>
    </xf>
    <xf numFmtId="44" fontId="3" fillId="0" borderId="0" xfId="0" applyNumberFormat="1" applyFont="1"/>
    <xf numFmtId="43" fontId="3" fillId="0" borderId="0" xfId="1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165" fontId="4" fillId="0" borderId="4" xfId="2" applyNumberFormat="1" applyFont="1" applyFill="1" applyBorder="1" applyAlignment="1">
      <alignment vertical="center"/>
    </xf>
    <xf numFmtId="167" fontId="3" fillId="0" borderId="0" xfId="1" applyNumberFormat="1" applyFont="1"/>
    <xf numFmtId="10" fontId="3" fillId="0" borderId="0" xfId="3" applyNumberFormat="1" applyFont="1" applyAlignment="1"/>
    <xf numFmtId="165" fontId="3" fillId="0" borderId="0" xfId="2" applyNumberFormat="1" applyFont="1" applyAlignment="1"/>
    <xf numFmtId="0" fontId="3" fillId="0" borderId="1" xfId="0" applyFont="1" applyBorder="1"/>
    <xf numFmtId="165" fontId="3" fillId="0" borderId="1" xfId="2" applyNumberFormat="1" applyFont="1" applyBorder="1" applyAlignment="1"/>
    <xf numFmtId="165" fontId="3" fillId="0" borderId="4" xfId="2" applyNumberFormat="1" applyFont="1" applyBorder="1" applyAlignment="1"/>
    <xf numFmtId="0" fontId="3" fillId="2" borderId="0" xfId="0" applyFont="1" applyFill="1"/>
    <xf numFmtId="43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4" fontId="3" fillId="0" borderId="0" xfId="2" applyFont="1"/>
    <xf numFmtId="170" fontId="3" fillId="0" borderId="0" xfId="2" applyNumberFormat="1" applyFont="1"/>
    <xf numFmtId="0" fontId="2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1" fontId="3" fillId="0" borderId="0" xfId="2" applyNumberFormat="1" applyFont="1"/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169" fontId="4" fillId="0" borderId="0" xfId="1" applyNumberFormat="1" applyFont="1" applyAlignment="1">
      <alignment vertical="center"/>
    </xf>
    <xf numFmtId="0" fontId="2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10" fontId="4" fillId="0" borderId="0" xfId="3" applyNumberFormat="1" applyFont="1" applyFill="1" applyAlignment="1"/>
    <xf numFmtId="165" fontId="4" fillId="0" borderId="0" xfId="2" applyNumberFormat="1" applyFont="1" applyFill="1" applyAlignment="1"/>
    <xf numFmtId="165" fontId="4" fillId="0" borderId="0" xfId="2" applyNumberFormat="1" applyFont="1" applyFill="1"/>
    <xf numFmtId="43" fontId="4" fillId="0" borderId="0" xfId="1" applyFont="1" applyFill="1"/>
    <xf numFmtId="10" fontId="4" fillId="0" borderId="0" xfId="3" applyNumberFormat="1" applyFont="1" applyFill="1"/>
    <xf numFmtId="168" fontId="4" fillId="0" borderId="0" xfId="1" applyNumberFormat="1" applyFont="1" applyFill="1"/>
    <xf numFmtId="10" fontId="4" fillId="0" borderId="4" xfId="3" applyNumberFormat="1" applyFont="1" applyFill="1" applyBorder="1" applyAlignment="1">
      <alignment vertical="center"/>
    </xf>
    <xf numFmtId="165" fontId="4" fillId="0" borderId="4" xfId="2" applyNumberFormat="1" applyFont="1" applyFill="1" applyBorder="1"/>
    <xf numFmtId="43" fontId="4" fillId="0" borderId="4" xfId="1" applyFont="1" applyFill="1" applyBorder="1"/>
    <xf numFmtId="165" fontId="4" fillId="0" borderId="2" xfId="2" applyNumberFormat="1" applyFont="1" applyFill="1" applyBorder="1" applyAlignment="1">
      <alignment vertical="center"/>
    </xf>
    <xf numFmtId="10" fontId="4" fillId="0" borderId="2" xfId="3" applyNumberFormat="1" applyFont="1" applyFill="1" applyBorder="1" applyAlignment="1">
      <alignment vertical="center"/>
    </xf>
    <xf numFmtId="164" fontId="4" fillId="0" borderId="0" xfId="1" applyNumberFormat="1" applyFont="1" applyFill="1"/>
    <xf numFmtId="43" fontId="4" fillId="0" borderId="0" xfId="1" applyFont="1" applyFill="1" applyAlignment="1">
      <alignment horizontal="center"/>
    </xf>
    <xf numFmtId="172" fontId="3" fillId="0" borderId="0" xfId="0" applyNumberFormat="1" applyFont="1"/>
    <xf numFmtId="166" fontId="3" fillId="0" borderId="0" xfId="0" applyNumberFormat="1" applyFont="1"/>
    <xf numFmtId="43" fontId="3" fillId="0" borderId="0" xfId="1" applyFont="1" applyAlignment="1">
      <alignment vertical="center"/>
    </xf>
    <xf numFmtId="10" fontId="4" fillId="0" borderId="4" xfId="3" applyNumberFormat="1" applyFont="1" applyFill="1" applyBorder="1" applyAlignment="1"/>
    <xf numFmtId="165" fontId="3" fillId="0" borderId="0" xfId="2" applyNumberFormat="1" applyFont="1" applyFill="1" applyAlignment="1"/>
    <xf numFmtId="0" fontId="3" fillId="3" borderId="3" xfId="0" applyFont="1" applyFill="1" applyBorder="1"/>
    <xf numFmtId="0" fontId="3" fillId="3" borderId="0" xfId="0" applyFont="1" applyFill="1"/>
    <xf numFmtId="43" fontId="3" fillId="3" borderId="0" xfId="1" applyFont="1" applyFill="1"/>
    <xf numFmtId="9" fontId="3" fillId="3" borderId="0" xfId="0" applyNumberFormat="1" applyFont="1" applyFill="1" applyAlignment="1">
      <alignment vertical="center"/>
    </xf>
    <xf numFmtId="43" fontId="3" fillId="3" borderId="0" xfId="1" applyFont="1" applyFill="1" applyAlignment="1">
      <alignment vertical="center"/>
    </xf>
    <xf numFmtId="9" fontId="3" fillId="3" borderId="0" xfId="0" applyNumberFormat="1" applyFont="1" applyFill="1"/>
    <xf numFmtId="9" fontId="3" fillId="3" borderId="0" xfId="3" applyFont="1" applyFill="1"/>
    <xf numFmtId="9" fontId="3" fillId="3" borderId="0" xfId="3" applyFont="1" applyFill="1" applyAlignment="1">
      <alignment vertical="center"/>
    </xf>
    <xf numFmtId="9" fontId="3" fillId="4" borderId="0" xfId="3" applyFont="1" applyFill="1" applyAlignment="1">
      <alignment vertical="center"/>
    </xf>
    <xf numFmtId="43" fontId="3" fillId="4" borderId="0" xfId="0" applyNumberFormat="1" applyFont="1" applyFill="1" applyAlignment="1">
      <alignment vertical="center"/>
    </xf>
    <xf numFmtId="167" fontId="3" fillId="5" borderId="0" xfId="1" applyNumberFormat="1" applyFont="1" applyFill="1" applyAlignment="1">
      <alignment vertical="center"/>
    </xf>
    <xf numFmtId="43" fontId="3" fillId="5" borderId="0" xfId="1" applyFont="1" applyFill="1"/>
    <xf numFmtId="0" fontId="4" fillId="0" borderId="0" xfId="0" applyFont="1"/>
    <xf numFmtId="0" fontId="6" fillId="0" borderId="3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5" xfId="0" applyFont="1" applyBorder="1"/>
    <xf numFmtId="0" fontId="4" fillId="0" borderId="4" xfId="0" applyFont="1" applyBorder="1" applyAlignment="1">
      <alignment vertical="center"/>
    </xf>
    <xf numFmtId="165" fontId="4" fillId="0" borderId="0" xfId="0" applyNumberFormat="1" applyFont="1"/>
    <xf numFmtId="0" fontId="4" fillId="0" borderId="4" xfId="0" applyFont="1" applyBorder="1"/>
    <xf numFmtId="0" fontId="4" fillId="0" borderId="2" xfId="0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44" fontId="4" fillId="0" borderId="0" xfId="0" applyNumberFormat="1" applyFont="1"/>
    <xf numFmtId="166" fontId="4" fillId="0" borderId="0" xfId="0" applyNumberFormat="1" applyFont="1"/>
    <xf numFmtId="165" fontId="4" fillId="0" borderId="0" xfId="0" applyNumberFormat="1" applyFont="1" applyAlignment="1">
      <alignment horizontal="right"/>
    </xf>
    <xf numFmtId="165" fontId="4" fillId="0" borderId="4" xfId="0" applyNumberFormat="1" applyFont="1" applyBorder="1" applyAlignment="1">
      <alignment vertical="center"/>
    </xf>
    <xf numFmtId="165" fontId="4" fillId="0" borderId="4" xfId="0" applyNumberFormat="1" applyFont="1" applyBorder="1"/>
    <xf numFmtId="0" fontId="8" fillId="0" borderId="0" xfId="0" applyFont="1" applyAlignment="1">
      <alignment horizontal="right"/>
    </xf>
    <xf numFmtId="164" fontId="4" fillId="0" borderId="0" xfId="0" applyNumberFormat="1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/>
    <xf numFmtId="0" fontId="6" fillId="0" borderId="0" xfId="0" applyFont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4" xfId="1" applyNumberFormat="1" applyFont="1" applyFill="1" applyBorder="1" applyAlignment="1">
      <alignment vertical="center"/>
    </xf>
    <xf numFmtId="173" fontId="4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/>
    </xf>
    <xf numFmtId="174" fontId="3" fillId="0" borderId="1" xfId="0" applyNumberFormat="1" applyFont="1" applyBorder="1"/>
    <xf numFmtId="10" fontId="3" fillId="0" borderId="1" xfId="3" applyNumberFormat="1" applyFont="1" applyBorder="1"/>
    <xf numFmtId="0" fontId="4" fillId="0" borderId="1" xfId="0" applyFont="1" applyBorder="1" applyAlignment="1">
      <alignment horizontal="center"/>
    </xf>
    <xf numFmtId="173" fontId="3" fillId="0" borderId="4" xfId="2" applyNumberFormat="1" applyFont="1" applyBorder="1" applyAlignment="1"/>
    <xf numFmtId="173" fontId="3" fillId="0" borderId="0" xfId="2" applyNumberFormat="1" applyFont="1" applyBorder="1" applyAlignment="1"/>
    <xf numFmtId="173" fontId="4" fillId="0" borderId="4" xfId="0" applyNumberFormat="1" applyFont="1" applyBorder="1" applyAlignment="1">
      <alignment vertical="center"/>
    </xf>
    <xf numFmtId="173" fontId="4" fillId="0" borderId="0" xfId="0" applyNumberFormat="1" applyFont="1"/>
    <xf numFmtId="0" fontId="6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FF6699"/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O26"/>
  <sheetViews>
    <sheetView tabSelected="1" view="pageBreakPreview" zoomScale="60" zoomScaleNormal="120" workbookViewId="0">
      <selection activeCell="G198" sqref="G198"/>
    </sheetView>
  </sheetViews>
  <sheetFormatPr defaultColWidth="8.88671875" defaultRowHeight="13.2" x14ac:dyDescent="0.25"/>
  <cols>
    <col min="1" max="1" width="5.6640625" style="2" customWidth="1"/>
    <col min="2" max="2" width="38.77734375" style="2" customWidth="1"/>
    <col min="3" max="3" width="7.5546875" style="13" customWidth="1"/>
    <col min="4" max="5" width="13.44140625" style="2" bestFit="1" customWidth="1"/>
    <col min="6" max="6" width="14.21875" style="2" customWidth="1"/>
    <col min="7" max="7" width="11.21875" style="2" customWidth="1"/>
    <col min="8" max="8" width="11.44140625" style="2" bestFit="1" customWidth="1"/>
    <col min="9" max="9" width="36.77734375" style="2" customWidth="1"/>
    <col min="10" max="10" width="16.5546875" style="2" bestFit="1" customWidth="1"/>
    <col min="11" max="11" width="14.5546875" style="2" customWidth="1"/>
    <col min="12" max="12" width="9" style="2" customWidth="1"/>
    <col min="13" max="13" width="14.6640625" style="2" customWidth="1"/>
    <col min="14" max="14" width="10" style="2" customWidth="1"/>
    <col min="15" max="16384" width="8.88671875" style="2"/>
  </cols>
  <sheetData>
    <row r="1" spans="1:15" x14ac:dyDescent="0.25">
      <c r="A1" s="1" t="s">
        <v>37</v>
      </c>
    </row>
    <row r="2" spans="1:15" x14ac:dyDescent="0.25">
      <c r="A2" s="1" t="s">
        <v>101</v>
      </c>
    </row>
    <row r="3" spans="1:15" x14ac:dyDescent="0.25">
      <c r="A3" s="1"/>
    </row>
    <row r="4" spans="1:15" x14ac:dyDescent="0.25">
      <c r="A4" s="1"/>
    </row>
    <row r="5" spans="1:15" s="8" customFormat="1" ht="54.6" customHeight="1" x14ac:dyDescent="0.25">
      <c r="A5" s="6" t="s">
        <v>0</v>
      </c>
      <c r="B5" s="6" t="s">
        <v>1</v>
      </c>
      <c r="C5" s="7" t="s">
        <v>7</v>
      </c>
      <c r="D5" s="9" t="s">
        <v>2</v>
      </c>
      <c r="E5" s="9" t="s">
        <v>3</v>
      </c>
      <c r="F5" s="9" t="s">
        <v>114</v>
      </c>
      <c r="G5" s="7" t="s">
        <v>115</v>
      </c>
      <c r="H5" s="7" t="s">
        <v>113</v>
      </c>
      <c r="I5" s="2"/>
      <c r="J5" s="2"/>
      <c r="K5" s="2"/>
      <c r="L5" s="2"/>
      <c r="M5" s="2"/>
      <c r="N5" s="2"/>
      <c r="O5" s="2"/>
    </row>
    <row r="6" spans="1:15" x14ac:dyDescent="0.25">
      <c r="A6" s="3">
        <v>1</v>
      </c>
      <c r="B6" s="2" t="str">
        <f>'Billing Detail'!B7</f>
        <v>Residential - Schedule R</v>
      </c>
      <c r="C6" s="13">
        <f>'Billing Detail'!C7</f>
        <v>1</v>
      </c>
      <c r="D6" s="17">
        <f>'Billing Detail'!G16</f>
        <v>40618277.881456003</v>
      </c>
      <c r="E6" s="49">
        <f>'Billing Detail'!I16</f>
        <v>43026435.104223996</v>
      </c>
      <c r="F6" s="49">
        <f>'Billing Detail'!J16</f>
        <v>2408157.2227679938</v>
      </c>
      <c r="G6" s="48">
        <f t="shared" ref="G6:G17" si="0">IF(D6=0,0,F6/D6)</f>
        <v>5.9287526413507097E-2</v>
      </c>
      <c r="H6" s="10">
        <f>'Billing Detail'!J17</f>
        <v>8.2990968179728384</v>
      </c>
    </row>
    <row r="7" spans="1:15" x14ac:dyDescent="0.25">
      <c r="A7" s="3">
        <f t="shared" ref="A7:A25" si="1">A6+1</f>
        <v>2</v>
      </c>
      <c r="B7" s="2" t="str">
        <f>'Billing Detail'!B19</f>
        <v>TOD Residential - Schedule R</v>
      </c>
      <c r="C7" s="13">
        <f>'Billing Detail'!C19</f>
        <v>3</v>
      </c>
      <c r="D7" s="17">
        <f>'Billing Detail'!G29</f>
        <v>2301.0799320000001</v>
      </c>
      <c r="E7" s="49">
        <f>'Billing Detail'!I29</f>
        <v>2391.2599319999999</v>
      </c>
      <c r="F7" s="49">
        <f>'Billing Detail'!J29</f>
        <v>90.179999999999836</v>
      </c>
      <c r="G7" s="48">
        <f t="shared" si="0"/>
        <v>3.9190294411728339E-2</v>
      </c>
      <c r="H7" s="10">
        <f>'Billing Detail'!J30</f>
        <v>5.0099999999999767</v>
      </c>
    </row>
    <row r="8" spans="1:15" x14ac:dyDescent="0.25">
      <c r="A8" s="3">
        <f t="shared" si="1"/>
        <v>3</v>
      </c>
      <c r="B8" s="2" t="str">
        <f>'Billing Detail'!B32</f>
        <v>Net Metering</v>
      </c>
      <c r="C8" s="13">
        <f>'Billing Detail'!C32</f>
        <v>20</v>
      </c>
      <c r="D8" s="17">
        <f>'Billing Detail'!G41</f>
        <v>132391.660259</v>
      </c>
      <c r="E8" s="49">
        <f>'Billing Detail'!I41</f>
        <v>139847.89426100001</v>
      </c>
      <c r="F8" s="49">
        <f>'Billing Detail'!J41</f>
        <v>7456.234002000012</v>
      </c>
      <c r="G8" s="48">
        <f t="shared" si="0"/>
        <v>5.6319514291257151E-2</v>
      </c>
      <c r="H8" s="10">
        <f>'Billing Detail'!J42</f>
        <v>9.5592743615384848</v>
      </c>
    </row>
    <row r="9" spans="1:15" x14ac:dyDescent="0.25">
      <c r="A9" s="3">
        <f t="shared" si="1"/>
        <v>4</v>
      </c>
      <c r="B9" s="2" t="str">
        <f>'Billing Detail'!B44</f>
        <v>ETS Residential - Schedule RM</v>
      </c>
      <c r="C9" s="13">
        <f>'Billing Detail'!C44</f>
        <v>7</v>
      </c>
      <c r="D9" s="17">
        <f>'Billing Detail'!G53</f>
        <v>29328.034948</v>
      </c>
      <c r="E9" s="49">
        <f>'Billing Detail'!I53</f>
        <v>29328.034948</v>
      </c>
      <c r="F9" s="49">
        <f>'Billing Detail'!J53</f>
        <v>0</v>
      </c>
      <c r="G9" s="48">
        <f t="shared" si="0"/>
        <v>0</v>
      </c>
      <c r="H9" s="10">
        <v>0</v>
      </c>
    </row>
    <row r="10" spans="1:15" x14ac:dyDescent="0.25">
      <c r="A10" s="3">
        <f t="shared" si="1"/>
        <v>5</v>
      </c>
      <c r="B10" s="2" t="str">
        <f>'Billing Detail'!B56</f>
        <v>Small Commercial - Schedule C</v>
      </c>
      <c r="C10" s="13">
        <f>'Billing Detail'!C56</f>
        <v>4</v>
      </c>
      <c r="D10" s="17">
        <f>'Billing Detail'!G65</f>
        <v>3927300.8218919998</v>
      </c>
      <c r="E10" s="49">
        <f>'Billing Detail'!I65</f>
        <v>3927300.8218919998</v>
      </c>
      <c r="F10" s="49">
        <f>'Billing Detail'!J65</f>
        <v>0</v>
      </c>
      <c r="G10" s="48">
        <f t="shared" si="0"/>
        <v>0</v>
      </c>
      <c r="H10" s="10">
        <v>0</v>
      </c>
    </row>
    <row r="11" spans="1:15" hidden="1" x14ac:dyDescent="0.25">
      <c r="A11" s="3">
        <f t="shared" si="1"/>
        <v>6</v>
      </c>
      <c r="B11" s="2" t="str">
        <f>'Billing Detail'!B68</f>
        <v>EST Small Commercial - Schedule CM</v>
      </c>
      <c r="C11" s="13">
        <f>'Billing Detail'!C68</f>
        <v>8</v>
      </c>
      <c r="D11" s="17">
        <f>'Billing Detail'!G77</f>
        <v>0</v>
      </c>
      <c r="E11" s="17">
        <f>'Billing Detail'!I77</f>
        <v>0</v>
      </c>
      <c r="F11" s="65">
        <f>'Billing Detail'!J77</f>
        <v>0</v>
      </c>
      <c r="G11" s="48">
        <f t="shared" si="0"/>
        <v>0</v>
      </c>
      <c r="H11" s="10">
        <v>0</v>
      </c>
    </row>
    <row r="12" spans="1:15" x14ac:dyDescent="0.25">
      <c r="A12" s="3">
        <f t="shared" si="1"/>
        <v>7</v>
      </c>
      <c r="B12" s="2" t="str">
        <f>'Billing Detail'!B80</f>
        <v>Large Commercial - Schedule C</v>
      </c>
      <c r="C12" s="13">
        <f>'Billing Detail'!C80</f>
        <v>5</v>
      </c>
      <c r="D12" s="17">
        <f>'Billing Detail'!G90</f>
        <v>6223070.6880160002</v>
      </c>
      <c r="E12" s="49">
        <f>'Billing Detail'!I90</f>
        <v>6223070.6880160002</v>
      </c>
      <c r="F12" s="49">
        <f>'Billing Detail'!J90</f>
        <v>0</v>
      </c>
      <c r="G12" s="48">
        <f t="shared" si="0"/>
        <v>0</v>
      </c>
      <c r="H12" s="10">
        <v>0</v>
      </c>
    </row>
    <row r="13" spans="1:15" x14ac:dyDescent="0.25">
      <c r="A13" s="3">
        <f t="shared" si="1"/>
        <v>8</v>
      </c>
      <c r="B13" s="2" t="str">
        <f>'Billing Detail'!B93</f>
        <v>Large Commercial 10% Disc- Schedule C</v>
      </c>
      <c r="C13" s="13">
        <f>'Billing Detail'!C93</f>
        <v>9</v>
      </c>
      <c r="D13" s="17">
        <f>'Billing Detail'!G103</f>
        <v>2539006.78413</v>
      </c>
      <c r="E13" s="49">
        <f>'Billing Detail'!I103</f>
        <v>2539006.78413</v>
      </c>
      <c r="F13" s="49">
        <f>'Billing Detail'!J103</f>
        <v>0</v>
      </c>
      <c r="G13" s="48">
        <f t="shared" si="0"/>
        <v>0</v>
      </c>
      <c r="H13" s="10">
        <v>0</v>
      </c>
    </row>
    <row r="14" spans="1:15" x14ac:dyDescent="0.25">
      <c r="A14" s="3">
        <f t="shared" si="1"/>
        <v>9</v>
      </c>
      <c r="B14" s="2" t="str">
        <f>'Billing Detail'!B106</f>
        <v>Large Commercial - Schedule E</v>
      </c>
      <c r="C14" s="13">
        <f>'Billing Detail'!C106</f>
        <v>10</v>
      </c>
      <c r="D14" s="17">
        <f>'Billing Detail'!G116</f>
        <v>3141330.1625600001</v>
      </c>
      <c r="E14" s="49">
        <f>'Billing Detail'!I116</f>
        <v>3141330.1625600001</v>
      </c>
      <c r="F14" s="49">
        <f>'Billing Detail'!J116</f>
        <v>0</v>
      </c>
      <c r="G14" s="48">
        <f t="shared" si="0"/>
        <v>0</v>
      </c>
      <c r="H14" s="10">
        <v>0</v>
      </c>
    </row>
    <row r="15" spans="1:15" x14ac:dyDescent="0.25">
      <c r="A15" s="3">
        <f t="shared" si="1"/>
        <v>10</v>
      </c>
      <c r="B15" s="2" t="str">
        <f>'Billing Detail'!B119</f>
        <v>Large Power - Schedule LPC2</v>
      </c>
      <c r="C15" s="13">
        <f>'Billing Detail'!C119</f>
        <v>14</v>
      </c>
      <c r="D15" s="17">
        <f>'Billing Detail'!G129</f>
        <v>742949.37119999994</v>
      </c>
      <c r="E15" s="49">
        <f>'Billing Detail'!I129</f>
        <v>742949.37119999994</v>
      </c>
      <c r="F15" s="49">
        <f>'Billing Detail'!J129</f>
        <v>0</v>
      </c>
      <c r="G15" s="48">
        <f t="shared" si="0"/>
        <v>0</v>
      </c>
      <c r="H15" s="10">
        <v>0</v>
      </c>
    </row>
    <row r="16" spans="1:15" x14ac:dyDescent="0.25">
      <c r="A16" s="3">
        <f t="shared" si="1"/>
        <v>11</v>
      </c>
      <c r="B16" s="2" t="str">
        <f>'Billing Detail'!B132</f>
        <v>Large Commercial Optional TOD - Schedule D</v>
      </c>
      <c r="C16" s="13">
        <f>'Billing Detail'!C132</f>
        <v>15</v>
      </c>
      <c r="D16" s="17">
        <f>'Billing Detail'!G142</f>
        <v>124550.75278000001</v>
      </c>
      <c r="E16" s="49">
        <f>'Billing Detail'!I142</f>
        <v>124550.75278000001</v>
      </c>
      <c r="F16" s="49">
        <f>'Billing Detail'!J142</f>
        <v>0</v>
      </c>
      <c r="G16" s="48">
        <f t="shared" si="0"/>
        <v>0</v>
      </c>
      <c r="H16" s="10">
        <v>0</v>
      </c>
    </row>
    <row r="17" spans="1:12" hidden="1" x14ac:dyDescent="0.25">
      <c r="A17" s="3">
        <f t="shared" si="1"/>
        <v>12</v>
      </c>
      <c r="B17" s="2" t="str">
        <f>'Billing Detail'!B145</f>
        <v>Large Power - Schedule LPE4 Interruptible 1500 Firm 200</v>
      </c>
      <c r="C17" s="13">
        <f>'Billing Detail'!C145</f>
        <v>24</v>
      </c>
      <c r="D17" s="17">
        <f>'Billing Detail'!G156</f>
        <v>0</v>
      </c>
      <c r="E17" s="17">
        <f>'Billing Detail'!I156</f>
        <v>0</v>
      </c>
      <c r="F17" s="49">
        <f>'Billing Detail'!J156</f>
        <v>0</v>
      </c>
      <c r="G17" s="48">
        <f t="shared" si="0"/>
        <v>0</v>
      </c>
      <c r="H17" s="10">
        <v>0</v>
      </c>
    </row>
    <row r="18" spans="1:12" x14ac:dyDescent="0.25">
      <c r="A18" s="3">
        <f t="shared" si="1"/>
        <v>13</v>
      </c>
      <c r="B18" s="2" t="str">
        <f>'Billing Detail'!B159</f>
        <v>Large Power - Schedule LPE4</v>
      </c>
      <c r="C18" s="13">
        <f>'Billing Detail'!C159</f>
        <v>36</v>
      </c>
      <c r="D18" s="17">
        <f>'Billing Detail'!G170</f>
        <v>1964275.4967980001</v>
      </c>
      <c r="E18" s="49">
        <f>'Billing Detail'!I170</f>
        <v>1964275.4967980001</v>
      </c>
      <c r="F18" s="49">
        <f>'Billing Detail'!J170</f>
        <v>0</v>
      </c>
      <c r="G18" s="48">
        <f>IF(D18=0,0,F18/D18)</f>
        <v>0</v>
      </c>
      <c r="H18" s="10">
        <v>0</v>
      </c>
    </row>
    <row r="19" spans="1:12" x14ac:dyDescent="0.25">
      <c r="A19" s="3">
        <f t="shared" si="1"/>
        <v>14</v>
      </c>
      <c r="B19" s="2" t="str">
        <f>'Billing Detail'!B173</f>
        <v>TOD Three Phase - Schedule C</v>
      </c>
      <c r="C19" s="13">
        <f>'Billing Detail'!C173</f>
        <v>50</v>
      </c>
      <c r="D19" s="17">
        <f>'Billing Detail'!G184</f>
        <v>35298.917415999997</v>
      </c>
      <c r="E19" s="49">
        <f>'Billing Detail'!I184</f>
        <v>35298.917415999997</v>
      </c>
      <c r="F19" s="49">
        <f>'Billing Detail'!J184</f>
        <v>0</v>
      </c>
      <c r="G19" s="48">
        <f>IF(D19=0,0,F19/D19)</f>
        <v>0</v>
      </c>
      <c r="H19" s="10">
        <v>0</v>
      </c>
    </row>
    <row r="20" spans="1:12" x14ac:dyDescent="0.25">
      <c r="A20" s="3">
        <f t="shared" si="1"/>
        <v>15</v>
      </c>
      <c r="B20" s="2" t="str">
        <f>'Billing Detail'!B187</f>
        <v>Lighting</v>
      </c>
      <c r="D20" s="17">
        <f>'Billing Detail'!G208</f>
        <v>1004392.47</v>
      </c>
      <c r="E20" s="49">
        <f>'Billing Detail'!I208</f>
        <v>1004392.47</v>
      </c>
      <c r="F20" s="49">
        <f>'Billing Detail'!J208</f>
        <v>0</v>
      </c>
      <c r="G20" s="48">
        <f>IF(D20=0,0,F20/D20)</f>
        <v>0</v>
      </c>
      <c r="H20" s="10">
        <v>0</v>
      </c>
    </row>
    <row r="21" spans="1:12" ht="16.2" customHeight="1" x14ac:dyDescent="0.25">
      <c r="A21" s="3">
        <f t="shared" si="1"/>
        <v>16</v>
      </c>
      <c r="B21" s="12" t="s">
        <v>27</v>
      </c>
      <c r="C21" s="29"/>
      <c r="D21" s="20">
        <f>SUM(D6:D20)</f>
        <v>60484474.121386997</v>
      </c>
      <c r="E21" s="20">
        <f>SUM(E6:E20)</f>
        <v>62900177.758156992</v>
      </c>
      <c r="F21" s="115">
        <f>SUM(F6:F20)</f>
        <v>2415703.6367699942</v>
      </c>
      <c r="G21" s="64">
        <f>IF(D21=0,0,F21/D21)</f>
        <v>3.9939235181608593E-2</v>
      </c>
      <c r="H21" s="12"/>
    </row>
    <row r="22" spans="1:12" ht="12.6" customHeight="1" x14ac:dyDescent="0.25">
      <c r="A22" s="3">
        <f t="shared" si="1"/>
        <v>17</v>
      </c>
      <c r="L22" s="17"/>
    </row>
    <row r="23" spans="1:12" x14ac:dyDescent="0.25">
      <c r="A23" s="3">
        <f t="shared" si="1"/>
        <v>18</v>
      </c>
      <c r="B23" s="2" t="s">
        <v>6</v>
      </c>
      <c r="F23" s="116">
        <f>'Billing Detail'!J220</f>
        <v>2415452.9191999999</v>
      </c>
    </row>
    <row r="24" spans="1:12" ht="15" customHeight="1" x14ac:dyDescent="0.25">
      <c r="A24" s="3">
        <f t="shared" si="1"/>
        <v>19</v>
      </c>
      <c r="B24" s="18" t="s">
        <v>24</v>
      </c>
      <c r="C24" s="28"/>
      <c r="D24" s="18"/>
      <c r="E24" s="18"/>
      <c r="F24" s="19">
        <f>F21-F23</f>
        <v>250.71756999427453</v>
      </c>
    </row>
    <row r="25" spans="1:12" ht="15" customHeight="1" x14ac:dyDescent="0.25">
      <c r="A25" s="3">
        <f t="shared" si="1"/>
        <v>20</v>
      </c>
      <c r="B25" s="2" t="s">
        <v>24</v>
      </c>
      <c r="F25" s="16">
        <f>F24/F23</f>
        <v>1.0379733258361848E-4</v>
      </c>
    </row>
    <row r="26" spans="1:12" x14ac:dyDescent="0.25">
      <c r="A26" s="3"/>
    </row>
  </sheetData>
  <printOptions horizontalCentered="1"/>
  <pageMargins left="0.7" right="0.7" top="0.75" bottom="0.75" header="0.3" footer="0.3"/>
  <pageSetup orientation="landscape" r:id="rId1"/>
  <headerFooter>
    <oddFooter>&amp;R&amp;"Arial,Bold"&amp;10Exhibit JW-9
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R293"/>
  <sheetViews>
    <sheetView tabSelected="1" view="pageBreakPreview" zoomScale="75" zoomScaleNormal="75" zoomScaleSheetLayoutView="75" workbookViewId="0">
      <pane xSplit="4" ySplit="5" topLeftCell="E190" activePane="bottomRight" state="frozen"/>
      <selection activeCell="G198" sqref="G198"/>
      <selection pane="topRight" activeCell="G198" sqref="G198"/>
      <selection pane="bottomLeft" activeCell="G198" sqref="G198"/>
      <selection pane="bottomRight" activeCell="G198" sqref="G198"/>
    </sheetView>
  </sheetViews>
  <sheetFormatPr defaultColWidth="8.88671875" defaultRowHeight="13.2" x14ac:dyDescent="0.25"/>
  <cols>
    <col min="1" max="1" width="7.44140625" style="95" customWidth="1"/>
    <col min="2" max="2" width="41.77734375" style="78" customWidth="1"/>
    <col min="3" max="3" width="6.33203125" style="37" bestFit="1" customWidth="1"/>
    <col min="4" max="4" width="31.6640625" style="78" bestFit="1" customWidth="1"/>
    <col min="5" max="5" width="13.33203125" style="78" bestFit="1" customWidth="1"/>
    <col min="6" max="6" width="12.21875" style="78" customWidth="1"/>
    <col min="7" max="7" width="15.44140625" style="78" bestFit="1" customWidth="1"/>
    <col min="8" max="8" width="10" style="78" customWidth="1"/>
    <col min="9" max="9" width="12.6640625" style="78" bestFit="1" customWidth="1"/>
    <col min="10" max="10" width="14.44140625" style="78" bestFit="1" customWidth="1"/>
    <col min="11" max="11" width="12.88671875" style="78" customWidth="1"/>
    <col min="12" max="12" width="9" style="2" bestFit="1" customWidth="1"/>
    <col min="13" max="13" width="13.109375" style="2" bestFit="1" customWidth="1"/>
    <col min="14" max="14" width="5.6640625" style="2" customWidth="1"/>
    <col min="15" max="15" width="11.6640625" style="2" bestFit="1" customWidth="1"/>
    <col min="16" max="16" width="15.33203125" style="2" customWidth="1"/>
    <col min="17" max="17" width="11.6640625" style="2" customWidth="1"/>
    <col min="18" max="16384" width="8.88671875" style="2"/>
  </cols>
  <sheetData>
    <row r="1" spans="1:16" x14ac:dyDescent="0.25">
      <c r="A1" s="94" t="str">
        <f>Summary!A1</f>
        <v>FARMERS RECC</v>
      </c>
    </row>
    <row r="2" spans="1:16" ht="14.4" customHeight="1" x14ac:dyDescent="0.25">
      <c r="A2" s="94" t="s">
        <v>102</v>
      </c>
      <c r="F2" s="53"/>
      <c r="K2" s="51"/>
    </row>
    <row r="5" spans="1:16" ht="38.4" customHeight="1" x14ac:dyDescent="0.25">
      <c r="A5" s="96" t="s">
        <v>0</v>
      </c>
      <c r="B5" s="96" t="s">
        <v>8</v>
      </c>
      <c r="C5" s="97" t="s">
        <v>7</v>
      </c>
      <c r="D5" s="96" t="s">
        <v>9</v>
      </c>
      <c r="E5" s="79" t="s">
        <v>10</v>
      </c>
      <c r="F5" s="79" t="s">
        <v>17</v>
      </c>
      <c r="G5" s="79" t="s">
        <v>18</v>
      </c>
      <c r="H5" s="79" t="s">
        <v>16</v>
      </c>
      <c r="I5" s="79" t="s">
        <v>3</v>
      </c>
      <c r="J5" s="79" t="s">
        <v>11</v>
      </c>
      <c r="K5" s="97" t="s">
        <v>12</v>
      </c>
      <c r="L5" s="8" t="s">
        <v>108</v>
      </c>
      <c r="M5" s="9" t="s">
        <v>23</v>
      </c>
    </row>
    <row r="6" spans="1:16" ht="30.6" customHeight="1" thickBot="1" x14ac:dyDescent="0.3">
      <c r="A6" s="98"/>
      <c r="B6" s="99"/>
      <c r="C6" s="100"/>
      <c r="D6" s="99"/>
      <c r="E6" s="80"/>
      <c r="F6" s="80"/>
      <c r="G6" s="80"/>
      <c r="H6" s="80"/>
      <c r="I6" s="80"/>
      <c r="J6" s="80"/>
      <c r="K6" s="100"/>
      <c r="O6" s="66" t="s">
        <v>109</v>
      </c>
      <c r="P6" s="66"/>
    </row>
    <row r="7" spans="1:16" x14ac:dyDescent="0.25">
      <c r="A7" s="101">
        <v>1</v>
      </c>
      <c r="B7" s="81" t="s">
        <v>91</v>
      </c>
      <c r="C7" s="102">
        <v>1</v>
      </c>
      <c r="D7" s="81"/>
      <c r="E7" s="81"/>
      <c r="F7" s="81"/>
      <c r="G7" s="81"/>
      <c r="H7" s="81"/>
      <c r="I7" s="81"/>
      <c r="J7" s="81"/>
      <c r="K7" s="81"/>
      <c r="O7" s="67" t="s">
        <v>105</v>
      </c>
      <c r="P7" s="68">
        <f>F8</f>
        <v>14.49</v>
      </c>
    </row>
    <row r="8" spans="1:16" x14ac:dyDescent="0.25">
      <c r="A8" s="101">
        <f>A7+1</f>
        <v>2</v>
      </c>
      <c r="C8" s="78"/>
      <c r="D8" s="78" t="s">
        <v>13</v>
      </c>
      <c r="E8" s="59">
        <v>290171</v>
      </c>
      <c r="F8" s="51">
        <v>14.49</v>
      </c>
      <c r="G8" s="50">
        <f>F8*E8</f>
        <v>4204577.79</v>
      </c>
      <c r="H8" s="51">
        <v>19.5</v>
      </c>
      <c r="I8" s="50">
        <f>H8*E8</f>
        <v>5658334.5</v>
      </c>
      <c r="J8" s="50">
        <f>I8-G8</f>
        <v>1453756.71</v>
      </c>
      <c r="K8" s="52">
        <f>IF(G8=0,0,J8/G8)</f>
        <v>0.34575569358178054</v>
      </c>
      <c r="M8" s="4">
        <f>H8/F8-1</f>
        <v>0.34575569358178049</v>
      </c>
      <c r="O8" s="67" t="s">
        <v>106</v>
      </c>
      <c r="P8" s="77">
        <v>25.5</v>
      </c>
    </row>
    <row r="9" spans="1:16" x14ac:dyDescent="0.25">
      <c r="A9" s="101">
        <f t="shared" ref="A9:A72" si="0">A8+1</f>
        <v>3</v>
      </c>
      <c r="B9" s="51"/>
      <c r="D9" s="78" t="s">
        <v>30</v>
      </c>
      <c r="E9" s="59">
        <v>319625088</v>
      </c>
      <c r="F9" s="53">
        <v>8.7687000000000001E-2</v>
      </c>
      <c r="G9" s="50">
        <f>F9*E9</f>
        <v>28026965.091456</v>
      </c>
      <c r="H9" s="88">
        <f>ROUND(F9*L10,6)</f>
        <v>9.0673000000000004E-2</v>
      </c>
      <c r="I9" s="50">
        <f>H9*E9</f>
        <v>28981365.604224</v>
      </c>
      <c r="J9" s="50">
        <f>I9-G9</f>
        <v>954400.51276800036</v>
      </c>
      <c r="K9" s="52">
        <f>IF(G9=0,0,J9/G9)</f>
        <v>3.4052938291879081E-2</v>
      </c>
      <c r="M9" s="4">
        <f>H9/F9-1</f>
        <v>3.4052938291879054E-2</v>
      </c>
      <c r="O9" s="67" t="s">
        <v>90</v>
      </c>
      <c r="P9" s="68">
        <f>P8-P7</f>
        <v>11.01</v>
      </c>
    </row>
    <row r="10" spans="1:16" s="5" customFormat="1" ht="20.399999999999999" customHeight="1" x14ac:dyDescent="0.3">
      <c r="A10" s="101">
        <f t="shared" si="0"/>
        <v>4</v>
      </c>
      <c r="B10" s="95"/>
      <c r="C10" s="103"/>
      <c r="D10" s="82" t="s">
        <v>4</v>
      </c>
      <c r="E10" s="82"/>
      <c r="F10" s="82"/>
      <c r="G10" s="14">
        <f>SUM(G8:G9)</f>
        <v>32231542.881455999</v>
      </c>
      <c r="H10" s="82"/>
      <c r="I10" s="14">
        <f>SUM(I8:I9)</f>
        <v>34639700.104223996</v>
      </c>
      <c r="J10" s="14">
        <f>SUM(J8:J9)</f>
        <v>2408157.2227680003</v>
      </c>
      <c r="K10" s="54">
        <f>J10/G10</f>
        <v>7.4714301813752215E-2</v>
      </c>
      <c r="L10" s="76">
        <v>1.0340493045881618</v>
      </c>
      <c r="O10" s="69">
        <v>0.25</v>
      </c>
      <c r="P10" s="70">
        <f>P7+O10*P9</f>
        <v>17.2425</v>
      </c>
    </row>
    <row r="11" spans="1:16" x14ac:dyDescent="0.25">
      <c r="A11" s="101">
        <f t="shared" si="0"/>
        <v>5</v>
      </c>
      <c r="D11" s="78" t="s">
        <v>19</v>
      </c>
      <c r="G11" s="83">
        <v>4382240</v>
      </c>
      <c r="I11" s="50">
        <f>G11</f>
        <v>4382240</v>
      </c>
      <c r="J11" s="50">
        <f>I11-G11</f>
        <v>0</v>
      </c>
      <c r="K11" s="51">
        <v>0</v>
      </c>
      <c r="O11" s="71">
        <v>0.33</v>
      </c>
      <c r="P11" s="68">
        <f>P7+O11*P9</f>
        <v>18.1233</v>
      </c>
    </row>
    <row r="12" spans="1:16" x14ac:dyDescent="0.25">
      <c r="A12" s="101">
        <f t="shared" si="0"/>
        <v>6</v>
      </c>
      <c r="D12" s="78" t="s">
        <v>20</v>
      </c>
      <c r="G12" s="83">
        <v>4004495</v>
      </c>
      <c r="I12" s="50">
        <f>G12</f>
        <v>4004495</v>
      </c>
      <c r="J12" s="50">
        <f>I12-G12</f>
        <v>0</v>
      </c>
      <c r="K12" s="51">
        <v>0</v>
      </c>
      <c r="O12" s="72">
        <f>(P12-P7)/P9</f>
        <v>0.31880108991825612</v>
      </c>
      <c r="P12" s="68">
        <v>18</v>
      </c>
    </row>
    <row r="13" spans="1:16" x14ac:dyDescent="0.25">
      <c r="A13" s="101">
        <f t="shared" si="0"/>
        <v>7</v>
      </c>
      <c r="D13" s="78" t="s">
        <v>22</v>
      </c>
      <c r="G13" s="83">
        <v>0</v>
      </c>
      <c r="I13" s="50">
        <f>G13</f>
        <v>0</v>
      </c>
      <c r="J13" s="50">
        <f>I13-G13</f>
        <v>0</v>
      </c>
      <c r="K13" s="51">
        <v>0</v>
      </c>
      <c r="O13" s="72">
        <f>(P13-P7)/P9</f>
        <v>0.36421435059037238</v>
      </c>
      <c r="P13" s="68">
        <v>18.5</v>
      </c>
    </row>
    <row r="14" spans="1:16" x14ac:dyDescent="0.25">
      <c r="A14" s="101">
        <f t="shared" si="0"/>
        <v>8</v>
      </c>
      <c r="D14" s="78" t="s">
        <v>25</v>
      </c>
      <c r="G14" s="83">
        <v>0</v>
      </c>
      <c r="I14" s="50">
        <f>G14</f>
        <v>0</v>
      </c>
      <c r="J14" s="50"/>
      <c r="K14" s="51">
        <v>0</v>
      </c>
      <c r="O14" s="73">
        <f>(P14-P7)/P9</f>
        <v>0.40962761126248864</v>
      </c>
      <c r="P14" s="70">
        <v>19</v>
      </c>
    </row>
    <row r="15" spans="1:16" x14ac:dyDescent="0.25">
      <c r="A15" s="101">
        <f>A14+1</f>
        <v>9</v>
      </c>
      <c r="D15" s="84" t="s">
        <v>5</v>
      </c>
      <c r="E15" s="84"/>
      <c r="F15" s="84"/>
      <c r="G15" s="55">
        <f>SUM(G11:G14)</f>
        <v>8386735</v>
      </c>
      <c r="H15" s="84"/>
      <c r="I15" s="55">
        <f>SUM(I11:I14)</f>
        <v>8386735</v>
      </c>
      <c r="J15" s="55">
        <f>I15-G15</f>
        <v>0</v>
      </c>
      <c r="K15" s="56">
        <f>J15/G15</f>
        <v>0</v>
      </c>
      <c r="O15" s="71">
        <v>0.5</v>
      </c>
      <c r="P15" s="68">
        <f>P7+O15*P9</f>
        <v>19.995000000000001</v>
      </c>
    </row>
    <row r="16" spans="1:16" s="5" customFormat="1" ht="26.4" customHeight="1" thickBot="1" x14ac:dyDescent="0.35">
      <c r="A16" s="101">
        <f t="shared" si="0"/>
        <v>10</v>
      </c>
      <c r="B16" s="95"/>
      <c r="C16" s="103"/>
      <c r="D16" s="85" t="s">
        <v>15</v>
      </c>
      <c r="E16" s="85"/>
      <c r="F16" s="85"/>
      <c r="G16" s="86">
        <f>G15+G10</f>
        <v>40618277.881456003</v>
      </c>
      <c r="H16" s="85"/>
      <c r="I16" s="57">
        <f>I15+I10</f>
        <v>43026435.104223996</v>
      </c>
      <c r="J16" s="57">
        <f>I16-G16</f>
        <v>2408157.2227679938</v>
      </c>
      <c r="K16" s="58">
        <f>J16/G16</f>
        <v>5.9287526413507097E-2</v>
      </c>
      <c r="O16" s="74">
        <f>(P16-P7)/P9</f>
        <v>0.45504087193460491</v>
      </c>
      <c r="P16" s="75">
        <f>H8</f>
        <v>19.5</v>
      </c>
    </row>
    <row r="17" spans="1:16" ht="13.8" thickTop="1" x14ac:dyDescent="0.25">
      <c r="A17" s="101">
        <f t="shared" si="0"/>
        <v>11</v>
      </c>
      <c r="D17" s="78" t="s">
        <v>14</v>
      </c>
      <c r="E17" s="59">
        <f>E9/E8</f>
        <v>1101.5059671710819</v>
      </c>
      <c r="G17" s="87">
        <f>G16/E8</f>
        <v>139.98048695926195</v>
      </c>
      <c r="I17" s="87">
        <f>I16/E8</f>
        <v>148.27958377723479</v>
      </c>
      <c r="J17" s="87">
        <f>I17-G17</f>
        <v>8.2990968179728384</v>
      </c>
      <c r="K17" s="52">
        <f>J17/G17</f>
        <v>5.9287526413507166E-2</v>
      </c>
    </row>
    <row r="18" spans="1:16" ht="13.8" thickBot="1" x14ac:dyDescent="0.3">
      <c r="A18" s="101">
        <f t="shared" si="0"/>
        <v>12</v>
      </c>
    </row>
    <row r="19" spans="1:16" x14ac:dyDescent="0.25">
      <c r="A19" s="101">
        <f t="shared" si="0"/>
        <v>13</v>
      </c>
      <c r="B19" s="81" t="s">
        <v>92</v>
      </c>
      <c r="C19" s="102">
        <v>3</v>
      </c>
      <c r="D19" s="81"/>
      <c r="E19" s="81"/>
      <c r="F19" s="81"/>
      <c r="G19" s="81"/>
      <c r="H19" s="81"/>
      <c r="I19" s="81"/>
      <c r="J19" s="81"/>
      <c r="K19" s="81"/>
    </row>
    <row r="20" spans="1:16" x14ac:dyDescent="0.25">
      <c r="A20" s="101">
        <f t="shared" si="0"/>
        <v>14</v>
      </c>
      <c r="C20" s="78"/>
      <c r="D20" s="78" t="s">
        <v>13</v>
      </c>
      <c r="E20" s="59">
        <v>18</v>
      </c>
      <c r="F20" s="51">
        <v>20.34</v>
      </c>
      <c r="G20" s="50">
        <f>F20*E20</f>
        <v>366.12</v>
      </c>
      <c r="H20" s="51">
        <f>H8+(F20-F8)</f>
        <v>25.35</v>
      </c>
      <c r="I20" s="50">
        <f>H20*E20</f>
        <v>456.3</v>
      </c>
      <c r="J20" s="50">
        <f>I20-G20</f>
        <v>90.18</v>
      </c>
      <c r="K20" s="52">
        <f>IF(G20=0,0,J20/G20)</f>
        <v>0.24631268436578171</v>
      </c>
      <c r="M20" s="4">
        <f>H20/F20-1</f>
        <v>0.24631268436578169</v>
      </c>
      <c r="P20" s="21" t="s">
        <v>111</v>
      </c>
    </row>
    <row r="21" spans="1:16" x14ac:dyDescent="0.25">
      <c r="A21" s="101">
        <f t="shared" si="0"/>
        <v>15</v>
      </c>
      <c r="D21" s="78" t="s">
        <v>31</v>
      </c>
      <c r="E21" s="59">
        <v>8037</v>
      </c>
      <c r="F21" s="53">
        <v>0.103992</v>
      </c>
      <c r="G21" s="50">
        <f>F21*E21</f>
        <v>835.78370400000006</v>
      </c>
      <c r="H21" s="88">
        <f>ROUND(F21*L23,6)</f>
        <v>0.103992</v>
      </c>
      <c r="I21" s="50">
        <f>H21*E21</f>
        <v>835.78370400000006</v>
      </c>
      <c r="J21" s="50">
        <f>I21-G21</f>
        <v>0</v>
      </c>
      <c r="K21" s="52">
        <f>IF(G21=0,0,J21/G21)</f>
        <v>0</v>
      </c>
      <c r="M21" s="4">
        <f>H21/F21-1</f>
        <v>0</v>
      </c>
    </row>
    <row r="22" spans="1:16" x14ac:dyDescent="0.25">
      <c r="A22" s="101">
        <f t="shared" si="0"/>
        <v>16</v>
      </c>
      <c r="D22" s="78" t="s">
        <v>32</v>
      </c>
      <c r="E22" s="59">
        <f>9769+840</f>
        <v>10609</v>
      </c>
      <c r="F22" s="53">
        <v>5.7891999999999999E-2</v>
      </c>
      <c r="G22" s="50">
        <f>F22*E22</f>
        <v>614.17622800000004</v>
      </c>
      <c r="H22" s="88">
        <f>ROUND(F22*L23,6)</f>
        <v>5.7891999999999999E-2</v>
      </c>
      <c r="I22" s="50">
        <f>H22*E22</f>
        <v>614.17622800000004</v>
      </c>
      <c r="J22" s="50">
        <f>I22-G22</f>
        <v>0</v>
      </c>
      <c r="K22" s="52">
        <f>IF(G22=0,0,J22/G22)</f>
        <v>0</v>
      </c>
      <c r="M22" s="4">
        <f>H22/F22-1</f>
        <v>0</v>
      </c>
    </row>
    <row r="23" spans="1:16" s="5" customFormat="1" ht="20.399999999999999" customHeight="1" x14ac:dyDescent="0.3">
      <c r="A23" s="101">
        <f t="shared" si="0"/>
        <v>17</v>
      </c>
      <c r="B23" s="95"/>
      <c r="C23" s="103"/>
      <c r="D23" s="82" t="s">
        <v>4</v>
      </c>
      <c r="E23" s="82"/>
      <c r="F23" s="82"/>
      <c r="G23" s="14">
        <f>SUM(G20:G22)</f>
        <v>1816.0799320000001</v>
      </c>
      <c r="H23" s="82"/>
      <c r="I23" s="14">
        <f>SUM(I20:I22)</f>
        <v>1906.2599320000002</v>
      </c>
      <c r="J23" s="14">
        <f>SUM(J20:J22)</f>
        <v>90.18</v>
      </c>
      <c r="K23" s="54">
        <f>J23/G23</f>
        <v>4.9656404660937577E-2</v>
      </c>
      <c r="L23" s="63">
        <v>1</v>
      </c>
    </row>
    <row r="24" spans="1:16" x14ac:dyDescent="0.25">
      <c r="A24" s="101">
        <f t="shared" si="0"/>
        <v>18</v>
      </c>
      <c r="D24" s="78" t="s">
        <v>19</v>
      </c>
      <c r="G24" s="83">
        <v>245</v>
      </c>
      <c r="I24" s="50">
        <f>G24</f>
        <v>245</v>
      </c>
      <c r="J24" s="50">
        <f>I24-G24</f>
        <v>0</v>
      </c>
      <c r="K24" s="51">
        <v>0</v>
      </c>
    </row>
    <row r="25" spans="1:16" x14ac:dyDescent="0.25">
      <c r="A25" s="101">
        <f t="shared" si="0"/>
        <v>19</v>
      </c>
      <c r="D25" s="78" t="s">
        <v>20</v>
      </c>
      <c r="G25" s="83">
        <v>240</v>
      </c>
      <c r="I25" s="50">
        <f>G25</f>
        <v>240</v>
      </c>
      <c r="J25" s="50">
        <f>I25-G25</f>
        <v>0</v>
      </c>
      <c r="K25" s="51">
        <v>0</v>
      </c>
    </row>
    <row r="26" spans="1:16" x14ac:dyDescent="0.25">
      <c r="A26" s="101">
        <f t="shared" si="0"/>
        <v>20</v>
      </c>
      <c r="D26" s="78" t="s">
        <v>22</v>
      </c>
      <c r="G26" s="83">
        <v>0</v>
      </c>
      <c r="I26" s="50">
        <f>G26</f>
        <v>0</v>
      </c>
      <c r="J26" s="50">
        <f>I26-G26</f>
        <v>0</v>
      </c>
      <c r="K26" s="51">
        <v>0</v>
      </c>
    </row>
    <row r="27" spans="1:16" x14ac:dyDescent="0.25">
      <c r="A27" s="101">
        <f t="shared" si="0"/>
        <v>21</v>
      </c>
      <c r="D27" s="78" t="s">
        <v>25</v>
      </c>
      <c r="G27" s="83">
        <v>0</v>
      </c>
      <c r="I27" s="50">
        <f>G27</f>
        <v>0</v>
      </c>
      <c r="J27" s="50"/>
      <c r="K27" s="51"/>
    </row>
    <row r="28" spans="1:16" x14ac:dyDescent="0.25">
      <c r="A28" s="101">
        <f t="shared" si="0"/>
        <v>22</v>
      </c>
      <c r="D28" s="84" t="s">
        <v>5</v>
      </c>
      <c r="E28" s="84"/>
      <c r="F28" s="84"/>
      <c r="G28" s="55">
        <f>SUM(G24:G27)</f>
        <v>485</v>
      </c>
      <c r="H28" s="84"/>
      <c r="I28" s="55">
        <f>SUM(I24:I27)</f>
        <v>485</v>
      </c>
      <c r="J28" s="55">
        <f>I28-G28</f>
        <v>0</v>
      </c>
      <c r="K28" s="56">
        <f>J28/G28</f>
        <v>0</v>
      </c>
    </row>
    <row r="29" spans="1:16" s="5" customFormat="1" ht="26.4" customHeight="1" thickBot="1" x14ac:dyDescent="0.35">
      <c r="A29" s="101">
        <f t="shared" si="0"/>
        <v>23</v>
      </c>
      <c r="B29" s="95"/>
      <c r="C29" s="103"/>
      <c r="D29" s="85" t="s">
        <v>15</v>
      </c>
      <c r="E29" s="85"/>
      <c r="F29" s="85"/>
      <c r="G29" s="86">
        <f>G28+G23</f>
        <v>2301.0799320000001</v>
      </c>
      <c r="H29" s="85"/>
      <c r="I29" s="57">
        <f>I28+I23</f>
        <v>2391.2599319999999</v>
      </c>
      <c r="J29" s="57">
        <f>I29-G29</f>
        <v>90.179999999999836</v>
      </c>
      <c r="K29" s="58">
        <f>J29/G29</f>
        <v>3.9190294411728339E-2</v>
      </c>
    </row>
    <row r="30" spans="1:16" ht="13.8" thickTop="1" x14ac:dyDescent="0.25">
      <c r="A30" s="101">
        <f t="shared" si="0"/>
        <v>24</v>
      </c>
      <c r="D30" s="78" t="s">
        <v>14</v>
      </c>
      <c r="E30" s="59">
        <f>(E21+E22)/E20</f>
        <v>1035.8888888888889</v>
      </c>
      <c r="G30" s="87">
        <f>G29/E20</f>
        <v>127.83777400000001</v>
      </c>
      <c r="I30" s="87">
        <f>I29/E20</f>
        <v>132.84777399999999</v>
      </c>
      <c r="J30" s="87">
        <f>I30-G30</f>
        <v>5.0099999999999767</v>
      </c>
      <c r="K30" s="52">
        <f>J30/G30</f>
        <v>3.9190294411728228E-2</v>
      </c>
    </row>
    <row r="31" spans="1:16" ht="13.8" thickBot="1" x14ac:dyDescent="0.3">
      <c r="A31" s="101">
        <f t="shared" si="0"/>
        <v>25</v>
      </c>
    </row>
    <row r="32" spans="1:16" x14ac:dyDescent="0.25">
      <c r="A32" s="101">
        <f t="shared" si="0"/>
        <v>26</v>
      </c>
      <c r="B32" s="81" t="s">
        <v>38</v>
      </c>
      <c r="C32" s="102">
        <v>20</v>
      </c>
      <c r="D32" s="81"/>
      <c r="E32" s="81"/>
      <c r="F32" s="81"/>
      <c r="G32" s="81"/>
      <c r="H32" s="81"/>
      <c r="I32" s="81"/>
      <c r="J32" s="81"/>
      <c r="K32" s="81"/>
    </row>
    <row r="33" spans="1:16" x14ac:dyDescent="0.25">
      <c r="A33" s="101">
        <f t="shared" si="0"/>
        <v>27</v>
      </c>
      <c r="C33" s="78"/>
      <c r="D33" s="78" t="s">
        <v>13</v>
      </c>
      <c r="E33" s="59">
        <v>780</v>
      </c>
      <c r="F33" s="51">
        <f>F8</f>
        <v>14.49</v>
      </c>
      <c r="G33" s="50">
        <f>F33*E33</f>
        <v>11302.2</v>
      </c>
      <c r="H33" s="51">
        <f>H8</f>
        <v>19.5</v>
      </c>
      <c r="I33" s="50">
        <f>H33*E33</f>
        <v>15210</v>
      </c>
      <c r="J33" s="50">
        <f>I33-G33</f>
        <v>3907.7999999999993</v>
      </c>
      <c r="K33" s="52">
        <f>IF(G33=0,0,J33/G33)</f>
        <v>0.34575569358178043</v>
      </c>
      <c r="P33" s="21" t="s">
        <v>54</v>
      </c>
    </row>
    <row r="34" spans="1:16" x14ac:dyDescent="0.25">
      <c r="A34" s="101">
        <f t="shared" si="0"/>
        <v>28</v>
      </c>
      <c r="D34" s="78" t="s">
        <v>30</v>
      </c>
      <c r="E34" s="59">
        <v>1188357</v>
      </c>
      <c r="F34" s="53">
        <f>F9</f>
        <v>8.7687000000000001E-2</v>
      </c>
      <c r="G34" s="50">
        <f>F34*E34</f>
        <v>104203.460259</v>
      </c>
      <c r="H34" s="53">
        <f>H9</f>
        <v>9.0673000000000004E-2</v>
      </c>
      <c r="I34" s="50">
        <f>H34*E34</f>
        <v>107751.89426100001</v>
      </c>
      <c r="J34" s="50">
        <f>I34-G34</f>
        <v>3548.4340020000091</v>
      </c>
      <c r="K34" s="52">
        <f>IF(G34=0,0,J34/G34)</f>
        <v>3.4052938291879158E-2</v>
      </c>
      <c r="M34" s="4">
        <f>H34/F34-1</f>
        <v>3.4052938291879054E-2</v>
      </c>
      <c r="P34" s="21" t="s">
        <v>55</v>
      </c>
    </row>
    <row r="35" spans="1:16" s="5" customFormat="1" ht="20.399999999999999" customHeight="1" x14ac:dyDescent="0.3">
      <c r="A35" s="101">
        <f t="shared" si="0"/>
        <v>29</v>
      </c>
      <c r="B35" s="95"/>
      <c r="C35" s="103"/>
      <c r="D35" s="82" t="s">
        <v>4</v>
      </c>
      <c r="E35" s="82"/>
      <c r="F35" s="82"/>
      <c r="G35" s="14">
        <f>SUM(G33:G34)</f>
        <v>115505.660259</v>
      </c>
      <c r="H35" s="82"/>
      <c r="I35" s="14">
        <f>SUM(I33:I34)</f>
        <v>122961.89426100001</v>
      </c>
      <c r="J35" s="14">
        <f>SUM(J33:J34)</f>
        <v>7456.2340020000083</v>
      </c>
      <c r="K35" s="54">
        <f>J35/G35</f>
        <v>6.4552975025473108E-2</v>
      </c>
      <c r="L35" s="63">
        <v>1</v>
      </c>
    </row>
    <row r="36" spans="1:16" x14ac:dyDescent="0.25">
      <c r="A36" s="101">
        <f t="shared" si="0"/>
        <v>30</v>
      </c>
      <c r="D36" s="78" t="s">
        <v>19</v>
      </c>
      <c r="G36" s="83">
        <v>8756</v>
      </c>
      <c r="I36" s="50">
        <f>G36</f>
        <v>8756</v>
      </c>
      <c r="J36" s="50">
        <f>I36-G36</f>
        <v>0</v>
      </c>
      <c r="K36" s="51">
        <v>0</v>
      </c>
    </row>
    <row r="37" spans="1:16" x14ac:dyDescent="0.25">
      <c r="A37" s="101">
        <f t="shared" si="0"/>
        <v>31</v>
      </c>
      <c r="D37" s="78" t="s">
        <v>20</v>
      </c>
      <c r="G37" s="83">
        <v>8130</v>
      </c>
      <c r="I37" s="50">
        <f>G37</f>
        <v>8130</v>
      </c>
      <c r="J37" s="50">
        <f>I37-G37</f>
        <v>0</v>
      </c>
      <c r="K37" s="51">
        <v>0</v>
      </c>
    </row>
    <row r="38" spans="1:16" x14ac:dyDescent="0.25">
      <c r="A38" s="101">
        <f t="shared" si="0"/>
        <v>32</v>
      </c>
      <c r="D38" s="78" t="s">
        <v>22</v>
      </c>
      <c r="G38" s="83">
        <v>0</v>
      </c>
      <c r="I38" s="50">
        <f>G38</f>
        <v>0</v>
      </c>
      <c r="J38" s="50">
        <f>I38-G38</f>
        <v>0</v>
      </c>
      <c r="K38" s="51">
        <v>0</v>
      </c>
    </row>
    <row r="39" spans="1:16" x14ac:dyDescent="0.25">
      <c r="A39" s="101">
        <f t="shared" si="0"/>
        <v>33</v>
      </c>
      <c r="D39" s="78" t="s">
        <v>25</v>
      </c>
      <c r="G39" s="83">
        <v>0</v>
      </c>
      <c r="I39" s="50">
        <f>G39</f>
        <v>0</v>
      </c>
      <c r="J39" s="50"/>
      <c r="K39" s="51"/>
    </row>
    <row r="40" spans="1:16" x14ac:dyDescent="0.25">
      <c r="A40" s="101">
        <f t="shared" si="0"/>
        <v>34</v>
      </c>
      <c r="D40" s="84" t="s">
        <v>5</v>
      </c>
      <c r="E40" s="84"/>
      <c r="F40" s="84"/>
      <c r="G40" s="55">
        <f>SUM(G36:G39)</f>
        <v>16886</v>
      </c>
      <c r="H40" s="84"/>
      <c r="I40" s="55">
        <f>SUM(I36:I39)</f>
        <v>16886</v>
      </c>
      <c r="J40" s="55">
        <f>I40-G40</f>
        <v>0</v>
      </c>
      <c r="K40" s="56">
        <f>J40/G40</f>
        <v>0</v>
      </c>
    </row>
    <row r="41" spans="1:16" s="5" customFormat="1" ht="26.4" customHeight="1" thickBot="1" x14ac:dyDescent="0.35">
      <c r="A41" s="101">
        <f t="shared" si="0"/>
        <v>35</v>
      </c>
      <c r="B41" s="95"/>
      <c r="C41" s="103"/>
      <c r="D41" s="85" t="s">
        <v>15</v>
      </c>
      <c r="E41" s="85"/>
      <c r="F41" s="85"/>
      <c r="G41" s="86">
        <f>G40+G35</f>
        <v>132391.660259</v>
      </c>
      <c r="H41" s="85"/>
      <c r="I41" s="57">
        <f>I40+I35</f>
        <v>139847.89426100001</v>
      </c>
      <c r="J41" s="57">
        <f>I41-G41</f>
        <v>7456.234002000012</v>
      </c>
      <c r="K41" s="58">
        <f>J41/G41</f>
        <v>5.6319514291257151E-2</v>
      </c>
    </row>
    <row r="42" spans="1:16" ht="13.8" thickTop="1" x14ac:dyDescent="0.25">
      <c r="A42" s="101">
        <f t="shared" si="0"/>
        <v>36</v>
      </c>
      <c r="D42" s="78" t="s">
        <v>14</v>
      </c>
      <c r="E42" s="59">
        <f>E34/E33</f>
        <v>1523.5346153846153</v>
      </c>
      <c r="G42" s="87">
        <f>G41/E33</f>
        <v>169.73289776794871</v>
      </c>
      <c r="I42" s="87">
        <f>I41/E33</f>
        <v>179.2921721294872</v>
      </c>
      <c r="J42" s="87">
        <f>I42-G42</f>
        <v>9.5592743615384848</v>
      </c>
      <c r="K42" s="52">
        <f>J42/G42</f>
        <v>5.63195142912572E-2</v>
      </c>
    </row>
    <row r="43" spans="1:16" ht="13.8" thickBot="1" x14ac:dyDescent="0.3">
      <c r="A43" s="101">
        <f t="shared" si="0"/>
        <v>37</v>
      </c>
    </row>
    <row r="44" spans="1:16" x14ac:dyDescent="0.25">
      <c r="A44" s="101">
        <f t="shared" si="0"/>
        <v>38</v>
      </c>
      <c r="B44" s="81" t="s">
        <v>110</v>
      </c>
      <c r="C44" s="102">
        <v>7</v>
      </c>
      <c r="D44" s="81"/>
      <c r="E44" s="81"/>
      <c r="F44" s="81"/>
      <c r="G44" s="81"/>
      <c r="H44" s="81"/>
      <c r="I44" s="81"/>
      <c r="J44" s="81"/>
      <c r="K44" s="81"/>
    </row>
    <row r="45" spans="1:16" x14ac:dyDescent="0.25">
      <c r="A45" s="101">
        <f t="shared" si="0"/>
        <v>39</v>
      </c>
      <c r="C45" s="78"/>
      <c r="D45" s="78" t="s">
        <v>13</v>
      </c>
      <c r="E45" s="59">
        <v>1343</v>
      </c>
      <c r="F45" s="51">
        <v>0</v>
      </c>
      <c r="G45" s="50">
        <f>F45*E45</f>
        <v>0</v>
      </c>
      <c r="H45" s="51">
        <f>ROUND(F45*L47,2)</f>
        <v>0</v>
      </c>
      <c r="I45" s="50">
        <f>H45*E45</f>
        <v>0</v>
      </c>
      <c r="J45" s="50">
        <f>I45-G45</f>
        <v>0</v>
      </c>
      <c r="K45" s="52">
        <f>IF(G45=0,0,J45/G45)</f>
        <v>0</v>
      </c>
      <c r="M45" s="4"/>
    </row>
    <row r="46" spans="1:16" x14ac:dyDescent="0.25">
      <c r="A46" s="101">
        <f t="shared" si="0"/>
        <v>40</v>
      </c>
      <c r="D46" s="78" t="s">
        <v>32</v>
      </c>
      <c r="E46" s="59">
        <v>403834</v>
      </c>
      <c r="F46" s="53">
        <v>5.0922000000000002E-2</v>
      </c>
      <c r="G46" s="50">
        <f>F46*E46</f>
        <v>20564.034948</v>
      </c>
      <c r="H46" s="88">
        <f>ROUND(F46*L47,6)</f>
        <v>5.0922000000000002E-2</v>
      </c>
      <c r="I46" s="50">
        <f>H46*E46</f>
        <v>20564.034948</v>
      </c>
      <c r="J46" s="50">
        <f>I46-G46</f>
        <v>0</v>
      </c>
      <c r="K46" s="52">
        <f>IF(G46=0,0,J46/G46)</f>
        <v>0</v>
      </c>
      <c r="M46" s="4">
        <f>H46/F46-1</f>
        <v>0</v>
      </c>
    </row>
    <row r="47" spans="1:16" s="5" customFormat="1" ht="20.399999999999999" customHeight="1" x14ac:dyDescent="0.3">
      <c r="A47" s="101">
        <f t="shared" si="0"/>
        <v>41</v>
      </c>
      <c r="B47" s="95"/>
      <c r="C47" s="103"/>
      <c r="D47" s="82" t="s">
        <v>4</v>
      </c>
      <c r="E47" s="82"/>
      <c r="F47" s="82"/>
      <c r="G47" s="14">
        <f>SUM(G45:G46)</f>
        <v>20564.034948</v>
      </c>
      <c r="H47" s="82"/>
      <c r="I47" s="14">
        <f>SUM(I45:I46)</f>
        <v>20564.034948</v>
      </c>
      <c r="J47" s="14">
        <f>SUM(J45:J46)</f>
        <v>0</v>
      </c>
      <c r="K47" s="54">
        <f>J47/G47</f>
        <v>0</v>
      </c>
      <c r="L47" s="63">
        <v>1</v>
      </c>
    </row>
    <row r="48" spans="1:16" x14ac:dyDescent="0.25">
      <c r="A48" s="101">
        <f t="shared" si="0"/>
        <v>42</v>
      </c>
      <c r="D48" s="78" t="s">
        <v>19</v>
      </c>
      <c r="G48" s="83">
        <v>5993</v>
      </c>
      <c r="I48" s="50">
        <f>G48</f>
        <v>5993</v>
      </c>
      <c r="J48" s="50">
        <f>I48-G48</f>
        <v>0</v>
      </c>
      <c r="K48" s="51">
        <v>0</v>
      </c>
    </row>
    <row r="49" spans="1:13" x14ac:dyDescent="0.25">
      <c r="A49" s="101">
        <f t="shared" si="0"/>
        <v>43</v>
      </c>
      <c r="D49" s="78" t="s">
        <v>20</v>
      </c>
      <c r="G49" s="83">
        <v>2771</v>
      </c>
      <c r="I49" s="50">
        <f>G49</f>
        <v>2771</v>
      </c>
      <c r="J49" s="50">
        <f>I49-G49</f>
        <v>0</v>
      </c>
      <c r="K49" s="51">
        <v>0</v>
      </c>
    </row>
    <row r="50" spans="1:13" x14ac:dyDescent="0.25">
      <c r="A50" s="101">
        <f t="shared" si="0"/>
        <v>44</v>
      </c>
      <c r="D50" s="78" t="s">
        <v>22</v>
      </c>
      <c r="G50" s="83">
        <v>0</v>
      </c>
      <c r="I50" s="50">
        <f>G50</f>
        <v>0</v>
      </c>
      <c r="J50" s="50">
        <f>I50-G50</f>
        <v>0</v>
      </c>
      <c r="K50" s="51">
        <v>0</v>
      </c>
    </row>
    <row r="51" spans="1:13" x14ac:dyDescent="0.25">
      <c r="A51" s="101">
        <f t="shared" si="0"/>
        <v>45</v>
      </c>
      <c r="D51" s="78" t="s">
        <v>25</v>
      </c>
      <c r="G51" s="83">
        <v>0</v>
      </c>
      <c r="I51" s="50">
        <f>G51</f>
        <v>0</v>
      </c>
      <c r="J51" s="50"/>
      <c r="K51" s="51"/>
    </row>
    <row r="52" spans="1:13" x14ac:dyDescent="0.25">
      <c r="A52" s="101">
        <f t="shared" si="0"/>
        <v>46</v>
      </c>
      <c r="D52" s="84" t="s">
        <v>5</v>
      </c>
      <c r="E52" s="84"/>
      <c r="F52" s="84"/>
      <c r="G52" s="55">
        <f>SUM(G48:G51)</f>
        <v>8764</v>
      </c>
      <c r="H52" s="84"/>
      <c r="I52" s="55">
        <f>SUM(I48:I51)</f>
        <v>8764</v>
      </c>
      <c r="J52" s="55">
        <f>I52-G52</f>
        <v>0</v>
      </c>
      <c r="K52" s="56">
        <f>J52/G52</f>
        <v>0</v>
      </c>
    </row>
    <row r="53" spans="1:13" s="5" customFormat="1" ht="26.4" customHeight="1" thickBot="1" x14ac:dyDescent="0.35">
      <c r="A53" s="101">
        <f t="shared" si="0"/>
        <v>47</v>
      </c>
      <c r="B53" s="95"/>
      <c r="C53" s="103"/>
      <c r="D53" s="85" t="s">
        <v>15</v>
      </c>
      <c r="E53" s="85"/>
      <c r="F53" s="85"/>
      <c r="G53" s="86">
        <f>G52+G47</f>
        <v>29328.034948</v>
      </c>
      <c r="H53" s="85"/>
      <c r="I53" s="57">
        <f>I52+I47</f>
        <v>29328.034948</v>
      </c>
      <c r="J53" s="57">
        <f>I53-G53</f>
        <v>0</v>
      </c>
      <c r="K53" s="58">
        <f>J53/G53</f>
        <v>0</v>
      </c>
    </row>
    <row r="54" spans="1:13" ht="13.8" thickTop="1" x14ac:dyDescent="0.25">
      <c r="A54" s="101">
        <f t="shared" si="0"/>
        <v>48</v>
      </c>
      <c r="D54" s="78" t="s">
        <v>14</v>
      </c>
      <c r="E54" s="59">
        <f>E46/E45</f>
        <v>300.69545793000742</v>
      </c>
      <c r="G54" s="87">
        <f>G53/E45</f>
        <v>21.837702865227104</v>
      </c>
      <c r="I54" s="87">
        <f>I53/E45</f>
        <v>21.837702865227104</v>
      </c>
      <c r="J54" s="87">
        <f>I54-G54</f>
        <v>0</v>
      </c>
      <c r="K54" s="52">
        <f>J54/G54</f>
        <v>0</v>
      </c>
    </row>
    <row r="55" spans="1:13" ht="13.8" thickBot="1" x14ac:dyDescent="0.3">
      <c r="A55" s="101">
        <f t="shared" si="0"/>
        <v>49</v>
      </c>
    </row>
    <row r="56" spans="1:13" x14ac:dyDescent="0.25">
      <c r="A56" s="101">
        <f t="shared" si="0"/>
        <v>50</v>
      </c>
      <c r="B56" s="81" t="s">
        <v>104</v>
      </c>
      <c r="C56" s="102">
        <v>4</v>
      </c>
      <c r="D56" s="81"/>
      <c r="E56" s="81"/>
      <c r="F56" s="81"/>
      <c r="G56" s="81"/>
      <c r="H56" s="81"/>
      <c r="I56" s="81"/>
      <c r="J56" s="81"/>
      <c r="K56" s="81"/>
    </row>
    <row r="57" spans="1:13" x14ac:dyDescent="0.25">
      <c r="A57" s="101">
        <f t="shared" si="0"/>
        <v>51</v>
      </c>
      <c r="C57" s="78"/>
      <c r="D57" s="78" t="s">
        <v>13</v>
      </c>
      <c r="E57" s="59">
        <v>20591</v>
      </c>
      <c r="F57" s="51">
        <v>22.07</v>
      </c>
      <c r="G57" s="50">
        <f>F57*E57</f>
        <v>454443.37</v>
      </c>
      <c r="H57" s="51">
        <f>ROUND(F57*L59,2)</f>
        <v>22.07</v>
      </c>
      <c r="I57" s="50">
        <f>H57*E57</f>
        <v>454443.37</v>
      </c>
      <c r="J57" s="50">
        <f>I57-G57</f>
        <v>0</v>
      </c>
      <c r="K57" s="52">
        <f>IF(G57=0,0,J57/G57)</f>
        <v>0</v>
      </c>
      <c r="M57" s="4">
        <f>H57/F57-1</f>
        <v>0</v>
      </c>
    </row>
    <row r="58" spans="1:13" x14ac:dyDescent="0.25">
      <c r="A58" s="101">
        <f t="shared" si="0"/>
        <v>52</v>
      </c>
      <c r="D58" s="78" t="s">
        <v>30</v>
      </c>
      <c r="E58" s="59">
        <v>32075927</v>
      </c>
      <c r="F58" s="53">
        <v>8.2795999999999995E-2</v>
      </c>
      <c r="G58" s="50">
        <f>F58*E58</f>
        <v>2655758.4518919997</v>
      </c>
      <c r="H58" s="88">
        <f>ROUND(F58*L59,6)</f>
        <v>8.2795999999999995E-2</v>
      </c>
      <c r="I58" s="50">
        <f>H58*E58</f>
        <v>2655758.4518919997</v>
      </c>
      <c r="J58" s="50">
        <f>I58-G58</f>
        <v>0</v>
      </c>
      <c r="K58" s="52">
        <f>IF(G58=0,0,J58/G58)</f>
        <v>0</v>
      </c>
      <c r="M58" s="4">
        <f>H58/F58-1</f>
        <v>0</v>
      </c>
    </row>
    <row r="59" spans="1:13" s="5" customFormat="1" ht="20.399999999999999" customHeight="1" x14ac:dyDescent="0.3">
      <c r="A59" s="101">
        <f t="shared" si="0"/>
        <v>53</v>
      </c>
      <c r="B59" s="95"/>
      <c r="C59" s="103"/>
      <c r="D59" s="82" t="s">
        <v>4</v>
      </c>
      <c r="E59" s="82"/>
      <c r="F59" s="82"/>
      <c r="G59" s="14">
        <f>SUM(G57:G58)</f>
        <v>3110201.8218919998</v>
      </c>
      <c r="H59" s="82"/>
      <c r="I59" s="14">
        <f>SUM(I57:I58)</f>
        <v>3110201.8218919998</v>
      </c>
      <c r="J59" s="14">
        <f>SUM(J57:J58)</f>
        <v>0</v>
      </c>
      <c r="K59" s="54">
        <f>J59/G59</f>
        <v>0</v>
      </c>
      <c r="L59" s="63">
        <v>1</v>
      </c>
    </row>
    <row r="60" spans="1:13" x14ac:dyDescent="0.25">
      <c r="A60" s="101">
        <f t="shared" si="0"/>
        <v>54</v>
      </c>
      <c r="D60" s="78" t="s">
        <v>19</v>
      </c>
      <c r="G60" s="83">
        <v>431048</v>
      </c>
      <c r="I60" s="50">
        <f>G60</f>
        <v>431048</v>
      </c>
      <c r="J60" s="50">
        <f>I60-G60</f>
        <v>0</v>
      </c>
      <c r="K60" s="51">
        <v>0</v>
      </c>
    </row>
    <row r="61" spans="1:13" x14ac:dyDescent="0.25">
      <c r="A61" s="101">
        <f t="shared" si="0"/>
        <v>55</v>
      </c>
      <c r="D61" s="78" t="s">
        <v>20</v>
      </c>
      <c r="G61" s="83">
        <v>386051</v>
      </c>
      <c r="I61" s="50">
        <f>G61</f>
        <v>386051</v>
      </c>
      <c r="J61" s="50">
        <f>I61-G61</f>
        <v>0</v>
      </c>
      <c r="K61" s="51">
        <v>0</v>
      </c>
    </row>
    <row r="62" spans="1:13" x14ac:dyDescent="0.25">
      <c r="A62" s="101">
        <f t="shared" si="0"/>
        <v>56</v>
      </c>
      <c r="D62" s="78" t="s">
        <v>22</v>
      </c>
      <c r="G62" s="83">
        <v>0</v>
      </c>
      <c r="I62" s="50">
        <f>G62</f>
        <v>0</v>
      </c>
      <c r="J62" s="50">
        <f>I62-G62</f>
        <v>0</v>
      </c>
      <c r="K62" s="51">
        <v>0</v>
      </c>
    </row>
    <row r="63" spans="1:13" x14ac:dyDescent="0.25">
      <c r="A63" s="101">
        <f t="shared" si="0"/>
        <v>57</v>
      </c>
      <c r="D63" s="78" t="s">
        <v>25</v>
      </c>
      <c r="G63" s="83">
        <v>0</v>
      </c>
      <c r="I63" s="50">
        <f>G63</f>
        <v>0</v>
      </c>
      <c r="J63" s="50"/>
      <c r="K63" s="51"/>
    </row>
    <row r="64" spans="1:13" x14ac:dyDescent="0.25">
      <c r="A64" s="101">
        <f t="shared" si="0"/>
        <v>58</v>
      </c>
      <c r="D64" s="84" t="s">
        <v>5</v>
      </c>
      <c r="E64" s="84"/>
      <c r="F64" s="84"/>
      <c r="G64" s="55">
        <f>SUM(G60:G63)</f>
        <v>817099</v>
      </c>
      <c r="H64" s="84"/>
      <c r="I64" s="55">
        <f>SUM(I60:I63)</f>
        <v>817099</v>
      </c>
      <c r="J64" s="55">
        <f>I64-G64</f>
        <v>0</v>
      </c>
      <c r="K64" s="56">
        <f>J64/G64</f>
        <v>0</v>
      </c>
    </row>
    <row r="65" spans="1:13" s="5" customFormat="1" ht="26.4" customHeight="1" thickBot="1" x14ac:dyDescent="0.35">
      <c r="A65" s="101">
        <f t="shared" si="0"/>
        <v>59</v>
      </c>
      <c r="B65" s="95"/>
      <c r="C65" s="103"/>
      <c r="D65" s="85" t="s">
        <v>15</v>
      </c>
      <c r="E65" s="85"/>
      <c r="F65" s="85"/>
      <c r="G65" s="86">
        <f>G64+G59</f>
        <v>3927300.8218919998</v>
      </c>
      <c r="H65" s="85"/>
      <c r="I65" s="57">
        <f>I64+I59</f>
        <v>3927300.8218919998</v>
      </c>
      <c r="J65" s="57">
        <f>I65-G65</f>
        <v>0</v>
      </c>
      <c r="K65" s="58">
        <f>J65/G65</f>
        <v>0</v>
      </c>
    </row>
    <row r="66" spans="1:13" ht="13.8" thickTop="1" x14ac:dyDescent="0.25">
      <c r="A66" s="101">
        <f t="shared" si="0"/>
        <v>60</v>
      </c>
      <c r="D66" s="78" t="s">
        <v>14</v>
      </c>
      <c r="E66" s="59">
        <f>E58/E57</f>
        <v>1557.7644116361516</v>
      </c>
      <c r="G66" s="87">
        <f>G65/E57</f>
        <v>190.72899916915156</v>
      </c>
      <c r="I66" s="87">
        <f>I65/E57</f>
        <v>190.72899916915156</v>
      </c>
      <c r="J66" s="87">
        <f>I66-G66</f>
        <v>0</v>
      </c>
      <c r="K66" s="52">
        <f>J66/G66</f>
        <v>0</v>
      </c>
    </row>
    <row r="67" spans="1:13" ht="13.8" thickBot="1" x14ac:dyDescent="0.3">
      <c r="A67" s="101">
        <f t="shared" si="0"/>
        <v>61</v>
      </c>
    </row>
    <row r="68" spans="1:13" ht="13.8" hidden="1" thickBot="1" x14ac:dyDescent="0.3">
      <c r="A68" s="101">
        <f t="shared" si="0"/>
        <v>62</v>
      </c>
      <c r="B68" s="81" t="s">
        <v>93</v>
      </c>
      <c r="C68" s="102">
        <v>8</v>
      </c>
      <c r="D68" s="81"/>
      <c r="E68" s="81"/>
      <c r="F68" s="81"/>
      <c r="G68" s="81"/>
      <c r="H68" s="81"/>
      <c r="I68" s="81"/>
      <c r="J68" s="81"/>
      <c r="K68" s="81"/>
    </row>
    <row r="69" spans="1:13" ht="13.8" hidden="1" thickBot="1" x14ac:dyDescent="0.3">
      <c r="A69" s="101">
        <f t="shared" si="0"/>
        <v>63</v>
      </c>
      <c r="C69" s="78"/>
      <c r="D69" s="78" t="s">
        <v>13</v>
      </c>
      <c r="E69" s="59">
        <v>0</v>
      </c>
      <c r="F69" s="51"/>
      <c r="G69" s="50"/>
      <c r="H69" s="88"/>
      <c r="I69" s="50"/>
      <c r="J69" s="50"/>
      <c r="K69" s="52"/>
      <c r="M69" s="4"/>
    </row>
    <row r="70" spans="1:13" ht="13.8" hidden="1" thickBot="1" x14ac:dyDescent="0.3">
      <c r="A70" s="101">
        <f t="shared" si="0"/>
        <v>64</v>
      </c>
      <c r="D70" s="78" t="s">
        <v>30</v>
      </c>
      <c r="E70" s="59">
        <v>0</v>
      </c>
      <c r="F70" s="53">
        <v>4.7987000000000002E-2</v>
      </c>
      <c r="G70" s="50">
        <f>F70*E70</f>
        <v>0</v>
      </c>
      <c r="H70" s="88">
        <f>ROUND(F70*L71,6)</f>
        <v>4.7987000000000002E-2</v>
      </c>
      <c r="I70" s="50">
        <f>H70*E70</f>
        <v>0</v>
      </c>
      <c r="J70" s="50">
        <f>I70-G70</f>
        <v>0</v>
      </c>
      <c r="K70" s="52">
        <f>IF(G70=0,0,J70/G70)</f>
        <v>0</v>
      </c>
      <c r="M70" s="4">
        <f>H70/F70-1</f>
        <v>0</v>
      </c>
    </row>
    <row r="71" spans="1:13" s="5" customFormat="1" ht="20.399999999999999" hidden="1" customHeight="1" x14ac:dyDescent="0.3">
      <c r="A71" s="101">
        <f t="shared" si="0"/>
        <v>65</v>
      </c>
      <c r="B71" s="95"/>
      <c r="C71" s="103"/>
      <c r="D71" s="82" t="s">
        <v>4</v>
      </c>
      <c r="E71" s="82"/>
      <c r="F71" s="82"/>
      <c r="G71" s="14">
        <f>SUM(G69:G70)</f>
        <v>0</v>
      </c>
      <c r="H71" s="82"/>
      <c r="I71" s="14">
        <f>SUM(I69:I70)</f>
        <v>0</v>
      </c>
      <c r="J71" s="14">
        <f>SUM(J69:J70)</f>
        <v>0</v>
      </c>
      <c r="K71" s="54">
        <f>IF(G71=0,0,J71/G71)</f>
        <v>0</v>
      </c>
      <c r="L71" s="63">
        <v>1</v>
      </c>
    </row>
    <row r="72" spans="1:13" ht="13.8" hidden="1" thickBot="1" x14ac:dyDescent="0.3">
      <c r="A72" s="101">
        <f t="shared" si="0"/>
        <v>66</v>
      </c>
      <c r="D72" s="78" t="s">
        <v>19</v>
      </c>
      <c r="G72" s="83">
        <v>0</v>
      </c>
      <c r="I72" s="50">
        <f>G72</f>
        <v>0</v>
      </c>
      <c r="J72" s="50">
        <f>I72-G72</f>
        <v>0</v>
      </c>
      <c r="K72" s="51">
        <v>0</v>
      </c>
    </row>
    <row r="73" spans="1:13" ht="13.8" hidden="1" thickBot="1" x14ac:dyDescent="0.3">
      <c r="A73" s="101">
        <f t="shared" ref="A73:A136" si="1">A72+1</f>
        <v>67</v>
      </c>
      <c r="D73" s="78" t="s">
        <v>20</v>
      </c>
      <c r="G73" s="83">
        <v>0</v>
      </c>
      <c r="I73" s="50">
        <f>G73</f>
        <v>0</v>
      </c>
      <c r="J73" s="50">
        <f>I73-G73</f>
        <v>0</v>
      </c>
      <c r="K73" s="51">
        <v>0</v>
      </c>
    </row>
    <row r="74" spans="1:13" ht="13.8" hidden="1" thickBot="1" x14ac:dyDescent="0.3">
      <c r="A74" s="101">
        <f t="shared" si="1"/>
        <v>68</v>
      </c>
      <c r="D74" s="78" t="s">
        <v>22</v>
      </c>
      <c r="G74" s="83">
        <v>0</v>
      </c>
      <c r="I74" s="50">
        <f>G74</f>
        <v>0</v>
      </c>
      <c r="J74" s="50">
        <f>I74-G74</f>
        <v>0</v>
      </c>
      <c r="K74" s="51">
        <v>0</v>
      </c>
    </row>
    <row r="75" spans="1:13" ht="13.8" hidden="1" thickBot="1" x14ac:dyDescent="0.3">
      <c r="A75" s="101">
        <f t="shared" si="1"/>
        <v>69</v>
      </c>
      <c r="D75" s="78" t="s">
        <v>25</v>
      </c>
      <c r="G75" s="83">
        <v>0</v>
      </c>
      <c r="I75" s="50">
        <f>G75</f>
        <v>0</v>
      </c>
      <c r="J75" s="50"/>
      <c r="K75" s="51"/>
    </row>
    <row r="76" spans="1:13" ht="13.8" hidden="1" thickBot="1" x14ac:dyDescent="0.3">
      <c r="A76" s="101">
        <f t="shared" si="1"/>
        <v>70</v>
      </c>
      <c r="D76" s="84" t="s">
        <v>5</v>
      </c>
      <c r="E76" s="84"/>
      <c r="F76" s="84"/>
      <c r="G76" s="55">
        <f>SUM(G72:G75)</f>
        <v>0</v>
      </c>
      <c r="H76" s="84"/>
      <c r="I76" s="55">
        <f>SUM(I72:I75)</f>
        <v>0</v>
      </c>
      <c r="J76" s="55">
        <f>I76-G76</f>
        <v>0</v>
      </c>
      <c r="K76" s="56" t="e">
        <f>J76-#REF!</f>
        <v>#REF!</v>
      </c>
    </row>
    <row r="77" spans="1:13" s="5" customFormat="1" ht="26.4" hidden="1" customHeight="1" thickBot="1" x14ac:dyDescent="0.35">
      <c r="A77" s="101">
        <f t="shared" si="1"/>
        <v>71</v>
      </c>
      <c r="B77" s="95"/>
      <c r="C77" s="103"/>
      <c r="D77" s="85" t="s">
        <v>15</v>
      </c>
      <c r="E77" s="85"/>
      <c r="F77" s="85"/>
      <c r="G77" s="86">
        <f>G76+G71</f>
        <v>0</v>
      </c>
      <c r="H77" s="85"/>
      <c r="I77" s="57">
        <f>I76+I71</f>
        <v>0</v>
      </c>
      <c r="J77" s="57">
        <f>I77-G77</f>
        <v>0</v>
      </c>
      <c r="K77" s="58">
        <f>IF(G77=0,0,J77/G77)</f>
        <v>0</v>
      </c>
    </row>
    <row r="78" spans="1:13" ht="13.8" hidden="1" thickBot="1" x14ac:dyDescent="0.3">
      <c r="A78" s="101">
        <f t="shared" si="1"/>
        <v>72</v>
      </c>
      <c r="D78" s="78" t="s">
        <v>14</v>
      </c>
      <c r="E78" s="78" t="s">
        <v>63</v>
      </c>
      <c r="G78" s="87"/>
      <c r="I78" s="87"/>
      <c r="J78" s="87">
        <f>I78-G78</f>
        <v>0</v>
      </c>
      <c r="K78" s="52"/>
    </row>
    <row r="79" spans="1:13" ht="13.8" hidden="1" thickBot="1" x14ac:dyDescent="0.3">
      <c r="A79" s="101">
        <f t="shared" si="1"/>
        <v>73</v>
      </c>
    </row>
    <row r="80" spans="1:13" x14ac:dyDescent="0.25">
      <c r="A80" s="101">
        <f t="shared" si="1"/>
        <v>74</v>
      </c>
      <c r="B80" s="81" t="s">
        <v>94</v>
      </c>
      <c r="C80" s="102">
        <v>5</v>
      </c>
      <c r="D80" s="81"/>
      <c r="E80" s="81"/>
      <c r="F80" s="81"/>
      <c r="G80" s="81"/>
      <c r="H80" s="81"/>
      <c r="I80" s="81"/>
      <c r="J80" s="81"/>
      <c r="K80" s="81"/>
    </row>
    <row r="81" spans="1:16" x14ac:dyDescent="0.25">
      <c r="A81" s="101">
        <f t="shared" si="1"/>
        <v>75</v>
      </c>
      <c r="C81" s="78"/>
      <c r="D81" s="78" t="s">
        <v>13</v>
      </c>
      <c r="E81" s="59">
        <v>1175</v>
      </c>
      <c r="F81" s="51">
        <v>108.7</v>
      </c>
      <c r="G81" s="50">
        <f>F81*E81</f>
        <v>127722.5</v>
      </c>
      <c r="H81" s="51">
        <f>ROUND(F81*L84,2)</f>
        <v>108.7</v>
      </c>
      <c r="I81" s="50">
        <f>H81*E81</f>
        <v>127722.5</v>
      </c>
      <c r="J81" s="50">
        <f>I81-G81</f>
        <v>0</v>
      </c>
      <c r="K81" s="52">
        <f>IF(G81=0,0,J81/G81)</f>
        <v>0</v>
      </c>
      <c r="M81" s="4">
        <f>H81/F81-1</f>
        <v>0</v>
      </c>
      <c r="P81" s="21" t="s">
        <v>34</v>
      </c>
    </row>
    <row r="82" spans="1:16" x14ac:dyDescent="0.25">
      <c r="A82" s="101">
        <f t="shared" si="1"/>
        <v>76</v>
      </c>
      <c r="D82" s="78" t="s">
        <v>30</v>
      </c>
      <c r="E82" s="59">
        <v>52519152</v>
      </c>
      <c r="F82" s="53">
        <v>6.3033000000000006E-2</v>
      </c>
      <c r="G82" s="50">
        <f>F82*E82</f>
        <v>3310439.7080160002</v>
      </c>
      <c r="H82" s="88">
        <f>ROUND(F82*L84,6)</f>
        <v>6.3033000000000006E-2</v>
      </c>
      <c r="I82" s="50">
        <f>H82*E82</f>
        <v>3310439.7080160002</v>
      </c>
      <c r="J82" s="50">
        <f>I82-G82</f>
        <v>0</v>
      </c>
      <c r="K82" s="52">
        <f>IF(G82=0,0,J82/G82)</f>
        <v>0</v>
      </c>
      <c r="M82" s="4">
        <f>H82/F82-1</f>
        <v>0</v>
      </c>
      <c r="P82" s="21" t="s">
        <v>35</v>
      </c>
    </row>
    <row r="83" spans="1:16" x14ac:dyDescent="0.25">
      <c r="A83" s="101">
        <f t="shared" si="1"/>
        <v>77</v>
      </c>
      <c r="D83" s="78" t="s">
        <v>33</v>
      </c>
      <c r="E83" s="59">
        <v>181444</v>
      </c>
      <c r="F83" s="51">
        <v>8.17</v>
      </c>
      <c r="G83" s="50">
        <f>F83*E83</f>
        <v>1482397.48</v>
      </c>
      <c r="H83" s="51">
        <f>ROUND(F83*L84,6)</f>
        <v>8.17</v>
      </c>
      <c r="I83" s="50">
        <f>H83*E83</f>
        <v>1482397.48</v>
      </c>
      <c r="J83" s="50">
        <f>I83-G83</f>
        <v>0</v>
      </c>
      <c r="K83" s="52">
        <f>IF(G83=0,0,J83/G83)</f>
        <v>0</v>
      </c>
      <c r="M83" s="4">
        <f>H83/F83-1</f>
        <v>0</v>
      </c>
      <c r="P83" s="21" t="s">
        <v>36</v>
      </c>
    </row>
    <row r="84" spans="1:16" s="5" customFormat="1" ht="20.399999999999999" customHeight="1" x14ac:dyDescent="0.3">
      <c r="A84" s="101">
        <f t="shared" si="1"/>
        <v>78</v>
      </c>
      <c r="B84" s="95"/>
      <c r="C84" s="103"/>
      <c r="D84" s="82" t="s">
        <v>4</v>
      </c>
      <c r="E84" s="82"/>
      <c r="F84" s="82"/>
      <c r="G84" s="14">
        <f>SUM(G81:G83)</f>
        <v>4920559.6880160002</v>
      </c>
      <c r="H84" s="82"/>
      <c r="I84" s="14">
        <f>SUM(I81:I83)</f>
        <v>4920559.6880160002</v>
      </c>
      <c r="J84" s="14">
        <f>SUM(J81:J83)</f>
        <v>0</v>
      </c>
      <c r="K84" s="54">
        <f>IF(G84=0,0,J84/G84)</f>
        <v>0</v>
      </c>
      <c r="L84" s="63">
        <v>1</v>
      </c>
    </row>
    <row r="85" spans="1:16" x14ac:dyDescent="0.25">
      <c r="A85" s="101">
        <f t="shared" si="1"/>
        <v>79</v>
      </c>
      <c r="D85" s="78" t="s">
        <v>19</v>
      </c>
      <c r="G85" s="83">
        <v>700047</v>
      </c>
      <c r="I85" s="50">
        <f>G85</f>
        <v>700047</v>
      </c>
      <c r="J85" s="50">
        <f>I85-G85</f>
        <v>0</v>
      </c>
      <c r="K85" s="51">
        <v>0</v>
      </c>
    </row>
    <row r="86" spans="1:16" x14ac:dyDescent="0.25">
      <c r="A86" s="101">
        <f t="shared" si="1"/>
        <v>80</v>
      </c>
      <c r="D86" s="78" t="s">
        <v>20</v>
      </c>
      <c r="G86" s="83">
        <v>602464</v>
      </c>
      <c r="I86" s="50">
        <f>G86</f>
        <v>602464</v>
      </c>
      <c r="J86" s="50">
        <f>I86-G86</f>
        <v>0</v>
      </c>
      <c r="K86" s="51">
        <v>0</v>
      </c>
    </row>
    <row r="87" spans="1:16" x14ac:dyDescent="0.25">
      <c r="A87" s="101">
        <f t="shared" si="1"/>
        <v>81</v>
      </c>
      <c r="D87" s="78" t="s">
        <v>22</v>
      </c>
      <c r="G87" s="83">
        <v>0</v>
      </c>
      <c r="I87" s="50">
        <f>G87</f>
        <v>0</v>
      </c>
      <c r="J87" s="50">
        <f>I87-G87</f>
        <v>0</v>
      </c>
      <c r="K87" s="51">
        <v>0</v>
      </c>
    </row>
    <row r="88" spans="1:16" x14ac:dyDescent="0.25">
      <c r="A88" s="101">
        <f t="shared" si="1"/>
        <v>82</v>
      </c>
      <c r="D88" s="78" t="s">
        <v>25</v>
      </c>
      <c r="G88" s="83">
        <v>0</v>
      </c>
      <c r="I88" s="50">
        <f>G88</f>
        <v>0</v>
      </c>
      <c r="J88" s="50"/>
      <c r="K88" s="51"/>
    </row>
    <row r="89" spans="1:16" x14ac:dyDescent="0.25">
      <c r="A89" s="101">
        <f t="shared" si="1"/>
        <v>83</v>
      </c>
      <c r="D89" s="84" t="s">
        <v>5</v>
      </c>
      <c r="E89" s="84"/>
      <c r="F89" s="84"/>
      <c r="G89" s="55">
        <f>SUM(G85:G88)</f>
        <v>1302511</v>
      </c>
      <c r="H89" s="84"/>
      <c r="I89" s="55">
        <f>SUM(I85:I88)</f>
        <v>1302511</v>
      </c>
      <c r="J89" s="55">
        <f>I89-G89</f>
        <v>0</v>
      </c>
      <c r="K89" s="56">
        <f>J89/G89</f>
        <v>0</v>
      </c>
    </row>
    <row r="90" spans="1:16" s="5" customFormat="1" ht="26.4" customHeight="1" thickBot="1" x14ac:dyDescent="0.35">
      <c r="A90" s="101">
        <f t="shared" si="1"/>
        <v>84</v>
      </c>
      <c r="B90" s="95"/>
      <c r="C90" s="103"/>
      <c r="D90" s="85" t="s">
        <v>15</v>
      </c>
      <c r="E90" s="85"/>
      <c r="F90" s="85"/>
      <c r="G90" s="86">
        <f>G89+G84</f>
        <v>6223070.6880160002</v>
      </c>
      <c r="H90" s="85"/>
      <c r="I90" s="57">
        <f>I89+I84</f>
        <v>6223070.6880160002</v>
      </c>
      <c r="J90" s="57">
        <f>I90-G90</f>
        <v>0</v>
      </c>
      <c r="K90" s="58">
        <f>IF(G90=0,0,J90/G90)</f>
        <v>0</v>
      </c>
    </row>
    <row r="91" spans="1:16" ht="13.8" thickTop="1" x14ac:dyDescent="0.25">
      <c r="A91" s="101">
        <f t="shared" si="1"/>
        <v>85</v>
      </c>
      <c r="D91" s="37"/>
      <c r="E91" s="108">
        <f>E82/E81</f>
        <v>44697.15063829787</v>
      </c>
      <c r="F91" s="60"/>
      <c r="G91" s="60">
        <f>G90/E81</f>
        <v>5296.2303727795743</v>
      </c>
      <c r="H91" s="60"/>
      <c r="I91" s="60">
        <f>I90/E81</f>
        <v>5296.2303727795743</v>
      </c>
      <c r="J91" s="60">
        <f>I91-G91</f>
        <v>0</v>
      </c>
      <c r="K91" s="37"/>
    </row>
    <row r="92" spans="1:16" ht="13.8" thickBot="1" x14ac:dyDescent="0.3">
      <c r="A92" s="101">
        <f t="shared" si="1"/>
        <v>86</v>
      </c>
    </row>
    <row r="93" spans="1:16" x14ac:dyDescent="0.25">
      <c r="A93" s="101">
        <f t="shared" si="1"/>
        <v>87</v>
      </c>
      <c r="B93" s="81" t="s">
        <v>117</v>
      </c>
      <c r="C93" s="102">
        <v>9</v>
      </c>
      <c r="D93" s="81"/>
      <c r="E93" s="81"/>
      <c r="F93" s="81"/>
      <c r="G93" s="81"/>
      <c r="H93" s="81"/>
      <c r="I93" s="81"/>
      <c r="J93" s="81"/>
      <c r="K93" s="81"/>
    </row>
    <row r="94" spans="1:16" x14ac:dyDescent="0.25">
      <c r="A94" s="101">
        <f t="shared" si="1"/>
        <v>88</v>
      </c>
      <c r="C94" s="78"/>
      <c r="D94" s="78" t="s">
        <v>13</v>
      </c>
      <c r="E94" s="59">
        <v>48</v>
      </c>
      <c r="F94" s="51">
        <v>108.7</v>
      </c>
      <c r="G94" s="50">
        <f>F94*E94</f>
        <v>5217.6000000000004</v>
      </c>
      <c r="H94" s="51">
        <f>ROUND(F94*L97,2)</f>
        <v>108.7</v>
      </c>
      <c r="I94" s="50">
        <f>H94*E94</f>
        <v>5217.6000000000004</v>
      </c>
      <c r="J94" s="50">
        <f>I94-G94</f>
        <v>0</v>
      </c>
      <c r="K94" s="52">
        <f>IF(G94=0,0,J94/G94)</f>
        <v>0</v>
      </c>
      <c r="M94" s="4">
        <f>H94/F94-1</f>
        <v>0</v>
      </c>
    </row>
    <row r="95" spans="1:16" x14ac:dyDescent="0.25">
      <c r="A95" s="101">
        <f t="shared" si="1"/>
        <v>89</v>
      </c>
      <c r="D95" s="78" t="s">
        <v>33</v>
      </c>
      <c r="E95" s="59">
        <v>59177</v>
      </c>
      <c r="F95" s="51">
        <v>8.17</v>
      </c>
      <c r="G95" s="50">
        <f>F95*E95</f>
        <v>483476.08999999997</v>
      </c>
      <c r="H95" s="51">
        <f>ROUND(F95*L97,2)</f>
        <v>8.17</v>
      </c>
      <c r="I95" s="50">
        <f>H95*E95</f>
        <v>483476.08999999997</v>
      </c>
      <c r="J95" s="50">
        <f>I95-G95</f>
        <v>0</v>
      </c>
      <c r="K95" s="52">
        <f>IF(G95=0,0,J95/G95)</f>
        <v>0</v>
      </c>
      <c r="M95" s="4">
        <f>H95/F95-1</f>
        <v>0</v>
      </c>
    </row>
    <row r="96" spans="1:16" x14ac:dyDescent="0.25">
      <c r="A96" s="101">
        <f t="shared" si="1"/>
        <v>90</v>
      </c>
      <c r="B96" s="104"/>
      <c r="D96" s="78" t="s">
        <v>30</v>
      </c>
      <c r="E96" s="59">
        <v>23868610</v>
      </c>
      <c r="F96" s="53">
        <v>6.3033000000000006E-2</v>
      </c>
      <c r="G96" s="50">
        <f>F96*E96</f>
        <v>1504510.0941300001</v>
      </c>
      <c r="H96" s="88">
        <f>ROUND(F96*L97,6)</f>
        <v>6.3033000000000006E-2</v>
      </c>
      <c r="I96" s="50">
        <f>H96*E96</f>
        <v>1504510.0941300001</v>
      </c>
      <c r="J96" s="50">
        <f>I96-G96</f>
        <v>0</v>
      </c>
      <c r="K96" s="52">
        <f>IF(G96=0,0,J96/G96)</f>
        <v>0</v>
      </c>
      <c r="M96" s="4">
        <f>H96/F96-1</f>
        <v>0</v>
      </c>
    </row>
    <row r="97" spans="1:18" s="5" customFormat="1" ht="20.399999999999999" customHeight="1" x14ac:dyDescent="0.3">
      <c r="A97" s="101">
        <f t="shared" si="1"/>
        <v>91</v>
      </c>
      <c r="B97" s="95"/>
      <c r="C97" s="103"/>
      <c r="D97" s="82" t="s">
        <v>4</v>
      </c>
      <c r="E97" s="82"/>
      <c r="F97" s="82"/>
      <c r="G97" s="14">
        <f>SUM(G94:G96)</f>
        <v>1993203.78413</v>
      </c>
      <c r="H97" s="82"/>
      <c r="I97" s="14">
        <f>SUM(I94:I96)</f>
        <v>1993203.78413</v>
      </c>
      <c r="J97" s="14">
        <f>SUM(J94:J96)</f>
        <v>0</v>
      </c>
      <c r="K97" s="54">
        <f>J97/G97</f>
        <v>0</v>
      </c>
      <c r="L97" s="63">
        <v>1</v>
      </c>
    </row>
    <row r="98" spans="1:18" x14ac:dyDescent="0.25">
      <c r="A98" s="101">
        <f t="shared" si="1"/>
        <v>92</v>
      </c>
      <c r="D98" s="78" t="s">
        <v>19</v>
      </c>
      <c r="G98" s="83">
        <v>320544</v>
      </c>
      <c r="I98" s="50">
        <f>G98</f>
        <v>320544</v>
      </c>
      <c r="J98" s="50">
        <f>I98-G98</f>
        <v>0</v>
      </c>
      <c r="K98" s="51">
        <v>0</v>
      </c>
    </row>
    <row r="99" spans="1:18" x14ac:dyDescent="0.25">
      <c r="A99" s="101">
        <f t="shared" si="1"/>
        <v>93</v>
      </c>
      <c r="D99" s="78" t="s">
        <v>20</v>
      </c>
      <c r="G99" s="83">
        <v>225259</v>
      </c>
      <c r="I99" s="50">
        <f>G99</f>
        <v>225259</v>
      </c>
      <c r="J99" s="50">
        <f>I99-G99</f>
        <v>0</v>
      </c>
      <c r="K99" s="51">
        <v>0</v>
      </c>
    </row>
    <row r="100" spans="1:18" x14ac:dyDescent="0.25">
      <c r="A100" s="101">
        <f t="shared" si="1"/>
        <v>94</v>
      </c>
      <c r="D100" s="78" t="s">
        <v>22</v>
      </c>
      <c r="G100" s="83">
        <v>0</v>
      </c>
      <c r="I100" s="50">
        <f>G100</f>
        <v>0</v>
      </c>
      <c r="J100" s="50">
        <f>I100-G100</f>
        <v>0</v>
      </c>
      <c r="K100" s="51">
        <v>0</v>
      </c>
    </row>
    <row r="101" spans="1:18" x14ac:dyDescent="0.25">
      <c r="A101" s="101">
        <f t="shared" si="1"/>
        <v>95</v>
      </c>
      <c r="D101" s="78" t="s">
        <v>25</v>
      </c>
      <c r="G101" s="83">
        <v>0</v>
      </c>
      <c r="I101" s="50">
        <f>G101</f>
        <v>0</v>
      </c>
      <c r="J101" s="50"/>
      <c r="K101" s="51"/>
    </row>
    <row r="102" spans="1:18" x14ac:dyDescent="0.25">
      <c r="A102" s="101">
        <f t="shared" si="1"/>
        <v>96</v>
      </c>
      <c r="D102" s="84" t="s">
        <v>5</v>
      </c>
      <c r="E102" s="84"/>
      <c r="F102" s="84"/>
      <c r="G102" s="55">
        <f>SUM(G98:G101)</f>
        <v>545803</v>
      </c>
      <c r="H102" s="84"/>
      <c r="I102" s="55">
        <f>SUM(I98:I101)</f>
        <v>545803</v>
      </c>
      <c r="J102" s="55">
        <f>I102-G102</f>
        <v>0</v>
      </c>
      <c r="K102" s="56">
        <f>J102/G102</f>
        <v>0</v>
      </c>
    </row>
    <row r="103" spans="1:18" s="5" customFormat="1" ht="26.4" customHeight="1" thickBot="1" x14ac:dyDescent="0.35">
      <c r="A103" s="101">
        <f t="shared" si="1"/>
        <v>97</v>
      </c>
      <c r="B103" s="95"/>
      <c r="C103" s="103"/>
      <c r="D103" s="85" t="s">
        <v>15</v>
      </c>
      <c r="E103" s="85"/>
      <c r="F103" s="85"/>
      <c r="G103" s="86">
        <f>G102+G97</f>
        <v>2539006.78413</v>
      </c>
      <c r="H103" s="85"/>
      <c r="I103" s="57">
        <f>I102+I97</f>
        <v>2539006.78413</v>
      </c>
      <c r="J103" s="57">
        <f>I103-G103</f>
        <v>0</v>
      </c>
      <c r="K103" s="58">
        <f>J103/G103</f>
        <v>0</v>
      </c>
    </row>
    <row r="104" spans="1:18" ht="13.8" thickTop="1" x14ac:dyDescent="0.25">
      <c r="A104" s="101">
        <f t="shared" si="1"/>
        <v>98</v>
      </c>
      <c r="D104" s="78" t="s">
        <v>14</v>
      </c>
      <c r="E104" s="59">
        <f>E96/E94</f>
        <v>497262.70833333331</v>
      </c>
      <c r="G104" s="87">
        <f>G103/E94</f>
        <v>52895.974669374998</v>
      </c>
      <c r="I104" s="87">
        <f>I103/E94</f>
        <v>52895.974669374998</v>
      </c>
      <c r="J104" s="87">
        <f>I104-G104</f>
        <v>0</v>
      </c>
      <c r="K104" s="52">
        <f>J104/G104</f>
        <v>0</v>
      </c>
    </row>
    <row r="105" spans="1:18" ht="13.8" thickBot="1" x14ac:dyDescent="0.3">
      <c r="A105" s="101">
        <f t="shared" si="1"/>
        <v>99</v>
      </c>
    </row>
    <row r="106" spans="1:18" x14ac:dyDescent="0.25">
      <c r="A106" s="101">
        <f t="shared" si="1"/>
        <v>100</v>
      </c>
      <c r="B106" s="81" t="s">
        <v>95</v>
      </c>
      <c r="C106" s="102">
        <v>10</v>
      </c>
      <c r="D106" s="81"/>
      <c r="E106" s="81"/>
      <c r="F106" s="81"/>
      <c r="G106" s="81"/>
      <c r="H106" s="81"/>
      <c r="I106" s="81"/>
      <c r="J106" s="81"/>
      <c r="K106" s="81"/>
      <c r="Q106" s="5"/>
      <c r="R106" s="5"/>
    </row>
    <row r="107" spans="1:18" x14ac:dyDescent="0.25">
      <c r="A107" s="101">
        <f t="shared" si="1"/>
        <v>101</v>
      </c>
      <c r="C107" s="78"/>
      <c r="D107" s="78" t="s">
        <v>13</v>
      </c>
      <c r="E107" s="59">
        <v>12</v>
      </c>
      <c r="F107" s="51">
        <v>1182.76</v>
      </c>
      <c r="G107" s="50">
        <f>F107*E107</f>
        <v>14193.119999999999</v>
      </c>
      <c r="H107" s="51">
        <f>ROUND(F107*L110,2)</f>
        <v>1182.76</v>
      </c>
      <c r="I107" s="50">
        <f>H107*E107</f>
        <v>14193.119999999999</v>
      </c>
      <c r="J107" s="50">
        <f>I107-G107</f>
        <v>0</v>
      </c>
      <c r="K107" s="52">
        <f>IF(G107=0,0,J107/G107)</f>
        <v>0</v>
      </c>
      <c r="M107" s="4">
        <f>H107/F107-1</f>
        <v>0</v>
      </c>
      <c r="O107" s="15"/>
      <c r="Q107" s="5"/>
      <c r="R107" s="5"/>
    </row>
    <row r="108" spans="1:18" x14ac:dyDescent="0.25">
      <c r="A108" s="101">
        <f t="shared" si="1"/>
        <v>102</v>
      </c>
      <c r="D108" s="78" t="s">
        <v>33</v>
      </c>
      <c r="E108" s="59">
        <v>70387</v>
      </c>
      <c r="F108" s="51">
        <v>8.17</v>
      </c>
      <c r="G108" s="50">
        <f>F108*E108</f>
        <v>575061.79</v>
      </c>
      <c r="H108" s="51">
        <f>ROUND(F108*L110,2)</f>
        <v>8.17</v>
      </c>
      <c r="I108" s="50">
        <f>H108*E108</f>
        <v>575061.79</v>
      </c>
      <c r="J108" s="50">
        <f>I108-G108</f>
        <v>0</v>
      </c>
      <c r="K108" s="52">
        <f>IF(G108=0,0,J108/G108)</f>
        <v>0</v>
      </c>
      <c r="M108" s="4">
        <f>H108/F108-1</f>
        <v>0</v>
      </c>
      <c r="Q108" s="5"/>
      <c r="R108" s="5"/>
    </row>
    <row r="109" spans="1:18" x14ac:dyDescent="0.25">
      <c r="A109" s="101">
        <f t="shared" si="1"/>
        <v>103</v>
      </c>
      <c r="D109" s="78" t="s">
        <v>30</v>
      </c>
      <c r="E109" s="59">
        <v>35915472</v>
      </c>
      <c r="F109" s="53">
        <v>4.9105000000000003E-2</v>
      </c>
      <c r="G109" s="50">
        <f>F109*E109</f>
        <v>1763629.2525600002</v>
      </c>
      <c r="H109" s="88">
        <f>ROUND(F109*L110,6)</f>
        <v>4.9105000000000003E-2</v>
      </c>
      <c r="I109" s="50">
        <f>H109*E109</f>
        <v>1763629.2525600002</v>
      </c>
      <c r="J109" s="50">
        <f>I109-G109</f>
        <v>0</v>
      </c>
      <c r="K109" s="52">
        <f>IF(G109=0,0,J109/G109)</f>
        <v>0</v>
      </c>
      <c r="M109" s="4">
        <f>H109/F109-1</f>
        <v>0</v>
      </c>
      <c r="Q109" s="5"/>
      <c r="R109" s="5"/>
    </row>
    <row r="110" spans="1:18" s="5" customFormat="1" ht="20.399999999999999" customHeight="1" x14ac:dyDescent="0.3">
      <c r="A110" s="101">
        <f t="shared" si="1"/>
        <v>104</v>
      </c>
      <c r="B110" s="95"/>
      <c r="C110" s="103"/>
      <c r="D110" s="82" t="s">
        <v>4</v>
      </c>
      <c r="E110" s="82"/>
      <c r="F110" s="82"/>
      <c r="G110" s="14">
        <f>SUM(G107:G109)</f>
        <v>2352884.1625600001</v>
      </c>
      <c r="H110" s="82"/>
      <c r="I110" s="14">
        <f>SUM(I107:I109)</f>
        <v>2352884.1625600001</v>
      </c>
      <c r="J110" s="14">
        <f>SUM(J107:J109)</f>
        <v>0</v>
      </c>
      <c r="K110" s="54">
        <f>J110/G110</f>
        <v>0</v>
      </c>
      <c r="L110" s="63">
        <v>1</v>
      </c>
    </row>
    <row r="111" spans="1:18" x14ac:dyDescent="0.25">
      <c r="A111" s="101">
        <f t="shared" si="1"/>
        <v>105</v>
      </c>
      <c r="D111" s="78" t="s">
        <v>19</v>
      </c>
      <c r="G111" s="83">
        <v>487202</v>
      </c>
      <c r="I111" s="50">
        <f>G111</f>
        <v>487202</v>
      </c>
      <c r="J111" s="50">
        <f>I111-G111</f>
        <v>0</v>
      </c>
      <c r="K111" s="51">
        <v>0</v>
      </c>
      <c r="Q111" s="5"/>
      <c r="R111" s="5"/>
    </row>
    <row r="112" spans="1:18" x14ac:dyDescent="0.25">
      <c r="A112" s="101">
        <f t="shared" si="1"/>
        <v>106</v>
      </c>
      <c r="D112" s="78" t="s">
        <v>20</v>
      </c>
      <c r="G112" s="83">
        <v>301244</v>
      </c>
      <c r="I112" s="50">
        <f>G112</f>
        <v>301244</v>
      </c>
      <c r="J112" s="50">
        <f>I112-G112</f>
        <v>0</v>
      </c>
      <c r="K112" s="51">
        <v>0</v>
      </c>
      <c r="Q112" s="5"/>
      <c r="R112" s="5"/>
    </row>
    <row r="113" spans="1:18" x14ac:dyDescent="0.25">
      <c r="A113" s="101">
        <f t="shared" si="1"/>
        <v>107</v>
      </c>
      <c r="D113" s="78" t="s">
        <v>22</v>
      </c>
      <c r="G113" s="83">
        <v>0</v>
      </c>
      <c r="I113" s="50">
        <f>G113</f>
        <v>0</v>
      </c>
      <c r="J113" s="50">
        <f>I113-G113</f>
        <v>0</v>
      </c>
      <c r="K113" s="51">
        <v>0</v>
      </c>
    </row>
    <row r="114" spans="1:18" x14ac:dyDescent="0.25">
      <c r="A114" s="101">
        <f t="shared" si="1"/>
        <v>108</v>
      </c>
      <c r="D114" s="78" t="s">
        <v>25</v>
      </c>
      <c r="G114" s="83">
        <v>0</v>
      </c>
      <c r="I114" s="50">
        <f>G114</f>
        <v>0</v>
      </c>
      <c r="J114" s="50"/>
      <c r="K114" s="51"/>
    </row>
    <row r="115" spans="1:18" x14ac:dyDescent="0.25">
      <c r="A115" s="101">
        <f t="shared" si="1"/>
        <v>109</v>
      </c>
      <c r="D115" s="84" t="s">
        <v>5</v>
      </c>
      <c r="E115" s="84"/>
      <c r="F115" s="84"/>
      <c r="G115" s="55">
        <f>SUM(G111:G114)</f>
        <v>788446</v>
      </c>
      <c r="H115" s="84"/>
      <c r="I115" s="55">
        <f>SUM(I111:I114)</f>
        <v>788446</v>
      </c>
      <c r="J115" s="55">
        <f>I115-G115</f>
        <v>0</v>
      </c>
      <c r="K115" s="56">
        <f>J115/G115</f>
        <v>0</v>
      </c>
    </row>
    <row r="116" spans="1:18" s="5" customFormat="1" ht="26.4" customHeight="1" thickBot="1" x14ac:dyDescent="0.35">
      <c r="A116" s="101">
        <f t="shared" si="1"/>
        <v>110</v>
      </c>
      <c r="B116" s="95"/>
      <c r="C116" s="103"/>
      <c r="D116" s="85" t="s">
        <v>15</v>
      </c>
      <c r="E116" s="85"/>
      <c r="F116" s="85"/>
      <c r="G116" s="86">
        <f>G115+G110</f>
        <v>3141330.1625600001</v>
      </c>
      <c r="H116" s="85"/>
      <c r="I116" s="57">
        <f>I115+I110</f>
        <v>3141330.1625600001</v>
      </c>
      <c r="J116" s="57">
        <f>I116-G116</f>
        <v>0</v>
      </c>
      <c r="K116" s="58">
        <f>J116/G116</f>
        <v>0</v>
      </c>
    </row>
    <row r="117" spans="1:18" ht="13.8" thickTop="1" x14ac:dyDescent="0.25">
      <c r="A117" s="101">
        <f t="shared" si="1"/>
        <v>111</v>
      </c>
      <c r="E117" s="108">
        <f>E108/E107</f>
        <v>5865.583333333333</v>
      </c>
      <c r="F117" s="60"/>
      <c r="G117" s="60">
        <f>G116/E107</f>
        <v>261777.51354666668</v>
      </c>
      <c r="H117" s="60"/>
      <c r="I117" s="60">
        <f>I116/E107</f>
        <v>261777.51354666668</v>
      </c>
      <c r="J117" s="60">
        <f>I117-G117</f>
        <v>0</v>
      </c>
      <c r="K117" s="52"/>
    </row>
    <row r="118" spans="1:18" ht="13.8" thickBot="1" x14ac:dyDescent="0.3">
      <c r="A118" s="101">
        <f t="shared" si="1"/>
        <v>112</v>
      </c>
    </row>
    <row r="119" spans="1:18" x14ac:dyDescent="0.25">
      <c r="A119" s="101">
        <f t="shared" si="1"/>
        <v>113</v>
      </c>
      <c r="B119" s="81" t="s">
        <v>96</v>
      </c>
      <c r="C119" s="102">
        <v>14</v>
      </c>
      <c r="D119" s="81"/>
      <c r="E119" s="81"/>
      <c r="F119" s="81"/>
      <c r="G119" s="81"/>
      <c r="H119" s="81"/>
      <c r="I119" s="81"/>
      <c r="J119" s="81"/>
      <c r="K119" s="81"/>
    </row>
    <row r="120" spans="1:18" x14ac:dyDescent="0.25">
      <c r="A120" s="101">
        <f t="shared" si="1"/>
        <v>114</v>
      </c>
      <c r="C120" s="78"/>
      <c r="D120" s="78" t="s">
        <v>13</v>
      </c>
      <c r="E120" s="59">
        <v>12</v>
      </c>
      <c r="F120" s="51">
        <v>1333.43</v>
      </c>
      <c r="G120" s="50">
        <f>F120*E120</f>
        <v>16001.16</v>
      </c>
      <c r="H120" s="51">
        <f>ROUND(F120*L123,2)</f>
        <v>1333.43</v>
      </c>
      <c r="I120" s="50">
        <f>H120*E120</f>
        <v>16001.16</v>
      </c>
      <c r="J120" s="50">
        <f>I120-G120</f>
        <v>0</v>
      </c>
      <c r="K120" s="52">
        <f>IF(G120=0,0,J120/G120)</f>
        <v>0</v>
      </c>
      <c r="M120" s="4">
        <f>H120/F120-1</f>
        <v>0</v>
      </c>
    </row>
    <row r="121" spans="1:18" x14ac:dyDescent="0.25">
      <c r="A121" s="101">
        <f t="shared" si="1"/>
        <v>115</v>
      </c>
      <c r="D121" s="78" t="s">
        <v>33</v>
      </c>
      <c r="E121" s="59">
        <v>15247.800000000003</v>
      </c>
      <c r="F121" s="51">
        <v>8.0399999999999991</v>
      </c>
      <c r="G121" s="50">
        <f>F121*E121</f>
        <v>122592.31200000001</v>
      </c>
      <c r="H121" s="51">
        <f>ROUND(F121*L123,2)</f>
        <v>8.0399999999999991</v>
      </c>
      <c r="I121" s="50">
        <f>H121*E121</f>
        <v>122592.31200000001</v>
      </c>
      <c r="J121" s="50">
        <f>I121-G121</f>
        <v>0</v>
      </c>
      <c r="K121" s="52">
        <f>IF(G121=0,0,J121/G121)</f>
        <v>0</v>
      </c>
      <c r="M121" s="4">
        <f>H121/F121-1</f>
        <v>0</v>
      </c>
      <c r="Q121" s="5"/>
      <c r="R121" s="5"/>
    </row>
    <row r="122" spans="1:18" x14ac:dyDescent="0.25">
      <c r="A122" s="101">
        <f t="shared" si="1"/>
        <v>116</v>
      </c>
      <c r="B122" s="51"/>
      <c r="D122" s="78" t="s">
        <v>30</v>
      </c>
      <c r="E122" s="59">
        <v>7958400</v>
      </c>
      <c r="F122" s="53">
        <v>5.3488000000000001E-2</v>
      </c>
      <c r="G122" s="50">
        <f>F122*E122</f>
        <v>425678.89919999999</v>
      </c>
      <c r="H122" s="88">
        <f>ROUND(F122*L123,6)</f>
        <v>5.3488000000000001E-2</v>
      </c>
      <c r="I122" s="50">
        <f>H122*E122</f>
        <v>425678.89919999999</v>
      </c>
      <c r="J122" s="50">
        <f>I122-G122</f>
        <v>0</v>
      </c>
      <c r="K122" s="52">
        <f>IF(G122=0,0,J122/G122)</f>
        <v>0</v>
      </c>
      <c r="M122" s="4">
        <f>H122/F122-1</f>
        <v>0</v>
      </c>
    </row>
    <row r="123" spans="1:18" s="5" customFormat="1" ht="20.399999999999999" customHeight="1" x14ac:dyDescent="0.3">
      <c r="A123" s="101">
        <f t="shared" si="1"/>
        <v>117</v>
      </c>
      <c r="B123" s="95"/>
      <c r="C123" s="103"/>
      <c r="D123" s="82" t="s">
        <v>4</v>
      </c>
      <c r="E123" s="82"/>
      <c r="F123" s="82"/>
      <c r="G123" s="14">
        <f>SUM(G120:G122)</f>
        <v>564272.37119999994</v>
      </c>
      <c r="H123" s="82"/>
      <c r="I123" s="14">
        <f>SUM(I120:I122)</f>
        <v>564272.37119999994</v>
      </c>
      <c r="J123" s="14">
        <f>SUM(J120:J122)</f>
        <v>0</v>
      </c>
      <c r="K123" s="54">
        <f>J123/G123</f>
        <v>0</v>
      </c>
      <c r="L123" s="63">
        <v>1</v>
      </c>
    </row>
    <row r="124" spans="1:18" x14ac:dyDescent="0.25">
      <c r="A124" s="101">
        <f t="shared" si="1"/>
        <v>118</v>
      </c>
      <c r="D124" s="78" t="s">
        <v>19</v>
      </c>
      <c r="G124" s="83">
        <v>106967</v>
      </c>
      <c r="I124" s="50">
        <f>G124</f>
        <v>106967</v>
      </c>
      <c r="J124" s="50">
        <f>I124-G124</f>
        <v>0</v>
      </c>
      <c r="K124" s="51">
        <v>0</v>
      </c>
    </row>
    <row r="125" spans="1:18" x14ac:dyDescent="0.25">
      <c r="A125" s="101">
        <f t="shared" si="1"/>
        <v>119</v>
      </c>
      <c r="D125" s="78" t="s">
        <v>20</v>
      </c>
      <c r="G125" s="83">
        <v>71710</v>
      </c>
      <c r="I125" s="50">
        <f>G125</f>
        <v>71710</v>
      </c>
      <c r="J125" s="50">
        <f>I125-G125</f>
        <v>0</v>
      </c>
      <c r="K125" s="51">
        <v>0</v>
      </c>
    </row>
    <row r="126" spans="1:18" x14ac:dyDescent="0.25">
      <c r="A126" s="101">
        <f t="shared" si="1"/>
        <v>120</v>
      </c>
      <c r="D126" s="78" t="s">
        <v>26</v>
      </c>
      <c r="G126" s="83">
        <v>0</v>
      </c>
      <c r="I126" s="50">
        <f>G126</f>
        <v>0</v>
      </c>
      <c r="J126" s="50">
        <f>I126-G126</f>
        <v>0</v>
      </c>
      <c r="K126" s="51">
        <v>0</v>
      </c>
    </row>
    <row r="127" spans="1:18" x14ac:dyDescent="0.25">
      <c r="A127" s="101">
        <f t="shared" si="1"/>
        <v>121</v>
      </c>
      <c r="D127" s="78" t="s">
        <v>25</v>
      </c>
      <c r="G127" s="83">
        <v>0</v>
      </c>
      <c r="I127" s="50">
        <f>G127</f>
        <v>0</v>
      </c>
      <c r="J127" s="50"/>
      <c r="K127" s="51">
        <v>0</v>
      </c>
    </row>
    <row r="128" spans="1:18" x14ac:dyDescent="0.25">
      <c r="A128" s="101">
        <f t="shared" si="1"/>
        <v>122</v>
      </c>
      <c r="D128" s="84" t="s">
        <v>5</v>
      </c>
      <c r="E128" s="84"/>
      <c r="F128" s="84"/>
      <c r="G128" s="55">
        <f>SUM(G124:G127)</f>
        <v>178677</v>
      </c>
      <c r="H128" s="84"/>
      <c r="I128" s="55">
        <f>SUM(I124:I127)</f>
        <v>178677</v>
      </c>
      <c r="J128" s="55">
        <f>I128-G128</f>
        <v>0</v>
      </c>
      <c r="K128" s="56">
        <f>J128/G128</f>
        <v>0</v>
      </c>
    </row>
    <row r="129" spans="1:13" s="5" customFormat="1" ht="26.4" customHeight="1" thickBot="1" x14ac:dyDescent="0.35">
      <c r="A129" s="101">
        <f t="shared" si="1"/>
        <v>123</v>
      </c>
      <c r="B129" s="95"/>
      <c r="C129" s="103"/>
      <c r="D129" s="85" t="s">
        <v>15</v>
      </c>
      <c r="E129" s="85"/>
      <c r="F129" s="85"/>
      <c r="G129" s="86">
        <f>G128+G123</f>
        <v>742949.37119999994</v>
      </c>
      <c r="H129" s="85"/>
      <c r="I129" s="57">
        <f>I128+I123</f>
        <v>742949.37119999994</v>
      </c>
      <c r="J129" s="57">
        <f>I129-G129</f>
        <v>0</v>
      </c>
      <c r="K129" s="58">
        <f>J129/G129</f>
        <v>0</v>
      </c>
    </row>
    <row r="130" spans="1:13" ht="13.8" thickTop="1" x14ac:dyDescent="0.25">
      <c r="A130" s="101">
        <f t="shared" si="1"/>
        <v>124</v>
      </c>
      <c r="D130" s="78" t="s">
        <v>14</v>
      </c>
      <c r="E130" s="59">
        <f>E122/E120</f>
        <v>663200</v>
      </c>
      <c r="G130" s="87">
        <f>G129/E120</f>
        <v>61912.447599999992</v>
      </c>
      <c r="I130" s="87">
        <f>I129/E120</f>
        <v>61912.447599999992</v>
      </c>
      <c r="J130" s="87">
        <f>I130-G130</f>
        <v>0</v>
      </c>
      <c r="K130" s="52">
        <f>J130/G130</f>
        <v>0</v>
      </c>
    </row>
    <row r="131" spans="1:13" ht="13.8" thickBot="1" x14ac:dyDescent="0.3">
      <c r="A131" s="101">
        <f t="shared" si="1"/>
        <v>125</v>
      </c>
    </row>
    <row r="132" spans="1:13" x14ac:dyDescent="0.25">
      <c r="A132" s="101">
        <f t="shared" si="1"/>
        <v>126</v>
      </c>
      <c r="B132" s="81" t="s">
        <v>97</v>
      </c>
      <c r="C132" s="102">
        <v>15</v>
      </c>
      <c r="D132" s="81"/>
      <c r="E132" s="81"/>
      <c r="F132" s="81"/>
      <c r="G132" s="81"/>
      <c r="H132" s="81"/>
      <c r="I132" s="81"/>
      <c r="J132" s="81"/>
      <c r="K132" s="81"/>
    </row>
    <row r="133" spans="1:13" x14ac:dyDescent="0.25">
      <c r="A133" s="101">
        <f t="shared" si="1"/>
        <v>127</v>
      </c>
      <c r="C133" s="78"/>
      <c r="D133" s="78" t="s">
        <v>13</v>
      </c>
      <c r="E133" s="59">
        <v>48</v>
      </c>
      <c r="F133" s="51">
        <v>108.7</v>
      </c>
      <c r="G133" s="50">
        <f>F133*E133</f>
        <v>5217.6000000000004</v>
      </c>
      <c r="H133" s="51">
        <f>ROUND(F133*L136,2)</f>
        <v>108.7</v>
      </c>
      <c r="I133" s="50">
        <f>H133*E133</f>
        <v>5217.6000000000004</v>
      </c>
      <c r="J133" s="50">
        <f>I133-G133</f>
        <v>0</v>
      </c>
      <c r="K133" s="52">
        <f>IF(G133=0,0,J133/G133)</f>
        <v>0</v>
      </c>
    </row>
    <row r="134" spans="1:13" x14ac:dyDescent="0.25">
      <c r="A134" s="101">
        <f t="shared" si="1"/>
        <v>128</v>
      </c>
      <c r="D134" s="78" t="s">
        <v>33</v>
      </c>
      <c r="E134" s="59">
        <v>4927.6000000000004</v>
      </c>
      <c r="F134" s="51">
        <v>8.17</v>
      </c>
      <c r="G134" s="50">
        <f>F134*E134</f>
        <v>40258.492000000006</v>
      </c>
      <c r="H134" s="51">
        <f>ROUND(F134*L136,2)</f>
        <v>8.17</v>
      </c>
      <c r="I134" s="50">
        <f>H134*E134</f>
        <v>40258.492000000006</v>
      </c>
      <c r="J134" s="50">
        <f>I134-G134</f>
        <v>0</v>
      </c>
      <c r="K134" s="52">
        <f>IF(G134=0,0,J134/G134)</f>
        <v>0</v>
      </c>
      <c r="M134" s="4">
        <f>H134/F134-1</f>
        <v>0</v>
      </c>
    </row>
    <row r="135" spans="1:13" x14ac:dyDescent="0.25">
      <c r="A135" s="101">
        <f t="shared" si="1"/>
        <v>129</v>
      </c>
      <c r="D135" s="78" t="s">
        <v>30</v>
      </c>
      <c r="E135" s="59">
        <v>876204</v>
      </c>
      <c r="F135" s="53">
        <v>6.2945000000000001E-2</v>
      </c>
      <c r="G135" s="50">
        <f>F135*E135</f>
        <v>55152.660779999998</v>
      </c>
      <c r="H135" s="88">
        <f>ROUND(F135*L136,6)</f>
        <v>6.2945000000000001E-2</v>
      </c>
      <c r="I135" s="50">
        <f>H135*E135</f>
        <v>55152.660779999998</v>
      </c>
      <c r="J135" s="50">
        <f>I135-G135</f>
        <v>0</v>
      </c>
      <c r="K135" s="52">
        <f>IF(G135=0,0,J135/G135)</f>
        <v>0</v>
      </c>
      <c r="M135" s="4">
        <f>H135/F135-1</f>
        <v>0</v>
      </c>
    </row>
    <row r="136" spans="1:13" s="5" customFormat="1" ht="20.399999999999999" customHeight="1" x14ac:dyDescent="0.3">
      <c r="A136" s="101">
        <f t="shared" si="1"/>
        <v>130</v>
      </c>
      <c r="B136" s="95"/>
      <c r="C136" s="103"/>
      <c r="D136" s="82" t="s">
        <v>4</v>
      </c>
      <c r="E136" s="82"/>
      <c r="F136" s="82"/>
      <c r="G136" s="14">
        <f>SUM(G133:G135)</f>
        <v>100628.75278000001</v>
      </c>
      <c r="H136" s="82"/>
      <c r="I136" s="14">
        <f>SUM(I133:I135)</f>
        <v>100628.75278000001</v>
      </c>
      <c r="J136" s="14">
        <f>SUM(J133:J135)</f>
        <v>0</v>
      </c>
      <c r="K136" s="54">
        <f>J136/G136</f>
        <v>0</v>
      </c>
      <c r="L136" s="63">
        <v>1</v>
      </c>
    </row>
    <row r="137" spans="1:13" x14ac:dyDescent="0.25">
      <c r="A137" s="101">
        <f t="shared" ref="A137:A202" si="2">A136+1</f>
        <v>131</v>
      </c>
      <c r="D137" s="78" t="s">
        <v>19</v>
      </c>
      <c r="G137" s="83">
        <v>12044</v>
      </c>
      <c r="I137" s="50">
        <f>G137</f>
        <v>12044</v>
      </c>
      <c r="J137" s="50">
        <f>I137-G137</f>
        <v>0</v>
      </c>
      <c r="K137" s="51">
        <v>0</v>
      </c>
    </row>
    <row r="138" spans="1:13" x14ac:dyDescent="0.25">
      <c r="A138" s="101">
        <f t="shared" si="2"/>
        <v>132</v>
      </c>
      <c r="D138" s="78" t="s">
        <v>20</v>
      </c>
      <c r="G138" s="83">
        <v>11878</v>
      </c>
      <c r="I138" s="50">
        <f>G138</f>
        <v>11878</v>
      </c>
      <c r="J138" s="50">
        <f>I138-G138</f>
        <v>0</v>
      </c>
      <c r="K138" s="51">
        <v>0</v>
      </c>
    </row>
    <row r="139" spans="1:13" x14ac:dyDescent="0.25">
      <c r="A139" s="101">
        <f t="shared" si="2"/>
        <v>133</v>
      </c>
      <c r="D139" s="78" t="s">
        <v>22</v>
      </c>
      <c r="G139" s="83">
        <v>0</v>
      </c>
      <c r="I139" s="50">
        <f>G139</f>
        <v>0</v>
      </c>
      <c r="J139" s="50">
        <f>I139-G139</f>
        <v>0</v>
      </c>
      <c r="K139" s="51">
        <v>0</v>
      </c>
    </row>
    <row r="140" spans="1:13" x14ac:dyDescent="0.25">
      <c r="A140" s="101">
        <f t="shared" si="2"/>
        <v>134</v>
      </c>
      <c r="D140" s="78" t="s">
        <v>25</v>
      </c>
      <c r="G140" s="83">
        <v>0</v>
      </c>
      <c r="I140" s="50">
        <f>G140</f>
        <v>0</v>
      </c>
      <c r="J140" s="50"/>
      <c r="K140" s="51"/>
    </row>
    <row r="141" spans="1:13" x14ac:dyDescent="0.25">
      <c r="A141" s="101">
        <f t="shared" si="2"/>
        <v>135</v>
      </c>
      <c r="D141" s="84" t="s">
        <v>5</v>
      </c>
      <c r="E141" s="84"/>
      <c r="F141" s="84"/>
      <c r="G141" s="55">
        <f>SUM(G137:G140)</f>
        <v>23922</v>
      </c>
      <c r="H141" s="84"/>
      <c r="I141" s="55">
        <f>SUM(I137:I140)</f>
        <v>23922</v>
      </c>
      <c r="J141" s="55">
        <f>I141-G141</f>
        <v>0</v>
      </c>
      <c r="K141" s="56">
        <f>J141/G141</f>
        <v>0</v>
      </c>
    </row>
    <row r="142" spans="1:13" s="5" customFormat="1" ht="26.4" customHeight="1" thickBot="1" x14ac:dyDescent="0.35">
      <c r="A142" s="101">
        <f t="shared" si="2"/>
        <v>136</v>
      </c>
      <c r="B142" s="95"/>
      <c r="C142" s="103"/>
      <c r="D142" s="85" t="s">
        <v>15</v>
      </c>
      <c r="E142" s="85"/>
      <c r="F142" s="85"/>
      <c r="G142" s="86">
        <f>G141+G136</f>
        <v>124550.75278000001</v>
      </c>
      <c r="H142" s="85"/>
      <c r="I142" s="57">
        <f>I141+I136</f>
        <v>124550.75278000001</v>
      </c>
      <c r="J142" s="57">
        <f>I142-G142</f>
        <v>0</v>
      </c>
      <c r="K142" s="58">
        <f>J142/G142</f>
        <v>0</v>
      </c>
    </row>
    <row r="143" spans="1:13" ht="13.8" thickTop="1" x14ac:dyDescent="0.25">
      <c r="A143" s="101">
        <f t="shared" si="2"/>
        <v>137</v>
      </c>
      <c r="D143" s="78" t="s">
        <v>14</v>
      </c>
      <c r="E143" s="59">
        <f>E135/E133</f>
        <v>18254.25</v>
      </c>
      <c r="G143" s="87">
        <f>G142/E133</f>
        <v>2594.8073495833337</v>
      </c>
      <c r="I143" s="87">
        <f>I142/E133</f>
        <v>2594.8073495833337</v>
      </c>
      <c r="J143" s="87">
        <f>I143-G143</f>
        <v>0</v>
      </c>
      <c r="K143" s="52">
        <f>J143/G143</f>
        <v>0</v>
      </c>
    </row>
    <row r="144" spans="1:13" ht="13.8" thickBot="1" x14ac:dyDescent="0.3">
      <c r="A144" s="101">
        <f t="shared" si="2"/>
        <v>138</v>
      </c>
    </row>
    <row r="145" spans="1:13" hidden="1" x14ac:dyDescent="0.25">
      <c r="A145" s="101">
        <f>A130+1</f>
        <v>125</v>
      </c>
      <c r="B145" s="81" t="s">
        <v>103</v>
      </c>
      <c r="C145" s="102">
        <v>24</v>
      </c>
      <c r="D145" s="81"/>
      <c r="E145" s="81"/>
      <c r="F145" s="81"/>
      <c r="G145" s="81"/>
      <c r="H145" s="81"/>
      <c r="I145" s="81"/>
      <c r="J145" s="81"/>
      <c r="K145" s="81"/>
    </row>
    <row r="146" spans="1:13" hidden="1" x14ac:dyDescent="0.25">
      <c r="A146" s="101">
        <f t="shared" si="2"/>
        <v>126</v>
      </c>
      <c r="C146" s="78"/>
      <c r="D146" s="78" t="s">
        <v>13</v>
      </c>
      <c r="E146" s="59">
        <v>0</v>
      </c>
      <c r="F146" s="51">
        <v>3328.4</v>
      </c>
      <c r="G146" s="50">
        <f>F146*E146</f>
        <v>0</v>
      </c>
      <c r="H146" s="51">
        <f>ROUND(F146*L150,2)</f>
        <v>3328.4</v>
      </c>
      <c r="I146" s="50">
        <f>H146*E146</f>
        <v>0</v>
      </c>
      <c r="J146" s="50">
        <f>I146-G146</f>
        <v>0</v>
      </c>
      <c r="K146" s="52">
        <f>IF(G146=0,0,J146/G146)</f>
        <v>0</v>
      </c>
      <c r="M146" s="4">
        <f>H146/F146-1</f>
        <v>0</v>
      </c>
    </row>
    <row r="147" spans="1:13" hidden="1" x14ac:dyDescent="0.25">
      <c r="A147" s="101">
        <f t="shared" si="2"/>
        <v>127</v>
      </c>
      <c r="D147" s="78" t="s">
        <v>33</v>
      </c>
      <c r="E147" s="59">
        <v>0</v>
      </c>
      <c r="F147" s="51">
        <v>6.85</v>
      </c>
      <c r="G147" s="50">
        <f>F147*E147</f>
        <v>0</v>
      </c>
      <c r="H147" s="51">
        <f>ROUND(F147*L150,2)</f>
        <v>6.85</v>
      </c>
      <c r="I147" s="50">
        <f>H147*E147</f>
        <v>0</v>
      </c>
      <c r="J147" s="50">
        <f>I147-G147</f>
        <v>0</v>
      </c>
      <c r="K147" s="52">
        <f>IF(G147=0,0,J147/G147)</f>
        <v>0</v>
      </c>
      <c r="M147" s="4">
        <f>H147/F147-1</f>
        <v>0</v>
      </c>
    </row>
    <row r="148" spans="1:13" hidden="1" x14ac:dyDescent="0.25">
      <c r="A148" s="101">
        <f t="shared" si="2"/>
        <v>128</v>
      </c>
      <c r="D148" s="78" t="s">
        <v>31</v>
      </c>
      <c r="E148" s="59">
        <v>0</v>
      </c>
      <c r="F148" s="53">
        <v>5.9942000000000002E-2</v>
      </c>
      <c r="G148" s="50">
        <f>F148*E148</f>
        <v>0</v>
      </c>
      <c r="H148" s="88">
        <f>ROUND(F148*L150,6)</f>
        <v>5.9942000000000002E-2</v>
      </c>
      <c r="I148" s="50">
        <f>H148*E148</f>
        <v>0</v>
      </c>
      <c r="J148" s="50">
        <f>I148-G148</f>
        <v>0</v>
      </c>
      <c r="K148" s="52">
        <f>IF(G148=0,0,J148/G148)</f>
        <v>0</v>
      </c>
      <c r="M148" s="4">
        <f>H148/F148-1</f>
        <v>0</v>
      </c>
    </row>
    <row r="149" spans="1:13" hidden="1" x14ac:dyDescent="0.25">
      <c r="A149" s="101">
        <f t="shared" si="2"/>
        <v>129</v>
      </c>
      <c r="D149" s="78" t="s">
        <v>32</v>
      </c>
      <c r="E149" s="59">
        <v>0</v>
      </c>
      <c r="F149" s="53">
        <v>5.1219000000000001E-2</v>
      </c>
      <c r="G149" s="50">
        <f>F149*E149</f>
        <v>0</v>
      </c>
      <c r="H149" s="88">
        <f>ROUND(F149*L150,6)</f>
        <v>5.1219000000000001E-2</v>
      </c>
      <c r="I149" s="50">
        <f>H149*E149</f>
        <v>0</v>
      </c>
      <c r="J149" s="50">
        <f>I149-G149</f>
        <v>0</v>
      </c>
      <c r="K149" s="52">
        <f>IF(G149=0,0,J149/G149)</f>
        <v>0</v>
      </c>
      <c r="M149" s="4">
        <f>H149/F149-1</f>
        <v>0</v>
      </c>
    </row>
    <row r="150" spans="1:13" s="5" customFormat="1" ht="20.399999999999999" hidden="1" customHeight="1" x14ac:dyDescent="0.3">
      <c r="A150" s="101">
        <f t="shared" si="2"/>
        <v>130</v>
      </c>
      <c r="B150" s="95"/>
      <c r="C150" s="103"/>
      <c r="D150" s="82" t="s">
        <v>4</v>
      </c>
      <c r="E150" s="82"/>
      <c r="F150" s="82"/>
      <c r="G150" s="14">
        <f>SUM(G146:G149)</f>
        <v>0</v>
      </c>
      <c r="H150" s="82"/>
      <c r="I150" s="14">
        <f>SUM(I146:I149)</f>
        <v>0</v>
      </c>
      <c r="J150" s="14">
        <f>SUM(J146:J149)</f>
        <v>0</v>
      </c>
      <c r="K150" s="54" t="e">
        <f>J150/G150</f>
        <v>#DIV/0!</v>
      </c>
      <c r="L150" s="63">
        <v>1</v>
      </c>
    </row>
    <row r="151" spans="1:13" hidden="1" x14ac:dyDescent="0.25">
      <c r="A151" s="101">
        <f t="shared" si="2"/>
        <v>131</v>
      </c>
      <c r="D151" s="78" t="s">
        <v>19</v>
      </c>
      <c r="G151" s="83">
        <v>0</v>
      </c>
      <c r="I151" s="50">
        <f>G151</f>
        <v>0</v>
      </c>
      <c r="J151" s="50">
        <f>I151-G151</f>
        <v>0</v>
      </c>
      <c r="K151" s="51">
        <v>0</v>
      </c>
    </row>
    <row r="152" spans="1:13" hidden="1" x14ac:dyDescent="0.25">
      <c r="A152" s="101">
        <f t="shared" si="2"/>
        <v>132</v>
      </c>
      <c r="D152" s="78" t="s">
        <v>20</v>
      </c>
      <c r="G152" s="83">
        <v>0</v>
      </c>
      <c r="I152" s="50">
        <f>G152</f>
        <v>0</v>
      </c>
      <c r="J152" s="50">
        <f>I152-G152</f>
        <v>0</v>
      </c>
      <c r="K152" s="51">
        <v>0</v>
      </c>
    </row>
    <row r="153" spans="1:13" hidden="1" x14ac:dyDescent="0.25">
      <c r="A153" s="101">
        <f t="shared" si="2"/>
        <v>133</v>
      </c>
      <c r="D153" s="78" t="s">
        <v>22</v>
      </c>
      <c r="G153" s="83">
        <v>0</v>
      </c>
      <c r="I153" s="50">
        <f>G153</f>
        <v>0</v>
      </c>
      <c r="J153" s="50">
        <f>I153-G153</f>
        <v>0</v>
      </c>
      <c r="K153" s="51">
        <v>0</v>
      </c>
    </row>
    <row r="154" spans="1:13" hidden="1" x14ac:dyDescent="0.25">
      <c r="A154" s="101">
        <f t="shared" si="2"/>
        <v>134</v>
      </c>
      <c r="D154" s="78" t="s">
        <v>25</v>
      </c>
      <c r="G154" s="83">
        <v>0</v>
      </c>
      <c r="I154" s="50">
        <f>G154</f>
        <v>0</v>
      </c>
      <c r="J154" s="50"/>
      <c r="K154" s="51"/>
    </row>
    <row r="155" spans="1:13" hidden="1" x14ac:dyDescent="0.25">
      <c r="A155" s="101">
        <f t="shared" si="2"/>
        <v>135</v>
      </c>
      <c r="D155" s="84" t="s">
        <v>5</v>
      </c>
      <c r="E155" s="84"/>
      <c r="F155" s="84"/>
      <c r="G155" s="55">
        <f>SUM(G151:G154)</f>
        <v>0</v>
      </c>
      <c r="H155" s="84"/>
      <c r="I155" s="55">
        <f>SUM(I151:I154)</f>
        <v>0</v>
      </c>
      <c r="J155" s="55">
        <f>I155-G155</f>
        <v>0</v>
      </c>
      <c r="K155" s="56" t="e">
        <f>J155/G155</f>
        <v>#DIV/0!</v>
      </c>
    </row>
    <row r="156" spans="1:13" s="5" customFormat="1" ht="26.4" hidden="1" customHeight="1" thickBot="1" x14ac:dyDescent="0.35">
      <c r="A156" s="101">
        <f t="shared" si="2"/>
        <v>136</v>
      </c>
      <c r="B156" s="95"/>
      <c r="C156" s="103"/>
      <c r="D156" s="85" t="s">
        <v>15</v>
      </c>
      <c r="E156" s="85"/>
      <c r="F156" s="85"/>
      <c r="G156" s="86">
        <f>G155+G150</f>
        <v>0</v>
      </c>
      <c r="H156" s="85"/>
      <c r="I156" s="57">
        <f>I155+I150</f>
        <v>0</v>
      </c>
      <c r="J156" s="57">
        <f>I156-G156</f>
        <v>0</v>
      </c>
      <c r="K156" s="58" t="e">
        <f>J156/G156</f>
        <v>#DIV/0!</v>
      </c>
    </row>
    <row r="157" spans="1:13" ht="13.8" hidden="1" thickTop="1" x14ac:dyDescent="0.25">
      <c r="A157" s="101">
        <f t="shared" si="2"/>
        <v>137</v>
      </c>
      <c r="D157" s="78" t="s">
        <v>14</v>
      </c>
      <c r="E157" s="51" t="e">
        <f>(E148+E149)/E146</f>
        <v>#DIV/0!</v>
      </c>
      <c r="G157" s="87" t="e">
        <f>G156/E146</f>
        <v>#DIV/0!</v>
      </c>
      <c r="I157" s="87" t="e">
        <f>I156/E146</f>
        <v>#DIV/0!</v>
      </c>
      <c r="J157" s="87" t="e">
        <f>I157-G157</f>
        <v>#DIV/0!</v>
      </c>
      <c r="K157" s="52" t="e">
        <f>J157/G157</f>
        <v>#DIV/0!</v>
      </c>
    </row>
    <row r="158" spans="1:13" ht="13.8" hidden="1" thickBot="1" x14ac:dyDescent="0.3">
      <c r="A158" s="101">
        <f t="shared" si="2"/>
        <v>138</v>
      </c>
    </row>
    <row r="159" spans="1:13" x14ac:dyDescent="0.25">
      <c r="A159" s="101">
        <f>A144+1</f>
        <v>139</v>
      </c>
      <c r="B159" s="81" t="s">
        <v>98</v>
      </c>
      <c r="C159" s="102">
        <v>36</v>
      </c>
      <c r="D159" s="81"/>
      <c r="E159" s="81"/>
      <c r="F159" s="81"/>
      <c r="G159" s="81"/>
      <c r="H159" s="81"/>
      <c r="I159" s="81"/>
      <c r="J159" s="81"/>
      <c r="K159" s="81"/>
    </row>
    <row r="160" spans="1:13" x14ac:dyDescent="0.25">
      <c r="A160" s="101">
        <f t="shared" si="2"/>
        <v>140</v>
      </c>
      <c r="C160" s="78"/>
      <c r="D160" s="78" t="s">
        <v>13</v>
      </c>
      <c r="E160" s="59">
        <v>12</v>
      </c>
      <c r="F160" s="51">
        <v>3328.4</v>
      </c>
      <c r="G160" s="50">
        <f>F160*E160</f>
        <v>39940.800000000003</v>
      </c>
      <c r="H160" s="51">
        <f>ROUND(F160*L164,2)</f>
        <v>3328.4</v>
      </c>
      <c r="I160" s="50">
        <f>H160*E160</f>
        <v>39940.800000000003</v>
      </c>
      <c r="J160" s="50">
        <f>I160-G160</f>
        <v>0</v>
      </c>
      <c r="K160" s="52">
        <f>IF(G160=0,0,J160/G160)</f>
        <v>0</v>
      </c>
      <c r="M160" s="4">
        <f>H160/F160-1</f>
        <v>0</v>
      </c>
    </row>
    <row r="161" spans="1:13" x14ac:dyDescent="0.25">
      <c r="A161" s="101">
        <f t="shared" si="2"/>
        <v>141</v>
      </c>
      <c r="D161" s="78" t="s">
        <v>33</v>
      </c>
      <c r="E161" s="59">
        <f>25216.8+19904</f>
        <v>45120.800000000003</v>
      </c>
      <c r="F161" s="51">
        <v>6.85</v>
      </c>
      <c r="G161" s="50">
        <f>F161*E161</f>
        <v>309077.48</v>
      </c>
      <c r="H161" s="51">
        <f>ROUND(F161*L164,2)</f>
        <v>6.85</v>
      </c>
      <c r="I161" s="50">
        <f>H161*E161</f>
        <v>309077.48</v>
      </c>
      <c r="J161" s="50">
        <f>I161-G161</f>
        <v>0</v>
      </c>
      <c r="K161" s="52">
        <f>IF(G161=0,0,J161/G161)</f>
        <v>0</v>
      </c>
      <c r="M161" s="4">
        <f>H161/F161-1</f>
        <v>0</v>
      </c>
    </row>
    <row r="162" spans="1:13" x14ac:dyDescent="0.25">
      <c r="A162" s="101">
        <f t="shared" si="2"/>
        <v>142</v>
      </c>
      <c r="D162" s="78" t="s">
        <v>31</v>
      </c>
      <c r="E162" s="59">
        <f>5492092+4238553</f>
        <v>9730645</v>
      </c>
      <c r="F162" s="53">
        <v>5.9942000000000002E-2</v>
      </c>
      <c r="G162" s="50">
        <f>F162*E162</f>
        <v>583274.32259</v>
      </c>
      <c r="H162" s="88">
        <f>ROUND(F162*L164,6)</f>
        <v>5.9942000000000002E-2</v>
      </c>
      <c r="I162" s="50">
        <f>H162*E162</f>
        <v>583274.32259</v>
      </c>
      <c r="J162" s="50">
        <f>I162-G162</f>
        <v>0</v>
      </c>
      <c r="K162" s="52">
        <f>IF(G162=0,0,J162/G162)</f>
        <v>0</v>
      </c>
      <c r="M162" s="4">
        <f>H162/F162-1</f>
        <v>0</v>
      </c>
    </row>
    <row r="163" spans="1:13" x14ac:dyDescent="0.25">
      <c r="A163" s="101">
        <f t="shared" si="2"/>
        <v>143</v>
      </c>
      <c r="D163" s="78" t="s">
        <v>32</v>
      </c>
      <c r="E163" s="59">
        <f>5769063+5221769</f>
        <v>10990832</v>
      </c>
      <c r="F163" s="53">
        <v>5.1219000000000001E-2</v>
      </c>
      <c r="G163" s="50">
        <f>F163*E163</f>
        <v>562939.42420799995</v>
      </c>
      <c r="H163" s="88">
        <f>ROUND(F163*L164,6)</f>
        <v>5.1219000000000001E-2</v>
      </c>
      <c r="I163" s="50">
        <f>H163*E163</f>
        <v>562939.42420799995</v>
      </c>
      <c r="J163" s="50">
        <f>I163-G163</f>
        <v>0</v>
      </c>
      <c r="K163" s="52">
        <f>IF(G163=0,0,J163/G163)</f>
        <v>0</v>
      </c>
      <c r="M163" s="4">
        <f>H163/F163-1</f>
        <v>0</v>
      </c>
    </row>
    <row r="164" spans="1:13" s="5" customFormat="1" ht="20.399999999999999" customHeight="1" x14ac:dyDescent="0.3">
      <c r="A164" s="101">
        <f t="shared" si="2"/>
        <v>144</v>
      </c>
      <c r="B164" s="95"/>
      <c r="C164" s="103"/>
      <c r="D164" s="82" t="s">
        <v>4</v>
      </c>
      <c r="E164" s="82"/>
      <c r="F164" s="82"/>
      <c r="G164" s="14">
        <f>SUM(G160:G163)</f>
        <v>1495232.0267980001</v>
      </c>
      <c r="H164" s="82"/>
      <c r="I164" s="14">
        <f>SUM(I160:I163)</f>
        <v>1495232.0267980001</v>
      </c>
      <c r="J164" s="14">
        <f>SUM(J160:J163)</f>
        <v>0</v>
      </c>
      <c r="K164" s="54">
        <f>J164/G164</f>
        <v>0</v>
      </c>
      <c r="L164" s="63">
        <v>1</v>
      </c>
    </row>
    <row r="165" spans="1:13" x14ac:dyDescent="0.25">
      <c r="A165" s="101">
        <f t="shared" si="2"/>
        <v>145</v>
      </c>
      <c r="D165" s="78" t="s">
        <v>19</v>
      </c>
      <c r="G165" s="83">
        <f>181922.23+100817</f>
        <v>282739.23</v>
      </c>
      <c r="I165" s="50">
        <f>G165</f>
        <v>282739.23</v>
      </c>
      <c r="J165" s="50">
        <f>I165-G165</f>
        <v>0</v>
      </c>
      <c r="K165" s="51">
        <v>0</v>
      </c>
    </row>
    <row r="166" spans="1:13" x14ac:dyDescent="0.25">
      <c r="A166" s="101">
        <f t="shared" si="2"/>
        <v>146</v>
      </c>
      <c r="D166" s="78" t="s">
        <v>20</v>
      </c>
      <c r="G166" s="83">
        <f>108624.24+77680</f>
        <v>186304.24</v>
      </c>
      <c r="I166" s="50">
        <f>G166</f>
        <v>186304.24</v>
      </c>
      <c r="J166" s="50">
        <f>I166-G166</f>
        <v>0</v>
      </c>
      <c r="K166" s="51">
        <v>0</v>
      </c>
    </row>
    <row r="167" spans="1:13" x14ac:dyDescent="0.25">
      <c r="A167" s="101">
        <f t="shared" si="2"/>
        <v>147</v>
      </c>
      <c r="D167" s="78" t="s">
        <v>22</v>
      </c>
      <c r="G167" s="83">
        <v>0</v>
      </c>
      <c r="I167" s="50">
        <f>G167</f>
        <v>0</v>
      </c>
      <c r="J167" s="50">
        <f>I167-G167</f>
        <v>0</v>
      </c>
      <c r="K167" s="51">
        <v>0</v>
      </c>
    </row>
    <row r="168" spans="1:13" x14ac:dyDescent="0.25">
      <c r="A168" s="101">
        <f t="shared" si="2"/>
        <v>148</v>
      </c>
      <c r="D168" s="78" t="s">
        <v>25</v>
      </c>
      <c r="G168" s="83">
        <v>0</v>
      </c>
      <c r="I168" s="50">
        <f>G168</f>
        <v>0</v>
      </c>
      <c r="J168" s="50"/>
      <c r="K168" s="51"/>
    </row>
    <row r="169" spans="1:13" x14ac:dyDescent="0.25">
      <c r="A169" s="101">
        <f t="shared" si="2"/>
        <v>149</v>
      </c>
      <c r="D169" s="84" t="s">
        <v>5</v>
      </c>
      <c r="E169" s="84"/>
      <c r="F169" s="84"/>
      <c r="G169" s="55">
        <f>SUM(G165:G168)</f>
        <v>469043.47</v>
      </c>
      <c r="H169" s="84"/>
      <c r="I169" s="55">
        <f>SUM(I165:I168)</f>
        <v>469043.47</v>
      </c>
      <c r="J169" s="55">
        <f>I169-G169</f>
        <v>0</v>
      </c>
      <c r="K169" s="56">
        <f>J169/G169</f>
        <v>0</v>
      </c>
    </row>
    <row r="170" spans="1:13" s="5" customFormat="1" ht="26.4" customHeight="1" thickBot="1" x14ac:dyDescent="0.35">
      <c r="A170" s="101">
        <f t="shared" si="2"/>
        <v>150</v>
      </c>
      <c r="B170" s="95"/>
      <c r="C170" s="103"/>
      <c r="D170" s="85" t="s">
        <v>15</v>
      </c>
      <c r="E170" s="85"/>
      <c r="F170" s="85"/>
      <c r="G170" s="86">
        <f>G169+G164</f>
        <v>1964275.4967980001</v>
      </c>
      <c r="H170" s="85"/>
      <c r="I170" s="57">
        <f>I169+I164</f>
        <v>1964275.4967980001</v>
      </c>
      <c r="J170" s="57">
        <f>I170-G170</f>
        <v>0</v>
      </c>
      <c r="K170" s="58">
        <f>J170/G170</f>
        <v>0</v>
      </c>
    </row>
    <row r="171" spans="1:13" ht="13.8" thickTop="1" x14ac:dyDescent="0.25">
      <c r="A171" s="101">
        <f t="shared" si="2"/>
        <v>151</v>
      </c>
      <c r="D171" s="78" t="s">
        <v>14</v>
      </c>
      <c r="E171" s="59">
        <f>(E162+E163)/E160</f>
        <v>1726789.75</v>
      </c>
      <c r="G171" s="87">
        <f>G170/E160</f>
        <v>163689.62473316668</v>
      </c>
      <c r="I171" s="87">
        <f>I170/E160</f>
        <v>163689.62473316668</v>
      </c>
      <c r="J171" s="87">
        <f>I171-G171</f>
        <v>0</v>
      </c>
      <c r="K171" s="52">
        <f>J171/G171</f>
        <v>0</v>
      </c>
    </row>
    <row r="172" spans="1:13" ht="13.8" thickBot="1" x14ac:dyDescent="0.3">
      <c r="A172" s="101">
        <f t="shared" si="2"/>
        <v>152</v>
      </c>
    </row>
    <row r="173" spans="1:13" x14ac:dyDescent="0.25">
      <c r="A173" s="101">
        <f t="shared" si="2"/>
        <v>153</v>
      </c>
      <c r="B173" s="81" t="s">
        <v>39</v>
      </c>
      <c r="C173" s="102">
        <v>50</v>
      </c>
      <c r="D173" s="81"/>
      <c r="E173" s="81"/>
      <c r="F173" s="81"/>
      <c r="G173" s="81"/>
      <c r="H173" s="81"/>
      <c r="I173" s="81"/>
      <c r="J173" s="81"/>
      <c r="K173" s="81"/>
    </row>
    <row r="174" spans="1:13" x14ac:dyDescent="0.25">
      <c r="A174" s="101">
        <f t="shared" si="2"/>
        <v>154</v>
      </c>
      <c r="C174" s="78"/>
      <c r="D174" s="78" t="s">
        <v>66</v>
      </c>
      <c r="E174" s="59">
        <v>0</v>
      </c>
      <c r="F174" s="51">
        <v>22.07</v>
      </c>
      <c r="G174" s="50">
        <f>F174*E174</f>
        <v>0</v>
      </c>
      <c r="H174" s="51">
        <f>F174*L178</f>
        <v>22.07</v>
      </c>
      <c r="I174" s="50">
        <f>H174*E174</f>
        <v>0</v>
      </c>
      <c r="J174" s="50">
        <f>I174-G174</f>
        <v>0</v>
      </c>
      <c r="K174" s="52">
        <f>IF(G174=0,0,J174/G174)</f>
        <v>0</v>
      </c>
      <c r="M174" s="4">
        <f>H174/F174-1</f>
        <v>0</v>
      </c>
    </row>
    <row r="175" spans="1:13" x14ac:dyDescent="0.25">
      <c r="A175" s="101">
        <f t="shared" si="2"/>
        <v>155</v>
      </c>
      <c r="C175" s="78"/>
      <c r="D175" s="78" t="s">
        <v>67</v>
      </c>
      <c r="E175" s="59">
        <v>73</v>
      </c>
      <c r="F175" s="51">
        <v>108.7</v>
      </c>
      <c r="G175" s="50">
        <f>F175*E175</f>
        <v>7935.1</v>
      </c>
      <c r="H175" s="51">
        <f>ROUND(F175*L178,2)</f>
        <v>108.7</v>
      </c>
      <c r="I175" s="50">
        <f>H175*E175</f>
        <v>7935.1</v>
      </c>
      <c r="J175" s="50">
        <f>I175-G175</f>
        <v>0</v>
      </c>
      <c r="K175" s="52">
        <f>IF(G175=0,0,J175/G175)</f>
        <v>0</v>
      </c>
      <c r="M175" s="4">
        <f>H175/F175-1</f>
        <v>0</v>
      </c>
    </row>
    <row r="176" spans="1:13" x14ac:dyDescent="0.25">
      <c r="A176" s="101">
        <f t="shared" si="2"/>
        <v>156</v>
      </c>
      <c r="D176" s="78" t="s">
        <v>31</v>
      </c>
      <c r="E176" s="59">
        <v>139768</v>
      </c>
      <c r="F176" s="53">
        <v>0.117773</v>
      </c>
      <c r="G176" s="50">
        <f>F176*E176</f>
        <v>16460.896664</v>
      </c>
      <c r="H176" s="88">
        <f>ROUND(F176*L178,6)</f>
        <v>0.117773</v>
      </c>
      <c r="I176" s="50">
        <f>H176*E176</f>
        <v>16460.896664</v>
      </c>
      <c r="J176" s="50">
        <f>I176-G176</f>
        <v>0</v>
      </c>
      <c r="K176" s="52">
        <f>IF(G176=0,0,J176/G176)</f>
        <v>0</v>
      </c>
      <c r="M176" s="4">
        <f>H176/F176-1</f>
        <v>0</v>
      </c>
    </row>
    <row r="177" spans="1:15" x14ac:dyDescent="0.25">
      <c r="A177" s="101">
        <f t="shared" si="2"/>
        <v>157</v>
      </c>
      <c r="D177" s="78" t="s">
        <v>32</v>
      </c>
      <c r="E177" s="59">
        <v>78956</v>
      </c>
      <c r="F177" s="53">
        <v>5.7891999999999999E-2</v>
      </c>
      <c r="G177" s="50">
        <f>F177*E177</f>
        <v>4570.920752</v>
      </c>
      <c r="H177" s="88">
        <f>ROUND(F177*L178,6)</f>
        <v>5.7891999999999999E-2</v>
      </c>
      <c r="I177" s="50">
        <f>H177*E177</f>
        <v>4570.920752</v>
      </c>
      <c r="J177" s="50">
        <f>I177-G177</f>
        <v>0</v>
      </c>
      <c r="K177" s="52">
        <f>IF(G177=0,0,J177/G177)</f>
        <v>0</v>
      </c>
      <c r="M177" s="4">
        <f>H177/F177-1</f>
        <v>0</v>
      </c>
    </row>
    <row r="178" spans="1:15" s="5" customFormat="1" ht="20.399999999999999" customHeight="1" x14ac:dyDescent="0.3">
      <c r="A178" s="101">
        <f t="shared" si="2"/>
        <v>158</v>
      </c>
      <c r="B178" s="95"/>
      <c r="C178" s="103"/>
      <c r="D178" s="82" t="s">
        <v>4</v>
      </c>
      <c r="E178" s="82"/>
      <c r="F178" s="82"/>
      <c r="G178" s="14">
        <f>SUM(G175:G177)</f>
        <v>28966.917415999997</v>
      </c>
      <c r="H178" s="82"/>
      <c r="I178" s="14">
        <f>SUM(I175:I177)</f>
        <v>28966.917415999997</v>
      </c>
      <c r="J178" s="14">
        <f>SUM(J175:J177)</f>
        <v>0</v>
      </c>
      <c r="K178" s="54">
        <f>J178/G178</f>
        <v>0</v>
      </c>
      <c r="L178" s="63">
        <v>1</v>
      </c>
    </row>
    <row r="179" spans="1:15" x14ac:dyDescent="0.25">
      <c r="A179" s="101">
        <f t="shared" si="2"/>
        <v>159</v>
      </c>
      <c r="D179" s="78" t="s">
        <v>19</v>
      </c>
      <c r="G179" s="83">
        <v>2921</v>
      </c>
      <c r="I179" s="50">
        <f>G179</f>
        <v>2921</v>
      </c>
      <c r="J179" s="50">
        <f>I179-G179</f>
        <v>0</v>
      </c>
      <c r="K179" s="51">
        <v>0</v>
      </c>
    </row>
    <row r="180" spans="1:15" x14ac:dyDescent="0.25">
      <c r="A180" s="101">
        <f t="shared" si="2"/>
        <v>160</v>
      </c>
      <c r="D180" s="78" t="s">
        <v>20</v>
      </c>
      <c r="G180" s="83">
        <v>3411</v>
      </c>
      <c r="I180" s="50">
        <f>G180</f>
        <v>3411</v>
      </c>
      <c r="J180" s="50">
        <f>I180-G180</f>
        <v>0</v>
      </c>
      <c r="K180" s="51">
        <v>0</v>
      </c>
    </row>
    <row r="181" spans="1:15" x14ac:dyDescent="0.25">
      <c r="A181" s="101">
        <f t="shared" si="2"/>
        <v>161</v>
      </c>
      <c r="D181" s="78" t="s">
        <v>22</v>
      </c>
      <c r="G181" s="83">
        <v>0</v>
      </c>
      <c r="I181" s="50">
        <f>G181</f>
        <v>0</v>
      </c>
      <c r="J181" s="50">
        <f>I181-G181</f>
        <v>0</v>
      </c>
      <c r="K181" s="51">
        <v>0</v>
      </c>
    </row>
    <row r="182" spans="1:15" x14ac:dyDescent="0.25">
      <c r="A182" s="101">
        <f t="shared" si="2"/>
        <v>162</v>
      </c>
      <c r="D182" s="78" t="s">
        <v>25</v>
      </c>
      <c r="G182" s="83">
        <v>0</v>
      </c>
      <c r="I182" s="50">
        <f>G182</f>
        <v>0</v>
      </c>
      <c r="J182" s="50"/>
      <c r="K182" s="51"/>
    </row>
    <row r="183" spans="1:15" x14ac:dyDescent="0.25">
      <c r="A183" s="101">
        <f t="shared" si="2"/>
        <v>163</v>
      </c>
      <c r="D183" s="84" t="s">
        <v>5</v>
      </c>
      <c r="E183" s="84"/>
      <c r="F183" s="84"/>
      <c r="G183" s="55">
        <f>SUM(G179:G182)</f>
        <v>6332</v>
      </c>
      <c r="H183" s="84"/>
      <c r="I183" s="55">
        <f>SUM(I179:I182)</f>
        <v>6332</v>
      </c>
      <c r="J183" s="55">
        <f>I183-G183</f>
        <v>0</v>
      </c>
      <c r="K183" s="56">
        <f>J183/G183</f>
        <v>0</v>
      </c>
    </row>
    <row r="184" spans="1:15" s="5" customFormat="1" ht="26.4" customHeight="1" thickBot="1" x14ac:dyDescent="0.35">
      <c r="A184" s="101">
        <f t="shared" si="2"/>
        <v>164</v>
      </c>
      <c r="B184" s="95"/>
      <c r="C184" s="103"/>
      <c r="D184" s="85" t="s">
        <v>15</v>
      </c>
      <c r="E184" s="85"/>
      <c r="F184" s="85"/>
      <c r="G184" s="86">
        <f>G183+G178</f>
        <v>35298.917415999997</v>
      </c>
      <c r="H184" s="85"/>
      <c r="I184" s="57">
        <f>I183+I178</f>
        <v>35298.917415999997</v>
      </c>
      <c r="J184" s="57">
        <f>I184-G184</f>
        <v>0</v>
      </c>
      <c r="K184" s="58">
        <f>J184/G184</f>
        <v>0</v>
      </c>
    </row>
    <row r="185" spans="1:15" ht="13.8" thickTop="1" x14ac:dyDescent="0.25">
      <c r="A185" s="101">
        <f t="shared" si="2"/>
        <v>165</v>
      </c>
      <c r="D185" s="78" t="s">
        <v>14</v>
      </c>
      <c r="E185" s="59">
        <f>(E176+E177)/E175</f>
        <v>2996.2191780821918</v>
      </c>
      <c r="G185" s="87">
        <f>G184/E175</f>
        <v>483.54681391780815</v>
      </c>
      <c r="I185" s="87">
        <f>I184/E175</f>
        <v>483.54681391780815</v>
      </c>
      <c r="J185" s="87">
        <f>I185-G185</f>
        <v>0</v>
      </c>
      <c r="K185" s="52">
        <f>J185/G185</f>
        <v>0</v>
      </c>
    </row>
    <row r="186" spans="1:15" ht="13.8" thickBot="1" x14ac:dyDescent="0.3">
      <c r="A186" s="101">
        <f t="shared" si="2"/>
        <v>166</v>
      </c>
    </row>
    <row r="187" spans="1:15" x14ac:dyDescent="0.25">
      <c r="A187" s="101">
        <f t="shared" si="2"/>
        <v>167</v>
      </c>
      <c r="B187" s="81" t="s">
        <v>107</v>
      </c>
      <c r="C187" s="102"/>
      <c r="D187" s="81"/>
      <c r="E187" s="81"/>
      <c r="F187" s="81"/>
      <c r="G187" s="81"/>
      <c r="H187" s="81"/>
      <c r="I187" s="81"/>
      <c r="J187" s="81"/>
      <c r="K187" s="81"/>
    </row>
    <row r="188" spans="1:15" x14ac:dyDescent="0.25">
      <c r="A188" s="101">
        <f t="shared" si="2"/>
        <v>168</v>
      </c>
      <c r="B188" s="89"/>
      <c r="C188" s="83"/>
      <c r="D188" s="78" t="s">
        <v>41</v>
      </c>
      <c r="E188" s="59">
        <v>30611</v>
      </c>
      <c r="F188" s="51">
        <v>9.77</v>
      </c>
      <c r="G188" s="50">
        <f t="shared" ref="G188:G201" si="3">F188*E188</f>
        <v>299069.46999999997</v>
      </c>
      <c r="H188" s="51">
        <f t="shared" ref="H188:H201" si="4">ROUND(F188*L$202,2)</f>
        <v>9.77</v>
      </c>
      <c r="I188" s="50">
        <f t="shared" ref="I188:I201" si="5">H188*E188</f>
        <v>299069.46999999997</v>
      </c>
      <c r="J188" s="50">
        <f t="shared" ref="J188:J201" si="6">I188-G188</f>
        <v>0</v>
      </c>
      <c r="K188" s="52">
        <f t="shared" ref="K188:K201" si="7">IF(G188=0,0,J188/G188)</f>
        <v>0</v>
      </c>
      <c r="M188" s="4">
        <f t="shared" ref="M188:M201" si="8">H188/F188-1</f>
        <v>0</v>
      </c>
      <c r="O188" s="10">
        <f t="shared" ref="O188:O202" si="9">G188/12</f>
        <v>24922.45583333333</v>
      </c>
    </row>
    <row r="189" spans="1:15" x14ac:dyDescent="0.25">
      <c r="A189" s="101">
        <f t="shared" si="2"/>
        <v>169</v>
      </c>
      <c r="B189" s="89"/>
      <c r="C189" s="83"/>
      <c r="D189" s="78" t="s">
        <v>42</v>
      </c>
      <c r="E189" s="59">
        <v>594</v>
      </c>
      <c r="F189" s="51">
        <v>3.26</v>
      </c>
      <c r="G189" s="50">
        <f t="shared" si="3"/>
        <v>1936.4399999999998</v>
      </c>
      <c r="H189" s="51">
        <f t="shared" si="4"/>
        <v>3.26</v>
      </c>
      <c r="I189" s="50">
        <f t="shared" si="5"/>
        <v>1936.4399999999998</v>
      </c>
      <c r="J189" s="50">
        <f t="shared" si="6"/>
        <v>0</v>
      </c>
      <c r="K189" s="52">
        <f t="shared" si="7"/>
        <v>0</v>
      </c>
      <c r="M189" s="4">
        <f t="shared" si="8"/>
        <v>0</v>
      </c>
      <c r="O189" s="10">
        <f t="shared" si="9"/>
        <v>161.36999999999998</v>
      </c>
    </row>
    <row r="190" spans="1:15" x14ac:dyDescent="0.25">
      <c r="A190" s="101">
        <f t="shared" si="2"/>
        <v>170</v>
      </c>
      <c r="B190" s="89"/>
      <c r="C190" s="83"/>
      <c r="D190" s="78" t="s">
        <v>43</v>
      </c>
      <c r="E190" s="59">
        <v>222</v>
      </c>
      <c r="F190" s="51">
        <v>11.11</v>
      </c>
      <c r="G190" s="50">
        <f t="shared" si="3"/>
        <v>2466.42</v>
      </c>
      <c r="H190" s="51">
        <f t="shared" si="4"/>
        <v>11.11</v>
      </c>
      <c r="I190" s="50">
        <f t="shared" si="5"/>
        <v>2466.42</v>
      </c>
      <c r="J190" s="50">
        <f t="shared" si="6"/>
        <v>0</v>
      </c>
      <c r="K190" s="52">
        <f t="shared" si="7"/>
        <v>0</v>
      </c>
      <c r="M190" s="4">
        <f t="shared" si="8"/>
        <v>0</v>
      </c>
      <c r="O190" s="10">
        <f t="shared" si="9"/>
        <v>205.535</v>
      </c>
    </row>
    <row r="191" spans="1:15" x14ac:dyDescent="0.25">
      <c r="A191" s="101">
        <f t="shared" si="2"/>
        <v>171</v>
      </c>
      <c r="B191" s="89"/>
      <c r="C191" s="83"/>
      <c r="D191" s="78" t="s">
        <v>44</v>
      </c>
      <c r="E191" s="59">
        <v>199</v>
      </c>
      <c r="F191" s="51">
        <v>16.87</v>
      </c>
      <c r="G191" s="50">
        <f t="shared" si="3"/>
        <v>3357.13</v>
      </c>
      <c r="H191" s="51">
        <f t="shared" si="4"/>
        <v>16.87</v>
      </c>
      <c r="I191" s="50">
        <f t="shared" si="5"/>
        <v>3357.13</v>
      </c>
      <c r="J191" s="50">
        <f t="shared" si="6"/>
        <v>0</v>
      </c>
      <c r="K191" s="52">
        <f t="shared" si="7"/>
        <v>0</v>
      </c>
      <c r="M191" s="4">
        <f t="shared" si="8"/>
        <v>0</v>
      </c>
      <c r="O191" s="10">
        <f t="shared" si="9"/>
        <v>279.76083333333332</v>
      </c>
    </row>
    <row r="192" spans="1:15" x14ac:dyDescent="0.25">
      <c r="A192" s="101">
        <f t="shared" si="2"/>
        <v>172</v>
      </c>
      <c r="B192" s="89"/>
      <c r="C192" s="83"/>
      <c r="D192" s="78" t="s">
        <v>45</v>
      </c>
      <c r="E192" s="59">
        <v>36</v>
      </c>
      <c r="F192" s="51">
        <v>29.59</v>
      </c>
      <c r="G192" s="50">
        <f t="shared" si="3"/>
        <v>1065.24</v>
      </c>
      <c r="H192" s="51">
        <f t="shared" si="4"/>
        <v>29.59</v>
      </c>
      <c r="I192" s="50">
        <f t="shared" si="5"/>
        <v>1065.24</v>
      </c>
      <c r="J192" s="50">
        <f t="shared" si="6"/>
        <v>0</v>
      </c>
      <c r="K192" s="52">
        <f t="shared" si="7"/>
        <v>0</v>
      </c>
      <c r="M192" s="4">
        <f t="shared" si="8"/>
        <v>0</v>
      </c>
      <c r="O192" s="10">
        <f t="shared" si="9"/>
        <v>88.77</v>
      </c>
    </row>
    <row r="193" spans="1:15" x14ac:dyDescent="0.25">
      <c r="A193" s="101">
        <f t="shared" si="2"/>
        <v>173</v>
      </c>
      <c r="B193" s="89"/>
      <c r="C193" s="83"/>
      <c r="D193" s="78" t="s">
        <v>40</v>
      </c>
      <c r="E193" s="59">
        <v>3641</v>
      </c>
      <c r="F193" s="51">
        <v>10.17</v>
      </c>
      <c r="G193" s="50">
        <f t="shared" si="3"/>
        <v>37028.97</v>
      </c>
      <c r="H193" s="51">
        <f t="shared" si="4"/>
        <v>10.17</v>
      </c>
      <c r="I193" s="50">
        <f t="shared" si="5"/>
        <v>37028.97</v>
      </c>
      <c r="J193" s="50">
        <f t="shared" si="6"/>
        <v>0</v>
      </c>
      <c r="K193" s="52">
        <f t="shared" si="7"/>
        <v>0</v>
      </c>
      <c r="M193" s="4">
        <f t="shared" si="8"/>
        <v>0</v>
      </c>
      <c r="O193" s="10">
        <f t="shared" si="9"/>
        <v>3085.7474999999999</v>
      </c>
    </row>
    <row r="194" spans="1:15" x14ac:dyDescent="0.25">
      <c r="A194" s="101">
        <f t="shared" si="2"/>
        <v>174</v>
      </c>
      <c r="B194" s="89"/>
      <c r="C194" s="83"/>
      <c r="D194" s="78" t="s">
        <v>46</v>
      </c>
      <c r="E194" s="59">
        <v>21</v>
      </c>
      <c r="F194" s="51">
        <v>11.84</v>
      </c>
      <c r="G194" s="50">
        <f t="shared" si="3"/>
        <v>248.64</v>
      </c>
      <c r="H194" s="51">
        <f t="shared" si="4"/>
        <v>11.84</v>
      </c>
      <c r="I194" s="50">
        <f t="shared" si="5"/>
        <v>248.64</v>
      </c>
      <c r="J194" s="50">
        <f t="shared" si="6"/>
        <v>0</v>
      </c>
      <c r="K194" s="52">
        <f t="shared" si="7"/>
        <v>0</v>
      </c>
      <c r="M194" s="4">
        <f t="shared" si="8"/>
        <v>0</v>
      </c>
      <c r="O194" s="10">
        <f t="shared" si="9"/>
        <v>20.72</v>
      </c>
    </row>
    <row r="195" spans="1:15" x14ac:dyDescent="0.25">
      <c r="A195" s="101">
        <f t="shared" si="2"/>
        <v>175</v>
      </c>
      <c r="B195" s="89"/>
      <c r="C195" s="83"/>
      <c r="D195" s="78" t="s">
        <v>47</v>
      </c>
      <c r="E195" s="59">
        <v>258</v>
      </c>
      <c r="F195" s="51">
        <v>16.059999999999999</v>
      </c>
      <c r="G195" s="50">
        <f t="shared" si="3"/>
        <v>4143.4799999999996</v>
      </c>
      <c r="H195" s="51">
        <f t="shared" si="4"/>
        <v>16.059999999999999</v>
      </c>
      <c r="I195" s="50">
        <f t="shared" si="5"/>
        <v>4143.4799999999996</v>
      </c>
      <c r="J195" s="50">
        <f t="shared" si="6"/>
        <v>0</v>
      </c>
      <c r="K195" s="52">
        <f t="shared" si="7"/>
        <v>0</v>
      </c>
      <c r="M195" s="4">
        <f t="shared" si="8"/>
        <v>0</v>
      </c>
      <c r="O195" s="10">
        <f t="shared" si="9"/>
        <v>345.28999999999996</v>
      </c>
    </row>
    <row r="196" spans="1:15" x14ac:dyDescent="0.25">
      <c r="A196" s="101">
        <f t="shared" si="2"/>
        <v>176</v>
      </c>
      <c r="B196" s="89"/>
      <c r="C196" s="83"/>
      <c r="D196" s="78" t="s">
        <v>48</v>
      </c>
      <c r="E196" s="59">
        <v>1349</v>
      </c>
      <c r="F196" s="51">
        <v>20.63</v>
      </c>
      <c r="G196" s="50">
        <f t="shared" si="3"/>
        <v>27829.87</v>
      </c>
      <c r="H196" s="51">
        <f t="shared" si="4"/>
        <v>20.63</v>
      </c>
      <c r="I196" s="50">
        <f t="shared" si="5"/>
        <v>27829.87</v>
      </c>
      <c r="J196" s="50">
        <f t="shared" si="6"/>
        <v>0</v>
      </c>
      <c r="K196" s="52">
        <f t="shared" si="7"/>
        <v>0</v>
      </c>
      <c r="M196" s="4">
        <f t="shared" si="8"/>
        <v>0</v>
      </c>
      <c r="O196" s="10">
        <f t="shared" si="9"/>
        <v>2319.1558333333332</v>
      </c>
    </row>
    <row r="197" spans="1:15" x14ac:dyDescent="0.25">
      <c r="A197" s="101">
        <f t="shared" si="2"/>
        <v>177</v>
      </c>
      <c r="B197" s="89"/>
      <c r="C197" s="83"/>
      <c r="D197" s="78" t="s">
        <v>49</v>
      </c>
      <c r="E197" s="59">
        <v>0</v>
      </c>
      <c r="F197" s="51">
        <v>44.63</v>
      </c>
      <c r="G197" s="50">
        <f t="shared" si="3"/>
        <v>0</v>
      </c>
      <c r="H197" s="51">
        <f t="shared" si="4"/>
        <v>44.63</v>
      </c>
      <c r="I197" s="50">
        <f t="shared" si="5"/>
        <v>0</v>
      </c>
      <c r="J197" s="50">
        <f t="shared" si="6"/>
        <v>0</v>
      </c>
      <c r="K197" s="52">
        <f t="shared" si="7"/>
        <v>0</v>
      </c>
      <c r="M197" s="4">
        <f t="shared" si="8"/>
        <v>0</v>
      </c>
      <c r="O197" s="10">
        <f t="shared" si="9"/>
        <v>0</v>
      </c>
    </row>
    <row r="198" spans="1:15" x14ac:dyDescent="0.25">
      <c r="A198" s="101">
        <f t="shared" si="2"/>
        <v>178</v>
      </c>
      <c r="B198" s="89"/>
      <c r="C198" s="83"/>
      <c r="D198" s="78" t="s">
        <v>50</v>
      </c>
      <c r="E198" s="59">
        <v>53976</v>
      </c>
      <c r="F198" s="51">
        <v>10.11</v>
      </c>
      <c r="G198" s="50">
        <f t="shared" si="3"/>
        <v>545697.36</v>
      </c>
      <c r="H198" s="51">
        <f t="shared" si="4"/>
        <v>10.11</v>
      </c>
      <c r="I198" s="50">
        <f t="shared" si="5"/>
        <v>545697.36</v>
      </c>
      <c r="J198" s="50">
        <f t="shared" si="6"/>
        <v>0</v>
      </c>
      <c r="K198" s="52">
        <f t="shared" si="7"/>
        <v>0</v>
      </c>
      <c r="M198" s="4">
        <f t="shared" si="8"/>
        <v>0</v>
      </c>
      <c r="O198" s="10">
        <f t="shared" si="9"/>
        <v>45474.78</v>
      </c>
    </row>
    <row r="199" spans="1:15" x14ac:dyDescent="0.25">
      <c r="A199" s="101">
        <f t="shared" si="2"/>
        <v>179</v>
      </c>
      <c r="B199" s="89"/>
      <c r="C199" s="83"/>
      <c r="D199" s="78" t="s">
        <v>51</v>
      </c>
      <c r="E199" s="59">
        <v>643</v>
      </c>
      <c r="F199" s="51">
        <v>15.53</v>
      </c>
      <c r="G199" s="50">
        <f t="shared" si="3"/>
        <v>9985.7899999999991</v>
      </c>
      <c r="H199" s="51">
        <f t="shared" si="4"/>
        <v>15.53</v>
      </c>
      <c r="I199" s="50">
        <f t="shared" si="5"/>
        <v>9985.7899999999991</v>
      </c>
      <c r="J199" s="50">
        <f t="shared" si="6"/>
        <v>0</v>
      </c>
      <c r="K199" s="52">
        <f t="shared" si="7"/>
        <v>0</v>
      </c>
      <c r="M199" s="4">
        <f t="shared" si="8"/>
        <v>0</v>
      </c>
      <c r="O199" s="10">
        <f t="shared" si="9"/>
        <v>832.14916666666659</v>
      </c>
    </row>
    <row r="200" spans="1:15" x14ac:dyDescent="0.25">
      <c r="A200" s="101">
        <f t="shared" si="2"/>
        <v>180</v>
      </c>
      <c r="B200" s="89"/>
      <c r="C200" s="83"/>
      <c r="D200" s="78" t="s">
        <v>52</v>
      </c>
      <c r="E200" s="59">
        <v>1711</v>
      </c>
      <c r="F200" s="51">
        <v>17.09</v>
      </c>
      <c r="G200" s="50">
        <f t="shared" si="3"/>
        <v>29240.989999999998</v>
      </c>
      <c r="H200" s="51">
        <f t="shared" si="4"/>
        <v>17.09</v>
      </c>
      <c r="I200" s="50">
        <f t="shared" si="5"/>
        <v>29240.989999999998</v>
      </c>
      <c r="J200" s="50">
        <f t="shared" si="6"/>
        <v>0</v>
      </c>
      <c r="K200" s="52">
        <f t="shared" si="7"/>
        <v>0</v>
      </c>
      <c r="M200" s="4">
        <f t="shared" si="8"/>
        <v>0</v>
      </c>
      <c r="O200" s="10">
        <f t="shared" si="9"/>
        <v>2436.7491666666665</v>
      </c>
    </row>
    <row r="201" spans="1:15" x14ac:dyDescent="0.25">
      <c r="A201" s="101">
        <f t="shared" si="2"/>
        <v>181</v>
      </c>
      <c r="B201" s="89"/>
      <c r="C201" s="83"/>
      <c r="D201" s="78" t="s">
        <v>53</v>
      </c>
      <c r="E201" s="59">
        <v>1119</v>
      </c>
      <c r="F201" s="51">
        <v>21.93</v>
      </c>
      <c r="G201" s="50">
        <f t="shared" si="3"/>
        <v>24539.67</v>
      </c>
      <c r="H201" s="51">
        <f t="shared" si="4"/>
        <v>21.93</v>
      </c>
      <c r="I201" s="50">
        <f t="shared" si="5"/>
        <v>24539.67</v>
      </c>
      <c r="J201" s="50">
        <f t="shared" si="6"/>
        <v>0</v>
      </c>
      <c r="K201" s="52">
        <f t="shared" si="7"/>
        <v>0</v>
      </c>
      <c r="M201" s="4">
        <f t="shared" si="8"/>
        <v>0</v>
      </c>
      <c r="O201" s="10">
        <f t="shared" si="9"/>
        <v>2044.9724999999999</v>
      </c>
    </row>
    <row r="202" spans="1:15" s="5" customFormat="1" ht="24.6" customHeight="1" x14ac:dyDescent="0.25">
      <c r="A202" s="101">
        <f t="shared" si="2"/>
        <v>182</v>
      </c>
      <c r="B202" s="95"/>
      <c r="C202" s="103"/>
      <c r="D202" s="82" t="s">
        <v>4</v>
      </c>
      <c r="E202" s="109">
        <v>436568</v>
      </c>
      <c r="F202" s="82"/>
      <c r="G202" s="14">
        <f>SUM(G188:G201)</f>
        <v>986609.47</v>
      </c>
      <c r="H202" s="82"/>
      <c r="I202" s="14">
        <f>SUM(I188:I201)</f>
        <v>986609.47</v>
      </c>
      <c r="J202" s="14">
        <f>SUM(J188:J201)</f>
        <v>0</v>
      </c>
      <c r="K202" s="54">
        <f>J202/G202</f>
        <v>0</v>
      </c>
      <c r="L202" s="63">
        <v>1</v>
      </c>
      <c r="O202" s="10">
        <f t="shared" si="9"/>
        <v>82217.455833333326</v>
      </c>
    </row>
    <row r="203" spans="1:15" x14ac:dyDescent="0.25">
      <c r="A203" s="101">
        <f t="shared" ref="A203:A266" si="10">A202+1</f>
        <v>183</v>
      </c>
      <c r="D203" s="78" t="s">
        <v>19</v>
      </c>
      <c r="G203" s="83">
        <v>5908</v>
      </c>
      <c r="I203" s="50">
        <f>G203</f>
        <v>5908</v>
      </c>
      <c r="J203" s="50">
        <f>I203-G203</f>
        <v>0</v>
      </c>
      <c r="K203" s="51">
        <v>0</v>
      </c>
    </row>
    <row r="204" spans="1:15" x14ac:dyDescent="0.25">
      <c r="A204" s="101">
        <f t="shared" si="10"/>
        <v>184</v>
      </c>
      <c r="D204" s="78" t="s">
        <v>20</v>
      </c>
      <c r="G204" s="83">
        <v>11875</v>
      </c>
      <c r="I204" s="50">
        <f>G204</f>
        <v>11875</v>
      </c>
      <c r="J204" s="50">
        <f>I204-G204</f>
        <v>0</v>
      </c>
      <c r="K204" s="51">
        <v>0</v>
      </c>
    </row>
    <row r="205" spans="1:15" x14ac:dyDescent="0.25">
      <c r="A205" s="101">
        <f t="shared" si="10"/>
        <v>185</v>
      </c>
      <c r="D205" s="78" t="s">
        <v>22</v>
      </c>
      <c r="G205" s="83"/>
      <c r="I205" s="50">
        <f>G205</f>
        <v>0</v>
      </c>
      <c r="J205" s="50">
        <f>I205-G205</f>
        <v>0</v>
      </c>
      <c r="K205" s="51">
        <v>0</v>
      </c>
    </row>
    <row r="206" spans="1:15" x14ac:dyDescent="0.25">
      <c r="A206" s="101">
        <f t="shared" si="10"/>
        <v>186</v>
      </c>
      <c r="D206" s="78" t="s">
        <v>25</v>
      </c>
      <c r="G206" s="83"/>
      <c r="I206" s="50"/>
      <c r="J206" s="50"/>
      <c r="K206" s="51"/>
    </row>
    <row r="207" spans="1:15" x14ac:dyDescent="0.25">
      <c r="A207" s="101">
        <f t="shared" si="10"/>
        <v>187</v>
      </c>
      <c r="D207" s="84" t="s">
        <v>5</v>
      </c>
      <c r="E207" s="84"/>
      <c r="F207" s="84"/>
      <c r="G207" s="55">
        <f>SUM(G203:G205)</f>
        <v>17783</v>
      </c>
      <c r="H207" s="84"/>
      <c r="I207" s="55">
        <f>SUM(I203:I205)</f>
        <v>17783</v>
      </c>
      <c r="J207" s="55">
        <f>I207-G207</f>
        <v>0</v>
      </c>
      <c r="K207" s="56">
        <f>J207/G207</f>
        <v>0</v>
      </c>
    </row>
    <row r="208" spans="1:15" s="5" customFormat="1" ht="26.4" customHeight="1" thickBot="1" x14ac:dyDescent="0.35">
      <c r="A208" s="101">
        <f t="shared" si="10"/>
        <v>188</v>
      </c>
      <c r="B208" s="95"/>
      <c r="C208" s="103"/>
      <c r="D208" s="85" t="s">
        <v>15</v>
      </c>
      <c r="E208" s="85"/>
      <c r="F208" s="85"/>
      <c r="G208" s="86">
        <f>G207+G202</f>
        <v>1004392.47</v>
      </c>
      <c r="H208" s="85"/>
      <c r="I208" s="57">
        <f>I207+I202</f>
        <v>1004392.47</v>
      </c>
      <c r="J208" s="57">
        <f>I208-G208</f>
        <v>0</v>
      </c>
      <c r="K208" s="58">
        <f>J208/G208</f>
        <v>0</v>
      </c>
    </row>
    <row r="209" spans="1:18" ht="13.8" thickTop="1" x14ac:dyDescent="0.25">
      <c r="A209" s="101">
        <f t="shared" si="10"/>
        <v>189</v>
      </c>
      <c r="G209" s="87"/>
      <c r="I209" s="87"/>
      <c r="J209" s="87"/>
      <c r="K209" s="52"/>
      <c r="Q209" s="5"/>
      <c r="R209" s="5"/>
    </row>
    <row r="210" spans="1:18" ht="13.8" thickBot="1" x14ac:dyDescent="0.3">
      <c r="A210" s="101">
        <f t="shared" si="10"/>
        <v>190</v>
      </c>
    </row>
    <row r="211" spans="1:18" ht="13.8" thickTop="1" x14ac:dyDescent="0.25">
      <c r="A211" s="101">
        <f t="shared" si="10"/>
        <v>191</v>
      </c>
      <c r="B211" s="106"/>
      <c r="C211" s="107"/>
      <c r="D211" s="106"/>
      <c r="E211" s="106"/>
      <c r="F211" s="106"/>
      <c r="G211" s="106"/>
      <c r="H211" s="106"/>
      <c r="I211" s="106"/>
      <c r="J211" s="106"/>
      <c r="K211" s="106"/>
    </row>
    <row r="212" spans="1:18" s="5" customFormat="1" ht="19.95" customHeight="1" x14ac:dyDescent="0.3">
      <c r="A212" s="101">
        <f t="shared" si="10"/>
        <v>192</v>
      </c>
      <c r="B212" s="95" t="s">
        <v>21</v>
      </c>
      <c r="C212" s="103"/>
      <c r="D212" s="82" t="s">
        <v>4</v>
      </c>
      <c r="E212" s="82"/>
      <c r="F212" s="90"/>
      <c r="G212" s="90">
        <f>G10+G23+G35+G47+G59+G71+G84+G97+G110+G123+G136+G150+G164+G178+G202</f>
        <v>47921987.651386999</v>
      </c>
      <c r="H212" s="82"/>
      <c r="I212" s="90">
        <f t="shared" ref="I212:J216" si="11">I10+I23+I35+I71+I84+I97+I47+I202+I59+I110+I123+I136+I164+I178</f>
        <v>50337691.288156994</v>
      </c>
      <c r="J212" s="117">
        <f t="shared" si="11"/>
        <v>2415703.6367700007</v>
      </c>
      <c r="K212" s="54">
        <f>J212/G212</f>
        <v>5.0409086833861395E-2</v>
      </c>
    </row>
    <row r="213" spans="1:18" x14ac:dyDescent="0.25">
      <c r="A213" s="101">
        <f t="shared" si="10"/>
        <v>193</v>
      </c>
      <c r="D213" s="78" t="s">
        <v>19</v>
      </c>
      <c r="F213" s="83"/>
      <c r="G213" s="83">
        <f>G11+G24+G36+G48+G60+G72+G85+G98+G111+G124+G137+G151+G165+G179+G203</f>
        <v>6746654.2300000004</v>
      </c>
      <c r="I213" s="83">
        <f t="shared" si="11"/>
        <v>6746654.2300000004</v>
      </c>
      <c r="J213" s="83">
        <f t="shared" si="11"/>
        <v>0</v>
      </c>
    </row>
    <row r="214" spans="1:18" x14ac:dyDescent="0.25">
      <c r="A214" s="101">
        <f t="shared" si="10"/>
        <v>194</v>
      </c>
      <c r="D214" s="78" t="s">
        <v>20</v>
      </c>
      <c r="F214" s="83"/>
      <c r="G214" s="83">
        <f>G12+G25+G37+G49+G61+G73+G86+G99+G112+G125+G138+G152+G166+G180+G204</f>
        <v>5815832.2400000002</v>
      </c>
      <c r="I214" s="83">
        <f t="shared" si="11"/>
        <v>5815832.2400000002</v>
      </c>
      <c r="J214" s="83">
        <f t="shared" si="11"/>
        <v>0</v>
      </c>
    </row>
    <row r="215" spans="1:18" x14ac:dyDescent="0.25">
      <c r="A215" s="101">
        <f t="shared" si="10"/>
        <v>195</v>
      </c>
      <c r="D215" s="78" t="s">
        <v>22</v>
      </c>
      <c r="F215" s="83"/>
      <c r="G215" s="83">
        <f>G13+G26+G38+G50+G62+G74+G87+G100+G113+G126+G139+G153+G167+G181+G205</f>
        <v>0</v>
      </c>
      <c r="I215" s="83">
        <f t="shared" si="11"/>
        <v>0</v>
      </c>
      <c r="J215" s="83">
        <f t="shared" si="11"/>
        <v>0</v>
      </c>
    </row>
    <row r="216" spans="1:18" x14ac:dyDescent="0.25">
      <c r="A216" s="101">
        <f t="shared" si="10"/>
        <v>196</v>
      </c>
      <c r="D216" s="78" t="s">
        <v>25</v>
      </c>
      <c r="G216" s="83">
        <f>G14+G27+G39+G51+G63+G75+G88+G101+G114+G127+G140+G154+G168+G182+G206</f>
        <v>0</v>
      </c>
      <c r="I216" s="83">
        <f t="shared" si="11"/>
        <v>0</v>
      </c>
      <c r="J216" s="83">
        <f t="shared" si="11"/>
        <v>0</v>
      </c>
      <c r="K216" s="51"/>
    </row>
    <row r="217" spans="1:18" x14ac:dyDescent="0.25">
      <c r="A217" s="101">
        <f t="shared" si="10"/>
        <v>197</v>
      </c>
      <c r="D217" s="84" t="s">
        <v>5</v>
      </c>
      <c r="E217" s="84"/>
      <c r="F217" s="91"/>
      <c r="G217" s="91">
        <f>SUM(G213:G216)</f>
        <v>12562486.470000001</v>
      </c>
      <c r="H217" s="84"/>
      <c r="I217" s="91">
        <f t="shared" ref="I217:J218" si="12">I15+I28+I40+I76+I89+I102+I52+I207+I64+I115+I128+I141+I169+I183</f>
        <v>12562486.470000001</v>
      </c>
      <c r="J217" s="91">
        <f t="shared" si="12"/>
        <v>0</v>
      </c>
      <c r="K217" s="84"/>
    </row>
    <row r="218" spans="1:18" s="5" customFormat="1" ht="21" customHeight="1" thickBot="1" x14ac:dyDescent="0.35">
      <c r="A218" s="101">
        <f t="shared" si="10"/>
        <v>198</v>
      </c>
      <c r="B218" s="95"/>
      <c r="C218" s="103"/>
      <c r="D218" s="85" t="s">
        <v>15</v>
      </c>
      <c r="E218" s="85"/>
      <c r="F218" s="86"/>
      <c r="G218" s="86">
        <f>G217+G212</f>
        <v>60484474.121386997</v>
      </c>
      <c r="H218" s="85"/>
      <c r="I218" s="86">
        <f t="shared" si="12"/>
        <v>62900177.758156992</v>
      </c>
      <c r="J218" s="110">
        <f t="shared" si="12"/>
        <v>2415703.6367699942</v>
      </c>
      <c r="K218" s="58">
        <f>J218/G218</f>
        <v>3.9939235181608593E-2</v>
      </c>
    </row>
    <row r="219" spans="1:18" ht="13.8" thickTop="1" x14ac:dyDescent="0.25">
      <c r="A219" s="101">
        <f t="shared" si="10"/>
        <v>199</v>
      </c>
    </row>
    <row r="220" spans="1:18" x14ac:dyDescent="0.25">
      <c r="A220" s="101">
        <f t="shared" si="10"/>
        <v>200</v>
      </c>
      <c r="I220" s="78" t="s">
        <v>100</v>
      </c>
      <c r="J220" s="118">
        <v>2415452.9191999999</v>
      </c>
    </row>
    <row r="221" spans="1:18" x14ac:dyDescent="0.25">
      <c r="A221" s="101">
        <f t="shared" si="10"/>
        <v>201</v>
      </c>
      <c r="I221" s="78" t="s">
        <v>90</v>
      </c>
      <c r="J221" s="83">
        <f>J218-J220</f>
        <v>250.71756999427453</v>
      </c>
    </row>
    <row r="222" spans="1:18" hidden="1" x14ac:dyDescent="0.25">
      <c r="A222" s="101">
        <f t="shared" si="10"/>
        <v>202</v>
      </c>
      <c r="B222" s="105" t="s">
        <v>65</v>
      </c>
      <c r="J222" s="83"/>
    </row>
    <row r="223" spans="1:18" hidden="1" x14ac:dyDescent="0.25">
      <c r="A223" s="101">
        <f t="shared" si="10"/>
        <v>203</v>
      </c>
      <c r="D223" s="37"/>
      <c r="E223" s="37"/>
    </row>
    <row r="224" spans="1:18" hidden="1" x14ac:dyDescent="0.25">
      <c r="A224" s="101">
        <f t="shared" si="10"/>
        <v>204</v>
      </c>
      <c r="B224" s="81" t="s">
        <v>70</v>
      </c>
      <c r="C224" s="102" t="s">
        <v>71</v>
      </c>
      <c r="D224" s="81"/>
      <c r="E224" s="81"/>
      <c r="F224" s="81"/>
      <c r="G224" s="81"/>
      <c r="H224" s="81"/>
      <c r="I224" s="81"/>
      <c r="J224" s="81"/>
      <c r="K224" s="81"/>
    </row>
    <row r="225" spans="1:16" ht="12.6" hidden="1" customHeight="1" x14ac:dyDescent="0.25">
      <c r="A225" s="101">
        <f t="shared" si="10"/>
        <v>205</v>
      </c>
      <c r="D225" s="78" t="s">
        <v>13</v>
      </c>
      <c r="E225" s="59"/>
      <c r="F225" s="51">
        <v>1016</v>
      </c>
      <c r="G225" s="50"/>
      <c r="H225" s="51">
        <f>F225*L225</f>
        <v>1067.2156322232031</v>
      </c>
      <c r="I225" s="50"/>
      <c r="J225" s="50"/>
      <c r="K225" s="52"/>
      <c r="L225" s="42">
        <f>1+$K$212</f>
        <v>1.0504090868338614</v>
      </c>
      <c r="M225" s="4">
        <f>H225/F225-1</f>
        <v>5.0409086833861361E-2</v>
      </c>
    </row>
    <row r="226" spans="1:16" hidden="1" x14ac:dyDescent="0.25">
      <c r="A226" s="101">
        <f t="shared" si="10"/>
        <v>206</v>
      </c>
      <c r="D226" s="78" t="s">
        <v>33</v>
      </c>
      <c r="E226" s="59"/>
      <c r="F226" s="51">
        <v>7.77</v>
      </c>
      <c r="G226" s="50"/>
      <c r="H226" s="51">
        <f>H121</f>
        <v>8.0399999999999991</v>
      </c>
      <c r="I226" s="50"/>
      <c r="J226" s="50"/>
      <c r="K226" s="52"/>
      <c r="L226" s="42">
        <f t="shared" ref="L226:L227" si="13">1+$K$212</f>
        <v>1.0504090868338614</v>
      </c>
      <c r="M226" s="4">
        <f>H226/F226-1</f>
        <v>3.474903474903468E-2</v>
      </c>
      <c r="P226" s="2" t="s">
        <v>87</v>
      </c>
    </row>
    <row r="227" spans="1:16" hidden="1" x14ac:dyDescent="0.25">
      <c r="A227" s="101">
        <f t="shared" si="10"/>
        <v>207</v>
      </c>
      <c r="D227" s="78" t="s">
        <v>30</v>
      </c>
      <c r="E227" s="59"/>
      <c r="F227" s="88">
        <v>5.3661E-2</v>
      </c>
      <c r="G227" s="50"/>
      <c r="H227" s="88">
        <f>F227*L227</f>
        <v>5.6366002008591834E-2</v>
      </c>
      <c r="I227" s="50"/>
      <c r="J227" s="50"/>
      <c r="K227" s="52"/>
      <c r="L227" s="42">
        <f t="shared" si="13"/>
        <v>1.0504090868338614</v>
      </c>
      <c r="M227" s="4">
        <f>H227/F227-1</f>
        <v>5.0409086833861361E-2</v>
      </c>
    </row>
    <row r="228" spans="1:16" hidden="1" x14ac:dyDescent="0.25">
      <c r="A228" s="101">
        <f t="shared" si="10"/>
        <v>208</v>
      </c>
      <c r="B228" s="81" t="s">
        <v>72</v>
      </c>
      <c r="C228" s="102" t="s">
        <v>73</v>
      </c>
      <c r="D228" s="81"/>
      <c r="E228" s="81"/>
      <c r="F228" s="81"/>
      <c r="G228" s="81"/>
      <c r="H228" s="81"/>
      <c r="I228" s="81"/>
      <c r="J228" s="81"/>
      <c r="K228" s="81"/>
    </row>
    <row r="229" spans="1:16" ht="12.6" hidden="1" customHeight="1" x14ac:dyDescent="0.25">
      <c r="A229" s="101">
        <f t="shared" si="10"/>
        <v>209</v>
      </c>
      <c r="D229" s="78" t="s">
        <v>13</v>
      </c>
      <c r="E229" s="59"/>
      <c r="F229" s="51">
        <v>2937</v>
      </c>
      <c r="G229" s="50"/>
      <c r="H229" s="51">
        <f>F229*L229</f>
        <v>3085.0514880310507</v>
      </c>
      <c r="I229" s="50"/>
      <c r="J229" s="50"/>
      <c r="K229" s="52"/>
      <c r="L229" s="42">
        <f>1+$K$212</f>
        <v>1.0504090868338614</v>
      </c>
      <c r="M229" s="4">
        <f>H229/F229-1</f>
        <v>5.0409086833861361E-2</v>
      </c>
    </row>
    <row r="230" spans="1:16" hidden="1" x14ac:dyDescent="0.25">
      <c r="A230" s="101">
        <f t="shared" si="10"/>
        <v>210</v>
      </c>
      <c r="D230" s="78" t="s">
        <v>33</v>
      </c>
      <c r="E230" s="59"/>
      <c r="F230" s="51">
        <v>7.77</v>
      </c>
      <c r="G230" s="50"/>
      <c r="H230" s="51">
        <f>H226</f>
        <v>8.0399999999999991</v>
      </c>
      <c r="I230" s="50"/>
      <c r="J230" s="50"/>
      <c r="K230" s="52"/>
      <c r="L230" s="42">
        <f t="shared" ref="L230:L231" si="14">1+$K$212</f>
        <v>1.0504090868338614</v>
      </c>
      <c r="M230" s="4">
        <f>H230/F230-1</f>
        <v>3.474903474903468E-2</v>
      </c>
      <c r="P230" s="2" t="s">
        <v>87</v>
      </c>
    </row>
    <row r="231" spans="1:16" hidden="1" x14ac:dyDescent="0.25">
      <c r="A231" s="101">
        <f t="shared" si="10"/>
        <v>211</v>
      </c>
      <c r="D231" s="78" t="s">
        <v>30</v>
      </c>
      <c r="E231" s="59"/>
      <c r="F231" s="88">
        <v>5.0169999999999999E-2</v>
      </c>
      <c r="G231" s="50"/>
      <c r="H231" s="88">
        <f>F231*L231</f>
        <v>5.2699023886454824E-2</v>
      </c>
      <c r="I231" s="50"/>
      <c r="J231" s="50"/>
      <c r="K231" s="52"/>
      <c r="L231" s="42">
        <f t="shared" si="14"/>
        <v>1.0504090868338614</v>
      </c>
      <c r="M231" s="4">
        <f>H231/F231-1</f>
        <v>5.0409086833861361E-2</v>
      </c>
    </row>
    <row r="232" spans="1:16" hidden="1" x14ac:dyDescent="0.25">
      <c r="A232" s="101">
        <f t="shared" si="10"/>
        <v>212</v>
      </c>
      <c r="B232" s="81" t="s">
        <v>70</v>
      </c>
      <c r="C232" s="102" t="s">
        <v>74</v>
      </c>
      <c r="D232" s="81"/>
      <c r="E232" s="81"/>
      <c r="F232" s="81"/>
      <c r="G232" s="81"/>
      <c r="H232" s="81"/>
      <c r="I232" s="81"/>
      <c r="J232" s="81"/>
      <c r="K232" s="81"/>
    </row>
    <row r="233" spans="1:16" ht="12.6" hidden="1" customHeight="1" x14ac:dyDescent="0.25">
      <c r="A233" s="101">
        <f t="shared" si="10"/>
        <v>213</v>
      </c>
      <c r="D233" s="78" t="s">
        <v>13</v>
      </c>
      <c r="E233" s="59"/>
      <c r="F233" s="51">
        <v>3215</v>
      </c>
      <c r="G233" s="50"/>
      <c r="H233" s="51">
        <f>F233*L233</f>
        <v>3377.0652141708642</v>
      </c>
      <c r="I233" s="50"/>
      <c r="J233" s="50"/>
      <c r="K233" s="52"/>
      <c r="L233" s="42">
        <f>1+$K$212</f>
        <v>1.0504090868338614</v>
      </c>
      <c r="M233" s="4">
        <f>H233/F233-1</f>
        <v>5.0409086833861361E-2</v>
      </c>
    </row>
    <row r="234" spans="1:16" hidden="1" x14ac:dyDescent="0.25">
      <c r="A234" s="101">
        <f t="shared" si="10"/>
        <v>214</v>
      </c>
      <c r="D234" s="78" t="s">
        <v>33</v>
      </c>
      <c r="E234" s="59"/>
      <c r="F234" s="51">
        <v>7.77</v>
      </c>
      <c r="G234" s="50"/>
      <c r="H234" s="51">
        <f>H226</f>
        <v>8.0399999999999991</v>
      </c>
      <c r="I234" s="50"/>
      <c r="J234" s="50"/>
      <c r="K234" s="52"/>
      <c r="L234" s="42">
        <f t="shared" ref="L234:L235" si="15">1+$K$212</f>
        <v>1.0504090868338614</v>
      </c>
      <c r="M234" s="4">
        <f>H234/F234-1</f>
        <v>3.474903474903468E-2</v>
      </c>
      <c r="P234" s="2" t="s">
        <v>87</v>
      </c>
    </row>
    <row r="235" spans="1:16" hidden="1" x14ac:dyDescent="0.25">
      <c r="A235" s="101">
        <f t="shared" si="10"/>
        <v>215</v>
      </c>
      <c r="D235" s="78" t="s">
        <v>30</v>
      </c>
      <c r="E235" s="59"/>
      <c r="F235" s="88">
        <v>4.7676000000000003E-2</v>
      </c>
      <c r="G235" s="50"/>
      <c r="H235" s="88">
        <f>F235*L235</f>
        <v>5.007930362389118E-2</v>
      </c>
      <c r="I235" s="50"/>
      <c r="J235" s="50"/>
      <c r="K235" s="52"/>
      <c r="L235" s="42">
        <f t="shared" si="15"/>
        <v>1.0504090868338614</v>
      </c>
      <c r="M235" s="4">
        <f>H235/F235-1</f>
        <v>5.0409086833861361E-2</v>
      </c>
    </row>
    <row r="236" spans="1:16" hidden="1" x14ac:dyDescent="0.25">
      <c r="A236" s="101">
        <f t="shared" si="10"/>
        <v>216</v>
      </c>
      <c r="B236" s="81" t="s">
        <v>70</v>
      </c>
      <c r="C236" s="102" t="s">
        <v>75</v>
      </c>
      <c r="D236" s="81"/>
      <c r="E236" s="81"/>
      <c r="F236" s="81"/>
      <c r="G236" s="81"/>
      <c r="H236" s="81"/>
      <c r="I236" s="81"/>
      <c r="J236" s="81"/>
      <c r="K236" s="81"/>
    </row>
    <row r="237" spans="1:16" ht="12.6" hidden="1" customHeight="1" x14ac:dyDescent="0.25">
      <c r="A237" s="101">
        <f t="shared" si="10"/>
        <v>217</v>
      </c>
      <c r="D237" s="78" t="s">
        <v>13</v>
      </c>
      <c r="E237" s="59"/>
      <c r="F237" s="51">
        <v>4501</v>
      </c>
      <c r="G237" s="50"/>
      <c r="H237" s="51">
        <f>F237*L237</f>
        <v>4727.8912998392098</v>
      </c>
      <c r="I237" s="50"/>
      <c r="J237" s="50"/>
      <c r="K237" s="52"/>
      <c r="L237" s="42">
        <f>1+$K$212</f>
        <v>1.0504090868338614</v>
      </c>
      <c r="M237" s="4">
        <f>H237/F237-1</f>
        <v>5.0409086833861361E-2</v>
      </c>
    </row>
    <row r="238" spans="1:16" hidden="1" x14ac:dyDescent="0.25">
      <c r="A238" s="101">
        <f t="shared" si="10"/>
        <v>218</v>
      </c>
      <c r="D238" s="78" t="s">
        <v>33</v>
      </c>
      <c r="E238" s="59"/>
      <c r="F238" s="51">
        <v>7.77</v>
      </c>
      <c r="G238" s="50"/>
      <c r="H238" s="51">
        <f>H226</f>
        <v>8.0399999999999991</v>
      </c>
      <c r="I238" s="50"/>
      <c r="J238" s="50"/>
      <c r="K238" s="52"/>
      <c r="L238" s="42">
        <f t="shared" ref="L238:L239" si="16">1+$K$212</f>
        <v>1.0504090868338614</v>
      </c>
      <c r="M238" s="4">
        <f>H238/F238-1</f>
        <v>3.474903474903468E-2</v>
      </c>
      <c r="P238" s="2" t="s">
        <v>87</v>
      </c>
    </row>
    <row r="239" spans="1:16" hidden="1" x14ac:dyDescent="0.25">
      <c r="A239" s="101">
        <f t="shared" si="10"/>
        <v>219</v>
      </c>
      <c r="D239" s="78" t="s">
        <v>30</v>
      </c>
      <c r="E239" s="59"/>
      <c r="F239" s="88">
        <v>4.5182E-2</v>
      </c>
      <c r="G239" s="50"/>
      <c r="H239" s="88">
        <f>F239*L239</f>
        <v>4.7459583361327523E-2</v>
      </c>
      <c r="I239" s="50"/>
      <c r="J239" s="50"/>
      <c r="K239" s="52"/>
      <c r="L239" s="42">
        <f t="shared" si="16"/>
        <v>1.0504090868338614</v>
      </c>
      <c r="M239" s="4">
        <f>H239/F239-1</f>
        <v>5.0409086833861361E-2</v>
      </c>
    </row>
    <row r="240" spans="1:16" hidden="1" x14ac:dyDescent="0.25">
      <c r="A240" s="101">
        <f t="shared" si="10"/>
        <v>220</v>
      </c>
      <c r="B240" s="81" t="s">
        <v>70</v>
      </c>
      <c r="C240" s="102" t="s">
        <v>76</v>
      </c>
      <c r="D240" s="81"/>
      <c r="E240" s="81"/>
      <c r="F240" s="81"/>
      <c r="G240" s="81"/>
      <c r="H240" s="81"/>
      <c r="I240" s="81"/>
      <c r="J240" s="81"/>
      <c r="K240" s="81"/>
    </row>
    <row r="241" spans="1:16" ht="12.6" hidden="1" customHeight="1" x14ac:dyDescent="0.25">
      <c r="A241" s="101">
        <f t="shared" si="10"/>
        <v>221</v>
      </c>
      <c r="D241" s="78" t="s">
        <v>13</v>
      </c>
      <c r="E241" s="59"/>
      <c r="F241" s="51">
        <v>1016</v>
      </c>
      <c r="G241" s="50"/>
      <c r="H241" s="51">
        <f>F241*L241</f>
        <v>1067.2156322232031</v>
      </c>
      <c r="I241" s="50"/>
      <c r="J241" s="50"/>
      <c r="K241" s="52"/>
      <c r="L241" s="42">
        <f>1+$K$212</f>
        <v>1.0504090868338614</v>
      </c>
      <c r="M241" s="4">
        <f>H241/F241-1</f>
        <v>5.0409086833861361E-2</v>
      </c>
    </row>
    <row r="242" spans="1:16" hidden="1" x14ac:dyDescent="0.25">
      <c r="A242" s="101">
        <f t="shared" si="10"/>
        <v>222</v>
      </c>
      <c r="D242" s="78" t="s">
        <v>77</v>
      </c>
      <c r="E242" s="59"/>
      <c r="F242" s="51">
        <v>7.77</v>
      </c>
      <c r="G242" s="50"/>
      <c r="H242" s="51">
        <f>H226</f>
        <v>8.0399999999999991</v>
      </c>
      <c r="I242" s="50"/>
      <c r="J242" s="50"/>
      <c r="K242" s="52"/>
      <c r="L242" s="42">
        <f t="shared" ref="L242:L244" si="17">1+$K$212</f>
        <v>1.0504090868338614</v>
      </c>
      <c r="M242" s="4">
        <f>H242/F242-1</f>
        <v>3.474903474903468E-2</v>
      </c>
      <c r="P242" s="2" t="s">
        <v>87</v>
      </c>
    </row>
    <row r="243" spans="1:16" hidden="1" x14ac:dyDescent="0.25">
      <c r="A243" s="101">
        <f t="shared" si="10"/>
        <v>223</v>
      </c>
      <c r="D243" s="78" t="s">
        <v>78</v>
      </c>
      <c r="E243" s="59"/>
      <c r="F243" s="51">
        <v>9.98</v>
      </c>
      <c r="G243" s="50"/>
      <c r="H243" s="51">
        <f>F243*L243</f>
        <v>10.483082686601938</v>
      </c>
      <c r="I243" s="50"/>
      <c r="J243" s="50"/>
      <c r="K243" s="52"/>
      <c r="L243" s="42">
        <f t="shared" si="17"/>
        <v>1.0504090868338614</v>
      </c>
      <c r="M243" s="4">
        <f>H243/F243-1</f>
        <v>5.0409086833861361E-2</v>
      </c>
    </row>
    <row r="244" spans="1:16" hidden="1" x14ac:dyDescent="0.25">
      <c r="A244" s="101">
        <f t="shared" si="10"/>
        <v>224</v>
      </c>
      <c r="D244" s="78" t="s">
        <v>30</v>
      </c>
      <c r="E244" s="59"/>
      <c r="F244" s="88">
        <v>5.3802000000000003E-2</v>
      </c>
      <c r="G244" s="50"/>
      <c r="H244" s="88">
        <f>F244*L244</f>
        <v>5.6514109689835411E-2</v>
      </c>
      <c r="I244" s="50"/>
      <c r="J244" s="50"/>
      <c r="K244" s="52"/>
      <c r="L244" s="42">
        <f t="shared" si="17"/>
        <v>1.0504090868338614</v>
      </c>
      <c r="M244" s="4">
        <f>H244/F244-1</f>
        <v>5.0409086833861361E-2</v>
      </c>
    </row>
    <row r="245" spans="1:16" hidden="1" x14ac:dyDescent="0.25">
      <c r="A245" s="101">
        <f t="shared" si="10"/>
        <v>225</v>
      </c>
      <c r="B245" s="81" t="s">
        <v>70</v>
      </c>
      <c r="C245" s="102" t="s">
        <v>79</v>
      </c>
      <c r="D245" s="81"/>
      <c r="E245" s="81"/>
      <c r="F245" s="81"/>
      <c r="G245" s="81"/>
      <c r="H245" s="81"/>
      <c r="I245" s="81"/>
      <c r="J245" s="81"/>
      <c r="K245" s="81"/>
    </row>
    <row r="246" spans="1:16" ht="12.6" hidden="1" customHeight="1" x14ac:dyDescent="0.25">
      <c r="A246" s="101">
        <f t="shared" si="10"/>
        <v>226</v>
      </c>
      <c r="D246" s="78" t="s">
        <v>13</v>
      </c>
      <c r="E246" s="59"/>
      <c r="F246" s="51">
        <v>1288</v>
      </c>
      <c r="G246" s="50"/>
      <c r="H246" s="51">
        <f>F246*L246</f>
        <v>1352.9269038420134</v>
      </c>
      <c r="I246" s="50"/>
      <c r="J246" s="50"/>
      <c r="K246" s="52"/>
      <c r="L246" s="42">
        <f>1+$K$212</f>
        <v>1.0504090868338614</v>
      </c>
      <c r="M246" s="4">
        <f>H246/F246-1</f>
        <v>5.0409086833861361E-2</v>
      </c>
    </row>
    <row r="247" spans="1:16" hidden="1" x14ac:dyDescent="0.25">
      <c r="A247" s="101">
        <f t="shared" si="10"/>
        <v>227</v>
      </c>
      <c r="D247" s="78" t="s">
        <v>77</v>
      </c>
      <c r="E247" s="59"/>
      <c r="F247" s="51">
        <v>7.77</v>
      </c>
      <c r="G247" s="50"/>
      <c r="H247" s="51">
        <f>H230</f>
        <v>8.0399999999999991</v>
      </c>
      <c r="I247" s="50"/>
      <c r="J247" s="50"/>
      <c r="K247" s="52"/>
      <c r="L247" s="42">
        <f t="shared" ref="L247:L249" si="18">1+$K$212</f>
        <v>1.0504090868338614</v>
      </c>
      <c r="M247" s="4">
        <f>H247/F247-1</f>
        <v>3.474903474903468E-2</v>
      </c>
    </row>
    <row r="248" spans="1:16" hidden="1" x14ac:dyDescent="0.25">
      <c r="A248" s="101">
        <f t="shared" si="10"/>
        <v>228</v>
      </c>
      <c r="D248" s="78" t="s">
        <v>78</v>
      </c>
      <c r="E248" s="59"/>
      <c r="F248" s="51">
        <v>9.98</v>
      </c>
      <c r="G248" s="50"/>
      <c r="H248" s="51">
        <f>F248*L248</f>
        <v>10.483082686601938</v>
      </c>
      <c r="I248" s="50"/>
      <c r="J248" s="50"/>
      <c r="K248" s="52"/>
      <c r="L248" s="42">
        <f t="shared" si="18"/>
        <v>1.0504090868338614</v>
      </c>
      <c r="M248" s="4">
        <f>H248/F248-1</f>
        <v>5.0409086833861361E-2</v>
      </c>
    </row>
    <row r="249" spans="1:16" hidden="1" x14ac:dyDescent="0.25">
      <c r="A249" s="101">
        <f t="shared" si="10"/>
        <v>229</v>
      </c>
      <c r="D249" s="78" t="s">
        <v>30</v>
      </c>
      <c r="E249" s="59"/>
      <c r="F249" s="88">
        <v>5.1802000000000001E-2</v>
      </c>
      <c r="G249" s="50"/>
      <c r="H249" s="88">
        <f>F249*L249</f>
        <v>5.4413291516167688E-2</v>
      </c>
      <c r="I249" s="50"/>
      <c r="J249" s="50"/>
      <c r="K249" s="52"/>
      <c r="L249" s="42">
        <f t="shared" si="18"/>
        <v>1.0504090868338614</v>
      </c>
      <c r="M249" s="4">
        <f>H249/F249-1</f>
        <v>5.0409086833861361E-2</v>
      </c>
    </row>
    <row r="250" spans="1:16" hidden="1" x14ac:dyDescent="0.25">
      <c r="A250" s="101">
        <f t="shared" si="10"/>
        <v>230</v>
      </c>
      <c r="B250" s="81" t="s">
        <v>70</v>
      </c>
      <c r="C250" s="102" t="s">
        <v>80</v>
      </c>
      <c r="D250" s="81"/>
      <c r="E250" s="81"/>
      <c r="F250" s="81"/>
      <c r="G250" s="81"/>
      <c r="H250" s="81"/>
      <c r="I250" s="81"/>
      <c r="J250" s="81"/>
      <c r="K250" s="81"/>
    </row>
    <row r="251" spans="1:16" ht="12.6" hidden="1" customHeight="1" x14ac:dyDescent="0.25">
      <c r="A251" s="101">
        <f t="shared" si="10"/>
        <v>231</v>
      </c>
      <c r="D251" s="78" t="s">
        <v>13</v>
      </c>
      <c r="E251" s="59"/>
      <c r="F251" s="51">
        <v>2937</v>
      </c>
      <c r="G251" s="50"/>
      <c r="H251" s="51">
        <f>F251*L251</f>
        <v>3085.0514880310507</v>
      </c>
      <c r="I251" s="50"/>
      <c r="J251" s="50"/>
      <c r="K251" s="52"/>
      <c r="L251" s="42">
        <f>1+$K$212</f>
        <v>1.0504090868338614</v>
      </c>
      <c r="M251" s="4">
        <f>H251/F251-1</f>
        <v>5.0409086833861361E-2</v>
      </c>
    </row>
    <row r="252" spans="1:16" hidden="1" x14ac:dyDescent="0.25">
      <c r="A252" s="101">
        <f t="shared" si="10"/>
        <v>232</v>
      </c>
      <c r="D252" s="78" t="s">
        <v>77</v>
      </c>
      <c r="E252" s="59"/>
      <c r="F252" s="51">
        <v>7.77</v>
      </c>
      <c r="G252" s="50"/>
      <c r="H252" s="51">
        <f>H226</f>
        <v>8.0399999999999991</v>
      </c>
      <c r="I252" s="50"/>
      <c r="J252" s="50"/>
      <c r="K252" s="52"/>
      <c r="L252" s="42">
        <f t="shared" ref="L252:L254" si="19">1+$K$212</f>
        <v>1.0504090868338614</v>
      </c>
      <c r="M252" s="4">
        <f>H252/F252-1</f>
        <v>3.474903474903468E-2</v>
      </c>
    </row>
    <row r="253" spans="1:16" hidden="1" x14ac:dyDescent="0.25">
      <c r="A253" s="101">
        <f t="shared" si="10"/>
        <v>233</v>
      </c>
      <c r="D253" s="78" t="s">
        <v>78</v>
      </c>
      <c r="E253" s="59"/>
      <c r="F253" s="51">
        <v>9.98</v>
      </c>
      <c r="G253" s="50"/>
      <c r="H253" s="51">
        <f>F253*L253</f>
        <v>10.483082686601938</v>
      </c>
      <c r="I253" s="50"/>
      <c r="J253" s="50"/>
      <c r="K253" s="52"/>
      <c r="L253" s="42">
        <f t="shared" si="19"/>
        <v>1.0504090868338614</v>
      </c>
      <c r="M253" s="4">
        <f>H253/F253-1</f>
        <v>5.0409086833861361E-2</v>
      </c>
    </row>
    <row r="254" spans="1:16" hidden="1" x14ac:dyDescent="0.25">
      <c r="A254" s="101">
        <f t="shared" si="10"/>
        <v>234</v>
      </c>
      <c r="D254" s="78" t="s">
        <v>30</v>
      </c>
      <c r="E254" s="59"/>
      <c r="F254" s="88">
        <v>5.0301999999999999E-2</v>
      </c>
      <c r="G254" s="50"/>
      <c r="H254" s="88">
        <f>F254*L254</f>
        <v>5.2837677885916895E-2</v>
      </c>
      <c r="I254" s="50"/>
      <c r="J254" s="50"/>
      <c r="K254" s="52"/>
      <c r="L254" s="42">
        <f t="shared" si="19"/>
        <v>1.0504090868338614</v>
      </c>
      <c r="M254" s="4">
        <f>H254/F254-1</f>
        <v>5.0409086833861361E-2</v>
      </c>
    </row>
    <row r="255" spans="1:16" hidden="1" x14ac:dyDescent="0.25">
      <c r="A255" s="101">
        <f t="shared" si="10"/>
        <v>235</v>
      </c>
      <c r="B255" s="81" t="s">
        <v>70</v>
      </c>
      <c r="C255" s="102" t="s">
        <v>81</v>
      </c>
      <c r="D255" s="81"/>
      <c r="E255" s="81"/>
      <c r="F255" s="81"/>
      <c r="G255" s="81"/>
      <c r="H255" s="81"/>
      <c r="I255" s="81"/>
      <c r="J255" s="81"/>
      <c r="K255" s="81"/>
    </row>
    <row r="256" spans="1:16" ht="12.6" hidden="1" customHeight="1" x14ac:dyDescent="0.25">
      <c r="A256" s="101">
        <f t="shared" si="10"/>
        <v>236</v>
      </c>
      <c r="D256" s="78" t="s">
        <v>13</v>
      </c>
      <c r="E256" s="59"/>
      <c r="F256" s="51">
        <v>3215</v>
      </c>
      <c r="G256" s="50"/>
      <c r="H256" s="51">
        <f>F256*L256</f>
        <v>3377.0652141708642</v>
      </c>
      <c r="I256" s="50"/>
      <c r="J256" s="50"/>
      <c r="K256" s="52"/>
      <c r="L256" s="42">
        <f>1+$K$212</f>
        <v>1.0504090868338614</v>
      </c>
      <c r="M256" s="4">
        <f>H256/F256-1</f>
        <v>5.0409086833861361E-2</v>
      </c>
    </row>
    <row r="257" spans="1:16" hidden="1" x14ac:dyDescent="0.25">
      <c r="A257" s="101">
        <f t="shared" si="10"/>
        <v>237</v>
      </c>
      <c r="D257" s="78" t="s">
        <v>77</v>
      </c>
      <c r="E257" s="59"/>
      <c r="F257" s="51">
        <v>7.77</v>
      </c>
      <c r="G257" s="50"/>
      <c r="H257" s="51">
        <f>H226</f>
        <v>8.0399999999999991</v>
      </c>
      <c r="I257" s="50"/>
      <c r="J257" s="50"/>
      <c r="K257" s="52"/>
      <c r="L257" s="42">
        <f t="shared" ref="L257:L259" si="20">1+$K$212</f>
        <v>1.0504090868338614</v>
      </c>
      <c r="M257" s="4">
        <f>H257/F257-1</f>
        <v>3.474903474903468E-2</v>
      </c>
    </row>
    <row r="258" spans="1:16" hidden="1" x14ac:dyDescent="0.25">
      <c r="A258" s="101">
        <f t="shared" si="10"/>
        <v>238</v>
      </c>
      <c r="D258" s="78" t="s">
        <v>78</v>
      </c>
      <c r="E258" s="59"/>
      <c r="F258" s="51">
        <v>9.98</v>
      </c>
      <c r="G258" s="50"/>
      <c r="H258" s="51">
        <f>F258*L258</f>
        <v>10.483082686601938</v>
      </c>
      <c r="I258" s="50"/>
      <c r="J258" s="50"/>
      <c r="K258" s="52"/>
      <c r="L258" s="42">
        <f t="shared" si="20"/>
        <v>1.0504090868338614</v>
      </c>
      <c r="M258" s="4">
        <f>H258/F258-1</f>
        <v>5.0409086833861361E-2</v>
      </c>
    </row>
    <row r="259" spans="1:16" hidden="1" x14ac:dyDescent="0.25">
      <c r="A259" s="101">
        <f t="shared" si="10"/>
        <v>239</v>
      </c>
      <c r="D259" s="78" t="s">
        <v>30</v>
      </c>
      <c r="E259" s="59"/>
      <c r="F259" s="88">
        <v>4.7801999999999997E-2</v>
      </c>
      <c r="G259" s="50"/>
      <c r="H259" s="88">
        <f>F259*L259</f>
        <v>5.0211655168832241E-2</v>
      </c>
      <c r="I259" s="50"/>
      <c r="J259" s="50"/>
      <c r="K259" s="52"/>
      <c r="L259" s="42">
        <f t="shared" si="20"/>
        <v>1.0504090868338614</v>
      </c>
      <c r="M259" s="4">
        <f>H259/F259-1</f>
        <v>5.0409086833861361E-2</v>
      </c>
    </row>
    <row r="260" spans="1:16" hidden="1" x14ac:dyDescent="0.25">
      <c r="A260" s="101">
        <f t="shared" si="10"/>
        <v>240</v>
      </c>
      <c r="B260" s="81" t="s">
        <v>70</v>
      </c>
      <c r="C260" s="102" t="s">
        <v>82</v>
      </c>
      <c r="D260" s="81"/>
      <c r="E260" s="81"/>
      <c r="F260" s="81"/>
      <c r="G260" s="81"/>
      <c r="H260" s="81"/>
      <c r="I260" s="81"/>
      <c r="J260" s="81"/>
      <c r="K260" s="81"/>
    </row>
    <row r="261" spans="1:16" ht="12.6" hidden="1" customHeight="1" x14ac:dyDescent="0.25">
      <c r="A261" s="101">
        <f t="shared" si="10"/>
        <v>241</v>
      </c>
      <c r="D261" s="78" t="s">
        <v>13</v>
      </c>
      <c r="E261" s="59"/>
      <c r="F261" s="51">
        <v>4501</v>
      </c>
      <c r="G261" s="50"/>
      <c r="H261" s="51">
        <f>F261*L261</f>
        <v>4727.8912998392098</v>
      </c>
      <c r="I261" s="50"/>
      <c r="J261" s="50"/>
      <c r="K261" s="52"/>
      <c r="L261" s="42">
        <f>1+$K$212</f>
        <v>1.0504090868338614</v>
      </c>
      <c r="M261" s="4">
        <f>H261/F261-1</f>
        <v>5.0409086833861361E-2</v>
      </c>
    </row>
    <row r="262" spans="1:16" hidden="1" x14ac:dyDescent="0.25">
      <c r="A262" s="101">
        <f t="shared" si="10"/>
        <v>242</v>
      </c>
      <c r="D262" s="78" t="s">
        <v>77</v>
      </c>
      <c r="E262" s="59"/>
      <c r="F262" s="51">
        <v>7.77</v>
      </c>
      <c r="G262" s="50"/>
      <c r="H262" s="51">
        <f>H226</f>
        <v>8.0399999999999991</v>
      </c>
      <c r="I262" s="50"/>
      <c r="J262" s="50"/>
      <c r="K262" s="52"/>
      <c r="L262" s="42">
        <f t="shared" ref="L262:L264" si="21">1+$K$212</f>
        <v>1.0504090868338614</v>
      </c>
      <c r="M262" s="4">
        <f>H262/F262-1</f>
        <v>3.474903474903468E-2</v>
      </c>
    </row>
    <row r="263" spans="1:16" hidden="1" x14ac:dyDescent="0.25">
      <c r="A263" s="101">
        <f t="shared" si="10"/>
        <v>243</v>
      </c>
      <c r="D263" s="78" t="s">
        <v>78</v>
      </c>
      <c r="E263" s="59"/>
      <c r="F263" s="51">
        <v>9.98</v>
      </c>
      <c r="G263" s="50"/>
      <c r="H263" s="51">
        <f>F263*L263</f>
        <v>10.483082686601938</v>
      </c>
      <c r="I263" s="50"/>
      <c r="J263" s="50"/>
      <c r="K263" s="52"/>
      <c r="L263" s="42">
        <f t="shared" si="21"/>
        <v>1.0504090868338614</v>
      </c>
      <c r="M263" s="4">
        <f>H263/F263-1</f>
        <v>5.0409086833861361E-2</v>
      </c>
    </row>
    <row r="264" spans="1:16" hidden="1" x14ac:dyDescent="0.25">
      <c r="A264" s="101">
        <f t="shared" si="10"/>
        <v>244</v>
      </c>
      <c r="D264" s="78" t="s">
        <v>30</v>
      </c>
      <c r="E264" s="59"/>
      <c r="F264" s="88">
        <v>4.5302000000000002E-2</v>
      </c>
      <c r="G264" s="50"/>
      <c r="H264" s="88">
        <f>F264*L264</f>
        <v>4.7585632451747586E-2</v>
      </c>
      <c r="I264" s="50"/>
      <c r="J264" s="50"/>
      <c r="K264" s="52"/>
      <c r="L264" s="42">
        <f t="shared" si="21"/>
        <v>1.0504090868338614</v>
      </c>
      <c r="M264" s="4">
        <f>H264/F264-1</f>
        <v>5.0409086833861361E-2</v>
      </c>
    </row>
    <row r="265" spans="1:16" hidden="1" x14ac:dyDescent="0.25">
      <c r="A265" s="101">
        <f t="shared" si="10"/>
        <v>245</v>
      </c>
      <c r="B265" s="81" t="s">
        <v>70</v>
      </c>
      <c r="C265" s="102" t="s">
        <v>83</v>
      </c>
      <c r="D265" s="81"/>
      <c r="E265" s="81"/>
      <c r="F265" s="81"/>
      <c r="G265" s="81"/>
      <c r="H265" s="81"/>
      <c r="I265" s="81"/>
      <c r="J265" s="81"/>
      <c r="K265" s="81"/>
    </row>
    <row r="266" spans="1:16" ht="12.6" hidden="1" customHeight="1" x14ac:dyDescent="0.25">
      <c r="A266" s="101">
        <f t="shared" si="10"/>
        <v>246</v>
      </c>
      <c r="D266" s="78" t="s">
        <v>13</v>
      </c>
      <c r="E266" s="59"/>
      <c r="F266" s="51">
        <v>1016</v>
      </c>
      <c r="G266" s="50"/>
      <c r="H266" s="51">
        <f>F266*L266</f>
        <v>1067.2156322232031</v>
      </c>
      <c r="I266" s="50"/>
      <c r="J266" s="50"/>
      <c r="K266" s="52"/>
      <c r="L266" s="42">
        <f>1+$K$212</f>
        <v>1.0504090868338614</v>
      </c>
      <c r="M266" s="4">
        <f>H266/F266-1</f>
        <v>5.0409086833861361E-2</v>
      </c>
    </row>
    <row r="267" spans="1:16" hidden="1" x14ac:dyDescent="0.25">
      <c r="A267" s="101">
        <f t="shared" ref="A267:A284" si="22">A266+1</f>
        <v>247</v>
      </c>
      <c r="D267" s="78" t="s">
        <v>33</v>
      </c>
      <c r="E267" s="59"/>
      <c r="F267" s="51">
        <v>6.62</v>
      </c>
      <c r="G267" s="50"/>
      <c r="H267" s="51">
        <f>H161</f>
        <v>6.85</v>
      </c>
      <c r="I267" s="50"/>
      <c r="J267" s="50"/>
      <c r="K267" s="52"/>
      <c r="L267" s="42">
        <f t="shared" ref="L267:L269" si="23">1+$K$212</f>
        <v>1.0504090868338614</v>
      </c>
      <c r="M267" s="4">
        <f>H267/F267-1</f>
        <v>3.4743202416918306E-2</v>
      </c>
      <c r="P267" s="2" t="s">
        <v>88</v>
      </c>
    </row>
    <row r="268" spans="1:16" hidden="1" x14ac:dyDescent="0.25">
      <c r="A268" s="101">
        <f t="shared" si="22"/>
        <v>248</v>
      </c>
      <c r="D268" s="78" t="s">
        <v>68</v>
      </c>
      <c r="E268" s="59"/>
      <c r="F268" s="53">
        <v>6.3870999999999997E-2</v>
      </c>
      <c r="G268" s="50"/>
      <c r="H268" s="53">
        <f>F268*L268</f>
        <v>6.7090678785165558E-2</v>
      </c>
      <c r="I268" s="50"/>
      <c r="J268" s="50"/>
      <c r="K268" s="52"/>
      <c r="L268" s="42">
        <f t="shared" si="23"/>
        <v>1.0504090868338614</v>
      </c>
      <c r="M268" s="4">
        <f>H268/F268-1</f>
        <v>5.0409086833861361E-2</v>
      </c>
    </row>
    <row r="269" spans="1:16" hidden="1" x14ac:dyDescent="0.25">
      <c r="A269" s="101">
        <f t="shared" si="22"/>
        <v>249</v>
      </c>
      <c r="D269" s="78" t="s">
        <v>69</v>
      </c>
      <c r="E269" s="59"/>
      <c r="F269" s="53">
        <v>5.5474000000000002E-2</v>
      </c>
      <c r="G269" s="50"/>
      <c r="H269" s="53">
        <f>F269*L269</f>
        <v>5.8270393683021629E-2</v>
      </c>
      <c r="I269" s="50"/>
      <c r="J269" s="50"/>
      <c r="K269" s="52"/>
      <c r="L269" s="42">
        <f t="shared" si="23"/>
        <v>1.0504090868338614</v>
      </c>
      <c r="M269" s="4">
        <f>H269/F269-1</f>
        <v>5.0409086833861361E-2</v>
      </c>
    </row>
    <row r="270" spans="1:16" hidden="1" x14ac:dyDescent="0.25">
      <c r="A270" s="101">
        <f t="shared" si="22"/>
        <v>250</v>
      </c>
      <c r="B270" s="81" t="s">
        <v>70</v>
      </c>
      <c r="C270" s="102" t="s">
        <v>84</v>
      </c>
      <c r="D270" s="81"/>
      <c r="E270" s="81"/>
      <c r="F270" s="81"/>
      <c r="G270" s="81"/>
      <c r="H270" s="81"/>
      <c r="I270" s="81"/>
      <c r="J270" s="81"/>
      <c r="K270" s="81"/>
    </row>
    <row r="271" spans="1:16" ht="12.6" hidden="1" customHeight="1" x14ac:dyDescent="0.25">
      <c r="A271" s="101">
        <f t="shared" si="22"/>
        <v>251</v>
      </c>
      <c r="D271" s="78" t="s">
        <v>13</v>
      </c>
      <c r="E271" s="59"/>
      <c r="F271" s="51">
        <v>1288</v>
      </c>
      <c r="G271" s="50"/>
      <c r="H271" s="51">
        <f>F271*L271</f>
        <v>1352.9269038420134</v>
      </c>
      <c r="I271" s="50"/>
      <c r="J271" s="50"/>
      <c r="K271" s="52"/>
      <c r="L271" s="42">
        <f>1+$K$212</f>
        <v>1.0504090868338614</v>
      </c>
      <c r="M271" s="4">
        <f>H271/F271-1</f>
        <v>5.0409086833861361E-2</v>
      </c>
    </row>
    <row r="272" spans="1:16" hidden="1" x14ac:dyDescent="0.25">
      <c r="A272" s="101">
        <f t="shared" si="22"/>
        <v>252</v>
      </c>
      <c r="D272" s="78" t="s">
        <v>33</v>
      </c>
      <c r="E272" s="59"/>
      <c r="F272" s="51">
        <v>6.62</v>
      </c>
      <c r="G272" s="50"/>
      <c r="H272" s="51">
        <f>H267</f>
        <v>6.85</v>
      </c>
      <c r="I272" s="50"/>
      <c r="J272" s="50"/>
      <c r="K272" s="52"/>
      <c r="L272" s="42">
        <f t="shared" ref="L272:L274" si="24">1+$K$212</f>
        <v>1.0504090868338614</v>
      </c>
      <c r="M272" s="4">
        <f>H272/F272-1</f>
        <v>3.4743202416918306E-2</v>
      </c>
      <c r="P272" s="2" t="s">
        <v>88</v>
      </c>
    </row>
    <row r="273" spans="1:16" hidden="1" x14ac:dyDescent="0.25">
      <c r="A273" s="101">
        <f t="shared" si="22"/>
        <v>253</v>
      </c>
      <c r="D273" s="78" t="s">
        <v>68</v>
      </c>
      <c r="E273" s="59"/>
      <c r="F273" s="53">
        <v>6.1880999999999999E-2</v>
      </c>
      <c r="G273" s="50"/>
      <c r="H273" s="53">
        <f>F273*L273</f>
        <v>6.500036470236617E-2</v>
      </c>
      <c r="I273" s="50"/>
      <c r="J273" s="50"/>
      <c r="K273" s="52"/>
      <c r="L273" s="42">
        <f t="shared" si="24"/>
        <v>1.0504090868338614</v>
      </c>
      <c r="M273" s="4">
        <f>H273/F273-1</f>
        <v>5.0409086833861361E-2</v>
      </c>
    </row>
    <row r="274" spans="1:16" hidden="1" x14ac:dyDescent="0.25">
      <c r="A274" s="101">
        <f t="shared" si="22"/>
        <v>254</v>
      </c>
      <c r="D274" s="78" t="s">
        <v>69</v>
      </c>
      <c r="E274" s="59"/>
      <c r="F274" s="53">
        <v>5.3474000000000001E-2</v>
      </c>
      <c r="G274" s="50"/>
      <c r="H274" s="53">
        <f>F274*L274</f>
        <v>5.6169575509353906E-2</v>
      </c>
      <c r="I274" s="50"/>
      <c r="J274" s="50"/>
      <c r="K274" s="52"/>
      <c r="L274" s="42">
        <f t="shared" si="24"/>
        <v>1.0504090868338614</v>
      </c>
      <c r="M274" s="4">
        <f>H274/F274-1</f>
        <v>5.0409086833861361E-2</v>
      </c>
    </row>
    <row r="275" spans="1:16" hidden="1" x14ac:dyDescent="0.25">
      <c r="A275" s="101">
        <f t="shared" si="22"/>
        <v>255</v>
      </c>
      <c r="B275" s="81" t="s">
        <v>70</v>
      </c>
      <c r="C275" s="102" t="s">
        <v>85</v>
      </c>
      <c r="D275" s="81"/>
      <c r="E275" s="81"/>
      <c r="F275" s="81"/>
      <c r="G275" s="81"/>
      <c r="H275" s="81"/>
      <c r="I275" s="81"/>
      <c r="J275" s="81"/>
      <c r="K275" s="81"/>
    </row>
    <row r="276" spans="1:16" ht="12.6" hidden="1" customHeight="1" x14ac:dyDescent="0.25">
      <c r="A276" s="101">
        <f t="shared" si="22"/>
        <v>256</v>
      </c>
      <c r="D276" s="78" t="s">
        <v>13</v>
      </c>
      <c r="E276" s="59"/>
      <c r="F276" s="51">
        <v>2937</v>
      </c>
      <c r="G276" s="50"/>
      <c r="H276" s="51">
        <f>F276*L276</f>
        <v>3085.0514880310507</v>
      </c>
      <c r="I276" s="50"/>
      <c r="J276" s="50"/>
      <c r="K276" s="52"/>
      <c r="L276" s="42">
        <f>1+$K$212</f>
        <v>1.0504090868338614</v>
      </c>
      <c r="M276" s="4">
        <f>H276/F276-1</f>
        <v>5.0409086833861361E-2</v>
      </c>
    </row>
    <row r="277" spans="1:16" hidden="1" x14ac:dyDescent="0.25">
      <c r="A277" s="101">
        <f t="shared" si="22"/>
        <v>257</v>
      </c>
      <c r="D277" s="78" t="s">
        <v>33</v>
      </c>
      <c r="E277" s="59"/>
      <c r="F277" s="51">
        <v>6.62</v>
      </c>
      <c r="G277" s="50"/>
      <c r="H277" s="51">
        <f>H267</f>
        <v>6.85</v>
      </c>
      <c r="I277" s="50"/>
      <c r="J277" s="50"/>
      <c r="K277" s="52"/>
      <c r="L277" s="42">
        <f t="shared" ref="L277:L279" si="25">1+$K$212</f>
        <v>1.0504090868338614</v>
      </c>
      <c r="M277" s="4">
        <f>H277/F277-1</f>
        <v>3.4743202416918306E-2</v>
      </c>
      <c r="P277" s="2" t="s">
        <v>88</v>
      </c>
    </row>
    <row r="278" spans="1:16" hidden="1" x14ac:dyDescent="0.25">
      <c r="A278" s="101">
        <f t="shared" si="22"/>
        <v>258</v>
      </c>
      <c r="D278" s="78" t="s">
        <v>68</v>
      </c>
      <c r="E278" s="59"/>
      <c r="F278" s="53">
        <v>6.0387999999999997E-2</v>
      </c>
      <c r="G278" s="50"/>
      <c r="H278" s="53">
        <f>F278*L278</f>
        <v>6.3432103935723211E-2</v>
      </c>
      <c r="I278" s="50"/>
      <c r="J278" s="50"/>
      <c r="K278" s="52"/>
      <c r="L278" s="42">
        <f t="shared" si="25"/>
        <v>1.0504090868338614</v>
      </c>
      <c r="M278" s="4">
        <f>H278/F278-1</f>
        <v>5.0409086833861361E-2</v>
      </c>
    </row>
    <row r="279" spans="1:16" hidden="1" x14ac:dyDescent="0.25">
      <c r="A279" s="101">
        <f t="shared" si="22"/>
        <v>259</v>
      </c>
      <c r="D279" s="78" t="s">
        <v>69</v>
      </c>
      <c r="E279" s="59"/>
      <c r="F279" s="53">
        <v>5.1973999999999999E-2</v>
      </c>
      <c r="G279" s="50"/>
      <c r="H279" s="53">
        <f>F279*L279</f>
        <v>5.4593961879103113E-2</v>
      </c>
      <c r="I279" s="50"/>
      <c r="J279" s="50"/>
      <c r="K279" s="52"/>
      <c r="L279" s="42">
        <f t="shared" si="25"/>
        <v>1.0504090868338614</v>
      </c>
      <c r="M279" s="4">
        <f>H279/F279-1</f>
        <v>5.0409086833861361E-2</v>
      </c>
    </row>
    <row r="280" spans="1:16" hidden="1" x14ac:dyDescent="0.25">
      <c r="A280" s="101">
        <f t="shared" si="22"/>
        <v>260</v>
      </c>
      <c r="B280" s="81" t="s">
        <v>70</v>
      </c>
      <c r="C280" s="102" t="s">
        <v>86</v>
      </c>
      <c r="D280" s="81"/>
      <c r="E280" s="81"/>
      <c r="F280" s="81"/>
      <c r="G280" s="81"/>
      <c r="H280" s="81"/>
      <c r="I280" s="81"/>
      <c r="J280" s="81"/>
      <c r="K280" s="81"/>
    </row>
    <row r="281" spans="1:16" ht="6" hidden="1" customHeight="1" x14ac:dyDescent="0.25">
      <c r="A281" s="101">
        <f t="shared" si="22"/>
        <v>261</v>
      </c>
      <c r="D281" s="78" t="s">
        <v>13</v>
      </c>
      <c r="E281" s="59"/>
      <c r="F281" s="51">
        <v>4501</v>
      </c>
      <c r="G281" s="50"/>
      <c r="H281" s="51">
        <f>F281*L281</f>
        <v>4727.8912998392098</v>
      </c>
      <c r="I281" s="50"/>
      <c r="J281" s="50"/>
      <c r="K281" s="52"/>
      <c r="L281" s="42">
        <f>1+$K$212</f>
        <v>1.0504090868338614</v>
      </c>
      <c r="M281" s="4">
        <f>H281/F281-1</f>
        <v>5.0409086833861361E-2</v>
      </c>
    </row>
    <row r="282" spans="1:16" hidden="1" x14ac:dyDescent="0.25">
      <c r="A282" s="101">
        <f t="shared" si="22"/>
        <v>262</v>
      </c>
      <c r="D282" s="78" t="s">
        <v>33</v>
      </c>
      <c r="E282" s="59"/>
      <c r="F282" s="51">
        <v>6.62</v>
      </c>
      <c r="G282" s="50"/>
      <c r="H282" s="51">
        <f>H267</f>
        <v>6.85</v>
      </c>
      <c r="I282" s="50"/>
      <c r="J282" s="50"/>
      <c r="K282" s="52"/>
      <c r="L282" s="42">
        <f t="shared" ref="L282:L284" si="26">1+$K$212</f>
        <v>1.0504090868338614</v>
      </c>
      <c r="M282" s="4">
        <f>H282/F282-1</f>
        <v>3.4743202416918306E-2</v>
      </c>
      <c r="P282" s="2" t="s">
        <v>88</v>
      </c>
    </row>
    <row r="283" spans="1:16" hidden="1" x14ac:dyDescent="0.25">
      <c r="A283" s="101">
        <f t="shared" si="22"/>
        <v>263</v>
      </c>
      <c r="D283" s="78" t="s">
        <v>68</v>
      </c>
      <c r="E283" s="59"/>
      <c r="F283" s="53">
        <v>5.5412000000000003E-2</v>
      </c>
      <c r="G283" s="50"/>
      <c r="H283" s="53">
        <f>F283*L283</f>
        <v>5.8205268319637932E-2</v>
      </c>
      <c r="I283" s="50"/>
      <c r="J283" s="50"/>
      <c r="K283" s="52"/>
      <c r="L283" s="42">
        <f t="shared" si="26"/>
        <v>1.0504090868338614</v>
      </c>
      <c r="M283" s="4">
        <f>H283/F283-1</f>
        <v>5.0409086833861361E-2</v>
      </c>
    </row>
    <row r="284" spans="1:16" hidden="1" x14ac:dyDescent="0.25">
      <c r="A284" s="101">
        <f t="shared" si="22"/>
        <v>264</v>
      </c>
      <c r="D284" s="78" t="s">
        <v>69</v>
      </c>
      <c r="E284" s="59"/>
      <c r="F284" s="53">
        <v>4.6974000000000002E-2</v>
      </c>
      <c r="G284" s="50"/>
      <c r="H284" s="53">
        <f>F284*L284</f>
        <v>4.9341916444933805E-2</v>
      </c>
      <c r="I284" s="50"/>
      <c r="J284" s="50"/>
      <c r="K284" s="52"/>
      <c r="L284" s="42">
        <f t="shared" si="26"/>
        <v>1.0504090868338614</v>
      </c>
      <c r="M284" s="4">
        <f>H284/F284-1</f>
        <v>5.0409086833861361E-2</v>
      </c>
    </row>
    <row r="286" spans="1:16" x14ac:dyDescent="0.25">
      <c r="E286" s="92"/>
      <c r="F286" s="92"/>
      <c r="G286" s="92"/>
    </row>
    <row r="287" spans="1:16" x14ac:dyDescent="0.25">
      <c r="E287" s="59"/>
      <c r="F287" s="59"/>
      <c r="G287" s="59"/>
    </row>
    <row r="288" spans="1:16" x14ac:dyDescent="0.25">
      <c r="E288" s="59"/>
      <c r="F288" s="59"/>
      <c r="G288" s="59"/>
    </row>
    <row r="289" spans="5:7" x14ac:dyDescent="0.25">
      <c r="E289" s="59"/>
      <c r="F289" s="59"/>
      <c r="G289" s="59"/>
    </row>
    <row r="290" spans="5:7" x14ac:dyDescent="0.25">
      <c r="E290" s="52"/>
      <c r="F290" s="52"/>
      <c r="G290" s="52"/>
    </row>
    <row r="293" spans="5:7" x14ac:dyDescent="0.25">
      <c r="E293" s="93"/>
    </row>
  </sheetData>
  <phoneticPr fontId="5" type="noConversion"/>
  <printOptions horizontalCentered="1"/>
  <pageMargins left="0.7" right="0.7" top="0.75" bottom="0.75" header="0.3" footer="0.3"/>
  <pageSetup scale="68" fitToHeight="5" orientation="landscape" r:id="rId1"/>
  <headerFooter>
    <oddFooter>&amp;R&amp;"Arial,Bold"&amp;10Exhibit JW-9
Page &amp;P of &amp;N</oddFooter>
  </headerFooter>
  <rowBreaks count="4" manualBreakCount="4">
    <brk id="43" max="10" man="1"/>
    <brk id="92" max="10" man="1"/>
    <brk id="131" max="10" man="1"/>
    <brk id="186" max="10" man="1"/>
  </rowBreaks>
  <ignoredErrors>
    <ignoredError sqref="I10:K10 J23:K23 J35:K35 J47:K47 J59 J71:K71 J97 J110 J123 J136 J164:K164 J178 J202:K202 K59:K63 K97:K101 K123:K127 K178:K182 H226:H243 H247:H272 H277:H282 K65 K103:K110 K129:K136 K184:K186 G33:G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theme="5" tint="0.79998168889431442"/>
  </sheetPr>
  <dimension ref="A1:N101"/>
  <sheetViews>
    <sheetView view="pageBreakPreview" topLeftCell="A19" zoomScale="75" zoomScaleNormal="85" zoomScaleSheetLayoutView="75" workbookViewId="0">
      <selection activeCell="F44" sqref="F44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8" style="13" customWidth="1"/>
    <col min="4" max="4" width="35.109375" style="3" bestFit="1" customWidth="1"/>
    <col min="5" max="5" width="33.77734375" style="2" bestFit="1" customWidth="1"/>
    <col min="6" max="6" width="14.6640625" style="2" customWidth="1"/>
    <col min="7" max="7" width="12.5546875" style="2" customWidth="1"/>
    <col min="8" max="9" width="11.88671875" style="2" customWidth="1"/>
    <col min="10" max="12" width="8.88671875" style="2"/>
    <col min="13" max="13" width="13.33203125" style="2" customWidth="1"/>
    <col min="14" max="14" width="17.6640625" style="2" customWidth="1"/>
    <col min="15" max="16384" width="8.88671875" style="2"/>
  </cols>
  <sheetData>
    <row r="1" spans="1:14" x14ac:dyDescent="0.25">
      <c r="A1" s="1" t="str">
        <f>Summary!A1</f>
        <v>FARMERS RECC</v>
      </c>
    </row>
    <row r="2" spans="1:14" x14ac:dyDescent="0.25">
      <c r="A2" s="1" t="s">
        <v>89</v>
      </c>
    </row>
    <row r="4" spans="1:14" x14ac:dyDescent="0.25">
      <c r="C4" s="24" t="s">
        <v>64</v>
      </c>
      <c r="D4" s="43"/>
      <c r="E4" s="23" t="s">
        <v>1</v>
      </c>
      <c r="F4" s="27" t="s">
        <v>28</v>
      </c>
      <c r="G4" s="27" t="s">
        <v>29</v>
      </c>
      <c r="H4" s="27" t="s">
        <v>99</v>
      </c>
    </row>
    <row r="5" spans="1:14" x14ac:dyDescent="0.25">
      <c r="C5" s="13">
        <f>'Billing Detail'!C7</f>
        <v>1</v>
      </c>
      <c r="D5" s="44" t="str">
        <f>'Billing Detail'!B7</f>
        <v>Residential - Schedule R</v>
      </c>
    </row>
    <row r="6" spans="1:14" x14ac:dyDescent="0.25">
      <c r="D6" s="44"/>
      <c r="E6" s="2" t="str">
        <f>'Billing Detail'!D8</f>
        <v>Customer Charge</v>
      </c>
      <c r="F6" s="25">
        <f>'Billing Detail'!F8</f>
        <v>14.49</v>
      </c>
      <c r="G6" s="25">
        <f>'Billing Detail'!H8</f>
        <v>19.5</v>
      </c>
      <c r="H6" s="25">
        <f>G6-F6</f>
        <v>5.01</v>
      </c>
      <c r="J6" s="4"/>
      <c r="N6" s="10"/>
    </row>
    <row r="7" spans="1:14" x14ac:dyDescent="0.25">
      <c r="D7" s="44"/>
      <c r="E7" s="2" t="str">
        <f>'Billing Detail'!D9</f>
        <v>Energy Charge per kWh</v>
      </c>
      <c r="F7" s="30">
        <f>'Billing Detail'!F9</f>
        <v>8.7687000000000001E-2</v>
      </c>
      <c r="G7" s="30">
        <f>'Billing Detail'!H9</f>
        <v>9.0673000000000004E-2</v>
      </c>
      <c r="H7" s="30">
        <f>G7-F7</f>
        <v>2.9860000000000025E-3</v>
      </c>
      <c r="J7" s="4"/>
      <c r="M7" s="62"/>
      <c r="N7" s="61"/>
    </row>
    <row r="8" spans="1:14" x14ac:dyDescent="0.25">
      <c r="C8" s="13">
        <f>'Billing Detail'!C19</f>
        <v>3</v>
      </c>
      <c r="D8" s="44" t="str">
        <f>'Billing Detail'!B19</f>
        <v>TOD Residential - Schedule R</v>
      </c>
      <c r="F8" s="26"/>
      <c r="G8" s="26"/>
      <c r="H8" s="26"/>
      <c r="J8" s="4"/>
    </row>
    <row r="9" spans="1:14" x14ac:dyDescent="0.25">
      <c r="D9" s="44"/>
      <c r="E9" s="2" t="str">
        <f>'Billing Detail'!D20</f>
        <v>Customer Charge</v>
      </c>
      <c r="F9" s="25">
        <f>'Billing Detail'!F20</f>
        <v>20.34</v>
      </c>
      <c r="G9" s="25">
        <f>'Billing Detail'!H20</f>
        <v>25.35</v>
      </c>
      <c r="H9" s="25">
        <f t="shared" ref="H9:H62" si="0">G9-F9</f>
        <v>5.0100000000000016</v>
      </c>
      <c r="I9" s="25"/>
      <c r="J9" s="4"/>
    </row>
    <row r="10" spans="1:14" x14ac:dyDescent="0.25">
      <c r="D10" s="44"/>
      <c r="E10" s="2" t="str">
        <f>'Billing Detail'!D21</f>
        <v>Energy Charge - On Peak per kWh</v>
      </c>
      <c r="F10" s="30">
        <f>'Billing Detail'!F21</f>
        <v>0.103992</v>
      </c>
      <c r="G10" s="30">
        <f>'Billing Detail'!H21</f>
        <v>0.103992</v>
      </c>
      <c r="H10" s="30">
        <f t="shared" si="0"/>
        <v>0</v>
      </c>
      <c r="I10" s="30"/>
      <c r="J10" s="4"/>
    </row>
    <row r="11" spans="1:14" x14ac:dyDescent="0.25">
      <c r="D11" s="44"/>
      <c r="E11" s="2" t="str">
        <f>'Billing Detail'!D22</f>
        <v>Energy Charge - Off Peak per kWh</v>
      </c>
      <c r="F11" s="30">
        <f>'Billing Detail'!F22</f>
        <v>5.7891999999999999E-2</v>
      </c>
      <c r="G11" s="30">
        <f>'Billing Detail'!H22</f>
        <v>5.7891999999999999E-2</v>
      </c>
      <c r="H11" s="30">
        <f t="shared" si="0"/>
        <v>0</v>
      </c>
      <c r="I11" s="30"/>
      <c r="J11" s="4"/>
    </row>
    <row r="12" spans="1:14" x14ac:dyDescent="0.25">
      <c r="C12" s="13">
        <f>'Billing Detail'!C32</f>
        <v>20</v>
      </c>
      <c r="D12" s="44" t="str">
        <f>'Billing Detail'!B32</f>
        <v>Net Metering</v>
      </c>
      <c r="F12" s="25"/>
      <c r="G12" s="25"/>
      <c r="H12" s="25"/>
      <c r="I12" s="25"/>
      <c r="J12" s="4"/>
    </row>
    <row r="13" spans="1:14" x14ac:dyDescent="0.25">
      <c r="D13" s="44"/>
      <c r="E13" s="2" t="str">
        <f>'Billing Detail'!D33</f>
        <v>Customer Charge</v>
      </c>
      <c r="F13" s="25">
        <f>'Billing Detail'!F33</f>
        <v>14.49</v>
      </c>
      <c r="G13" s="25">
        <f>'Billing Detail'!H33</f>
        <v>19.5</v>
      </c>
      <c r="H13" s="25">
        <f t="shared" si="0"/>
        <v>5.01</v>
      </c>
      <c r="I13" s="25"/>
      <c r="J13" s="4"/>
    </row>
    <row r="14" spans="1:14" x14ac:dyDescent="0.25">
      <c r="D14" s="44"/>
      <c r="E14" s="2" t="str">
        <f>'Billing Detail'!D34</f>
        <v>Energy Charge per kWh</v>
      </c>
      <c r="F14" s="30">
        <f>'Billing Detail'!F34</f>
        <v>8.7687000000000001E-2</v>
      </c>
      <c r="G14" s="30">
        <f>'Billing Detail'!H34</f>
        <v>9.0673000000000004E-2</v>
      </c>
      <c r="H14" s="30">
        <f t="shared" si="0"/>
        <v>2.9860000000000025E-3</v>
      </c>
      <c r="I14" s="30"/>
      <c r="J14" s="4"/>
    </row>
    <row r="15" spans="1:14" x14ac:dyDescent="0.25">
      <c r="C15" s="13">
        <f>'Billing Detail'!C44</f>
        <v>7</v>
      </c>
      <c r="D15" s="44" t="str">
        <f>'Billing Detail'!B44</f>
        <v>ETS Residential - Schedule RM</v>
      </c>
      <c r="F15" s="26"/>
      <c r="G15" s="26"/>
      <c r="H15" s="26"/>
      <c r="I15" s="26"/>
      <c r="J15" s="4"/>
    </row>
    <row r="16" spans="1:14" x14ac:dyDescent="0.25">
      <c r="D16" s="44"/>
      <c r="E16" s="2" t="str">
        <f>'Billing Detail'!D46</f>
        <v>Energy Charge - Off Peak per kWh</v>
      </c>
      <c r="F16" s="30">
        <f>'Billing Detail'!F46</f>
        <v>5.0922000000000002E-2</v>
      </c>
      <c r="G16" s="30">
        <f>'Billing Detail'!H46</f>
        <v>5.0922000000000002E-2</v>
      </c>
      <c r="H16" s="30">
        <f t="shared" si="0"/>
        <v>0</v>
      </c>
      <c r="I16" s="30"/>
      <c r="J16" s="4"/>
    </row>
    <row r="17" spans="3:10" x14ac:dyDescent="0.25">
      <c r="C17" s="13">
        <f>'Billing Detail'!C56</f>
        <v>4</v>
      </c>
      <c r="D17" s="44" t="str">
        <f>'Billing Detail'!B56</f>
        <v>Small Commercial - Schedule C</v>
      </c>
      <c r="F17" s="25"/>
      <c r="G17" s="25"/>
      <c r="H17" s="25"/>
      <c r="I17" s="25"/>
      <c r="J17" s="4"/>
    </row>
    <row r="18" spans="3:10" x14ac:dyDescent="0.25">
      <c r="D18" s="44"/>
      <c r="E18" s="2" t="str">
        <f>'Billing Detail'!D57</f>
        <v>Customer Charge</v>
      </c>
      <c r="F18" s="25">
        <f>'Billing Detail'!F57</f>
        <v>22.07</v>
      </c>
      <c r="G18" s="25">
        <f>'Billing Detail'!H57</f>
        <v>22.07</v>
      </c>
      <c r="H18" s="25">
        <f t="shared" si="0"/>
        <v>0</v>
      </c>
      <c r="I18" s="25"/>
      <c r="J18" s="4"/>
    </row>
    <row r="19" spans="3:10" x14ac:dyDescent="0.25">
      <c r="D19" s="44"/>
      <c r="E19" s="2" t="str">
        <f>'Billing Detail'!D58</f>
        <v>Energy Charge per kWh</v>
      </c>
      <c r="F19" s="30">
        <f>'Billing Detail'!F58</f>
        <v>8.2795999999999995E-2</v>
      </c>
      <c r="G19" s="30">
        <f>'Billing Detail'!H58</f>
        <v>8.2795999999999995E-2</v>
      </c>
      <c r="H19" s="30">
        <f t="shared" si="0"/>
        <v>0</v>
      </c>
      <c r="I19" s="30"/>
      <c r="J19" s="4"/>
    </row>
    <row r="20" spans="3:10" x14ac:dyDescent="0.25">
      <c r="C20" s="13">
        <f>'Billing Detail'!C68</f>
        <v>8</v>
      </c>
      <c r="D20" s="44" t="str">
        <f>'Billing Detail'!B68</f>
        <v>EST Small Commercial - Schedule CM</v>
      </c>
      <c r="F20" s="26"/>
      <c r="G20" s="26"/>
      <c r="H20" s="26"/>
      <c r="I20" s="26"/>
      <c r="J20" s="4"/>
    </row>
    <row r="21" spans="3:10" x14ac:dyDescent="0.25">
      <c r="D21" s="44"/>
      <c r="E21" s="2" t="str">
        <f>'Billing Detail'!D70</f>
        <v>Energy Charge per kWh</v>
      </c>
      <c r="F21" s="30">
        <f>'Billing Detail'!F70</f>
        <v>4.7987000000000002E-2</v>
      </c>
      <c r="G21" s="30">
        <f>'Billing Detail'!H70</f>
        <v>4.7987000000000002E-2</v>
      </c>
      <c r="H21" s="30">
        <f t="shared" si="0"/>
        <v>0</v>
      </c>
      <c r="I21" s="30"/>
      <c r="J21" s="4"/>
    </row>
    <row r="22" spans="3:10" x14ac:dyDescent="0.25">
      <c r="C22" s="13">
        <f>'Billing Detail'!C80</f>
        <v>5</v>
      </c>
      <c r="D22" s="44" t="str">
        <f>'Billing Detail'!B80</f>
        <v>Large Commercial - Schedule C</v>
      </c>
      <c r="F22" s="25"/>
      <c r="G22" s="25"/>
      <c r="H22" s="25"/>
      <c r="I22" s="25"/>
      <c r="J22" s="4"/>
    </row>
    <row r="23" spans="3:10" x14ac:dyDescent="0.25">
      <c r="D23" s="44"/>
      <c r="E23" s="2" t="str">
        <f>'Billing Detail'!D81</f>
        <v>Customer Charge</v>
      </c>
      <c r="F23" s="25">
        <f>'Billing Detail'!F81</f>
        <v>108.7</v>
      </c>
      <c r="G23" s="25">
        <f>'Billing Detail'!H81</f>
        <v>108.7</v>
      </c>
      <c r="H23" s="25">
        <f t="shared" si="0"/>
        <v>0</v>
      </c>
      <c r="I23" s="25"/>
      <c r="J23" s="4"/>
    </row>
    <row r="24" spans="3:10" x14ac:dyDescent="0.25">
      <c r="D24" s="44"/>
      <c r="E24" s="2" t="str">
        <f>'Billing Detail'!D82</f>
        <v>Energy Charge per kWh</v>
      </c>
      <c r="F24" s="30">
        <f>'Billing Detail'!F82</f>
        <v>6.3033000000000006E-2</v>
      </c>
      <c r="G24" s="30">
        <f>'Billing Detail'!H82</f>
        <v>6.3033000000000006E-2</v>
      </c>
      <c r="H24" s="30">
        <f t="shared" si="0"/>
        <v>0</v>
      </c>
      <c r="I24" s="30"/>
      <c r="J24" s="4"/>
    </row>
    <row r="25" spans="3:10" x14ac:dyDescent="0.25">
      <c r="D25" s="44"/>
      <c r="E25" s="2" t="str">
        <f>'Billing Detail'!D83</f>
        <v>Demand Charge per kW</v>
      </c>
      <c r="F25" s="25">
        <f>'Billing Detail'!F83</f>
        <v>8.17</v>
      </c>
      <c r="G25" s="25">
        <f>'Billing Detail'!H83</f>
        <v>8.17</v>
      </c>
      <c r="H25" s="25">
        <f t="shared" si="0"/>
        <v>0</v>
      </c>
      <c r="I25" s="25"/>
      <c r="J25" s="4"/>
    </row>
    <row r="26" spans="3:10" x14ac:dyDescent="0.25">
      <c r="C26" s="13">
        <f>'Billing Detail'!C106</f>
        <v>10</v>
      </c>
      <c r="D26" s="44" t="str">
        <f>'Billing Detail'!B106</f>
        <v>Large Commercial - Schedule E</v>
      </c>
      <c r="F26" s="25"/>
      <c r="G26" s="25"/>
      <c r="H26" s="25"/>
      <c r="I26" s="25"/>
      <c r="J26" s="4"/>
    </row>
    <row r="27" spans="3:10" x14ac:dyDescent="0.25">
      <c r="D27" s="44"/>
      <c r="E27" s="2" t="str">
        <f>'Billing Detail'!D107</f>
        <v>Customer Charge</v>
      </c>
      <c r="F27" s="25">
        <f>'Billing Detail'!F107</f>
        <v>1182.76</v>
      </c>
      <c r="G27" s="25">
        <f>'Billing Detail'!H107</f>
        <v>1182.76</v>
      </c>
      <c r="H27" s="25">
        <f t="shared" si="0"/>
        <v>0</v>
      </c>
      <c r="I27" s="25"/>
      <c r="J27" s="4"/>
    </row>
    <row r="28" spans="3:10" x14ac:dyDescent="0.25">
      <c r="D28" s="44"/>
      <c r="E28" s="2" t="str">
        <f>'Billing Detail'!D108</f>
        <v>Demand Charge per kW</v>
      </c>
      <c r="F28" s="25">
        <f>'Billing Detail'!F108</f>
        <v>8.17</v>
      </c>
      <c r="G28" s="25">
        <f>'Billing Detail'!H108</f>
        <v>8.17</v>
      </c>
      <c r="H28" s="25">
        <f t="shared" si="0"/>
        <v>0</v>
      </c>
      <c r="I28" s="25"/>
      <c r="J28" s="4"/>
    </row>
    <row r="29" spans="3:10" x14ac:dyDescent="0.25">
      <c r="D29" s="44"/>
      <c r="E29" s="2" t="str">
        <f>'Billing Detail'!D109</f>
        <v>Energy Charge per kWh</v>
      </c>
      <c r="F29" s="30">
        <f>'Billing Detail'!F109</f>
        <v>4.9105000000000003E-2</v>
      </c>
      <c r="G29" s="30">
        <f>'Billing Detail'!H109</f>
        <v>4.9105000000000003E-2</v>
      </c>
      <c r="H29" s="30">
        <f t="shared" si="0"/>
        <v>0</v>
      </c>
      <c r="I29" s="30"/>
      <c r="J29" s="4"/>
    </row>
    <row r="30" spans="3:10" x14ac:dyDescent="0.25">
      <c r="C30" s="13">
        <f>'Billing Detail'!C119</f>
        <v>14</v>
      </c>
      <c r="D30" s="44" t="str">
        <f>'Billing Detail'!B119</f>
        <v>Large Power - Schedule LPC2</v>
      </c>
      <c r="E30" s="22"/>
      <c r="F30" s="25"/>
      <c r="G30" s="25"/>
      <c r="H30" s="25"/>
      <c r="I30" s="25"/>
      <c r="J30" s="4"/>
    </row>
    <row r="31" spans="3:10" x14ac:dyDescent="0.25">
      <c r="D31" s="44"/>
      <c r="E31" s="2" t="str">
        <f>'Billing Detail'!D120</f>
        <v>Customer Charge</v>
      </c>
      <c r="F31" s="25">
        <f>'Billing Detail'!F120</f>
        <v>1333.43</v>
      </c>
      <c r="G31" s="25">
        <f>'Billing Detail'!H120</f>
        <v>1333.43</v>
      </c>
      <c r="H31" s="25">
        <f t="shared" si="0"/>
        <v>0</v>
      </c>
      <c r="I31" s="25"/>
      <c r="J31" s="4"/>
    </row>
    <row r="32" spans="3:10" x14ac:dyDescent="0.25">
      <c r="D32" s="44"/>
      <c r="E32" s="2" t="str">
        <f>'Billing Detail'!D121</f>
        <v>Demand Charge per kW</v>
      </c>
      <c r="F32" s="25">
        <f>'Billing Detail'!F121</f>
        <v>8.0399999999999991</v>
      </c>
      <c r="G32" s="25">
        <f>'Billing Detail'!H121</f>
        <v>8.0399999999999991</v>
      </c>
      <c r="H32" s="25">
        <f t="shared" si="0"/>
        <v>0</v>
      </c>
      <c r="I32" s="25"/>
      <c r="J32" s="4"/>
    </row>
    <row r="33" spans="3:10" x14ac:dyDescent="0.25">
      <c r="D33" s="44"/>
      <c r="E33" s="2" t="str">
        <f>'Billing Detail'!D122</f>
        <v>Energy Charge per kWh</v>
      </c>
      <c r="F33" s="30">
        <f>'Billing Detail'!F122</f>
        <v>5.3488000000000001E-2</v>
      </c>
      <c r="G33" s="30">
        <f>'Billing Detail'!H122</f>
        <v>5.3488000000000001E-2</v>
      </c>
      <c r="H33" s="30">
        <f t="shared" si="0"/>
        <v>0</v>
      </c>
      <c r="I33" s="30"/>
      <c r="J33" s="4"/>
    </row>
    <row r="34" spans="3:10" x14ac:dyDescent="0.25">
      <c r="C34" s="13">
        <f>'Billing Detail'!C132</f>
        <v>15</v>
      </c>
      <c r="D34" s="44" t="str">
        <f>'Billing Detail'!B132</f>
        <v>Large Commercial Optional TOD - Schedule D</v>
      </c>
      <c r="F34" s="25"/>
      <c r="G34" s="25"/>
      <c r="H34" s="25"/>
      <c r="I34" s="25"/>
      <c r="J34" s="4"/>
    </row>
    <row r="35" spans="3:10" x14ac:dyDescent="0.25">
      <c r="D35" s="44"/>
      <c r="E35" s="2" t="str">
        <f>'Billing Detail'!D133</f>
        <v>Customer Charge</v>
      </c>
      <c r="F35" s="11">
        <f>'Billing Detail'!F133</f>
        <v>108.7</v>
      </c>
      <c r="G35" s="11">
        <f>'Billing Detail'!H133</f>
        <v>108.7</v>
      </c>
      <c r="H35" s="11">
        <f t="shared" si="0"/>
        <v>0</v>
      </c>
      <c r="I35" s="11"/>
      <c r="J35" s="4"/>
    </row>
    <row r="36" spans="3:10" x14ac:dyDescent="0.25">
      <c r="D36" s="44"/>
      <c r="E36" s="2" t="str">
        <f>'Billing Detail'!D134</f>
        <v>Demand Charge per kW</v>
      </c>
      <c r="F36" s="25">
        <f>'Billing Detail'!F134</f>
        <v>8.17</v>
      </c>
      <c r="G36" s="25">
        <f>'Billing Detail'!H134</f>
        <v>8.17</v>
      </c>
      <c r="H36" s="25">
        <f t="shared" si="0"/>
        <v>0</v>
      </c>
      <c r="I36" s="25"/>
      <c r="J36" s="4"/>
    </row>
    <row r="37" spans="3:10" x14ac:dyDescent="0.25">
      <c r="D37" s="44"/>
      <c r="E37" s="2" t="str">
        <f>'Billing Detail'!D135</f>
        <v>Energy Charge per kWh</v>
      </c>
      <c r="F37" s="30">
        <f>'Billing Detail'!F135</f>
        <v>6.2945000000000001E-2</v>
      </c>
      <c r="G37" s="30">
        <f>'Billing Detail'!H135</f>
        <v>6.2945000000000001E-2</v>
      </c>
      <c r="H37" s="30">
        <f t="shared" si="0"/>
        <v>0</v>
      </c>
      <c r="I37" s="30"/>
      <c r="J37" s="4"/>
    </row>
    <row r="38" spans="3:10" x14ac:dyDescent="0.25">
      <c r="C38" s="13">
        <f>'Billing Detail'!C159</f>
        <v>36</v>
      </c>
      <c r="D38" s="44" t="str">
        <f>'Billing Detail'!B159</f>
        <v>Large Power - Schedule LPE4</v>
      </c>
      <c r="F38" s="25"/>
      <c r="G38" s="25"/>
      <c r="H38" s="25"/>
      <c r="I38" s="25"/>
      <c r="J38" s="4"/>
    </row>
    <row r="39" spans="3:10" x14ac:dyDescent="0.25">
      <c r="D39" s="44"/>
      <c r="E39" s="2" t="str">
        <f>'Billing Detail'!D160</f>
        <v>Customer Charge</v>
      </c>
      <c r="F39" s="25">
        <f>'Billing Detail'!F160</f>
        <v>3328.4</v>
      </c>
      <c r="G39" s="25">
        <f>'Billing Detail'!H160</f>
        <v>3328.4</v>
      </c>
      <c r="H39" s="25">
        <f t="shared" si="0"/>
        <v>0</v>
      </c>
      <c r="I39" s="25"/>
      <c r="J39" s="4"/>
    </row>
    <row r="40" spans="3:10" x14ac:dyDescent="0.25">
      <c r="D40" s="44"/>
      <c r="E40" s="2" t="str">
        <f>'Billing Detail'!D161</f>
        <v>Demand Charge per kW</v>
      </c>
      <c r="F40" s="25">
        <f>'Billing Detail'!F161</f>
        <v>6.85</v>
      </c>
      <c r="G40" s="25">
        <f>'Billing Detail'!H161</f>
        <v>6.85</v>
      </c>
      <c r="H40" s="25">
        <f t="shared" si="0"/>
        <v>0</v>
      </c>
      <c r="I40" s="25"/>
      <c r="J40" s="4"/>
    </row>
    <row r="41" spans="3:10" x14ac:dyDescent="0.25">
      <c r="D41" s="44"/>
      <c r="E41" s="2" t="str">
        <f>'Billing Detail'!D162</f>
        <v>Energy Charge - On Peak per kWh</v>
      </c>
      <c r="F41" s="30">
        <f>'Billing Detail'!F162</f>
        <v>5.9942000000000002E-2</v>
      </c>
      <c r="G41" s="30">
        <f>'Billing Detail'!H162</f>
        <v>5.9942000000000002E-2</v>
      </c>
      <c r="H41" s="30">
        <f t="shared" si="0"/>
        <v>0</v>
      </c>
      <c r="I41" s="30"/>
      <c r="J41" s="4"/>
    </row>
    <row r="42" spans="3:10" x14ac:dyDescent="0.25">
      <c r="D42" s="44"/>
      <c r="E42" s="2" t="str">
        <f>'Billing Detail'!D163</f>
        <v>Energy Charge - Off Peak per kWh</v>
      </c>
      <c r="F42" s="30">
        <f>'Billing Detail'!F163</f>
        <v>5.1219000000000001E-2</v>
      </c>
      <c r="G42" s="30">
        <f>'Billing Detail'!H163</f>
        <v>5.1219000000000001E-2</v>
      </c>
      <c r="H42" s="30">
        <f t="shared" si="0"/>
        <v>0</v>
      </c>
      <c r="I42" s="30"/>
      <c r="J42" s="4"/>
    </row>
    <row r="43" spans="3:10" x14ac:dyDescent="0.25">
      <c r="C43" s="13">
        <f>'Billing Detail'!C173</f>
        <v>50</v>
      </c>
      <c r="D43" s="44" t="str">
        <f>'Billing Detail'!B173</f>
        <v>TOD Three Phase - Schedule C</v>
      </c>
      <c r="F43" s="25"/>
      <c r="G43" s="25"/>
      <c r="H43" s="25"/>
      <c r="I43" s="25"/>
      <c r="J43" s="4"/>
    </row>
    <row r="44" spans="3:10" x14ac:dyDescent="0.25">
      <c r="D44" s="44"/>
      <c r="E44" s="2" t="str">
        <f>'Billing Detail'!D174</f>
        <v>Customer Charge Single Phase</v>
      </c>
      <c r="F44" s="25">
        <f>'Billing Detail'!F174</f>
        <v>22.07</v>
      </c>
      <c r="G44" s="25">
        <f>'Billing Detail'!H174</f>
        <v>22.07</v>
      </c>
      <c r="H44" s="25">
        <f t="shared" si="0"/>
        <v>0</v>
      </c>
      <c r="I44" s="25"/>
      <c r="J44" s="4"/>
    </row>
    <row r="45" spans="3:10" x14ac:dyDescent="0.25">
      <c r="D45" s="44"/>
      <c r="E45" s="2" t="str">
        <f>'Billing Detail'!D175</f>
        <v>Customer Charge Three Phase</v>
      </c>
      <c r="F45" s="25">
        <f>'Billing Detail'!F175</f>
        <v>108.7</v>
      </c>
      <c r="G45" s="25">
        <f>'Billing Detail'!H175</f>
        <v>108.7</v>
      </c>
      <c r="H45" s="25">
        <f t="shared" si="0"/>
        <v>0</v>
      </c>
      <c r="I45" s="25"/>
      <c r="J45" s="4"/>
    </row>
    <row r="46" spans="3:10" x14ac:dyDescent="0.25">
      <c r="D46" s="44"/>
      <c r="E46" s="2" t="str">
        <f>'Billing Detail'!D176</f>
        <v>Energy Charge - On Peak per kWh</v>
      </c>
      <c r="F46" s="30">
        <f>'Billing Detail'!F176</f>
        <v>0.117773</v>
      </c>
      <c r="G46" s="30">
        <f>'Billing Detail'!H176</f>
        <v>0.117773</v>
      </c>
      <c r="H46" s="30">
        <f t="shared" si="0"/>
        <v>0</v>
      </c>
      <c r="I46" s="30"/>
      <c r="J46" s="4"/>
    </row>
    <row r="47" spans="3:10" x14ac:dyDescent="0.25">
      <c r="D47" s="44"/>
      <c r="E47" s="2" t="str">
        <f>'Billing Detail'!D177</f>
        <v>Energy Charge - Off Peak per kWh</v>
      </c>
      <c r="F47" s="30">
        <f>'Billing Detail'!F177</f>
        <v>5.7891999999999999E-2</v>
      </c>
      <c r="G47" s="30">
        <f>'Billing Detail'!H177</f>
        <v>5.7891999999999999E-2</v>
      </c>
      <c r="H47" s="30">
        <f t="shared" si="0"/>
        <v>0</v>
      </c>
      <c r="I47" s="30"/>
      <c r="J47" s="4"/>
    </row>
    <row r="48" spans="3:10" x14ac:dyDescent="0.25">
      <c r="D48" s="44" t="str">
        <f>'Billing Detail'!B187</f>
        <v>Lighting</v>
      </c>
      <c r="F48" s="25"/>
      <c r="G48" s="25"/>
      <c r="H48" s="25"/>
      <c r="I48" s="25"/>
      <c r="J48" s="4"/>
    </row>
    <row r="49" spans="3:10" x14ac:dyDescent="0.25">
      <c r="D49" s="44"/>
      <c r="E49" s="2" t="str">
        <f>'Billing Detail'!D188</f>
        <v>Mercury Vapor 175 Watt</v>
      </c>
      <c r="F49" s="25">
        <f>'Billing Detail'!F188</f>
        <v>9.77</v>
      </c>
      <c r="G49" s="25">
        <f>'Billing Detail'!H188</f>
        <v>9.77</v>
      </c>
      <c r="H49" s="25">
        <f t="shared" si="0"/>
        <v>0</v>
      </c>
      <c r="I49" s="25"/>
      <c r="J49" s="4"/>
    </row>
    <row r="50" spans="3:10" x14ac:dyDescent="0.25">
      <c r="E50" s="2" t="str">
        <f>'Billing Detail'!D189</f>
        <v>Mercury Vapor 175 Watt (shared)</v>
      </c>
      <c r="F50" s="25">
        <f>'Billing Detail'!F189</f>
        <v>3.26</v>
      </c>
      <c r="G50" s="25">
        <f>'Billing Detail'!H189</f>
        <v>3.26</v>
      </c>
      <c r="H50" s="25">
        <f t="shared" si="0"/>
        <v>0</v>
      </c>
      <c r="I50" s="25"/>
      <c r="J50" s="4"/>
    </row>
    <row r="51" spans="3:10" x14ac:dyDescent="0.25">
      <c r="E51" s="2" t="str">
        <f>'Billing Detail'!D190</f>
        <v>Mercury Vapor 250 Watt</v>
      </c>
      <c r="F51" s="25">
        <f>'Billing Detail'!F190</f>
        <v>11.11</v>
      </c>
      <c r="G51" s="25">
        <f>'Billing Detail'!H190</f>
        <v>11.11</v>
      </c>
      <c r="H51" s="25">
        <f t="shared" si="0"/>
        <v>0</v>
      </c>
      <c r="I51" s="25"/>
      <c r="J51" s="4"/>
    </row>
    <row r="52" spans="3:10" x14ac:dyDescent="0.25">
      <c r="E52" s="2" t="str">
        <f>'Billing Detail'!D191</f>
        <v>Mercury Vapor 400 Watt</v>
      </c>
      <c r="F52" s="25">
        <f>'Billing Detail'!F191</f>
        <v>16.87</v>
      </c>
      <c r="G52" s="25">
        <f>'Billing Detail'!H191</f>
        <v>16.87</v>
      </c>
      <c r="H52" s="25">
        <f t="shared" si="0"/>
        <v>0</v>
      </c>
      <c r="I52" s="25"/>
      <c r="J52" s="4"/>
    </row>
    <row r="53" spans="3:10" x14ac:dyDescent="0.25">
      <c r="E53" s="2" t="str">
        <f>'Billing Detail'!D192</f>
        <v>Mercury Vapor 1000 Watt</v>
      </c>
      <c r="F53" s="25">
        <f>'Billing Detail'!F192</f>
        <v>29.59</v>
      </c>
      <c r="G53" s="25">
        <f>'Billing Detail'!H192</f>
        <v>29.59</v>
      </c>
      <c r="H53" s="25">
        <f t="shared" si="0"/>
        <v>0</v>
      </c>
      <c r="I53" s="25"/>
      <c r="J53" s="4"/>
    </row>
    <row r="54" spans="3:10" x14ac:dyDescent="0.25">
      <c r="E54" s="2" t="str">
        <f>'Billing Detail'!D193</f>
        <v>Sodium Vapor 100 Watt</v>
      </c>
      <c r="F54" s="25">
        <f>'Billing Detail'!F193</f>
        <v>10.17</v>
      </c>
      <c r="G54" s="25">
        <f>'Billing Detail'!H193</f>
        <v>10.17</v>
      </c>
      <c r="H54" s="25">
        <f t="shared" si="0"/>
        <v>0</v>
      </c>
      <c r="I54" s="25"/>
      <c r="J54" s="4"/>
    </row>
    <row r="55" spans="3:10" x14ac:dyDescent="0.25">
      <c r="E55" s="2" t="str">
        <f>'Billing Detail'!D194</f>
        <v>Sodium Vapor 150 Watt</v>
      </c>
      <c r="F55" s="25">
        <f>'Billing Detail'!F194</f>
        <v>11.84</v>
      </c>
      <c r="G55" s="25">
        <f>'Billing Detail'!H194</f>
        <v>11.84</v>
      </c>
      <c r="H55" s="25">
        <f t="shared" si="0"/>
        <v>0</v>
      </c>
      <c r="I55" s="25"/>
      <c r="J55" s="4"/>
    </row>
    <row r="56" spans="3:10" x14ac:dyDescent="0.25">
      <c r="E56" s="2" t="str">
        <f>'Billing Detail'!D195</f>
        <v>Sodium Vapor 250 Watt</v>
      </c>
      <c r="F56" s="25">
        <f>'Billing Detail'!F195</f>
        <v>16.059999999999999</v>
      </c>
      <c r="G56" s="25">
        <f>'Billing Detail'!H195</f>
        <v>16.059999999999999</v>
      </c>
      <c r="H56" s="25">
        <f t="shared" si="0"/>
        <v>0</v>
      </c>
      <c r="I56" s="25"/>
      <c r="J56" s="4"/>
    </row>
    <row r="57" spans="3:10" x14ac:dyDescent="0.25">
      <c r="E57" s="2" t="str">
        <f>'Billing Detail'!D196</f>
        <v>Sodium Vapor 400 Watt</v>
      </c>
      <c r="F57" s="25">
        <f>'Billing Detail'!F196</f>
        <v>20.63</v>
      </c>
      <c r="G57" s="25">
        <f>'Billing Detail'!H196</f>
        <v>20.63</v>
      </c>
      <c r="H57" s="25">
        <f t="shared" si="0"/>
        <v>0</v>
      </c>
      <c r="I57" s="25"/>
      <c r="J57" s="4"/>
    </row>
    <row r="58" spans="3:10" x14ac:dyDescent="0.25">
      <c r="E58" s="2" t="str">
        <f>'Billing Detail'!D197</f>
        <v>Sodium Vapor 1000 Watt</v>
      </c>
      <c r="F58" s="25">
        <f>'Billing Detail'!F197</f>
        <v>44.63</v>
      </c>
      <c r="G58" s="25">
        <f>'Billing Detail'!H197</f>
        <v>44.63</v>
      </c>
      <c r="H58" s="25">
        <f t="shared" si="0"/>
        <v>0</v>
      </c>
      <c r="I58" s="25"/>
      <c r="J58" s="4"/>
    </row>
    <row r="59" spans="3:10" x14ac:dyDescent="0.25">
      <c r="E59" s="2" t="str">
        <f>'Billing Detail'!D198</f>
        <v>LED Light 70 Watt</v>
      </c>
      <c r="F59" s="25">
        <f>'Billing Detail'!F198</f>
        <v>10.11</v>
      </c>
      <c r="G59" s="25">
        <f>'Billing Detail'!H198</f>
        <v>10.11</v>
      </c>
      <c r="H59" s="25">
        <f t="shared" si="0"/>
        <v>0</v>
      </c>
      <c r="I59" s="25"/>
      <c r="J59" s="4"/>
    </row>
    <row r="60" spans="3:10" x14ac:dyDescent="0.25">
      <c r="E60" s="2" t="str">
        <f>'Billing Detail'!D199</f>
        <v>LED Light 105 Watt</v>
      </c>
      <c r="F60" s="25">
        <f>'Billing Detail'!F199</f>
        <v>15.53</v>
      </c>
      <c r="G60" s="25">
        <f>'Billing Detail'!H199</f>
        <v>15.53</v>
      </c>
      <c r="H60" s="25">
        <f t="shared" si="0"/>
        <v>0</v>
      </c>
      <c r="I60" s="25"/>
      <c r="J60" s="4"/>
    </row>
    <row r="61" spans="3:10" x14ac:dyDescent="0.25">
      <c r="E61" s="2" t="str">
        <f>'Billing Detail'!D200</f>
        <v>LED Light 145 Watt</v>
      </c>
      <c r="F61" s="25">
        <f>'Billing Detail'!F200</f>
        <v>17.09</v>
      </c>
      <c r="G61" s="25">
        <f>'Billing Detail'!H200</f>
        <v>17.09</v>
      </c>
      <c r="H61" s="25">
        <f t="shared" si="0"/>
        <v>0</v>
      </c>
      <c r="I61" s="25"/>
      <c r="J61" s="4"/>
    </row>
    <row r="62" spans="3:10" x14ac:dyDescent="0.25">
      <c r="E62" s="2" t="str">
        <f>'Billing Detail'!D201</f>
        <v>LED Flood Light 199 Watt</v>
      </c>
      <c r="F62" s="25">
        <f>'Billing Detail'!F201</f>
        <v>21.93</v>
      </c>
      <c r="G62" s="25">
        <f>'Billing Detail'!H201</f>
        <v>21.93</v>
      </c>
      <c r="H62" s="25">
        <f t="shared" si="0"/>
        <v>0</v>
      </c>
      <c r="I62" s="25"/>
      <c r="J62" s="4"/>
    </row>
    <row r="64" spans="3:10" x14ac:dyDescent="0.25">
      <c r="C64" s="3" t="s">
        <v>112</v>
      </c>
      <c r="F64" s="25"/>
      <c r="G64" s="25"/>
    </row>
    <row r="65" spans="3:8" x14ac:dyDescent="0.25">
      <c r="F65" s="25"/>
      <c r="G65" s="25"/>
    </row>
    <row r="66" spans="3:8" ht="41.4" customHeight="1" x14ac:dyDescent="0.25">
      <c r="C66" s="119" t="s">
        <v>56</v>
      </c>
      <c r="D66" s="119"/>
      <c r="E66" s="119"/>
      <c r="F66" s="119"/>
      <c r="G66" s="119"/>
    </row>
    <row r="67" spans="3:8" x14ac:dyDescent="0.25">
      <c r="F67" s="120" t="s">
        <v>57</v>
      </c>
      <c r="G67" s="120"/>
    </row>
    <row r="68" spans="3:8" x14ac:dyDescent="0.25">
      <c r="C68" s="36" t="s">
        <v>58</v>
      </c>
      <c r="D68" s="45"/>
      <c r="E68" s="31"/>
      <c r="F68" s="32" t="s">
        <v>59</v>
      </c>
      <c r="G68" s="32" t="s">
        <v>60</v>
      </c>
    </row>
    <row r="69" spans="3:8" x14ac:dyDescent="0.25">
      <c r="C69" s="37">
        <f>Summary!C6</f>
        <v>1</v>
      </c>
      <c r="D69" s="3" t="str">
        <f>Summary!B6</f>
        <v>Residential - Schedule R</v>
      </c>
      <c r="F69" s="33">
        <f>Summary!F6</f>
        <v>2408157.2227679938</v>
      </c>
      <c r="G69" s="34">
        <f>Summary!G6</f>
        <v>5.9287526413507097E-2</v>
      </c>
    </row>
    <row r="70" spans="3:8" x14ac:dyDescent="0.25">
      <c r="C70" s="37">
        <f>Summary!C7</f>
        <v>3</v>
      </c>
      <c r="D70" s="3" t="str">
        <f>Summary!B7</f>
        <v>TOD Residential - Schedule R</v>
      </c>
      <c r="F70" s="33">
        <f>Summary!F7</f>
        <v>90.179999999999836</v>
      </c>
      <c r="G70" s="34">
        <f>Summary!G7</f>
        <v>3.9190294411728339E-2</v>
      </c>
      <c r="H70" s="1"/>
    </row>
    <row r="71" spans="3:8" x14ac:dyDescent="0.25">
      <c r="C71" s="37">
        <f>Summary!C8</f>
        <v>20</v>
      </c>
      <c r="D71" s="3" t="str">
        <f>Summary!B8</f>
        <v>Net Metering</v>
      </c>
      <c r="F71" s="33">
        <f>Summary!F8</f>
        <v>7456.234002000012</v>
      </c>
      <c r="G71" s="34">
        <f>Summary!G8</f>
        <v>5.6319514291257151E-2</v>
      </c>
      <c r="H71" s="1"/>
    </row>
    <row r="72" spans="3:8" x14ac:dyDescent="0.25">
      <c r="C72" s="37">
        <f>Summary!C9</f>
        <v>7</v>
      </c>
      <c r="D72" s="3" t="str">
        <f>Summary!B9</f>
        <v>ETS Residential - Schedule RM</v>
      </c>
      <c r="F72" s="33">
        <f>Summary!F9</f>
        <v>0</v>
      </c>
      <c r="G72" s="34">
        <f>Summary!G9</f>
        <v>0</v>
      </c>
      <c r="H72" s="1"/>
    </row>
    <row r="73" spans="3:8" x14ac:dyDescent="0.25">
      <c r="C73" s="37">
        <f>Summary!C10</f>
        <v>4</v>
      </c>
      <c r="D73" s="3" t="str">
        <f>Summary!B10</f>
        <v>Small Commercial - Schedule C</v>
      </c>
      <c r="F73" s="33">
        <f>Summary!F10</f>
        <v>0</v>
      </c>
      <c r="G73" s="34">
        <f>Summary!G10</f>
        <v>0</v>
      </c>
      <c r="H73" s="1"/>
    </row>
    <row r="74" spans="3:8" x14ac:dyDescent="0.25">
      <c r="C74" s="37">
        <f>Summary!C11</f>
        <v>8</v>
      </c>
      <c r="D74" s="3" t="str">
        <f>Summary!B11</f>
        <v>EST Small Commercial - Schedule CM</v>
      </c>
      <c r="F74" s="33">
        <f>Summary!F11</f>
        <v>0</v>
      </c>
      <c r="G74" s="34">
        <f>Summary!G11</f>
        <v>0</v>
      </c>
      <c r="H74" s="1"/>
    </row>
    <row r="75" spans="3:8" x14ac:dyDescent="0.25">
      <c r="C75" s="37">
        <f>Summary!C12</f>
        <v>5</v>
      </c>
      <c r="D75" s="3" t="str">
        <f>Summary!B12</f>
        <v>Large Commercial - Schedule C</v>
      </c>
      <c r="F75" s="33">
        <f>Summary!F12</f>
        <v>0</v>
      </c>
      <c r="G75" s="34">
        <f>Summary!G12</f>
        <v>0</v>
      </c>
      <c r="H75" s="1"/>
    </row>
    <row r="76" spans="3:8" x14ac:dyDescent="0.25">
      <c r="C76" s="37">
        <f>Summary!C13</f>
        <v>9</v>
      </c>
      <c r="D76" s="3" t="str">
        <f>Summary!B13</f>
        <v>Large Commercial 10% Disc- Schedule C</v>
      </c>
      <c r="F76" s="33">
        <f>Summary!F13</f>
        <v>0</v>
      </c>
      <c r="G76" s="34">
        <f>Summary!G13</f>
        <v>0</v>
      </c>
      <c r="H76" s="1"/>
    </row>
    <row r="77" spans="3:8" x14ac:dyDescent="0.25">
      <c r="C77" s="37">
        <f>Summary!C14</f>
        <v>10</v>
      </c>
      <c r="D77" s="3" t="str">
        <f>Summary!B14</f>
        <v>Large Commercial - Schedule E</v>
      </c>
      <c r="F77" s="33">
        <f>Summary!F14</f>
        <v>0</v>
      </c>
      <c r="G77" s="34">
        <f>Summary!G14</f>
        <v>0</v>
      </c>
      <c r="H77" s="1"/>
    </row>
    <row r="78" spans="3:8" x14ac:dyDescent="0.25">
      <c r="C78" s="37">
        <f>Summary!C15</f>
        <v>14</v>
      </c>
      <c r="D78" s="3" t="str">
        <f>Summary!B15</f>
        <v>Large Power - Schedule LPC2</v>
      </c>
      <c r="F78" s="33">
        <f>Summary!F15</f>
        <v>0</v>
      </c>
      <c r="G78" s="34">
        <f>Summary!G15</f>
        <v>0</v>
      </c>
      <c r="H78" s="1"/>
    </row>
    <row r="79" spans="3:8" x14ac:dyDescent="0.25">
      <c r="C79" s="37">
        <f>Summary!C16</f>
        <v>15</v>
      </c>
      <c r="D79" s="3" t="str">
        <f>Summary!B16</f>
        <v>Large Commercial Optional TOD - Schedule D</v>
      </c>
      <c r="F79" s="33">
        <f>Summary!F16</f>
        <v>0</v>
      </c>
      <c r="G79" s="34">
        <f>Summary!G16</f>
        <v>0</v>
      </c>
      <c r="H79" s="1"/>
    </row>
    <row r="80" spans="3:8" x14ac:dyDescent="0.25">
      <c r="C80" s="37">
        <f>Summary!C18</f>
        <v>36</v>
      </c>
      <c r="D80" s="3" t="str">
        <f>Summary!B18</f>
        <v>Large Power - Schedule LPE4</v>
      </c>
      <c r="F80" s="33">
        <f>Summary!F18</f>
        <v>0</v>
      </c>
      <c r="G80" s="34">
        <f>Summary!G17</f>
        <v>0</v>
      </c>
      <c r="H80" s="1"/>
    </row>
    <row r="81" spans="3:8" x14ac:dyDescent="0.25">
      <c r="C81" s="37">
        <f>Summary!C19</f>
        <v>50</v>
      </c>
      <c r="D81" s="3" t="str">
        <f>Summary!B19</f>
        <v>TOD Three Phase - Schedule C</v>
      </c>
      <c r="F81" s="33">
        <f>Summary!F19</f>
        <v>0</v>
      </c>
      <c r="G81" s="34">
        <f>Summary!G18</f>
        <v>0</v>
      </c>
      <c r="H81" s="1"/>
    </row>
    <row r="82" spans="3:8" x14ac:dyDescent="0.25">
      <c r="C82" s="37"/>
      <c r="D82" s="3" t="str">
        <f>Summary!B20</f>
        <v>Lighting</v>
      </c>
      <c r="F82" s="33">
        <f>Summary!F20</f>
        <v>0</v>
      </c>
      <c r="G82" s="34">
        <f>Summary!G19</f>
        <v>0</v>
      </c>
      <c r="H82" s="1"/>
    </row>
    <row r="83" spans="3:8" x14ac:dyDescent="0.25">
      <c r="C83" s="114"/>
      <c r="D83" s="111" t="s">
        <v>116</v>
      </c>
      <c r="E83" s="18"/>
      <c r="F83" s="112">
        <f>'Billing Detail'!J218</f>
        <v>2415703.6367699942</v>
      </c>
      <c r="G83" s="113">
        <f>'Billing Detail'!K218</f>
        <v>3.9939235181608593E-2</v>
      </c>
    </row>
    <row r="85" spans="3:8" ht="40.200000000000003" customHeight="1" x14ac:dyDescent="0.25">
      <c r="C85" s="119" t="s">
        <v>61</v>
      </c>
      <c r="D85" s="119"/>
      <c r="E85" s="119"/>
      <c r="F85" s="119"/>
      <c r="G85" s="119"/>
      <c r="H85" s="119"/>
    </row>
    <row r="86" spans="3:8" x14ac:dyDescent="0.25">
      <c r="E86" s="35" t="s">
        <v>14</v>
      </c>
      <c r="F86" s="120" t="s">
        <v>57</v>
      </c>
      <c r="G86" s="120"/>
    </row>
    <row r="87" spans="3:8" x14ac:dyDescent="0.25">
      <c r="C87" s="36" t="s">
        <v>58</v>
      </c>
      <c r="D87" s="46"/>
      <c r="E87" s="36" t="s">
        <v>62</v>
      </c>
      <c r="F87" s="32" t="s">
        <v>59</v>
      </c>
      <c r="G87" s="32" t="s">
        <v>60</v>
      </c>
    </row>
    <row r="88" spans="3:8" x14ac:dyDescent="0.25">
      <c r="C88" s="13">
        <f>Summary!C6</f>
        <v>1</v>
      </c>
      <c r="D88" s="47" t="str">
        <f>Summary!B6</f>
        <v>Residential - Schedule R</v>
      </c>
      <c r="E88" s="38">
        <f>'Billing Detail'!E17</f>
        <v>1101.5059671710819</v>
      </c>
      <c r="F88" s="25">
        <f>'Billing Detail'!J17</f>
        <v>8.2990968179728384</v>
      </c>
      <c r="G88" s="4">
        <f>Summary!G6</f>
        <v>5.9287526413507097E-2</v>
      </c>
    </row>
    <row r="89" spans="3:8" x14ac:dyDescent="0.25">
      <c r="C89" s="13">
        <f>Summary!C7</f>
        <v>3</v>
      </c>
      <c r="D89" s="47" t="str">
        <f>Summary!B7</f>
        <v>TOD Residential - Schedule R</v>
      </c>
      <c r="E89" s="38">
        <f>'Billing Detail'!E30</f>
        <v>1035.8888888888889</v>
      </c>
      <c r="F89" s="25">
        <f>'Billing Detail'!J30</f>
        <v>5.0099999999999767</v>
      </c>
      <c r="G89" s="4">
        <f>Summary!G7</f>
        <v>3.9190294411728339E-2</v>
      </c>
    </row>
    <row r="90" spans="3:8" x14ac:dyDescent="0.25">
      <c r="C90" s="13">
        <f>Summary!C8</f>
        <v>20</v>
      </c>
      <c r="D90" s="47" t="str">
        <f>Summary!B8</f>
        <v>Net Metering</v>
      </c>
      <c r="E90" s="38">
        <f>'Billing Detail'!E42</f>
        <v>1523.5346153846153</v>
      </c>
      <c r="F90" s="25">
        <f>'Billing Detail'!J42</f>
        <v>9.5592743615384848</v>
      </c>
      <c r="G90" s="4">
        <f>Summary!G8</f>
        <v>5.6319514291257151E-2</v>
      </c>
    </row>
    <row r="91" spans="3:8" x14ac:dyDescent="0.25">
      <c r="C91" s="13">
        <f>Summary!C9</f>
        <v>7</v>
      </c>
      <c r="D91" s="47" t="str">
        <f>Summary!B9</f>
        <v>ETS Residential - Schedule RM</v>
      </c>
      <c r="E91" s="38">
        <f>'Billing Detail'!E54</f>
        <v>300.69545793000742</v>
      </c>
      <c r="F91" s="25">
        <f>'Billing Detail'!J54</f>
        <v>0</v>
      </c>
      <c r="G91" s="4">
        <f>Summary!G9</f>
        <v>0</v>
      </c>
    </row>
    <row r="92" spans="3:8" x14ac:dyDescent="0.25">
      <c r="C92" s="13">
        <f>Summary!C10</f>
        <v>4</v>
      </c>
      <c r="D92" s="47" t="str">
        <f>Summary!B10</f>
        <v>Small Commercial - Schedule C</v>
      </c>
      <c r="E92" s="38">
        <f>'Billing Detail'!E66</f>
        <v>1557.7644116361516</v>
      </c>
      <c r="F92" s="25">
        <f>'Billing Detail'!J66</f>
        <v>0</v>
      </c>
      <c r="G92" s="4">
        <f>Summary!G10</f>
        <v>0</v>
      </c>
    </row>
    <row r="93" spans="3:8" x14ac:dyDescent="0.25">
      <c r="C93" s="13">
        <f>Summary!C11</f>
        <v>8</v>
      </c>
      <c r="D93" s="47" t="str">
        <f>Summary!B11</f>
        <v>EST Small Commercial - Schedule CM</v>
      </c>
      <c r="E93" s="38">
        <v>0</v>
      </c>
      <c r="F93" s="25">
        <f>'Billing Detail'!J78</f>
        <v>0</v>
      </c>
      <c r="G93" s="4">
        <f>Summary!G11</f>
        <v>0</v>
      </c>
    </row>
    <row r="94" spans="3:8" x14ac:dyDescent="0.25">
      <c r="C94" s="13">
        <f>Summary!C12</f>
        <v>5</v>
      </c>
      <c r="D94" s="47" t="str">
        <f>Summary!B12</f>
        <v>Large Commercial - Schedule C</v>
      </c>
      <c r="E94" s="38">
        <f>'Billing Detail'!E91</f>
        <v>44697.15063829787</v>
      </c>
      <c r="F94" s="25">
        <f>'Billing Detail'!J91</f>
        <v>0</v>
      </c>
      <c r="G94" s="4">
        <f>Summary!G12</f>
        <v>0</v>
      </c>
    </row>
    <row r="95" spans="3:8" x14ac:dyDescent="0.25">
      <c r="C95" s="13">
        <f>Summary!C13</f>
        <v>9</v>
      </c>
      <c r="D95" s="47" t="str">
        <f>Summary!B13</f>
        <v>Large Commercial 10% Disc- Schedule C</v>
      </c>
      <c r="E95" s="38">
        <f>'Billing Detail'!E104</f>
        <v>497262.70833333331</v>
      </c>
      <c r="F95" s="25">
        <f>'Billing Detail'!J104</f>
        <v>0</v>
      </c>
      <c r="G95" s="4">
        <f>Summary!G13</f>
        <v>0</v>
      </c>
    </row>
    <row r="96" spans="3:8" x14ac:dyDescent="0.25">
      <c r="C96" s="13">
        <f>Summary!C14</f>
        <v>10</v>
      </c>
      <c r="D96" s="47" t="str">
        <f>Summary!B14</f>
        <v>Large Commercial - Schedule E</v>
      </c>
      <c r="E96" s="39">
        <f>'Billing Detail'!E117</f>
        <v>5865.583333333333</v>
      </c>
      <c r="F96" s="25">
        <f>'Billing Detail'!J117</f>
        <v>0</v>
      </c>
      <c r="G96" s="4">
        <f>Summary!G14</f>
        <v>0</v>
      </c>
    </row>
    <row r="97" spans="3:7" x14ac:dyDescent="0.25">
      <c r="C97" s="13">
        <f>Summary!C15</f>
        <v>14</v>
      </c>
      <c r="D97" s="47" t="str">
        <f>Summary!B15</f>
        <v>Large Power - Schedule LPC2</v>
      </c>
      <c r="E97" s="38">
        <f>'Billing Detail'!E130</f>
        <v>663200</v>
      </c>
      <c r="F97" s="25">
        <f>'Billing Detail'!J130</f>
        <v>0</v>
      </c>
      <c r="G97" s="4">
        <f>Summary!G15</f>
        <v>0</v>
      </c>
    </row>
    <row r="98" spans="3:7" x14ac:dyDescent="0.25">
      <c r="C98" s="13">
        <f>Summary!C16</f>
        <v>15</v>
      </c>
      <c r="D98" s="47" t="str">
        <f>Summary!B16</f>
        <v>Large Commercial Optional TOD - Schedule D</v>
      </c>
      <c r="E98" s="38">
        <f>'Billing Detail'!E143</f>
        <v>18254.25</v>
      </c>
      <c r="F98" s="25">
        <f>'Billing Detail'!J143</f>
        <v>0</v>
      </c>
      <c r="G98" s="4">
        <f>Summary!G16</f>
        <v>0</v>
      </c>
    </row>
    <row r="99" spans="3:7" x14ac:dyDescent="0.25">
      <c r="C99" s="13">
        <f>Summary!C18</f>
        <v>36</v>
      </c>
      <c r="D99" s="47" t="str">
        <f>Summary!B18</f>
        <v>Large Power - Schedule LPE4</v>
      </c>
      <c r="E99" s="38">
        <f>'Billing Detail'!E171</f>
        <v>1726789.75</v>
      </c>
      <c r="F99" s="25">
        <f>'Billing Detail'!J171</f>
        <v>0</v>
      </c>
      <c r="G99" s="4">
        <f>Summary!G17</f>
        <v>0</v>
      </c>
    </row>
    <row r="100" spans="3:7" x14ac:dyDescent="0.25">
      <c r="C100" s="13">
        <f>Summary!C19</f>
        <v>50</v>
      </c>
      <c r="D100" s="47" t="str">
        <f>Summary!B19</f>
        <v>TOD Three Phase - Schedule C</v>
      </c>
      <c r="E100" s="38">
        <f>'Billing Detail'!E185</f>
        <v>2996.2191780821918</v>
      </c>
      <c r="F100" s="25">
        <f>'Billing Detail'!K185</f>
        <v>0</v>
      </c>
      <c r="G100" s="4">
        <f>Summary!G18</f>
        <v>0</v>
      </c>
    </row>
    <row r="101" spans="3:7" x14ac:dyDescent="0.25">
      <c r="D101" s="47" t="str">
        <f>Summary!B20</f>
        <v>Lighting</v>
      </c>
      <c r="E101" s="41" t="s">
        <v>63</v>
      </c>
      <c r="F101" s="40" t="s">
        <v>63</v>
      </c>
      <c r="G101" s="4">
        <f>Summary!G19</f>
        <v>0</v>
      </c>
    </row>
  </sheetData>
  <mergeCells count="4">
    <mergeCell ref="C66:G66"/>
    <mergeCell ref="F67:G67"/>
    <mergeCell ref="C85:H85"/>
    <mergeCell ref="F86:G86"/>
  </mergeCells>
  <printOptions horizontalCentered="1"/>
  <pageMargins left="0.7" right="0.7" top="0.75" bottom="0.75" header="0.3" footer="0.3"/>
  <pageSetup paperSize="9" scale="61" fitToHeight="2" orientation="portrait" r:id="rId1"/>
  <headerFooter>
    <oddHeader>&amp;R&amp;"Arial,Bold"&amp;10Exhibit 2
Page &amp;P of &amp;N</oddHeader>
  </headerFooter>
  <rowBreaks count="1" manualBreakCount="1">
    <brk id="8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2023-06-16T14:39:41Z</cp:lastPrinted>
  <dcterms:created xsi:type="dcterms:W3CDTF">2021-02-09T02:13:44Z</dcterms:created>
  <dcterms:modified xsi:type="dcterms:W3CDTF">2023-06-16T14:40:55Z</dcterms:modified>
</cp:coreProperties>
</file>