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casturgill/Library/Mobile Documents/com~apple~CloudDocs/Hay Exploration, Inc./PSC- Farm Tap/"/>
    </mc:Choice>
  </mc:AlternateContent>
  <xr:revisionPtr revIDLastSave="0" documentId="13_ncr:1_{EDFC1510-D92B-9742-ADDF-0F000AC37A6D}" xr6:coauthVersionLast="47" xr6:coauthVersionMax="47" xr10:uidLastSave="{00000000-0000-0000-0000-000000000000}"/>
  <bookViews>
    <workbookView xWindow="2740" yWindow="500" windowWidth="28140" windowHeight="23260" xr2:uid="{80BD837F-EE5B-7744-82A9-B3657C6B9DD5}"/>
  </bookViews>
  <sheets>
    <sheet name="Per MCF calculation" sheetId="2" r:id="rId1"/>
    <sheet name="Cost and Revenue Calculatio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" l="1"/>
  <c r="C25" i="5"/>
  <c r="G10" i="2"/>
  <c r="G4" i="2"/>
  <c r="B50" i="2"/>
  <c r="C31" i="5"/>
  <c r="D31" i="5"/>
  <c r="C32" i="5"/>
  <c r="D32" i="5"/>
  <c r="C24" i="5"/>
  <c r="D7" i="5"/>
  <c r="D8" i="5"/>
  <c r="D12" i="5"/>
  <c r="D13" i="5"/>
  <c r="D14" i="5"/>
  <c r="D15" i="5"/>
  <c r="D16" i="5"/>
  <c r="D17" i="5"/>
  <c r="D18" i="5"/>
  <c r="D19" i="5"/>
  <c r="B6" i="5"/>
  <c r="D6" i="5" s="1"/>
  <c r="C5" i="5"/>
  <c r="D5" i="5" s="1"/>
  <c r="C4" i="5"/>
  <c r="D4" i="5" s="1"/>
  <c r="B32" i="2"/>
  <c r="B34" i="2" s="1"/>
  <c r="D12" i="2"/>
  <c r="D10" i="2"/>
  <c r="D15" i="2"/>
  <c r="D9" i="5" l="1"/>
  <c r="D20" i="5"/>
  <c r="D33" i="5"/>
  <c r="B35" i="5" s="1"/>
  <c r="G37" i="2"/>
  <c r="G36" i="2"/>
  <c r="G48" i="2"/>
  <c r="G5" i="2" l="1"/>
  <c r="G29" i="2" l="1"/>
  <c r="G16" i="2"/>
  <c r="G15" i="2"/>
  <c r="G14" i="2"/>
  <c r="G6" i="2"/>
  <c r="B43" i="2"/>
  <c r="B46" i="2" s="1"/>
  <c r="B26" i="2"/>
  <c r="B29" i="2" s="1"/>
  <c r="B12" i="2"/>
  <c r="B10" i="2"/>
  <c r="B14" i="2" s="1"/>
  <c r="G17" i="2" l="1"/>
  <c r="G21" i="2" s="1"/>
  <c r="B15" i="2"/>
  <c r="B4" i="2"/>
  <c r="B7" i="2" s="1"/>
  <c r="B19" i="2" l="1"/>
  <c r="G25" i="2" l="1"/>
  <c r="G30" i="2" s="1"/>
  <c r="G31" i="2" s="1"/>
  <c r="D25" i="5" l="1"/>
  <c r="D24" i="5"/>
  <c r="D26" i="5" l="1"/>
</calcChain>
</file>

<file path=xl/sharedStrings.xml><?xml version="1.0" encoding="utf-8"?>
<sst xmlns="http://schemas.openxmlformats.org/spreadsheetml/2006/main" count="95" uniqueCount="64">
  <si>
    <t>Well Operator Cost</t>
  </si>
  <si>
    <t>Base Pay</t>
  </si>
  <si>
    <t>per hour</t>
  </si>
  <si>
    <t>Social Security/Medicare (Co. Portion)</t>
  </si>
  <si>
    <t>State Unemployment</t>
  </si>
  <si>
    <t>Worker's Compensation</t>
  </si>
  <si>
    <t>Health Insurance</t>
  </si>
  <si>
    <t>Maintenance, mowing, painting, blowing drips, placing methanol, delivering termination notices</t>
  </si>
  <si>
    <t>hours</t>
  </si>
  <si>
    <t xml:space="preserve">hours </t>
  </si>
  <si>
    <t>Meter Reading  (110 customers, 24 hours per month)</t>
  </si>
  <si>
    <t>Total Hours</t>
  </si>
  <si>
    <t xml:space="preserve">Callouts @ Overtime Rate (approximately 20% of customers, average 3 hours per callout) </t>
  </si>
  <si>
    <t>Total Hours with overtime</t>
  </si>
  <si>
    <t>Average mcf usage per customer per year</t>
  </si>
  <si>
    <t xml:space="preserve">Well Operator Cost </t>
  </si>
  <si>
    <t>Administrative Cost</t>
  </si>
  <si>
    <t>Invoicing, late notices, termination notices, payment collection, etc</t>
  </si>
  <si>
    <t>Supply Cost</t>
  </si>
  <si>
    <t>Miscellaneous Clamps and Valves</t>
  </si>
  <si>
    <t>Paint, and other supplies</t>
  </si>
  <si>
    <t>Methanol (4 gallons @ $6)</t>
  </si>
  <si>
    <t>Mileage for Well Operator</t>
  </si>
  <si>
    <t>Meter Reading</t>
  </si>
  <si>
    <t>Call Outs</t>
  </si>
  <si>
    <t>Mileage Cost</t>
  </si>
  <si>
    <t>Postage and Office Supplies</t>
  </si>
  <si>
    <t>Postage-Billings</t>
  </si>
  <si>
    <t>Postage- Late Notices</t>
  </si>
  <si>
    <t>Supplies (envelopes, etc.)</t>
  </si>
  <si>
    <t>Total Expense Cost per MCF cost</t>
  </si>
  <si>
    <t>Estimated price to be received</t>
  </si>
  <si>
    <t>Expense cost</t>
  </si>
  <si>
    <t>TOTAL</t>
  </si>
  <si>
    <t>Meter Relocation Fee</t>
  </si>
  <si>
    <t>Meter Test Reading</t>
  </si>
  <si>
    <t>RL Laughlin Travel fee ($75/hour for 8 hours total)</t>
  </si>
  <si>
    <t>Per Meter Test fee</t>
  </si>
  <si>
    <t xml:space="preserve">There is a minimum of 5 meters to test each time.  Given there are 5 meters tested, the $600 travel fee would be distributed evenly amongst 5 meters in the amount of $120. If you add the travel fee plus the per meter test fee the value would be $217. 
RL Laughlin is the closest meter testing company that we have found to be both timely and reputable. </t>
  </si>
  <si>
    <t>Labor ($25.44 per hour per laborer estimated 6 hours)</t>
  </si>
  <si>
    <t>Cost Item</t>
  </si>
  <si>
    <t>Rate</t>
  </si>
  <si>
    <t>Total</t>
  </si>
  <si>
    <t>Yearly Hours or Times Charged</t>
  </si>
  <si>
    <t>Seasonal or Temp Turn On</t>
  </si>
  <si>
    <t>Reconnection Fee</t>
  </si>
  <si>
    <t>Relocate Meter</t>
  </si>
  <si>
    <t>Returned Check Charge</t>
  </si>
  <si>
    <t>Service Trip to Collect Deliquent</t>
  </si>
  <si>
    <t>Farm Tap Fee</t>
  </si>
  <si>
    <t>Special Meter Reading Charge</t>
  </si>
  <si>
    <t>Meter Test Fee</t>
  </si>
  <si>
    <t>Non-Farm Tap Customer</t>
  </si>
  <si>
    <t>Farm Tap Customer</t>
  </si>
  <si>
    <t>Non-Recurring</t>
  </si>
  <si>
    <t>Customer Type</t>
  </si>
  <si>
    <t>Price/MCF</t>
  </si>
  <si>
    <t>MCF Usage</t>
  </si>
  <si>
    <t>Cost and Revenue Calculation</t>
  </si>
  <si>
    <t>Natural Gas Services</t>
  </si>
  <si>
    <t>Cost covered by Hay for Lease benefit</t>
  </si>
  <si>
    <t>NYMEX Strip  (Jul23-Jun24)</t>
  </si>
  <si>
    <t>Estimated 405 miles per 1 day og meter reading and 22 after hour callouts at 75 miles per call out.
IRS rate of $0.655/mile</t>
  </si>
  <si>
    <t>Appalachian Differential (2022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</si>
</sst>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2" applyFont="1"/>
    <xf numFmtId="0" fontId="2" fillId="0" borderId="0" xfId="0" applyFont="1"/>
    <xf numFmtId="0" fontId="0" fillId="0" borderId="0" xfId="0" applyAlignment="1">
      <alignment wrapText="1"/>
    </xf>
    <xf numFmtId="43" fontId="0" fillId="0" borderId="0" xfId="1" applyFont="1"/>
    <xf numFmtId="44" fontId="0" fillId="0" borderId="1" xfId="2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3" fontId="0" fillId="0" borderId="1" xfId="1" applyFont="1" applyBorder="1"/>
    <xf numFmtId="44" fontId="0" fillId="0" borderId="0" xfId="0" applyNumberFormat="1"/>
    <xf numFmtId="44" fontId="0" fillId="0" borderId="1" xfId="0" applyNumberFormat="1" applyBorder="1"/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BF7DD-864B-414A-AC85-116E28F85142}">
  <sheetPr>
    <pageSetUpPr fitToPage="1"/>
  </sheetPr>
  <dimension ref="A1:G50"/>
  <sheetViews>
    <sheetView tabSelected="1" workbookViewId="0">
      <selection activeCell="A10" sqref="A10"/>
    </sheetView>
  </sheetViews>
  <sheetFormatPr baseColWidth="10" defaultRowHeight="16" x14ac:dyDescent="0.2"/>
  <cols>
    <col min="1" max="1" width="47" bestFit="1" customWidth="1"/>
    <col min="2" max="2" width="10.83203125" style="1"/>
    <col min="6" max="6" width="44.83203125" customWidth="1"/>
    <col min="7" max="7" width="11.5" bestFit="1" customWidth="1"/>
  </cols>
  <sheetData>
    <row r="1" spans="1:7" x14ac:dyDescent="0.2">
      <c r="A1" s="2" t="s">
        <v>0</v>
      </c>
      <c r="F1" s="2" t="s">
        <v>22</v>
      </c>
      <c r="G1" s="1"/>
    </row>
    <row r="2" spans="1:7" ht="68" x14ac:dyDescent="0.2">
      <c r="A2" t="s">
        <v>1</v>
      </c>
      <c r="B2" s="1">
        <v>20.43</v>
      </c>
      <c r="C2" t="s">
        <v>2</v>
      </c>
      <c r="F2" s="3" t="s">
        <v>62</v>
      </c>
      <c r="G2" s="1"/>
    </row>
    <row r="3" spans="1:7" x14ac:dyDescent="0.2">
      <c r="A3" t="s">
        <v>3</v>
      </c>
      <c r="B3" s="1">
        <v>1.2666999999999999</v>
      </c>
      <c r="F3" s="3"/>
      <c r="G3" s="1"/>
    </row>
    <row r="4" spans="1:7" x14ac:dyDescent="0.2">
      <c r="A4" t="s">
        <v>4</v>
      </c>
      <c r="B4" s="1">
        <f>B2*0.0119</f>
        <v>0.24311700000000003</v>
      </c>
      <c r="F4" t="s">
        <v>23</v>
      </c>
      <c r="G4" s="4">
        <f>405*12</f>
        <v>4860</v>
      </c>
    </row>
    <row r="5" spans="1:7" x14ac:dyDescent="0.2">
      <c r="A5" t="s">
        <v>5</v>
      </c>
      <c r="B5" s="1">
        <v>1.11877</v>
      </c>
      <c r="F5" t="s">
        <v>24</v>
      </c>
      <c r="G5" s="9">
        <f>150*22</f>
        <v>3300</v>
      </c>
    </row>
    <row r="6" spans="1:7" x14ac:dyDescent="0.2">
      <c r="A6" t="s">
        <v>6</v>
      </c>
      <c r="B6" s="5">
        <v>2.3857499999999998</v>
      </c>
      <c r="G6" s="4">
        <f>SUM(G4:G5)</f>
        <v>8160</v>
      </c>
    </row>
    <row r="7" spans="1:7" x14ac:dyDescent="0.2">
      <c r="B7" s="1">
        <f>SUM(B2:B6)</f>
        <v>25.444337000000004</v>
      </c>
      <c r="G7" s="1"/>
    </row>
    <row r="8" spans="1:7" x14ac:dyDescent="0.2">
      <c r="F8" t="s">
        <v>14</v>
      </c>
      <c r="G8" s="4">
        <v>152</v>
      </c>
    </row>
    <row r="9" spans="1:7" x14ac:dyDescent="0.2">
      <c r="G9" s="1"/>
    </row>
    <row r="10" spans="1:7" x14ac:dyDescent="0.2">
      <c r="A10" t="s">
        <v>10</v>
      </c>
      <c r="B10" s="4">
        <f>(24*12)/(110)</f>
        <v>2.6181818181818182</v>
      </c>
      <c r="C10" t="s">
        <v>9</v>
      </c>
      <c r="D10">
        <f>24*12</f>
        <v>288</v>
      </c>
      <c r="F10" s="8" t="s">
        <v>25</v>
      </c>
      <c r="G10" s="1">
        <f>((G6*0.655)/110)/G8</f>
        <v>0.31966507177033493</v>
      </c>
    </row>
    <row r="11" spans="1:7" ht="34" x14ac:dyDescent="0.2">
      <c r="A11" s="3" t="s">
        <v>7</v>
      </c>
      <c r="B11" s="4">
        <v>8</v>
      </c>
      <c r="C11" t="s">
        <v>8</v>
      </c>
    </row>
    <row r="12" spans="1:7" ht="34" x14ac:dyDescent="0.2">
      <c r="A12" s="3" t="s">
        <v>12</v>
      </c>
      <c r="B12" s="4">
        <f>((110*0.2)*3)/110</f>
        <v>0.6</v>
      </c>
      <c r="C12" t="s">
        <v>9</v>
      </c>
      <c r="D12">
        <f>22*3</f>
        <v>66</v>
      </c>
    </row>
    <row r="13" spans="1:7" x14ac:dyDescent="0.2">
      <c r="F13" s="2" t="s">
        <v>26</v>
      </c>
      <c r="G13" s="1"/>
    </row>
    <row r="14" spans="1:7" x14ac:dyDescent="0.2">
      <c r="A14" t="s">
        <v>11</v>
      </c>
      <c r="B14" s="4">
        <f>B10+B11</f>
        <v>10.618181818181817</v>
      </c>
      <c r="F14" t="s">
        <v>27</v>
      </c>
      <c r="G14" s="1">
        <f>0.58*110*12</f>
        <v>765.59999999999991</v>
      </c>
    </row>
    <row r="15" spans="1:7" x14ac:dyDescent="0.2">
      <c r="A15" t="s">
        <v>13</v>
      </c>
      <c r="B15" s="4">
        <f>B14+B12</f>
        <v>11.218181818181817</v>
      </c>
      <c r="D15">
        <f>110*0.2</f>
        <v>22</v>
      </c>
      <c r="F15" t="s">
        <v>28</v>
      </c>
      <c r="G15" s="1">
        <f>0.58*11*12</f>
        <v>76.56</v>
      </c>
    </row>
    <row r="16" spans="1:7" x14ac:dyDescent="0.2">
      <c r="F16" t="s">
        <v>29</v>
      </c>
      <c r="G16" s="5">
        <f>25*12</f>
        <v>300</v>
      </c>
    </row>
    <row r="17" spans="1:7" x14ac:dyDescent="0.2">
      <c r="A17" t="s">
        <v>14</v>
      </c>
      <c r="B17" s="4">
        <v>152</v>
      </c>
      <c r="G17" s="1">
        <f>SUM(G14:G16)</f>
        <v>1142.1599999999999</v>
      </c>
    </row>
    <row r="18" spans="1:7" x14ac:dyDescent="0.2">
      <c r="G18" s="1"/>
    </row>
    <row r="19" spans="1:7" x14ac:dyDescent="0.2">
      <c r="A19" s="8" t="s">
        <v>15</v>
      </c>
      <c r="B19" s="1">
        <f>(B15*B7)/B17</f>
        <v>1.8778894651913878</v>
      </c>
      <c r="F19" t="s">
        <v>14</v>
      </c>
      <c r="G19" s="4">
        <v>152</v>
      </c>
    </row>
    <row r="20" spans="1:7" x14ac:dyDescent="0.2">
      <c r="G20" s="1"/>
    </row>
    <row r="21" spans="1:7" x14ac:dyDescent="0.2">
      <c r="F21" s="8" t="s">
        <v>26</v>
      </c>
      <c r="G21" s="1">
        <f>(G17/110)/G19</f>
        <v>6.8311004784688989E-2</v>
      </c>
    </row>
    <row r="23" spans="1:7" x14ac:dyDescent="0.2">
      <c r="A23" s="2" t="s">
        <v>16</v>
      </c>
    </row>
    <row r="24" spans="1:7" x14ac:dyDescent="0.2">
      <c r="A24" t="s">
        <v>1</v>
      </c>
      <c r="B24" s="1">
        <v>18.5</v>
      </c>
      <c r="C24" t="s">
        <v>2</v>
      </c>
    </row>
    <row r="25" spans="1:7" x14ac:dyDescent="0.2">
      <c r="A25" t="s">
        <v>3</v>
      </c>
      <c r="B25" s="1">
        <v>1.2666999999999999</v>
      </c>
      <c r="F25" t="s">
        <v>30</v>
      </c>
      <c r="G25" s="1">
        <f>B19+B38+B50+G10+G21</f>
        <v>3.7815187522727274</v>
      </c>
    </row>
    <row r="26" spans="1:7" x14ac:dyDescent="0.2">
      <c r="A26" t="s">
        <v>4</v>
      </c>
      <c r="B26" s="1">
        <f>B24*0.0119</f>
        <v>0.22015000000000001</v>
      </c>
      <c r="G26" s="1"/>
    </row>
    <row r="27" spans="1:7" x14ac:dyDescent="0.2">
      <c r="A27" t="s">
        <v>5</v>
      </c>
      <c r="B27" s="1">
        <v>1.11877</v>
      </c>
      <c r="F27" t="s">
        <v>61</v>
      </c>
      <c r="G27" s="1">
        <v>3.0270000000000001</v>
      </c>
    </row>
    <row r="28" spans="1:7" x14ac:dyDescent="0.2">
      <c r="A28" t="s">
        <v>6</v>
      </c>
      <c r="B28" s="5">
        <v>2.3857499999999998</v>
      </c>
      <c r="F28" t="s">
        <v>63</v>
      </c>
      <c r="G28" s="5">
        <v>0.14599999999999999</v>
      </c>
    </row>
    <row r="29" spans="1:7" x14ac:dyDescent="0.2">
      <c r="B29" s="1">
        <f>SUM(B24:B28)</f>
        <v>23.491370000000003</v>
      </c>
      <c r="F29" t="s">
        <v>31</v>
      </c>
      <c r="G29" s="1">
        <f>G27+G28</f>
        <v>3.173</v>
      </c>
    </row>
    <row r="30" spans="1:7" x14ac:dyDescent="0.2">
      <c r="F30" t="s">
        <v>32</v>
      </c>
      <c r="G30" s="11">
        <f>G25</f>
        <v>3.7815187522727274</v>
      </c>
    </row>
    <row r="31" spans="1:7" x14ac:dyDescent="0.2">
      <c r="F31" s="7" t="s">
        <v>33</v>
      </c>
      <c r="G31" s="10">
        <f>G29+G30</f>
        <v>6.9545187522727279</v>
      </c>
    </row>
    <row r="32" spans="1:7" ht="34" x14ac:dyDescent="0.2">
      <c r="A32" s="6" t="s">
        <v>17</v>
      </c>
      <c r="B32" s="4">
        <f>(((110*12)*12)/110)/60</f>
        <v>2.4</v>
      </c>
      <c r="C32" t="s">
        <v>9</v>
      </c>
    </row>
    <row r="34" spans="1:7" x14ac:dyDescent="0.2">
      <c r="A34" t="s">
        <v>11</v>
      </c>
      <c r="B34" s="4">
        <f>B32</f>
        <v>2.4</v>
      </c>
    </row>
    <row r="35" spans="1:7" x14ac:dyDescent="0.2">
      <c r="F35" s="2" t="s">
        <v>35</v>
      </c>
    </row>
    <row r="36" spans="1:7" x14ac:dyDescent="0.2">
      <c r="A36" t="s">
        <v>14</v>
      </c>
      <c r="B36" s="4">
        <v>152</v>
      </c>
      <c r="F36" t="s">
        <v>36</v>
      </c>
      <c r="G36" s="1">
        <f>75*8</f>
        <v>600</v>
      </c>
    </row>
    <row r="37" spans="1:7" x14ac:dyDescent="0.2">
      <c r="F37" t="s">
        <v>37</v>
      </c>
      <c r="G37" s="1">
        <f>97</f>
        <v>97</v>
      </c>
    </row>
    <row r="38" spans="1:7" x14ac:dyDescent="0.2">
      <c r="A38" s="8" t="s">
        <v>16</v>
      </c>
      <c r="B38" s="1">
        <f>(B34*B29)/B36</f>
        <v>0.37091636842105269</v>
      </c>
    </row>
    <row r="39" spans="1:7" ht="16" customHeight="1" x14ac:dyDescent="0.2">
      <c r="F39" s="16" t="s">
        <v>38</v>
      </c>
      <c r="G39" s="16"/>
    </row>
    <row r="40" spans="1:7" x14ac:dyDescent="0.2">
      <c r="F40" s="16"/>
      <c r="G40" s="16"/>
    </row>
    <row r="41" spans="1:7" x14ac:dyDescent="0.2">
      <c r="F41" s="16"/>
      <c r="G41" s="16"/>
    </row>
    <row r="42" spans="1:7" x14ac:dyDescent="0.2">
      <c r="A42" s="2" t="s">
        <v>18</v>
      </c>
      <c r="F42" s="16"/>
      <c r="G42" s="16"/>
    </row>
    <row r="43" spans="1:7" x14ac:dyDescent="0.2">
      <c r="A43" t="s">
        <v>21</v>
      </c>
      <c r="B43" s="1">
        <f>4*6</f>
        <v>24</v>
      </c>
      <c r="F43" s="16"/>
      <c r="G43" s="16"/>
    </row>
    <row r="44" spans="1:7" x14ac:dyDescent="0.2">
      <c r="A44" t="s">
        <v>19</v>
      </c>
      <c r="B44" s="1">
        <v>125</v>
      </c>
      <c r="F44" s="16"/>
      <c r="G44" s="16"/>
    </row>
    <row r="45" spans="1:7" x14ac:dyDescent="0.2">
      <c r="A45" t="s">
        <v>20</v>
      </c>
      <c r="B45" s="1">
        <v>25</v>
      </c>
    </row>
    <row r="46" spans="1:7" x14ac:dyDescent="0.2">
      <c r="B46" s="1">
        <f>SUM(B43:B45)</f>
        <v>174</v>
      </c>
    </row>
    <row r="47" spans="1:7" x14ac:dyDescent="0.2">
      <c r="F47" s="2" t="s">
        <v>34</v>
      </c>
    </row>
    <row r="48" spans="1:7" x14ac:dyDescent="0.2">
      <c r="A48" t="s">
        <v>14</v>
      </c>
      <c r="B48" s="4">
        <v>152</v>
      </c>
      <c r="F48" t="s">
        <v>39</v>
      </c>
      <c r="G48" s="1">
        <f>25.44*6</f>
        <v>152.64000000000001</v>
      </c>
    </row>
    <row r="50" spans="1:2" x14ac:dyDescent="0.2">
      <c r="A50" s="8" t="s">
        <v>18</v>
      </c>
      <c r="B50" s="1">
        <f>B46/B48</f>
        <v>1.1447368421052631</v>
      </c>
    </row>
  </sheetData>
  <mergeCells count="1">
    <mergeCell ref="F39:G44"/>
  </mergeCells>
  <pageMargins left="0.7" right="0.7" top="0.75" bottom="0.75" header="0.3" footer="0.3"/>
  <pageSetup scale="5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5EAA-D515-7545-AED3-E7412921ABDF}">
  <dimension ref="A1:D35"/>
  <sheetViews>
    <sheetView workbookViewId="0">
      <selection activeCell="D39" sqref="D39"/>
    </sheetView>
  </sheetViews>
  <sheetFormatPr baseColWidth="10" defaultRowHeight="16" x14ac:dyDescent="0.2"/>
  <cols>
    <col min="1" max="1" width="32.33203125" bestFit="1" customWidth="1"/>
    <col min="2" max="2" width="11.5" style="1" bestFit="1" customWidth="1"/>
    <col min="3" max="3" width="13.5" bestFit="1" customWidth="1"/>
    <col min="4" max="4" width="12.5" style="1" bestFit="1" customWidth="1"/>
    <col min="6" max="6" width="27.5" bestFit="1" customWidth="1"/>
  </cols>
  <sheetData>
    <row r="1" spans="1:4" ht="21" x14ac:dyDescent="0.25">
      <c r="A1" s="18" t="s">
        <v>59</v>
      </c>
      <c r="B1" s="19"/>
      <c r="C1" s="19"/>
      <c r="D1" s="19"/>
    </row>
    <row r="2" spans="1:4" s="2" customFormat="1" ht="19" x14ac:dyDescent="0.25">
      <c r="A2" s="17" t="s">
        <v>58</v>
      </c>
      <c r="B2" s="17"/>
      <c r="C2" s="17"/>
      <c r="D2" s="17"/>
    </row>
    <row r="3" spans="1:4" s="3" customFormat="1" ht="51" x14ac:dyDescent="0.2">
      <c r="A3" s="12" t="s">
        <v>40</v>
      </c>
      <c r="B3" s="13" t="s">
        <v>41</v>
      </c>
      <c r="C3" s="12" t="s">
        <v>43</v>
      </c>
      <c r="D3" s="13" t="s">
        <v>42</v>
      </c>
    </row>
    <row r="4" spans="1:4" x14ac:dyDescent="0.2">
      <c r="A4" t="s">
        <v>0</v>
      </c>
      <c r="B4" s="1">
        <v>25.22</v>
      </c>
      <c r="C4">
        <f>288+880+66</f>
        <v>1234</v>
      </c>
      <c r="D4" s="1">
        <f>C4*B4</f>
        <v>31121.48</v>
      </c>
    </row>
    <row r="5" spans="1:4" x14ac:dyDescent="0.2">
      <c r="A5" t="s">
        <v>16</v>
      </c>
      <c r="B5" s="1">
        <v>23.49</v>
      </c>
      <c r="C5">
        <f>2.4*110</f>
        <v>264</v>
      </c>
      <c r="D5" s="1">
        <f t="shared" ref="D5:D19" si="0">C5*B5</f>
        <v>6201.36</v>
      </c>
    </row>
    <row r="6" spans="1:4" x14ac:dyDescent="0.2">
      <c r="A6" t="s">
        <v>18</v>
      </c>
      <c r="B6" s="1">
        <f>174*110</f>
        <v>19140</v>
      </c>
      <c r="C6">
        <v>1</v>
      </c>
      <c r="D6" s="1">
        <f t="shared" si="0"/>
        <v>19140</v>
      </c>
    </row>
    <row r="7" spans="1:4" x14ac:dyDescent="0.2">
      <c r="A7" t="s">
        <v>25</v>
      </c>
      <c r="B7" s="1">
        <v>8160</v>
      </c>
      <c r="C7">
        <v>1</v>
      </c>
      <c r="D7" s="1">
        <f t="shared" si="0"/>
        <v>8160</v>
      </c>
    </row>
    <row r="8" spans="1:4" x14ac:dyDescent="0.2">
      <c r="A8" t="s">
        <v>26</v>
      </c>
      <c r="B8" s="1">
        <v>1142.1600000000001</v>
      </c>
      <c r="C8">
        <v>1</v>
      </c>
      <c r="D8" s="5">
        <f t="shared" si="0"/>
        <v>1142.1600000000001</v>
      </c>
    </row>
    <row r="9" spans="1:4" x14ac:dyDescent="0.2">
      <c r="D9" s="1">
        <f>SUM(D4:D8)</f>
        <v>65765</v>
      </c>
    </row>
    <row r="11" spans="1:4" ht="51" x14ac:dyDescent="0.2">
      <c r="A11" s="2" t="s">
        <v>54</v>
      </c>
      <c r="B11" s="13" t="s">
        <v>41</v>
      </c>
      <c r="C11" s="12" t="s">
        <v>43</v>
      </c>
      <c r="D11" s="13" t="s">
        <v>42</v>
      </c>
    </row>
    <row r="12" spans="1:4" x14ac:dyDescent="0.2">
      <c r="A12" t="s">
        <v>44</v>
      </c>
      <c r="B12" s="1">
        <v>50</v>
      </c>
      <c r="C12">
        <v>4</v>
      </c>
      <c r="D12" s="1">
        <f t="shared" si="0"/>
        <v>200</v>
      </c>
    </row>
    <row r="13" spans="1:4" x14ac:dyDescent="0.2">
      <c r="A13" t="s">
        <v>45</v>
      </c>
      <c r="B13" s="1">
        <v>25</v>
      </c>
      <c r="C13">
        <v>5</v>
      </c>
      <c r="D13" s="1">
        <f t="shared" si="0"/>
        <v>125</v>
      </c>
    </row>
    <row r="14" spans="1:4" x14ac:dyDescent="0.2">
      <c r="A14" t="s">
        <v>46</v>
      </c>
      <c r="B14" s="1">
        <v>150</v>
      </c>
      <c r="C14">
        <v>2</v>
      </c>
      <c r="D14" s="1">
        <f t="shared" si="0"/>
        <v>300</v>
      </c>
    </row>
    <row r="15" spans="1:4" x14ac:dyDescent="0.2">
      <c r="A15" t="s">
        <v>47</v>
      </c>
      <c r="B15" s="1">
        <v>30</v>
      </c>
      <c r="C15">
        <v>2</v>
      </c>
      <c r="D15" s="1">
        <f t="shared" si="0"/>
        <v>60</v>
      </c>
    </row>
    <row r="16" spans="1:4" x14ac:dyDescent="0.2">
      <c r="A16" t="s">
        <v>48</v>
      </c>
      <c r="B16" s="1">
        <v>50</v>
      </c>
      <c r="C16">
        <v>5</v>
      </c>
      <c r="D16" s="1">
        <f t="shared" si="0"/>
        <v>250</v>
      </c>
    </row>
    <row r="17" spans="1:4" x14ac:dyDescent="0.2">
      <c r="A17" t="s">
        <v>49</v>
      </c>
      <c r="B17" s="1">
        <v>150</v>
      </c>
      <c r="C17">
        <v>1</v>
      </c>
      <c r="D17" s="1">
        <f t="shared" si="0"/>
        <v>150</v>
      </c>
    </row>
    <row r="18" spans="1:4" x14ac:dyDescent="0.2">
      <c r="A18" t="s">
        <v>50</v>
      </c>
      <c r="B18" s="1">
        <v>50</v>
      </c>
      <c r="C18">
        <v>4</v>
      </c>
      <c r="D18" s="1">
        <f t="shared" si="0"/>
        <v>200</v>
      </c>
    </row>
    <row r="19" spans="1:4" x14ac:dyDescent="0.2">
      <c r="A19" t="s">
        <v>51</v>
      </c>
      <c r="B19" s="1">
        <v>225</v>
      </c>
      <c r="C19">
        <v>2</v>
      </c>
      <c r="D19" s="5">
        <f t="shared" si="0"/>
        <v>450</v>
      </c>
    </row>
    <row r="20" spans="1:4" x14ac:dyDescent="0.2">
      <c r="D20" s="1">
        <f>SUM(D12:D19)</f>
        <v>1735</v>
      </c>
    </row>
    <row r="23" spans="1:4" x14ac:dyDescent="0.2">
      <c r="A23" s="14" t="s">
        <v>55</v>
      </c>
      <c r="B23" s="15" t="s">
        <v>56</v>
      </c>
      <c r="C23" s="14" t="s">
        <v>57</v>
      </c>
      <c r="D23" s="15" t="s">
        <v>42</v>
      </c>
    </row>
    <row r="24" spans="1:4" x14ac:dyDescent="0.2">
      <c r="A24" t="s">
        <v>52</v>
      </c>
      <c r="B24" s="1">
        <v>6.81</v>
      </c>
      <c r="C24">
        <f>32*152</f>
        <v>4864</v>
      </c>
      <c r="D24" s="1">
        <f>B24*C24</f>
        <v>33123.839999999997</v>
      </c>
    </row>
    <row r="25" spans="1:4" x14ac:dyDescent="0.2">
      <c r="A25" t="s">
        <v>53</v>
      </c>
      <c r="B25" s="1">
        <v>6.81</v>
      </c>
      <c r="C25">
        <f>((110-32)*0.2)*50</f>
        <v>780.00000000000011</v>
      </c>
      <c r="D25" s="5">
        <f>B25*C25</f>
        <v>5311.8</v>
      </c>
    </row>
    <row r="26" spans="1:4" x14ac:dyDescent="0.2">
      <c r="D26" s="1">
        <f>SUM(D24:D25)</f>
        <v>38435.64</v>
      </c>
    </row>
    <row r="30" spans="1:4" x14ac:dyDescent="0.2">
      <c r="A30" s="14" t="s">
        <v>55</v>
      </c>
      <c r="B30" s="15" t="s">
        <v>56</v>
      </c>
      <c r="C30" s="14" t="s">
        <v>57</v>
      </c>
      <c r="D30" s="15" t="s">
        <v>42</v>
      </c>
    </row>
    <row r="31" spans="1:4" x14ac:dyDescent="0.2">
      <c r="A31" t="s">
        <v>52</v>
      </c>
      <c r="B31" s="1">
        <v>8.35</v>
      </c>
      <c r="C31">
        <f>32*152</f>
        <v>4864</v>
      </c>
      <c r="D31" s="1">
        <f>B31*C31</f>
        <v>40614.400000000001</v>
      </c>
    </row>
    <row r="32" spans="1:4" x14ac:dyDescent="0.2">
      <c r="A32" t="s">
        <v>53</v>
      </c>
      <c r="B32" s="1">
        <v>8.35</v>
      </c>
      <c r="C32">
        <f>((110-32)*0.2)*50</f>
        <v>780.00000000000011</v>
      </c>
      <c r="D32" s="1">
        <f>B32*C32</f>
        <v>6513.0000000000009</v>
      </c>
    </row>
    <row r="33" spans="1:4" x14ac:dyDescent="0.2">
      <c r="D33" s="1">
        <f>SUM(D31:D32)</f>
        <v>47127.4</v>
      </c>
    </row>
    <row r="35" spans="1:4" x14ac:dyDescent="0.2">
      <c r="A35" t="s">
        <v>60</v>
      </c>
      <c r="B35" s="1">
        <f>D9-D33</f>
        <v>18637.599999999999</v>
      </c>
    </row>
  </sheetData>
  <mergeCells count="2"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MCF calculation</vt:lpstr>
      <vt:lpstr>Cost and Revenue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Sturgill</dc:creator>
  <cp:lastModifiedBy>Monica Sturgill</cp:lastModifiedBy>
  <cp:lastPrinted>2022-02-18T02:12:54Z</cp:lastPrinted>
  <dcterms:created xsi:type="dcterms:W3CDTF">2020-03-15T18:46:28Z</dcterms:created>
  <dcterms:modified xsi:type="dcterms:W3CDTF">2023-08-02T20:30:45Z</dcterms:modified>
</cp:coreProperties>
</file>