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41 - Director Exp\"/>
    </mc:Choice>
  </mc:AlternateContent>
  <xr:revisionPtr revIDLastSave="0" documentId="8_{9A46E023-FF99-496B-ADB2-D553A63C9E3D}" xr6:coauthVersionLast="47" xr6:coauthVersionMax="47" xr10:uidLastSave="{00000000-0000-0000-0000-000000000000}"/>
  <bookViews>
    <workbookView xWindow="-120" yWindow="-120" windowWidth="29040" windowHeight="15840" xr2:uid="{78B9078D-8403-40B4-9571-C0E9B47E205E}"/>
  </bookViews>
  <sheets>
    <sheet name="2022" sheetId="5" r:id="rId1"/>
    <sheet name="2021" sheetId="1" r:id="rId2"/>
    <sheet name="2020" sheetId="2" r:id="rId3"/>
    <sheet name="2019" sheetId="3" r:id="rId4"/>
    <sheet name="2018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G14" i="3"/>
  <c r="F14" i="3"/>
  <c r="E14" i="3"/>
  <c r="D14" i="3"/>
  <c r="C14" i="3"/>
  <c r="I12" i="4" l="1"/>
  <c r="I15" i="4"/>
  <c r="I18" i="4"/>
  <c r="I13" i="4"/>
  <c r="H15" i="4"/>
  <c r="G10" i="4"/>
  <c r="G18" i="4"/>
  <c r="G17" i="4"/>
  <c r="G15" i="4"/>
  <c r="G13" i="4"/>
  <c r="G12" i="4"/>
  <c r="G11" i="4"/>
  <c r="F18" i="4"/>
  <c r="F17" i="4"/>
  <c r="F12" i="4"/>
  <c r="E15" i="4"/>
  <c r="E12" i="4"/>
  <c r="E18" i="4"/>
  <c r="E14" i="4"/>
  <c r="E11" i="4"/>
  <c r="D16" i="4"/>
  <c r="D15" i="4"/>
  <c r="D11" i="4"/>
  <c r="D10" i="4"/>
  <c r="C17" i="4"/>
  <c r="C12" i="4"/>
  <c r="C11" i="4"/>
  <c r="C18" i="4"/>
  <c r="C13" i="4"/>
  <c r="C15" i="4"/>
  <c r="J13" i="4" l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11" i="3"/>
  <c r="J16" i="3"/>
  <c r="I18" i="3"/>
  <c r="I12" i="3"/>
  <c r="H17" i="3"/>
  <c r="H12" i="3"/>
  <c r="G18" i="3"/>
  <c r="G17" i="3"/>
  <c r="G15" i="3"/>
  <c r="G12" i="3"/>
  <c r="F18" i="3"/>
  <c r="F17" i="3"/>
  <c r="F15" i="3"/>
  <c r="F12" i="3"/>
  <c r="E18" i="3"/>
  <c r="E17" i="3"/>
  <c r="E15" i="3"/>
  <c r="D17" i="3"/>
  <c r="D12" i="3"/>
  <c r="D11" i="3"/>
  <c r="D10" i="3"/>
  <c r="C18" i="3"/>
  <c r="C17" i="3"/>
  <c r="C12" i="3"/>
  <c r="C11" i="3"/>
  <c r="C10" i="3"/>
  <c r="I17" i="2" l="1"/>
  <c r="I12" i="2"/>
  <c r="I11" i="2"/>
  <c r="I10" i="2"/>
  <c r="H16" i="2"/>
  <c r="H14" i="2"/>
  <c r="H10" i="2"/>
  <c r="G17" i="2"/>
  <c r="G16" i="2"/>
  <c r="G14" i="2"/>
  <c r="G12" i="2"/>
  <c r="G11" i="2"/>
  <c r="G10" i="2"/>
  <c r="F10" i="2"/>
  <c r="F17" i="2"/>
  <c r="F16" i="2"/>
  <c r="F14" i="2"/>
  <c r="F12" i="2"/>
  <c r="F11" i="2"/>
  <c r="E17" i="2"/>
  <c r="E16" i="2"/>
  <c r="E14" i="2"/>
  <c r="E12" i="2"/>
  <c r="E11" i="2"/>
  <c r="D14" i="2"/>
  <c r="D12" i="2"/>
  <c r="D11" i="2"/>
  <c r="D10" i="2"/>
  <c r="C11" i="2"/>
  <c r="C16" i="2"/>
  <c r="C12" i="2"/>
  <c r="C10" i="2"/>
  <c r="C17" i="2"/>
  <c r="C14" i="2"/>
  <c r="I19" i="4" l="1"/>
  <c r="H19" i="4"/>
  <c r="G19" i="4"/>
  <c r="F19" i="4"/>
  <c r="E19" i="4"/>
  <c r="D19" i="4"/>
  <c r="C19" i="4"/>
  <c r="J18" i="4"/>
  <c r="J17" i="4"/>
  <c r="J16" i="4"/>
  <c r="J15" i="4"/>
  <c r="J14" i="4"/>
  <c r="J12" i="4"/>
  <c r="J11" i="4"/>
  <c r="A11" i="4"/>
  <c r="A12" i="4" s="1"/>
  <c r="J10" i="4"/>
  <c r="A4" i="4"/>
  <c r="I19" i="3"/>
  <c r="H19" i="3"/>
  <c r="G19" i="3"/>
  <c r="F19" i="3"/>
  <c r="E19" i="3"/>
  <c r="D19" i="3"/>
  <c r="C19" i="3"/>
  <c r="J18" i="3"/>
  <c r="J17" i="3"/>
  <c r="J15" i="3"/>
  <c r="J14" i="3"/>
  <c r="J13" i="3"/>
  <c r="J12" i="3"/>
  <c r="J11" i="3"/>
  <c r="J10" i="3"/>
  <c r="A4" i="3"/>
  <c r="G18" i="2"/>
  <c r="F18" i="2"/>
  <c r="E18" i="2"/>
  <c r="J17" i="2"/>
  <c r="I18" i="2"/>
  <c r="J16" i="2"/>
  <c r="J15" i="2"/>
  <c r="J14" i="2"/>
  <c r="J13" i="2"/>
  <c r="J12" i="2"/>
  <c r="H18" i="2"/>
  <c r="J11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J10" i="2"/>
  <c r="D18" i="2"/>
  <c r="A4" i="2"/>
  <c r="I16" i="5"/>
  <c r="H14" i="5"/>
  <c r="H12" i="5"/>
  <c r="H11" i="5"/>
  <c r="D12" i="5"/>
  <c r="E14" i="5"/>
  <c r="D14" i="5"/>
  <c r="D16" i="5"/>
  <c r="D11" i="5"/>
  <c r="F12" i="5"/>
  <c r="C16" i="5"/>
  <c r="C14" i="5"/>
  <c r="C11" i="5"/>
  <c r="G11" i="5"/>
  <c r="E12" i="5"/>
  <c r="E11" i="5"/>
  <c r="E16" i="5"/>
  <c r="J19" i="4" l="1"/>
  <c r="J22" i="4" s="1"/>
  <c r="A14" i="4"/>
  <c r="A15" i="4" s="1"/>
  <c r="A16" i="4" s="1"/>
  <c r="A17" i="4" s="1"/>
  <c r="A18" i="4" s="1"/>
  <c r="A19" i="4" s="1"/>
  <c r="A20" i="4" s="1"/>
  <c r="A21" i="4" s="1"/>
  <c r="A22" i="4" s="1"/>
  <c r="A13" i="4"/>
  <c r="J19" i="3"/>
  <c r="J22" i="3" s="1"/>
  <c r="C18" i="2"/>
  <c r="J18" i="2" s="1"/>
  <c r="J21" i="2" s="1"/>
  <c r="H17" i="5"/>
  <c r="D10" i="5"/>
  <c r="D17" i="5"/>
  <c r="F17" i="5"/>
  <c r="I17" i="5"/>
  <c r="G17" i="5"/>
  <c r="E17" i="5"/>
  <c r="C17" i="5"/>
  <c r="H18" i="5" l="1"/>
  <c r="G18" i="5"/>
  <c r="F18" i="5"/>
  <c r="E18" i="5"/>
  <c r="J16" i="5"/>
  <c r="J15" i="5"/>
  <c r="I18" i="5"/>
  <c r="D18" i="5"/>
  <c r="J14" i="5"/>
  <c r="J13" i="5"/>
  <c r="J12" i="5"/>
  <c r="C18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J10" i="5"/>
  <c r="A4" i="5"/>
  <c r="J18" i="5" l="1"/>
  <c r="J21" i="5" s="1"/>
  <c r="J17" i="5"/>
  <c r="J11" i="5"/>
  <c r="C44" i="1"/>
  <c r="C45" i="1" s="1"/>
  <c r="C43" i="1"/>
  <c r="C42" i="1"/>
  <c r="C34" i="1"/>
  <c r="C33" i="1"/>
  <c r="C32" i="1"/>
  <c r="C31" i="1"/>
  <c r="G18" i="1"/>
  <c r="E18" i="1"/>
  <c r="J17" i="1"/>
  <c r="I17" i="1"/>
  <c r="I18" i="1" s="1"/>
  <c r="H17" i="1"/>
  <c r="H18" i="1" s="1"/>
  <c r="F17" i="1"/>
  <c r="F18" i="1" s="1"/>
  <c r="E17" i="1"/>
  <c r="D17" i="1"/>
  <c r="C17" i="1"/>
  <c r="K17" i="1" s="1"/>
  <c r="C38" i="1" s="1"/>
  <c r="K16" i="1"/>
  <c r="C16" i="1"/>
  <c r="K15" i="1"/>
  <c r="K14" i="1"/>
  <c r="J14" i="1"/>
  <c r="J18" i="1" s="1"/>
  <c r="D14" i="1"/>
  <c r="D18" i="1" s="1"/>
  <c r="C14" i="1"/>
  <c r="K13" i="1"/>
  <c r="K12" i="1"/>
  <c r="C11" i="1"/>
  <c r="C18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K10" i="1"/>
  <c r="C37" i="1" s="1"/>
  <c r="A5" i="1"/>
  <c r="A4" i="1"/>
  <c r="K18" i="1" l="1"/>
  <c r="K21" i="1" s="1"/>
  <c r="K11" i="1"/>
  <c r="C35" i="1"/>
  <c r="C39" i="1" s="1"/>
  <c r="K25" i="1" s="1"/>
  <c r="C36" i="1"/>
  <c r="K23" i="1" l="1"/>
</calcChain>
</file>

<file path=xl/sharedStrings.xml><?xml version="1.0" encoding="utf-8"?>
<sst xmlns="http://schemas.openxmlformats.org/spreadsheetml/2006/main" count="131" uniqueCount="49">
  <si>
    <t>Directors Expenses Test Year</t>
  </si>
  <si>
    <t>#</t>
  </si>
  <si>
    <t>Item</t>
  </si>
  <si>
    <t>Shuffett</t>
  </si>
  <si>
    <t>Tucker</t>
  </si>
  <si>
    <t>Taylor</t>
  </si>
  <si>
    <t>Irvin</t>
  </si>
  <si>
    <t>Clements</t>
  </si>
  <si>
    <t>Corbin</t>
  </si>
  <si>
    <t>Woodrum</t>
  </si>
  <si>
    <t>Rucker</t>
  </si>
  <si>
    <t>Total</t>
  </si>
  <si>
    <t>Per Diem</t>
  </si>
  <si>
    <t>NRECA Winter School</t>
  </si>
  <si>
    <t>EKPC Annual Meeting</t>
  </si>
  <si>
    <t>KEC Annual Meeting</t>
  </si>
  <si>
    <t>CFC Workshop</t>
  </si>
  <si>
    <t>Health Insurance</t>
  </si>
  <si>
    <t>Test Year Total Amount</t>
  </si>
  <si>
    <t>Pro Forma Amount</t>
  </si>
  <si>
    <t>Adjustment</t>
  </si>
  <si>
    <t>This adjustment removes certain Director expenses consistent with recent Commission orders and standard Commission practices.  One Director Expense allowed per conference/training.</t>
  </si>
  <si>
    <t>Items to be removed:</t>
  </si>
  <si>
    <t>Amount</t>
  </si>
  <si>
    <t>Account</t>
  </si>
  <si>
    <t>NRECA Winter School (Tucker)</t>
  </si>
  <si>
    <t>NRECA Winter School (Taylor)</t>
  </si>
  <si>
    <t>NRECA Winter School (Corbin)</t>
  </si>
  <si>
    <t>NRECA Winter School (Woodrum)</t>
  </si>
  <si>
    <t>KEC Annual Meeting (Tucker)</t>
  </si>
  <si>
    <t>KEC Annual Meeting (Rucker)</t>
  </si>
  <si>
    <t>Per Diem ($300 per Meeting)</t>
  </si>
  <si>
    <t xml:space="preserve">Health Insurance </t>
  </si>
  <si>
    <t>Total to be removed:</t>
  </si>
  <si>
    <t>Items to be added:</t>
  </si>
  <si>
    <t>Per Diem ($325 per meeting)</t>
  </si>
  <si>
    <t>Retainer ($1000 per month)</t>
  </si>
  <si>
    <t>Total to be added:</t>
  </si>
  <si>
    <t>For the 12 Months Ended December 31, 2022</t>
  </si>
  <si>
    <t>NRECA Power Exchange</t>
  </si>
  <si>
    <t>Service Award</t>
  </si>
  <si>
    <t>For the 12 Months Ended December 31, 2020</t>
  </si>
  <si>
    <t>For the 12 Months Ended December 31, 2019</t>
  </si>
  <si>
    <t>For the 12 Months Ended December 31, 2018</t>
  </si>
  <si>
    <t>NRECA Annual Meeting</t>
  </si>
  <si>
    <t>Legislative Reception</t>
  </si>
  <si>
    <t>NRECA Region Meeting</t>
  </si>
  <si>
    <t>NRECA Director Conference</t>
  </si>
  <si>
    <t>AG Request 41. Reference Schedule:  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</si>
</sst>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4" fillId="0" borderId="0" xfId="3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0" xfId="3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2" applyFont="1" applyFill="1"/>
    <xf numFmtId="44" fontId="2" fillId="0" borderId="0" xfId="2" applyFont="1"/>
    <xf numFmtId="44" fontId="7" fillId="0" borderId="0" xfId="2" applyFont="1"/>
    <xf numFmtId="44" fontId="2" fillId="0" borderId="2" xfId="2" applyFont="1" applyFill="1" applyBorder="1"/>
    <xf numFmtId="44" fontId="2" fillId="0" borderId="2" xfId="2" applyFont="1" applyBorder="1"/>
    <xf numFmtId="43" fontId="2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43" fontId="2" fillId="0" borderId="0" xfId="1" applyFont="1" applyBorder="1"/>
    <xf numFmtId="44" fontId="2" fillId="0" borderId="0" xfId="1" applyNumberFormat="1" applyFont="1" applyBorder="1"/>
    <xf numFmtId="44" fontId="2" fillId="0" borderId="0" xfId="2" applyFont="1" applyBorder="1"/>
    <xf numFmtId="0" fontId="2" fillId="0" borderId="3" xfId="0" applyFont="1" applyBorder="1"/>
    <xf numFmtId="44" fontId="2" fillId="0" borderId="3" xfId="1" applyNumberFormat="1" applyFont="1" applyBorder="1"/>
    <xf numFmtId="43" fontId="7" fillId="0" borderId="0" xfId="1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/>
    <xf numFmtId="0" fontId="2" fillId="0" borderId="2" xfId="0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82F7C1BF-7AB1-4DC0-A31C-251123324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INSERVER\bookkeeping\RATE%20CASE%202023-00147\Copy%20of%20TCRECC-RevReq-2022-v4b%20(FINAL).xlsx" TargetMode="External"/><Relationship Id="rId1" Type="http://schemas.openxmlformats.org/officeDocument/2006/relationships/externalLinkPath" Target="/RATE%20CASE%202023-00147/Copy%20of%20TCRECC-RevReq-2022-v4b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FEMA"/>
      <sheetName val="1.08 DonAdsDues"/>
      <sheetName val="1.09 Directors"/>
      <sheetName val="1.10 Wages &amp; Salaries"/>
      <sheetName val="1.11 401K"/>
      <sheetName val="1.12 Health"/>
      <sheetName val="1.13 RateCase"/>
      <sheetName val="1.14 PPP Loan"/>
      <sheetName val="1.15 GTCC"/>
    </sheetNames>
    <sheetDataSet>
      <sheetData sheetId="0">
        <row r="1">
          <cell r="A1" t="str">
            <v>TAYLOR COUNTY RECC</v>
          </cell>
        </row>
        <row r="3">
          <cell r="A3" t="str">
            <v>For the 12 Months Ended December 31,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9C4D-FA18-4A8F-A2E5-8D4162279138}">
  <dimension ref="A1:O23"/>
  <sheetViews>
    <sheetView tabSelected="1" workbookViewId="0">
      <selection activeCell="J1" sqref="J1"/>
    </sheetView>
  </sheetViews>
  <sheetFormatPr defaultColWidth="9.140625" defaultRowHeight="14.25" x14ac:dyDescent="0.2"/>
  <cols>
    <col min="1" max="1" width="5.28515625" style="8" customWidth="1"/>
    <col min="2" max="2" width="30.7109375" style="8" bestFit="1" customWidth="1"/>
    <col min="3" max="3" width="13.7109375" style="8" customWidth="1"/>
    <col min="4" max="6" width="11.28515625" style="8" bestFit="1" customWidth="1"/>
    <col min="7" max="7" width="12.85546875" style="8" customWidth="1"/>
    <col min="8" max="8" width="11.28515625" style="8" bestFit="1" customWidth="1"/>
    <col min="9" max="9" width="11.28515625" style="8" customWidth="1"/>
    <col min="10" max="11" width="13.7109375" style="8" customWidth="1"/>
    <col min="12" max="12" width="14" style="8" bestFit="1" customWidth="1"/>
    <col min="13" max="16384" width="9.140625" style="8"/>
  </cols>
  <sheetData>
    <row r="1" spans="1:15" s="1" customFormat="1" ht="12.75" x14ac:dyDescent="0.2">
      <c r="J1" s="2" t="s">
        <v>48</v>
      </c>
      <c r="K1" s="2"/>
      <c r="O1" s="2"/>
    </row>
    <row r="2" spans="1:15" s="1" customFormat="1" ht="12.75" x14ac:dyDescent="0.2"/>
    <row r="3" spans="1:15" s="1" customFormat="1" ht="12.75" x14ac:dyDescent="0.2"/>
    <row r="4" spans="1:15" s="1" customFormat="1" ht="12.75" x14ac:dyDescent="0.2">
      <c r="A4" s="3" t="str">
        <f>[1]RevReq!A1</f>
        <v>TAYLOR COUNTY RECC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s="1" customFormat="1" ht="12.75" x14ac:dyDescent="0.2">
      <c r="A5" s="29" t="s">
        <v>38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s="1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s="1" customFormat="1" ht="12.75" x14ac:dyDescent="0.2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s="1" customFormat="1" ht="12.75" x14ac:dyDescent="0.2"/>
    <row r="9" spans="1:15" x14ac:dyDescent="0.2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8</v>
      </c>
      <c r="H9" s="7" t="s">
        <v>9</v>
      </c>
      <c r="I9" s="7" t="s">
        <v>10</v>
      </c>
      <c r="J9" s="7" t="s">
        <v>11</v>
      </c>
    </row>
    <row r="10" spans="1:15" x14ac:dyDescent="0.2">
      <c r="A10" s="9">
        <v>1</v>
      </c>
      <c r="B10" s="10" t="s">
        <v>12</v>
      </c>
      <c r="C10" s="11">
        <v>8400</v>
      </c>
      <c r="D10" s="11">
        <f>7800+300+300+300+300+300+300+300</f>
        <v>9900</v>
      </c>
      <c r="E10" s="11">
        <v>7800</v>
      </c>
      <c r="F10" s="11">
        <v>7500</v>
      </c>
      <c r="G10" s="11">
        <v>7200</v>
      </c>
      <c r="H10" s="11">
        <v>7500</v>
      </c>
      <c r="I10" s="11">
        <v>7200</v>
      </c>
      <c r="J10" s="12">
        <f>SUM(C10:I10)</f>
        <v>55500</v>
      </c>
      <c r="K10" s="13"/>
      <c r="L10" s="13"/>
    </row>
    <row r="11" spans="1:15" x14ac:dyDescent="0.2">
      <c r="A11" s="9">
        <f>1+A10</f>
        <v>2</v>
      </c>
      <c r="B11" s="10" t="s">
        <v>13</v>
      </c>
      <c r="C11" s="11">
        <f>600+378.45+630+258.16</f>
        <v>1866.6100000000001</v>
      </c>
      <c r="D11" s="11">
        <f>900+1925.61+1945+258.16</f>
        <v>5028.7699999999995</v>
      </c>
      <c r="E11" s="11">
        <f>600+64.45+539.9+630</f>
        <v>1834.35</v>
      </c>
      <c r="F11" s="11"/>
      <c r="G11" s="11">
        <f>600+64.45+253.7+630</f>
        <v>1548.15</v>
      </c>
      <c r="H11" s="11">
        <f>600+335.57+64.45+258.16+1260</f>
        <v>2518.1800000000003</v>
      </c>
      <c r="I11" s="11">
        <v>1945</v>
      </c>
      <c r="J11" s="12">
        <f>SUM(C11:I11)</f>
        <v>14741.06</v>
      </c>
      <c r="K11" s="13"/>
      <c r="L11" s="13"/>
    </row>
    <row r="12" spans="1:15" x14ac:dyDescent="0.2">
      <c r="A12" s="9">
        <f t="shared" ref="A12:A21" si="0">1+A11</f>
        <v>3</v>
      </c>
      <c r="B12" s="30" t="s">
        <v>39</v>
      </c>
      <c r="C12" s="11"/>
      <c r="D12" s="11">
        <f>1200+912.06+335.57</f>
        <v>2447.63</v>
      </c>
      <c r="E12" s="11">
        <f>1200+18.11+1281.95</f>
        <v>2500.06</v>
      </c>
      <c r="F12" s="11">
        <f>1200+1321.87</f>
        <v>2521.87</v>
      </c>
      <c r="G12" s="11">
        <v>518.07000000000005</v>
      </c>
      <c r="H12" s="11">
        <f>900+740.02</f>
        <v>1640.02</v>
      </c>
      <c r="I12" s="11"/>
      <c r="J12" s="12">
        <f>SUM(C12:I12)</f>
        <v>9627.65</v>
      </c>
      <c r="K12" s="13"/>
      <c r="L12" s="13"/>
    </row>
    <row r="13" spans="1:15" x14ac:dyDescent="0.2">
      <c r="A13" s="9">
        <f t="shared" si="0"/>
        <v>4</v>
      </c>
      <c r="B13" s="10" t="s">
        <v>14</v>
      </c>
      <c r="C13" s="11"/>
      <c r="D13" s="11"/>
      <c r="E13" s="11"/>
      <c r="F13" s="11"/>
      <c r="G13" s="11"/>
      <c r="H13" s="11"/>
      <c r="I13" s="11"/>
      <c r="J13" s="12">
        <f>SUM(C13:I13)</f>
        <v>0</v>
      </c>
      <c r="K13" s="13"/>
      <c r="L13" s="13"/>
    </row>
    <row r="14" spans="1:15" x14ac:dyDescent="0.2">
      <c r="A14" s="9">
        <f t="shared" si="0"/>
        <v>5</v>
      </c>
      <c r="B14" s="10" t="s">
        <v>15</v>
      </c>
      <c r="C14" s="11">
        <f>600+452.31</f>
        <v>1052.31</v>
      </c>
      <c r="D14" s="11">
        <f>600+459.64+742.08</f>
        <v>1801.7199999999998</v>
      </c>
      <c r="E14" s="11">
        <f>600+364.48</f>
        <v>964.48</v>
      </c>
      <c r="F14" s="11"/>
      <c r="G14" s="11"/>
      <c r="H14" s="11">
        <f>600+468.64</f>
        <v>1068.6399999999999</v>
      </c>
      <c r="I14" s="11"/>
      <c r="J14" s="12">
        <f>SUM(C14:I14)</f>
        <v>4887.1499999999996</v>
      </c>
      <c r="K14" s="13"/>
      <c r="L14" s="13"/>
    </row>
    <row r="15" spans="1:15" x14ac:dyDescent="0.2">
      <c r="A15" s="9">
        <f t="shared" si="0"/>
        <v>6</v>
      </c>
      <c r="B15" s="10" t="s">
        <v>40</v>
      </c>
      <c r="C15" s="11"/>
      <c r="D15" s="11">
        <v>151.52000000000001</v>
      </c>
      <c r="E15" s="11"/>
      <c r="F15" s="11">
        <v>151.52000000000001</v>
      </c>
      <c r="G15" s="11"/>
      <c r="H15" s="11"/>
      <c r="I15" s="11"/>
      <c r="J15" s="12">
        <f>SUM(C15:I15)</f>
        <v>303.04000000000002</v>
      </c>
      <c r="K15" s="13"/>
      <c r="L15" s="13"/>
    </row>
    <row r="16" spans="1:15" x14ac:dyDescent="0.2">
      <c r="A16" s="9">
        <f t="shared" si="0"/>
        <v>7</v>
      </c>
      <c r="B16" s="10" t="s">
        <v>16</v>
      </c>
      <c r="C16" s="11">
        <f>600+193.69</f>
        <v>793.69</v>
      </c>
      <c r="D16" s="11">
        <f>600+184.79</f>
        <v>784.79</v>
      </c>
      <c r="E16" s="11">
        <f>600+193.69</f>
        <v>793.69</v>
      </c>
      <c r="F16" s="11"/>
      <c r="G16" s="11"/>
      <c r="H16" s="11"/>
      <c r="I16" s="11">
        <f>600+213.69</f>
        <v>813.69</v>
      </c>
      <c r="J16" s="12">
        <f>SUM(C16:I16)</f>
        <v>3185.86</v>
      </c>
      <c r="K16" s="13"/>
      <c r="L16" s="13"/>
    </row>
    <row r="17" spans="1:13" x14ac:dyDescent="0.2">
      <c r="A17" s="9">
        <f t="shared" si="0"/>
        <v>8</v>
      </c>
      <c r="B17" s="10" t="s">
        <v>17</v>
      </c>
      <c r="C17" s="11">
        <f>6600+29332.7</f>
        <v>35932.699999999997</v>
      </c>
      <c r="D17" s="11">
        <f>10636.75+3300</f>
        <v>13936.75</v>
      </c>
      <c r="E17" s="11">
        <f>3300+10636.75</f>
        <v>13936.75</v>
      </c>
      <c r="F17" s="11">
        <f>3300+10636.75</f>
        <v>13936.75</v>
      </c>
      <c r="G17" s="11">
        <f>3300+10636.75</f>
        <v>13936.75</v>
      </c>
      <c r="H17" s="11">
        <f>10636.75+3300</f>
        <v>13936.75</v>
      </c>
      <c r="I17" s="11">
        <f>10636.75+3300</f>
        <v>13936.75</v>
      </c>
      <c r="J17" s="12">
        <f>SUM(C17:I17)</f>
        <v>119553.2</v>
      </c>
      <c r="K17" s="13"/>
      <c r="L17" s="13"/>
    </row>
    <row r="18" spans="1:13" x14ac:dyDescent="0.2">
      <c r="A18" s="9">
        <f t="shared" si="0"/>
        <v>9</v>
      </c>
      <c r="B18" s="1"/>
      <c r="C18" s="14">
        <f t="shared" ref="C18:I18" si="1">SUM(C10:C17)</f>
        <v>48045.31</v>
      </c>
      <c r="D18" s="14">
        <f t="shared" si="1"/>
        <v>34051.180000000008</v>
      </c>
      <c r="E18" s="14">
        <f t="shared" si="1"/>
        <v>27829.33</v>
      </c>
      <c r="F18" s="14">
        <f t="shared" si="1"/>
        <v>24110.14</v>
      </c>
      <c r="G18" s="14">
        <f t="shared" si="1"/>
        <v>23202.97</v>
      </c>
      <c r="H18" s="14">
        <f t="shared" si="1"/>
        <v>26663.59</v>
      </c>
      <c r="I18" s="14">
        <f t="shared" si="1"/>
        <v>23895.440000000002</v>
      </c>
      <c r="J18" s="15">
        <f>SUM(C18:I18)</f>
        <v>207797.96000000002</v>
      </c>
      <c r="K18" s="13"/>
      <c r="L18" s="13"/>
    </row>
    <row r="19" spans="1:13" x14ac:dyDescent="0.2">
      <c r="A19" s="9">
        <f t="shared" si="0"/>
        <v>10</v>
      </c>
      <c r="B19" s="1"/>
      <c r="C19" s="16"/>
      <c r="D19" s="16"/>
      <c r="E19" s="16"/>
      <c r="F19" s="16"/>
      <c r="G19" s="16"/>
      <c r="H19" s="16"/>
      <c r="I19" s="16"/>
      <c r="J19" s="16"/>
      <c r="K19" s="1"/>
      <c r="L19" s="13"/>
      <c r="M19" s="13"/>
    </row>
    <row r="20" spans="1:13" x14ac:dyDescent="0.2">
      <c r="A20" s="9">
        <f t="shared" si="0"/>
        <v>11</v>
      </c>
      <c r="B20" s="17"/>
      <c r="C20" s="18"/>
      <c r="D20" s="16"/>
      <c r="E20" s="16"/>
      <c r="F20" s="16"/>
      <c r="G20" s="16"/>
      <c r="H20" s="16"/>
      <c r="I20" s="16"/>
      <c r="J20" s="16"/>
      <c r="K20" s="1"/>
      <c r="L20" s="13"/>
      <c r="M20" s="13"/>
    </row>
    <row r="21" spans="1:13" x14ac:dyDescent="0.2">
      <c r="A21" s="9">
        <f t="shared" si="0"/>
        <v>12</v>
      </c>
      <c r="B21" s="1"/>
      <c r="C21" s="19"/>
      <c r="D21" s="16"/>
      <c r="E21" s="16"/>
      <c r="F21" s="16"/>
      <c r="G21" s="16"/>
      <c r="H21" s="1" t="s">
        <v>18</v>
      </c>
      <c r="I21" s="1"/>
      <c r="J21" s="12">
        <f>J18</f>
        <v>207797.96000000002</v>
      </c>
      <c r="L21" s="13"/>
      <c r="M21" s="13"/>
    </row>
    <row r="22" spans="1:13" x14ac:dyDescent="0.2">
      <c r="D22" s="24"/>
      <c r="E22" s="24"/>
      <c r="F22" s="24"/>
      <c r="G22" s="24"/>
      <c r="H22" s="24"/>
      <c r="I22" s="24"/>
      <c r="J22" s="24"/>
    </row>
    <row r="23" spans="1:13" x14ac:dyDescent="0.2">
      <c r="B23" s="1"/>
      <c r="C23" s="1"/>
      <c r="D23" s="1"/>
    </row>
  </sheetData>
  <mergeCells count="3">
    <mergeCell ref="A4:K4"/>
    <mergeCell ref="A5:K5"/>
    <mergeCell ref="A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5920-F30B-4B50-AA74-9400F3C3348E}">
  <dimension ref="A1:N47"/>
  <sheetViews>
    <sheetView workbookViewId="0">
      <selection activeCell="K1" sqref="K1"/>
    </sheetView>
  </sheetViews>
  <sheetFormatPr defaultColWidth="9.140625" defaultRowHeight="14.25" x14ac:dyDescent="0.2"/>
  <cols>
    <col min="1" max="1" width="5.28515625" style="8" customWidth="1"/>
    <col min="2" max="2" width="30.7109375" style="8" bestFit="1" customWidth="1"/>
    <col min="3" max="3" width="13.7109375" style="8" customWidth="1"/>
    <col min="4" max="6" width="11.28515625" style="8" bestFit="1" customWidth="1"/>
    <col min="7" max="7" width="10.28515625" style="8" bestFit="1" customWidth="1"/>
    <col min="8" max="8" width="11.28515625" style="8" bestFit="1" customWidth="1"/>
    <col min="9" max="9" width="11.28515625" style="8" customWidth="1"/>
    <col min="10" max="10" width="11.28515625" style="8" bestFit="1" customWidth="1"/>
    <col min="11" max="11" width="13.7109375" style="8" customWidth="1"/>
    <col min="12" max="12" width="14" style="8" bestFit="1" customWidth="1"/>
    <col min="13" max="16384" width="9.140625" style="8"/>
  </cols>
  <sheetData>
    <row r="1" spans="1:13" s="1" customFormat="1" ht="12.75" x14ac:dyDescent="0.2">
      <c r="K1" s="2" t="s">
        <v>48</v>
      </c>
    </row>
    <row r="2" spans="1:13" s="1" customFormat="1" ht="12.75" x14ac:dyDescent="0.2"/>
    <row r="3" spans="1:13" s="1" customFormat="1" ht="12.75" x14ac:dyDescent="0.2"/>
    <row r="4" spans="1:13" s="1" customFormat="1" ht="12.75" x14ac:dyDescent="0.2">
      <c r="A4" s="3" t="str">
        <f>[1]RevReq!A1</f>
        <v>TAYLOR COUNTY RECC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s="1" customFormat="1" ht="12.75" x14ac:dyDescent="0.2">
      <c r="A5" s="3" t="str">
        <f>[1]RevReq!A3</f>
        <v>For the 12 Months Ended December 31, 2021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3" s="1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s="1" customFormat="1" ht="12.75" x14ac:dyDescent="0.2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s="1" customFormat="1" ht="12.75" x14ac:dyDescent="0.2"/>
    <row r="9" spans="1:13" x14ac:dyDescent="0.2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</row>
    <row r="10" spans="1:13" x14ac:dyDescent="0.2">
      <c r="A10" s="9">
        <v>1</v>
      </c>
      <c r="B10" s="10" t="s">
        <v>12</v>
      </c>
      <c r="C10" s="11">
        <v>6300</v>
      </c>
      <c r="D10" s="11">
        <v>6300</v>
      </c>
      <c r="E10" s="11">
        <v>4200</v>
      </c>
      <c r="F10" s="11">
        <v>4200</v>
      </c>
      <c r="G10" s="11">
        <v>2700</v>
      </c>
      <c r="H10" s="11">
        <v>3900</v>
      </c>
      <c r="I10" s="11">
        <v>1800</v>
      </c>
      <c r="J10" s="11">
        <v>4200</v>
      </c>
      <c r="K10" s="12">
        <f>SUM(C10:J10)</f>
        <v>33600</v>
      </c>
      <c r="L10" s="13"/>
      <c r="M10" s="13"/>
    </row>
    <row r="11" spans="1:13" x14ac:dyDescent="0.2">
      <c r="A11" s="9">
        <f>1+A10</f>
        <v>2</v>
      </c>
      <c r="B11" s="10" t="s">
        <v>13</v>
      </c>
      <c r="C11" s="11">
        <f>619</f>
        <v>619</v>
      </c>
      <c r="D11" s="11">
        <v>1238</v>
      </c>
      <c r="E11" s="11">
        <v>619</v>
      </c>
      <c r="F11" s="11"/>
      <c r="G11" s="11"/>
      <c r="H11" s="11">
        <v>619</v>
      </c>
      <c r="I11" s="11">
        <v>619</v>
      </c>
      <c r="J11" s="11"/>
      <c r="K11" s="12">
        <f t="shared" ref="K11:K17" si="0">SUM(C11:J11)</f>
        <v>3714</v>
      </c>
      <c r="L11" s="13"/>
      <c r="M11" s="13"/>
    </row>
    <row r="12" spans="1:13" x14ac:dyDescent="0.2">
      <c r="A12" s="9">
        <f t="shared" ref="A12:A25" si="1">1+A11</f>
        <v>3</v>
      </c>
      <c r="B12" s="10" t="s">
        <v>14</v>
      </c>
      <c r="C12" s="11"/>
      <c r="D12" s="11">
        <v>307.27999999999997</v>
      </c>
      <c r="E12" s="11"/>
      <c r="F12" s="11"/>
      <c r="G12" s="11"/>
      <c r="H12" s="11"/>
      <c r="I12" s="11"/>
      <c r="J12" s="11"/>
      <c r="K12" s="12">
        <f t="shared" si="0"/>
        <v>307.27999999999997</v>
      </c>
      <c r="L12" s="13"/>
      <c r="M12" s="13"/>
    </row>
    <row r="13" spans="1:13" x14ac:dyDescent="0.2">
      <c r="A13" s="9">
        <f t="shared" si="1"/>
        <v>4</v>
      </c>
      <c r="B13" s="10"/>
      <c r="C13" s="11"/>
      <c r="D13" s="11"/>
      <c r="E13" s="11"/>
      <c r="F13" s="11"/>
      <c r="G13" s="11"/>
      <c r="H13" s="11"/>
      <c r="I13" s="11"/>
      <c r="J13" s="11"/>
      <c r="K13" s="12">
        <f>SUM(C13:J13)</f>
        <v>0</v>
      </c>
      <c r="L13" s="13"/>
      <c r="M13" s="13"/>
    </row>
    <row r="14" spans="1:13" x14ac:dyDescent="0.2">
      <c r="A14" s="9">
        <f t="shared" si="1"/>
        <v>5</v>
      </c>
      <c r="B14" s="10" t="s">
        <v>15</v>
      </c>
      <c r="C14" s="11">
        <f>600+19.04+193.84</f>
        <v>812.88</v>
      </c>
      <c r="D14" s="11">
        <f>600+109.2+230.8</f>
        <v>940</v>
      </c>
      <c r="E14" s="11"/>
      <c r="F14" s="11"/>
      <c r="G14" s="11"/>
      <c r="H14" s="11"/>
      <c r="I14" s="11"/>
      <c r="J14" s="11">
        <f>698.56+208.84</f>
        <v>907.4</v>
      </c>
      <c r="K14" s="12">
        <f t="shared" si="0"/>
        <v>2660.28</v>
      </c>
      <c r="L14" s="13"/>
      <c r="M14" s="13"/>
    </row>
    <row r="15" spans="1:13" x14ac:dyDescent="0.2">
      <c r="A15" s="9">
        <f t="shared" si="1"/>
        <v>6</v>
      </c>
      <c r="B15" s="10"/>
      <c r="C15" s="11"/>
      <c r="D15" s="11"/>
      <c r="E15" s="11"/>
      <c r="F15" s="11"/>
      <c r="G15" s="11"/>
      <c r="H15" s="11"/>
      <c r="I15" s="11"/>
      <c r="J15" s="11"/>
      <c r="K15" s="12">
        <f t="shared" si="0"/>
        <v>0</v>
      </c>
      <c r="L15" s="13"/>
      <c r="M15" s="13"/>
    </row>
    <row r="16" spans="1:13" x14ac:dyDescent="0.2">
      <c r="A16" s="9">
        <f t="shared" si="1"/>
        <v>7</v>
      </c>
      <c r="B16" s="10" t="s">
        <v>16</v>
      </c>
      <c r="C16" s="11">
        <f>309.52+34</f>
        <v>343.52</v>
      </c>
      <c r="D16" s="11"/>
      <c r="E16" s="11"/>
      <c r="F16" s="11"/>
      <c r="G16" s="11"/>
      <c r="H16" s="11"/>
      <c r="I16" s="11"/>
      <c r="J16" s="11"/>
      <c r="K16" s="12">
        <f t="shared" si="0"/>
        <v>343.52</v>
      </c>
      <c r="L16" s="13"/>
      <c r="M16" s="13"/>
    </row>
    <row r="17" spans="1:14" x14ac:dyDescent="0.2">
      <c r="A17" s="9">
        <f t="shared" si="1"/>
        <v>8</v>
      </c>
      <c r="B17" s="10" t="s">
        <v>17</v>
      </c>
      <c r="C17" s="11">
        <f>27580.86+6600</f>
        <v>34180.86</v>
      </c>
      <c r="D17" s="11">
        <f>9172.17+3300</f>
        <v>12472.17</v>
      </c>
      <c r="E17" s="11">
        <f>10001.48+3300</f>
        <v>13301.48</v>
      </c>
      <c r="F17" s="11">
        <f>10001.48+3300</f>
        <v>13301.48</v>
      </c>
      <c r="G17" s="11">
        <v>0</v>
      </c>
      <c r="H17" s="11">
        <f>10001.48+3300</f>
        <v>13301.48</v>
      </c>
      <c r="I17" s="11">
        <f>2178.32+3300</f>
        <v>5478.32</v>
      </c>
      <c r="J17" s="11">
        <f>10001.48+3300</f>
        <v>13301.48</v>
      </c>
      <c r="K17" s="12">
        <f t="shared" si="0"/>
        <v>105337.26999999997</v>
      </c>
      <c r="L17" s="13"/>
      <c r="M17" s="13"/>
    </row>
    <row r="18" spans="1:14" x14ac:dyDescent="0.2">
      <c r="A18" s="9">
        <f t="shared" si="1"/>
        <v>9</v>
      </c>
      <c r="B18" s="1"/>
      <c r="C18" s="14">
        <f t="shared" ref="C18:J18" si="2">SUM(C10:C17)</f>
        <v>42256.26</v>
      </c>
      <c r="D18" s="14">
        <f t="shared" si="2"/>
        <v>21257.449999999997</v>
      </c>
      <c r="E18" s="14">
        <f t="shared" si="2"/>
        <v>18120.48</v>
      </c>
      <c r="F18" s="14">
        <f t="shared" si="2"/>
        <v>17501.48</v>
      </c>
      <c r="G18" s="14">
        <f t="shared" si="2"/>
        <v>2700</v>
      </c>
      <c r="H18" s="14">
        <f t="shared" si="2"/>
        <v>17820.48</v>
      </c>
      <c r="I18" s="14">
        <f t="shared" si="2"/>
        <v>7897.32</v>
      </c>
      <c r="J18" s="14">
        <f t="shared" si="2"/>
        <v>18408.879999999997</v>
      </c>
      <c r="K18" s="15">
        <f>SUM(C18:J18)</f>
        <v>145962.35</v>
      </c>
      <c r="L18" s="13"/>
      <c r="M18" s="13"/>
    </row>
    <row r="19" spans="1:14" x14ac:dyDescent="0.2">
      <c r="A19" s="9">
        <f t="shared" si="1"/>
        <v>10</v>
      </c>
      <c r="B19" s="1"/>
      <c r="C19" s="16"/>
      <c r="D19" s="16"/>
      <c r="E19" s="16"/>
      <c r="F19" s="16"/>
      <c r="G19" s="16"/>
      <c r="H19" s="16"/>
      <c r="I19" s="16"/>
      <c r="J19" s="16"/>
      <c r="K19" s="1"/>
      <c r="L19" s="13"/>
      <c r="M19" s="13"/>
    </row>
    <row r="20" spans="1:14" x14ac:dyDescent="0.2">
      <c r="A20" s="9">
        <f t="shared" si="1"/>
        <v>11</v>
      </c>
      <c r="B20" s="17"/>
      <c r="C20" s="18"/>
      <c r="D20" s="16"/>
      <c r="E20" s="16"/>
      <c r="F20" s="16"/>
      <c r="G20" s="16"/>
      <c r="H20" s="16"/>
      <c r="I20" s="16"/>
      <c r="J20" s="16"/>
      <c r="K20" s="1"/>
      <c r="L20" s="13"/>
      <c r="M20" s="13"/>
    </row>
    <row r="21" spans="1:14" x14ac:dyDescent="0.2">
      <c r="A21" s="9">
        <f t="shared" si="1"/>
        <v>12</v>
      </c>
      <c r="B21" s="1"/>
      <c r="C21" s="19"/>
      <c r="D21" s="16"/>
      <c r="E21" s="16"/>
      <c r="F21" s="16"/>
      <c r="G21" s="16"/>
      <c r="H21" s="16"/>
      <c r="I21" s="1" t="s">
        <v>18</v>
      </c>
      <c r="J21" s="1"/>
      <c r="K21" s="12">
        <f>K18</f>
        <v>145962.35</v>
      </c>
      <c r="L21" s="13"/>
      <c r="M21" s="13"/>
    </row>
    <row r="22" spans="1:14" x14ac:dyDescent="0.2">
      <c r="A22" s="9">
        <f t="shared" si="1"/>
        <v>13</v>
      </c>
      <c r="B22" s="1"/>
      <c r="C22" s="19"/>
      <c r="D22" s="16"/>
      <c r="E22" s="16"/>
      <c r="F22" s="16"/>
      <c r="G22" s="16"/>
      <c r="H22" s="16"/>
      <c r="I22" s="1"/>
      <c r="J22" s="1"/>
      <c r="K22" s="12"/>
      <c r="L22" s="13"/>
      <c r="M22" s="13"/>
    </row>
    <row r="23" spans="1:14" x14ac:dyDescent="0.2">
      <c r="A23" s="9">
        <f t="shared" si="1"/>
        <v>14</v>
      </c>
      <c r="B23" s="1"/>
      <c r="C23" s="19"/>
      <c r="D23" s="16"/>
      <c r="E23" s="16"/>
      <c r="F23" s="1"/>
      <c r="G23" s="1"/>
      <c r="H23" s="1"/>
      <c r="I23" s="1" t="s">
        <v>19</v>
      </c>
      <c r="J23" s="1"/>
      <c r="K23" s="20">
        <f>K21+K25</f>
        <v>122482.68000000002</v>
      </c>
      <c r="L23" s="13"/>
      <c r="M23" s="13"/>
    </row>
    <row r="24" spans="1:14" x14ac:dyDescent="0.2">
      <c r="A24" s="9">
        <f t="shared" si="1"/>
        <v>15</v>
      </c>
      <c r="B24" s="1"/>
      <c r="C24" s="21"/>
      <c r="D24" s="16"/>
      <c r="E24" s="16"/>
      <c r="F24" s="1"/>
      <c r="G24" s="1"/>
      <c r="H24" s="1"/>
      <c r="I24" s="1"/>
      <c r="J24" s="1"/>
      <c r="K24" s="20"/>
    </row>
    <row r="25" spans="1:14" ht="15" thickBot="1" x14ac:dyDescent="0.25">
      <c r="A25" s="9">
        <f t="shared" si="1"/>
        <v>16</v>
      </c>
      <c r="B25" s="1"/>
      <c r="C25" s="16"/>
      <c r="D25" s="16"/>
      <c r="E25" s="16"/>
      <c r="F25" s="1"/>
      <c r="G25" s="1"/>
      <c r="H25" s="1"/>
      <c r="I25" s="22" t="s">
        <v>20</v>
      </c>
      <c r="J25" s="22"/>
      <c r="K25" s="23">
        <f>C39+C45</f>
        <v>-23479.669999999984</v>
      </c>
    </row>
    <row r="26" spans="1:14" ht="15" thickTop="1" x14ac:dyDescent="0.2">
      <c r="D26" s="24"/>
      <c r="E26" s="24"/>
      <c r="F26" s="24"/>
      <c r="G26" s="24"/>
      <c r="H26" s="25"/>
      <c r="I26" s="25"/>
      <c r="J26" s="25"/>
    </row>
    <row r="27" spans="1:14" ht="24" customHeight="1" x14ac:dyDescent="0.2">
      <c r="B27" s="26" t="s">
        <v>21</v>
      </c>
      <c r="C27" s="26"/>
      <c r="D27" s="26"/>
      <c r="E27" s="26"/>
      <c r="F27" s="26"/>
      <c r="G27" s="26"/>
      <c r="H27" s="26"/>
      <c r="I27" s="26"/>
      <c r="J27" s="26"/>
    </row>
    <row r="28" spans="1:14" x14ac:dyDescent="0.2">
      <c r="D28" s="24"/>
      <c r="E28" s="24"/>
      <c r="F28" s="24"/>
      <c r="G28" s="24"/>
      <c r="H28" s="24"/>
      <c r="I28" s="24"/>
      <c r="J28" s="24"/>
    </row>
    <row r="29" spans="1:14" x14ac:dyDescent="0.2">
      <c r="B29" s="1"/>
      <c r="C29" s="1"/>
      <c r="D29" s="25"/>
      <c r="E29" s="25"/>
      <c r="F29" s="25"/>
      <c r="G29" s="25"/>
      <c r="H29" s="24"/>
      <c r="I29" s="24"/>
      <c r="J29" s="24"/>
      <c r="K29" s="25"/>
      <c r="L29" s="25"/>
      <c r="M29" s="25"/>
      <c r="N29" s="25"/>
    </row>
    <row r="30" spans="1:14" x14ac:dyDescent="0.2">
      <c r="B30" s="27" t="s">
        <v>22</v>
      </c>
      <c r="C30" s="7" t="s">
        <v>23</v>
      </c>
      <c r="D30" s="7" t="s">
        <v>24</v>
      </c>
      <c r="E30" s="24"/>
      <c r="F30" s="24"/>
      <c r="G30" s="24"/>
      <c r="H30" s="24"/>
      <c r="I30" s="24"/>
      <c r="J30" s="24"/>
    </row>
    <row r="31" spans="1:14" x14ac:dyDescent="0.2">
      <c r="B31" s="1" t="s">
        <v>25</v>
      </c>
      <c r="C31" s="16">
        <f>-D11</f>
        <v>-1238</v>
      </c>
      <c r="D31" s="16">
        <v>930.4</v>
      </c>
      <c r="E31" s="24"/>
      <c r="F31" s="24"/>
      <c r="G31" s="24"/>
      <c r="H31" s="24"/>
      <c r="I31" s="24"/>
      <c r="J31" s="24"/>
    </row>
    <row r="32" spans="1:14" x14ac:dyDescent="0.2">
      <c r="B32" s="1" t="s">
        <v>26</v>
      </c>
      <c r="C32" s="16">
        <f>-E11</f>
        <v>-619</v>
      </c>
      <c r="D32" s="16">
        <v>930.4</v>
      </c>
      <c r="E32" s="24"/>
      <c r="F32" s="24"/>
      <c r="G32" s="24"/>
      <c r="H32" s="24"/>
      <c r="I32" s="24"/>
      <c r="J32" s="24"/>
    </row>
    <row r="33" spans="2:10" x14ac:dyDescent="0.2">
      <c r="B33" s="1" t="s">
        <v>27</v>
      </c>
      <c r="C33" s="16">
        <f>-H11</f>
        <v>-619</v>
      </c>
      <c r="D33" s="16">
        <v>930.4</v>
      </c>
      <c r="E33" s="24"/>
      <c r="F33" s="24"/>
      <c r="G33" s="24"/>
      <c r="H33" s="24"/>
      <c r="I33" s="24"/>
      <c r="J33" s="24"/>
    </row>
    <row r="34" spans="2:10" x14ac:dyDescent="0.2">
      <c r="B34" s="1" t="s">
        <v>28</v>
      </c>
      <c r="C34" s="16">
        <f>-I11</f>
        <v>-619</v>
      </c>
      <c r="D34" s="16">
        <v>930.4</v>
      </c>
      <c r="E34" s="24"/>
      <c r="F34" s="24"/>
      <c r="G34" s="24"/>
      <c r="H34" s="24"/>
      <c r="I34" s="24"/>
      <c r="J34" s="24"/>
    </row>
    <row r="35" spans="2:10" x14ac:dyDescent="0.2">
      <c r="B35" s="1" t="s">
        <v>29</v>
      </c>
      <c r="C35" s="16">
        <f>-D14</f>
        <v>-940</v>
      </c>
      <c r="D35" s="16">
        <v>930.4</v>
      </c>
      <c r="E35" s="24"/>
      <c r="F35" s="24"/>
      <c r="G35" s="24"/>
      <c r="H35" s="24"/>
      <c r="I35" s="24"/>
      <c r="J35" s="24"/>
    </row>
    <row r="36" spans="2:10" x14ac:dyDescent="0.2">
      <c r="B36" s="1" t="s">
        <v>30</v>
      </c>
      <c r="C36" s="16">
        <f>-J14</f>
        <v>-907.4</v>
      </c>
      <c r="D36" s="16">
        <v>930.4</v>
      </c>
      <c r="E36" s="24"/>
      <c r="F36" s="24"/>
      <c r="G36" s="24"/>
      <c r="H36" s="24"/>
      <c r="I36" s="24"/>
      <c r="J36" s="24"/>
    </row>
    <row r="37" spans="2:10" x14ac:dyDescent="0.2">
      <c r="B37" s="1" t="s">
        <v>31</v>
      </c>
      <c r="C37" s="16">
        <f>-K10</f>
        <v>-33600</v>
      </c>
      <c r="D37" s="16">
        <v>930.1</v>
      </c>
      <c r="E37" s="24"/>
      <c r="F37" s="24"/>
      <c r="G37" s="24"/>
      <c r="H37" s="24"/>
      <c r="I37" s="24"/>
      <c r="J37" s="24"/>
    </row>
    <row r="38" spans="2:10" x14ac:dyDescent="0.2">
      <c r="B38" s="1" t="s">
        <v>32</v>
      </c>
      <c r="C38" s="16">
        <f>-K17</f>
        <v>-105337.26999999997</v>
      </c>
      <c r="D38" s="16">
        <v>930.1</v>
      </c>
      <c r="E38" s="24"/>
      <c r="F38" s="24"/>
      <c r="G38" s="24"/>
      <c r="H38" s="24"/>
      <c r="I38" s="24"/>
      <c r="J38" s="24"/>
    </row>
    <row r="39" spans="2:10" x14ac:dyDescent="0.2">
      <c r="B39" s="28" t="s">
        <v>33</v>
      </c>
      <c r="C39" s="15">
        <f>SUM(C31:C38)</f>
        <v>-143879.66999999998</v>
      </c>
      <c r="D39" s="16"/>
      <c r="E39" s="24"/>
      <c r="F39" s="24"/>
      <c r="G39" s="24"/>
    </row>
    <row r="40" spans="2:10" x14ac:dyDescent="0.2">
      <c r="B40" s="1"/>
      <c r="C40" s="1"/>
      <c r="D40" s="16"/>
      <c r="E40" s="24"/>
      <c r="F40" s="24"/>
      <c r="G40" s="24"/>
    </row>
    <row r="41" spans="2:10" x14ac:dyDescent="0.2">
      <c r="B41" s="27" t="s">
        <v>34</v>
      </c>
      <c r="C41" s="7" t="s">
        <v>23</v>
      </c>
      <c r="D41" s="7" t="s">
        <v>24</v>
      </c>
      <c r="E41" s="24"/>
      <c r="F41" s="24"/>
      <c r="G41" s="24"/>
    </row>
    <row r="42" spans="2:10" x14ac:dyDescent="0.2">
      <c r="B42" s="1" t="s">
        <v>35</v>
      </c>
      <c r="C42" s="16">
        <f>4550+2925+4225+6825+4550+4550+6825+1950</f>
        <v>36400</v>
      </c>
      <c r="D42" s="1">
        <v>930.1</v>
      </c>
    </row>
    <row r="43" spans="2:10" x14ac:dyDescent="0.2">
      <c r="B43" s="1" t="s">
        <v>36</v>
      </c>
      <c r="C43" s="16">
        <f>12000+6000+12000+12000+12000+12000+12000+6000</f>
        <v>84000</v>
      </c>
      <c r="D43" s="1">
        <v>930.1</v>
      </c>
    </row>
    <row r="44" spans="2:10" x14ac:dyDescent="0.2">
      <c r="B44" s="1"/>
      <c r="C44" s="16">
        <f>-C28</f>
        <v>0</v>
      </c>
      <c r="D44" s="1"/>
    </row>
    <row r="45" spans="2:10" x14ac:dyDescent="0.2">
      <c r="B45" s="28" t="s">
        <v>37</v>
      </c>
      <c r="C45" s="15">
        <f>SUM(C42:C44)</f>
        <v>120400</v>
      </c>
      <c r="D45" s="1"/>
    </row>
    <row r="46" spans="2:10" x14ac:dyDescent="0.2">
      <c r="B46" s="1"/>
      <c r="C46" s="1"/>
      <c r="D46" s="1"/>
    </row>
    <row r="47" spans="2:10" x14ac:dyDescent="0.2">
      <c r="B47" s="1"/>
      <c r="C47" s="1"/>
      <c r="D47" s="1"/>
    </row>
  </sheetData>
  <mergeCells count="4">
    <mergeCell ref="A4:K4"/>
    <mergeCell ref="A5:K5"/>
    <mergeCell ref="A7:K7"/>
    <mergeCell ref="B27:J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F8D5-679B-4167-AB05-6D4A198D3263}">
  <dimension ref="A1:M23"/>
  <sheetViews>
    <sheetView topLeftCell="A13" workbookViewId="0">
      <selection activeCell="J1" sqref="J1"/>
    </sheetView>
  </sheetViews>
  <sheetFormatPr defaultColWidth="9.140625" defaultRowHeight="14.25" x14ac:dyDescent="0.2"/>
  <cols>
    <col min="1" max="1" width="5.28515625" style="8" customWidth="1"/>
    <col min="2" max="2" width="30.7109375" style="8" bestFit="1" customWidth="1"/>
    <col min="3" max="3" width="13.7109375" style="8" customWidth="1"/>
    <col min="4" max="6" width="11.28515625" style="8" bestFit="1" customWidth="1"/>
    <col min="7" max="7" width="12.85546875" style="8" customWidth="1"/>
    <col min="8" max="8" width="11.28515625" style="8" bestFit="1" customWidth="1"/>
    <col min="9" max="9" width="11.28515625" style="8" customWidth="1"/>
    <col min="10" max="11" width="13.7109375" style="8" customWidth="1"/>
    <col min="12" max="12" width="14" style="8" bestFit="1" customWidth="1"/>
    <col min="13" max="16384" width="9.140625" style="8"/>
  </cols>
  <sheetData>
    <row r="1" spans="1:12" s="1" customFormat="1" ht="12.75" x14ac:dyDescent="0.2">
      <c r="J1" s="2" t="s">
        <v>48</v>
      </c>
      <c r="K1" s="2"/>
    </row>
    <row r="2" spans="1:12" s="1" customFormat="1" ht="12.75" x14ac:dyDescent="0.2"/>
    <row r="3" spans="1:12" s="1" customFormat="1" ht="12.75" x14ac:dyDescent="0.2"/>
    <row r="4" spans="1:12" s="1" customFormat="1" ht="12.75" x14ac:dyDescent="0.2">
      <c r="A4" s="3" t="str">
        <f>[1]RevReq!A1</f>
        <v>TAYLOR COUNTY RECC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1" customFormat="1" ht="12.75" x14ac:dyDescent="0.2">
      <c r="A5" s="29" t="s">
        <v>41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s="1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s="1" customFormat="1" ht="12.75" x14ac:dyDescent="0.2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s="1" customFormat="1" ht="12.75" x14ac:dyDescent="0.2"/>
    <row r="9" spans="1:12" x14ac:dyDescent="0.2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8</v>
      </c>
      <c r="H9" s="7" t="s">
        <v>7</v>
      </c>
      <c r="I9" s="7" t="s">
        <v>10</v>
      </c>
      <c r="J9" s="7" t="s">
        <v>11</v>
      </c>
    </row>
    <row r="10" spans="1:12" x14ac:dyDescent="0.2">
      <c r="A10" s="9">
        <v>1</v>
      </c>
      <c r="B10" s="10" t="s">
        <v>12</v>
      </c>
      <c r="C10" s="11">
        <f>4500+300</f>
        <v>4800</v>
      </c>
      <c r="D10" s="11">
        <f>4500+4200</f>
        <v>8700</v>
      </c>
      <c r="E10" s="11">
        <v>3900</v>
      </c>
      <c r="F10" s="11">
        <f>3900+300</f>
        <v>4200</v>
      </c>
      <c r="G10" s="11">
        <f>4200</f>
        <v>4200</v>
      </c>
      <c r="H10" s="11">
        <f>3900+300</f>
        <v>4200</v>
      </c>
      <c r="I10" s="11">
        <f>4200+300</f>
        <v>4500</v>
      </c>
      <c r="J10" s="12">
        <f>SUM(C10:I10)</f>
        <v>34500</v>
      </c>
      <c r="K10" s="13"/>
      <c r="L10" s="13"/>
    </row>
    <row r="11" spans="1:12" x14ac:dyDescent="0.2">
      <c r="A11" s="9">
        <f>1+A10</f>
        <v>2</v>
      </c>
      <c r="B11" s="10" t="s">
        <v>13</v>
      </c>
      <c r="C11" s="11">
        <f>600+650+421.23+463.38</f>
        <v>2134.61</v>
      </c>
      <c r="D11" s="11">
        <f>900+826.67+650</f>
        <v>2376.67</v>
      </c>
      <c r="E11" s="11">
        <f>600+650+399.58</f>
        <v>1649.58</v>
      </c>
      <c r="F11" s="11">
        <f>650</f>
        <v>650</v>
      </c>
      <c r="G11" s="11">
        <f>600+650+302.4</f>
        <v>1552.4</v>
      </c>
      <c r="H11" s="11"/>
      <c r="I11" s="11">
        <f>300+650+325.4</f>
        <v>1275.4000000000001</v>
      </c>
      <c r="J11" s="12">
        <f>SUM(C11:I11)</f>
        <v>9638.66</v>
      </c>
      <c r="K11" s="13"/>
      <c r="L11" s="13"/>
    </row>
    <row r="12" spans="1:12" x14ac:dyDescent="0.2">
      <c r="A12" s="9">
        <f t="shared" ref="A12:A21" si="0">1+A11</f>
        <v>3</v>
      </c>
      <c r="B12" s="30" t="s">
        <v>44</v>
      </c>
      <c r="C12" s="11">
        <f>1500+191.07+401.96</f>
        <v>2093.0299999999997</v>
      </c>
      <c r="D12" s="11">
        <f>1500+2124.38</f>
        <v>3624.38</v>
      </c>
      <c r="E12" s="11">
        <f>1500+9.93+1314.06</f>
        <v>2823.99</v>
      </c>
      <c r="F12" s="11">
        <f>1500+1586.98+167.72</f>
        <v>3254.7</v>
      </c>
      <c r="G12" s="11">
        <f>1500+1164.82</f>
        <v>2664.8199999999997</v>
      </c>
      <c r="H12" s="11"/>
      <c r="I12" s="11">
        <f>1500+468.93+1198.27</f>
        <v>3167.2</v>
      </c>
      <c r="J12" s="12">
        <f>SUM(C12:I12)</f>
        <v>17628.12</v>
      </c>
      <c r="K12" s="13"/>
      <c r="L12" s="13"/>
    </row>
    <row r="13" spans="1:12" x14ac:dyDescent="0.2">
      <c r="A13" s="9">
        <f t="shared" si="0"/>
        <v>4</v>
      </c>
      <c r="B13" s="10" t="s">
        <v>14</v>
      </c>
      <c r="C13" s="11"/>
      <c r="D13" s="11"/>
      <c r="E13" s="11"/>
      <c r="F13" s="11"/>
      <c r="G13" s="11"/>
      <c r="H13" s="11"/>
      <c r="I13" s="11"/>
      <c r="J13" s="12">
        <f>SUM(C13:I13)</f>
        <v>0</v>
      </c>
      <c r="K13" s="13"/>
      <c r="L13" s="13"/>
    </row>
    <row r="14" spans="1:12" x14ac:dyDescent="0.2">
      <c r="A14" s="9">
        <f t="shared" si="0"/>
        <v>5</v>
      </c>
      <c r="B14" s="10" t="s">
        <v>15</v>
      </c>
      <c r="C14" s="11">
        <f>549.08</f>
        <v>549.08000000000004</v>
      </c>
      <c r="D14" s="11">
        <f>600+16.74+435.16+170.89</f>
        <v>1222.79</v>
      </c>
      <c r="E14" s="11">
        <f>366.78</f>
        <v>366.78</v>
      </c>
      <c r="F14" s="11">
        <f>501.98</f>
        <v>501.98</v>
      </c>
      <c r="G14" s="11">
        <f>366.78</f>
        <v>366.78</v>
      </c>
      <c r="H14" s="11">
        <f>600+425.98</f>
        <v>1025.98</v>
      </c>
      <c r="I14" s="11">
        <v>452.45</v>
      </c>
      <c r="J14" s="12">
        <f>SUM(C14:I14)</f>
        <v>4485.84</v>
      </c>
      <c r="K14" s="13"/>
      <c r="L14" s="13"/>
    </row>
    <row r="15" spans="1:12" x14ac:dyDescent="0.2">
      <c r="A15" s="9">
        <f t="shared" si="0"/>
        <v>6</v>
      </c>
      <c r="B15" s="10" t="s">
        <v>45</v>
      </c>
      <c r="C15" s="11">
        <v>300</v>
      </c>
      <c r="D15" s="11">
        <v>300</v>
      </c>
      <c r="E15" s="11">
        <v>300</v>
      </c>
      <c r="F15" s="11"/>
      <c r="G15" s="11">
        <v>300</v>
      </c>
      <c r="H15" s="11">
        <v>300</v>
      </c>
      <c r="I15" s="11">
        <v>300</v>
      </c>
      <c r="J15" s="12">
        <f>SUM(C15:I15)</f>
        <v>1800</v>
      </c>
      <c r="K15" s="13"/>
      <c r="L15" s="13"/>
    </row>
    <row r="16" spans="1:12" x14ac:dyDescent="0.2">
      <c r="A16" s="9">
        <f t="shared" si="0"/>
        <v>7</v>
      </c>
      <c r="B16" s="10" t="s">
        <v>16</v>
      </c>
      <c r="C16" s="11">
        <f>600+1164.82</f>
        <v>1764.82</v>
      </c>
      <c r="D16" s="11"/>
      <c r="E16" s="11">
        <f>600+312.23</f>
        <v>912.23</v>
      </c>
      <c r="F16" s="11">
        <f>600+344.23</f>
        <v>944.23</v>
      </c>
      <c r="G16" s="11">
        <f>201.96</f>
        <v>201.96</v>
      </c>
      <c r="H16" s="11">
        <f>600+312.23</f>
        <v>912.23</v>
      </c>
      <c r="I16" s="11"/>
      <c r="J16" s="12">
        <f>SUM(C16:I16)</f>
        <v>4735.47</v>
      </c>
      <c r="K16" s="13"/>
      <c r="L16" s="13"/>
    </row>
    <row r="17" spans="1:13" x14ac:dyDescent="0.2">
      <c r="A17" s="9">
        <f t="shared" si="0"/>
        <v>8</v>
      </c>
      <c r="B17" s="10" t="s">
        <v>17</v>
      </c>
      <c r="C17" s="11">
        <f>6600+27443.64</f>
        <v>34043.64</v>
      </c>
      <c r="D17" s="11"/>
      <c r="E17" s="11">
        <f>3300+9951.72</f>
        <v>13251.72</v>
      </c>
      <c r="F17" s="11">
        <f>9951.72+3300</f>
        <v>13251.72</v>
      </c>
      <c r="G17" s="11">
        <f>9951.72+3300</f>
        <v>13251.72</v>
      </c>
      <c r="H17" s="11"/>
      <c r="I17" s="11">
        <f>9951.72+3300</f>
        <v>13251.72</v>
      </c>
      <c r="J17" s="12">
        <f>SUM(C17:I17)</f>
        <v>87050.52</v>
      </c>
      <c r="K17" s="13"/>
      <c r="L17" s="13"/>
    </row>
    <row r="18" spans="1:13" x14ac:dyDescent="0.2">
      <c r="A18" s="9">
        <f t="shared" si="0"/>
        <v>9</v>
      </c>
      <c r="B18" s="1"/>
      <c r="C18" s="14">
        <f t="shared" ref="C18:I18" si="1">SUM(C10:C17)</f>
        <v>45685.18</v>
      </c>
      <c r="D18" s="14">
        <f t="shared" si="1"/>
        <v>16223.84</v>
      </c>
      <c r="E18" s="14">
        <f t="shared" si="1"/>
        <v>23204.3</v>
      </c>
      <c r="F18" s="14">
        <f t="shared" si="1"/>
        <v>22802.629999999997</v>
      </c>
      <c r="G18" s="14">
        <f t="shared" si="1"/>
        <v>22537.68</v>
      </c>
      <c r="H18" s="14">
        <f t="shared" si="1"/>
        <v>6438.2099999999991</v>
      </c>
      <c r="I18" s="14">
        <f t="shared" si="1"/>
        <v>22946.769999999997</v>
      </c>
      <c r="J18" s="15">
        <f>SUM(C18:I18)</f>
        <v>159838.60999999999</v>
      </c>
      <c r="K18" s="13"/>
      <c r="L18" s="13"/>
    </row>
    <row r="19" spans="1:13" x14ac:dyDescent="0.2">
      <c r="A19" s="9">
        <f t="shared" si="0"/>
        <v>10</v>
      </c>
      <c r="B19" s="1"/>
      <c r="C19" s="16"/>
      <c r="D19" s="16"/>
      <c r="E19" s="16"/>
      <c r="F19" s="16"/>
      <c r="G19" s="16"/>
      <c r="H19" s="16"/>
      <c r="I19" s="16"/>
      <c r="J19" s="16"/>
      <c r="K19" s="1"/>
      <c r="L19" s="13"/>
      <c r="M19" s="13"/>
    </row>
    <row r="20" spans="1:13" x14ac:dyDescent="0.2">
      <c r="A20" s="9">
        <f t="shared" si="0"/>
        <v>11</v>
      </c>
      <c r="B20" s="17"/>
      <c r="C20" s="18"/>
      <c r="D20" s="16"/>
      <c r="E20" s="16"/>
      <c r="F20" s="16"/>
      <c r="G20" s="16"/>
      <c r="H20" s="16"/>
      <c r="I20" s="16"/>
      <c r="J20" s="16"/>
      <c r="K20" s="1"/>
      <c r="L20" s="13"/>
      <c r="M20" s="13"/>
    </row>
    <row r="21" spans="1:13" x14ac:dyDescent="0.2">
      <c r="A21" s="9">
        <f t="shared" si="0"/>
        <v>12</v>
      </c>
      <c r="B21" s="1"/>
      <c r="C21" s="19"/>
      <c r="D21" s="16"/>
      <c r="E21" s="16"/>
      <c r="F21" s="16"/>
      <c r="G21" s="16"/>
      <c r="H21" s="1" t="s">
        <v>18</v>
      </c>
      <c r="I21" s="1"/>
      <c r="J21" s="12">
        <f>J18</f>
        <v>159838.60999999999</v>
      </c>
      <c r="L21" s="13"/>
      <c r="M21" s="13"/>
    </row>
    <row r="22" spans="1:13" x14ac:dyDescent="0.2">
      <c r="D22" s="24"/>
      <c r="E22" s="24"/>
      <c r="F22" s="24"/>
      <c r="G22" s="24"/>
      <c r="H22" s="24"/>
      <c r="I22" s="24"/>
      <c r="J22" s="24"/>
    </row>
    <row r="23" spans="1:13" x14ac:dyDescent="0.2">
      <c r="B23" s="1"/>
      <c r="C23" s="1"/>
      <c r="D23" s="1"/>
    </row>
  </sheetData>
  <mergeCells count="3">
    <mergeCell ref="A4:K4"/>
    <mergeCell ref="A5:K5"/>
    <mergeCell ref="A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6286-1D87-417C-834A-00CADC8C0BC1}">
  <dimension ref="A1:M24"/>
  <sheetViews>
    <sheetView workbookViewId="0">
      <selection activeCell="K2" sqref="K2"/>
    </sheetView>
  </sheetViews>
  <sheetFormatPr defaultColWidth="9.140625" defaultRowHeight="14.25" x14ac:dyDescent="0.2"/>
  <cols>
    <col min="1" max="1" width="5.28515625" style="8" customWidth="1"/>
    <col min="2" max="2" width="30.7109375" style="8" bestFit="1" customWidth="1"/>
    <col min="3" max="3" width="13.7109375" style="8" customWidth="1"/>
    <col min="4" max="6" width="11.28515625" style="8" bestFit="1" customWidth="1"/>
    <col min="7" max="7" width="12.85546875" style="8" customWidth="1"/>
    <col min="8" max="8" width="11.28515625" style="8" bestFit="1" customWidth="1"/>
    <col min="9" max="9" width="11.28515625" style="8" customWidth="1"/>
    <col min="10" max="11" width="13.7109375" style="8" customWidth="1"/>
    <col min="12" max="12" width="14" style="8" bestFit="1" customWidth="1"/>
    <col min="13" max="16384" width="9.140625" style="8"/>
  </cols>
  <sheetData>
    <row r="1" spans="1:12" s="1" customFormat="1" ht="12.75" x14ac:dyDescent="0.2">
      <c r="J1" s="2" t="s">
        <v>48</v>
      </c>
      <c r="K1" s="2"/>
    </row>
    <row r="2" spans="1:12" s="1" customFormat="1" ht="12.75" x14ac:dyDescent="0.2"/>
    <row r="3" spans="1:12" s="1" customFormat="1" ht="12.75" x14ac:dyDescent="0.2"/>
    <row r="4" spans="1:12" s="1" customFormat="1" ht="12.75" x14ac:dyDescent="0.2">
      <c r="A4" s="3" t="str">
        <f>[1]RevReq!A1</f>
        <v>TAYLOR COUNTY RECC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1" customFormat="1" ht="12.75" x14ac:dyDescent="0.2">
      <c r="A5" s="29" t="s">
        <v>42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s="1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s="1" customFormat="1" ht="12.75" x14ac:dyDescent="0.2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s="1" customFormat="1" ht="12.75" x14ac:dyDescent="0.2"/>
    <row r="9" spans="1:12" x14ac:dyDescent="0.2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8</v>
      </c>
      <c r="H9" s="7" t="s">
        <v>7</v>
      </c>
      <c r="I9" s="7" t="s">
        <v>10</v>
      </c>
      <c r="J9" s="7" t="s">
        <v>11</v>
      </c>
    </row>
    <row r="10" spans="1:12" x14ac:dyDescent="0.2">
      <c r="A10" s="9">
        <v>1</v>
      </c>
      <c r="B10" s="10" t="s">
        <v>12</v>
      </c>
      <c r="C10" s="11">
        <f>6000</f>
        <v>6000</v>
      </c>
      <c r="D10" s="11">
        <f>7200+300+300+300</f>
        <v>8100</v>
      </c>
      <c r="E10" s="11">
        <v>4500</v>
      </c>
      <c r="F10" s="11">
        <v>4500</v>
      </c>
      <c r="G10" s="11">
        <v>5100</v>
      </c>
      <c r="H10" s="11">
        <v>4500</v>
      </c>
      <c r="I10" s="11">
        <v>5100</v>
      </c>
      <c r="J10" s="12">
        <f>SUM(C10:I10)</f>
        <v>37800</v>
      </c>
      <c r="K10" s="13"/>
      <c r="L10" s="13"/>
    </row>
    <row r="11" spans="1:12" x14ac:dyDescent="0.2">
      <c r="A11" s="9">
        <f>1+A10</f>
        <v>2</v>
      </c>
      <c r="B11" s="10" t="s">
        <v>13</v>
      </c>
      <c r="C11" s="11">
        <f>619+144.1</f>
        <v>763.1</v>
      </c>
      <c r="D11" s="11">
        <f>1238</f>
        <v>1238</v>
      </c>
      <c r="E11" s="11"/>
      <c r="F11" s="11"/>
      <c r="G11" s="11"/>
      <c r="H11" s="11"/>
      <c r="I11" s="11">
        <v>619</v>
      </c>
      <c r="J11" s="12">
        <f>SUM(C11:I11)</f>
        <v>2620.1</v>
      </c>
      <c r="K11" s="13"/>
      <c r="L11" s="13"/>
    </row>
    <row r="12" spans="1:12" x14ac:dyDescent="0.2">
      <c r="A12" s="9">
        <f t="shared" ref="A12:A22" si="0">1+A11</f>
        <v>3</v>
      </c>
      <c r="B12" s="30" t="s">
        <v>46</v>
      </c>
      <c r="C12" s="11">
        <f>600+560.47</f>
        <v>1160.47</v>
      </c>
      <c r="D12" s="11">
        <f>600+83.46</f>
        <v>683.46</v>
      </c>
      <c r="E12" s="11"/>
      <c r="F12" s="11">
        <f>600+553.58</f>
        <v>1153.58</v>
      </c>
      <c r="G12" s="11">
        <f>600+499.82</f>
        <v>1099.82</v>
      </c>
      <c r="H12" s="11">
        <f>600+443.94</f>
        <v>1043.94</v>
      </c>
      <c r="I12" s="11">
        <f>600</f>
        <v>600</v>
      </c>
      <c r="J12" s="12">
        <f>SUM(C12:I12)</f>
        <v>5741.27</v>
      </c>
      <c r="K12" s="13"/>
      <c r="L12" s="13"/>
    </row>
    <row r="13" spans="1:12" x14ac:dyDescent="0.2">
      <c r="A13" s="9">
        <f t="shared" si="0"/>
        <v>4</v>
      </c>
      <c r="B13" s="10" t="s">
        <v>14</v>
      </c>
      <c r="C13" s="11">
        <v>300</v>
      </c>
      <c r="D13" s="11">
        <v>300</v>
      </c>
      <c r="E13" s="11">
        <v>300</v>
      </c>
      <c r="F13" s="11">
        <v>300</v>
      </c>
      <c r="G13" s="11"/>
      <c r="H13" s="11">
        <v>300</v>
      </c>
      <c r="I13" s="11"/>
      <c r="J13" s="12">
        <f>SUM(C13:I13)</f>
        <v>1500</v>
      </c>
      <c r="K13" s="13"/>
      <c r="L13" s="13"/>
    </row>
    <row r="14" spans="1:12" x14ac:dyDescent="0.2">
      <c r="A14" s="9">
        <f t="shared" si="0"/>
        <v>5</v>
      </c>
      <c r="B14" s="10" t="s">
        <v>15</v>
      </c>
      <c r="C14" s="11">
        <f>600+395.22+338.03</f>
        <v>1333.25</v>
      </c>
      <c r="D14" s="11">
        <f>472.96+661.41</f>
        <v>1134.3699999999999</v>
      </c>
      <c r="E14" s="11">
        <f>338.03+600</f>
        <v>938.03</v>
      </c>
      <c r="F14" s="11">
        <f>600+436+338.03</f>
        <v>1374.03</v>
      </c>
      <c r="G14" s="11">
        <f>600+338.03</f>
        <v>938.03</v>
      </c>
      <c r="H14" s="11">
        <v>366.78</v>
      </c>
      <c r="I14" s="11">
        <f>600+390.78+338.03</f>
        <v>1328.81</v>
      </c>
      <c r="J14" s="12">
        <f>SUM(C14:I14)</f>
        <v>7413.2999999999993</v>
      </c>
      <c r="K14" s="13"/>
      <c r="L14" s="13"/>
    </row>
    <row r="15" spans="1:12" x14ac:dyDescent="0.2">
      <c r="A15" s="9">
        <f t="shared" si="0"/>
        <v>6</v>
      </c>
      <c r="B15" s="10" t="s">
        <v>44</v>
      </c>
      <c r="C15" s="11"/>
      <c r="D15" s="11"/>
      <c r="E15" s="11">
        <f>1200+650+733.66</f>
        <v>2583.66</v>
      </c>
      <c r="F15" s="11">
        <f>1200+59.67+650+733.66</f>
        <v>2643.33</v>
      </c>
      <c r="G15" s="11">
        <f>1200+650+733.66</f>
        <v>2583.66</v>
      </c>
      <c r="H15" s="11"/>
      <c r="I15" s="11"/>
      <c r="J15" s="12">
        <f>SUM(C15:I15)</f>
        <v>7810.65</v>
      </c>
      <c r="K15" s="13"/>
      <c r="L15" s="13"/>
    </row>
    <row r="16" spans="1:12" x14ac:dyDescent="0.2">
      <c r="A16" s="9">
        <f t="shared" si="0"/>
        <v>7</v>
      </c>
      <c r="B16" s="10" t="s">
        <v>47</v>
      </c>
      <c r="C16" s="11"/>
      <c r="D16" s="11"/>
      <c r="E16" s="11"/>
      <c r="F16" s="11"/>
      <c r="G16" s="11"/>
      <c r="H16" s="11"/>
      <c r="I16" s="11">
        <v>1685.01</v>
      </c>
      <c r="J16" s="12">
        <f>SUM(C16:I16)</f>
        <v>1685.01</v>
      </c>
      <c r="K16" s="13"/>
      <c r="L16" s="13"/>
    </row>
    <row r="17" spans="1:13" x14ac:dyDescent="0.2">
      <c r="A17" s="9">
        <f t="shared" si="0"/>
        <v>8</v>
      </c>
      <c r="B17" s="10" t="s">
        <v>16</v>
      </c>
      <c r="C17" s="11">
        <f>600+324.34</f>
        <v>924.33999999999992</v>
      </c>
      <c r="D17" s="11">
        <f>600+367.86</f>
        <v>967.86</v>
      </c>
      <c r="E17" s="11">
        <f>190.46+600</f>
        <v>790.46</v>
      </c>
      <c r="F17" s="11">
        <f>600+179.91</f>
        <v>779.91</v>
      </c>
      <c r="G17" s="11">
        <f>600+208.91</f>
        <v>808.91</v>
      </c>
      <c r="H17" s="11">
        <f>208.91+600</f>
        <v>808.91</v>
      </c>
      <c r="I17" s="11"/>
      <c r="J17" s="12">
        <f>SUM(C17:I17)</f>
        <v>5080.3899999999994</v>
      </c>
      <c r="K17" s="13"/>
      <c r="L17" s="13"/>
    </row>
    <row r="18" spans="1:13" x14ac:dyDescent="0.2">
      <c r="A18" s="9">
        <f t="shared" si="0"/>
        <v>9</v>
      </c>
      <c r="B18" s="10" t="s">
        <v>17</v>
      </c>
      <c r="C18" s="11">
        <f>26245.74+6600</f>
        <v>32845.740000000005</v>
      </c>
      <c r="D18" s="11"/>
      <c r="E18" s="11">
        <f>9517.33+3300</f>
        <v>12817.33</v>
      </c>
      <c r="F18" s="11">
        <f>3300+9517.33</f>
        <v>12817.33</v>
      </c>
      <c r="G18" s="11">
        <f>9517.33+3300</f>
        <v>12817.33</v>
      </c>
      <c r="H18" s="11"/>
      <c r="I18" s="11">
        <f>9517.33+3300</f>
        <v>12817.33</v>
      </c>
      <c r="J18" s="12">
        <f>SUM(C18:I18)</f>
        <v>84115.060000000012</v>
      </c>
      <c r="K18" s="13"/>
      <c r="L18" s="13"/>
    </row>
    <row r="19" spans="1:13" x14ac:dyDescent="0.2">
      <c r="A19" s="9">
        <f t="shared" si="0"/>
        <v>10</v>
      </c>
      <c r="B19" s="1"/>
      <c r="C19" s="14">
        <f t="shared" ref="C19:I19" si="1">SUM(C10:C18)</f>
        <v>43326.900000000009</v>
      </c>
      <c r="D19" s="14">
        <f t="shared" si="1"/>
        <v>12423.689999999999</v>
      </c>
      <c r="E19" s="14">
        <f t="shared" si="1"/>
        <v>21929.479999999996</v>
      </c>
      <c r="F19" s="14">
        <f t="shared" si="1"/>
        <v>23568.18</v>
      </c>
      <c r="G19" s="14">
        <f t="shared" si="1"/>
        <v>23347.75</v>
      </c>
      <c r="H19" s="14">
        <f t="shared" si="1"/>
        <v>7019.63</v>
      </c>
      <c r="I19" s="14">
        <f t="shared" si="1"/>
        <v>22150.15</v>
      </c>
      <c r="J19" s="15">
        <f>SUM(C19:I19)</f>
        <v>153765.78</v>
      </c>
      <c r="K19" s="13"/>
      <c r="L19" s="13"/>
    </row>
    <row r="20" spans="1:13" x14ac:dyDescent="0.2">
      <c r="A20" s="9">
        <f t="shared" si="0"/>
        <v>11</v>
      </c>
      <c r="B20" s="1"/>
      <c r="C20" s="16"/>
      <c r="D20" s="16"/>
      <c r="E20" s="16"/>
      <c r="F20" s="16"/>
      <c r="G20" s="16"/>
      <c r="H20" s="16"/>
      <c r="I20" s="16"/>
      <c r="J20" s="16"/>
      <c r="K20" s="1"/>
      <c r="L20" s="13"/>
      <c r="M20" s="13"/>
    </row>
    <row r="21" spans="1:13" x14ac:dyDescent="0.2">
      <c r="A21" s="9">
        <f t="shared" si="0"/>
        <v>12</v>
      </c>
      <c r="B21" s="17"/>
      <c r="C21" s="18"/>
      <c r="D21" s="16"/>
      <c r="E21" s="16"/>
      <c r="F21" s="16"/>
      <c r="G21" s="16"/>
      <c r="H21" s="16"/>
      <c r="I21" s="16"/>
      <c r="J21" s="16"/>
      <c r="K21" s="1"/>
      <c r="L21" s="13"/>
      <c r="M21" s="13"/>
    </row>
    <row r="22" spans="1:13" x14ac:dyDescent="0.2">
      <c r="A22" s="9">
        <f t="shared" si="0"/>
        <v>13</v>
      </c>
      <c r="B22" s="1"/>
      <c r="C22" s="19"/>
      <c r="D22" s="16"/>
      <c r="E22" s="16"/>
      <c r="F22" s="16"/>
      <c r="G22" s="16"/>
      <c r="H22" s="1" t="s">
        <v>18</v>
      </c>
      <c r="I22" s="1"/>
      <c r="J22" s="12">
        <f>J19</f>
        <v>153765.78</v>
      </c>
      <c r="L22" s="13"/>
      <c r="M22" s="13"/>
    </row>
    <row r="23" spans="1:13" x14ac:dyDescent="0.2">
      <c r="D23" s="24"/>
      <c r="E23" s="24"/>
      <c r="F23" s="24"/>
      <c r="G23" s="24"/>
      <c r="H23" s="24"/>
      <c r="I23" s="24"/>
      <c r="J23" s="24"/>
    </row>
    <row r="24" spans="1:13" x14ac:dyDescent="0.2">
      <c r="B24" s="1"/>
      <c r="C24" s="1"/>
      <c r="D24" s="1"/>
    </row>
  </sheetData>
  <mergeCells count="3">
    <mergeCell ref="A4:K4"/>
    <mergeCell ref="A5:K5"/>
    <mergeCell ref="A7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A3BA-B424-4AB1-9CC8-EF1D1D5AF5CB}">
  <dimension ref="A1:M24"/>
  <sheetViews>
    <sheetView workbookViewId="0">
      <selection activeCell="K1" sqref="K1"/>
    </sheetView>
  </sheetViews>
  <sheetFormatPr defaultColWidth="9.140625" defaultRowHeight="14.25" x14ac:dyDescent="0.2"/>
  <cols>
    <col min="1" max="1" width="5.28515625" style="8" customWidth="1"/>
    <col min="2" max="2" width="30.7109375" style="8" bestFit="1" customWidth="1"/>
    <col min="3" max="3" width="13.7109375" style="8" customWidth="1"/>
    <col min="4" max="6" width="11.28515625" style="8" bestFit="1" customWidth="1"/>
    <col min="7" max="7" width="12.85546875" style="8" customWidth="1"/>
    <col min="8" max="8" width="11.28515625" style="8" bestFit="1" customWidth="1"/>
    <col min="9" max="9" width="11.28515625" style="8" customWidth="1"/>
    <col min="10" max="11" width="13.7109375" style="8" customWidth="1"/>
    <col min="12" max="12" width="14" style="8" bestFit="1" customWidth="1"/>
    <col min="13" max="16384" width="9.140625" style="8"/>
  </cols>
  <sheetData>
    <row r="1" spans="1:12" s="1" customFormat="1" ht="12.75" x14ac:dyDescent="0.2">
      <c r="J1" s="2" t="s">
        <v>48</v>
      </c>
      <c r="K1" s="2"/>
    </row>
    <row r="2" spans="1:12" s="1" customFormat="1" ht="12.75" x14ac:dyDescent="0.2"/>
    <row r="3" spans="1:12" s="1" customFormat="1" ht="12.75" x14ac:dyDescent="0.2"/>
    <row r="4" spans="1:12" s="1" customFormat="1" ht="12.75" x14ac:dyDescent="0.2">
      <c r="A4" s="3" t="str">
        <f>[1]RevReq!A1</f>
        <v>TAYLOR COUNTY RECC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s="1" customFormat="1" ht="12.75" x14ac:dyDescent="0.2">
      <c r="A5" s="29" t="s">
        <v>43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s="1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s="1" customFormat="1" ht="12.75" x14ac:dyDescent="0.2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s="1" customFormat="1" ht="12.75" x14ac:dyDescent="0.2"/>
    <row r="9" spans="1:12" x14ac:dyDescent="0.2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8</v>
      </c>
      <c r="H9" s="7" t="s">
        <v>7</v>
      </c>
      <c r="I9" s="7" t="s">
        <v>10</v>
      </c>
      <c r="J9" s="7" t="s">
        <v>11</v>
      </c>
    </row>
    <row r="10" spans="1:12" x14ac:dyDescent="0.2">
      <c r="A10" s="9">
        <v>1</v>
      </c>
      <c r="B10" s="10" t="s">
        <v>12</v>
      </c>
      <c r="C10" s="11">
        <v>6900</v>
      </c>
      <c r="D10" s="11">
        <f>6000+300+300+300+300+300</f>
        <v>7500</v>
      </c>
      <c r="E10" s="11">
        <v>6600</v>
      </c>
      <c r="F10" s="11">
        <v>6600</v>
      </c>
      <c r="G10" s="11">
        <f>6000+300</f>
        <v>6300</v>
      </c>
      <c r="H10" s="11">
        <v>6600</v>
      </c>
      <c r="I10" s="11">
        <v>6000</v>
      </c>
      <c r="J10" s="12">
        <f>SUM(C10:I10)</f>
        <v>46500</v>
      </c>
      <c r="K10" s="13"/>
      <c r="L10" s="13"/>
    </row>
    <row r="11" spans="1:12" x14ac:dyDescent="0.2">
      <c r="A11" s="9">
        <f>1+A10</f>
        <v>2</v>
      </c>
      <c r="B11" s="10" t="s">
        <v>13</v>
      </c>
      <c r="C11" s="11">
        <f>600+609+229.35+454.3</f>
        <v>1892.6499999999999</v>
      </c>
      <c r="D11" s="11">
        <f>900+1104.15+1218</f>
        <v>3222.15</v>
      </c>
      <c r="E11" s="11">
        <f>600+160.63+609+212.06+449.12</f>
        <v>2030.81</v>
      </c>
      <c r="F11" s="11"/>
      <c r="G11" s="11">
        <f>600+303.35+609</f>
        <v>1512.35</v>
      </c>
      <c r="H11" s="11"/>
      <c r="I11" s="11"/>
      <c r="J11" s="12">
        <f>SUM(C11:I11)</f>
        <v>8657.9600000000009</v>
      </c>
      <c r="K11" s="13"/>
      <c r="L11" s="13"/>
    </row>
    <row r="12" spans="1:12" x14ac:dyDescent="0.2">
      <c r="A12" s="9">
        <f t="shared" ref="A12:A22" si="0">1+A11</f>
        <v>3</v>
      </c>
      <c r="B12" s="30" t="s">
        <v>44</v>
      </c>
      <c r="C12" s="11">
        <f>1200+958.51+570</f>
        <v>2728.51</v>
      </c>
      <c r="D12" s="11"/>
      <c r="E12" s="11">
        <f>570+1200+890.77</f>
        <v>2660.77</v>
      </c>
      <c r="F12" s="11">
        <f>1200+950.86+570</f>
        <v>2720.86</v>
      </c>
      <c r="G12" s="11">
        <f>570+1200+878.76</f>
        <v>2648.76</v>
      </c>
      <c r="H12" s="11"/>
      <c r="I12" s="11">
        <f>1200+872.2+570</f>
        <v>2642.2</v>
      </c>
      <c r="J12" s="12">
        <f>SUM(C12:I12)</f>
        <v>13401.100000000002</v>
      </c>
      <c r="K12" s="13"/>
      <c r="L12" s="13"/>
    </row>
    <row r="13" spans="1:12" x14ac:dyDescent="0.2">
      <c r="A13" s="9">
        <f t="shared" si="0"/>
        <v>4</v>
      </c>
      <c r="B13" s="30" t="s">
        <v>46</v>
      </c>
      <c r="C13" s="11">
        <f>537.14+1200+869.55</f>
        <v>2606.6899999999996</v>
      </c>
      <c r="D13" s="11"/>
      <c r="E13" s="11"/>
      <c r="F13" s="11"/>
      <c r="G13" s="11">
        <f>1200+843.05</f>
        <v>2043.05</v>
      </c>
      <c r="H13" s="11"/>
      <c r="I13" s="11">
        <f>900+737.29+500</f>
        <v>2137.29</v>
      </c>
      <c r="J13" s="12">
        <f>SUM(C13:I13)</f>
        <v>6787.03</v>
      </c>
      <c r="K13" s="13"/>
      <c r="L13" s="13"/>
    </row>
    <row r="14" spans="1:12" x14ac:dyDescent="0.2">
      <c r="A14" s="9">
        <f>1+A12</f>
        <v>4</v>
      </c>
      <c r="B14" s="10" t="s">
        <v>14</v>
      </c>
      <c r="C14" s="11">
        <v>300</v>
      </c>
      <c r="D14" s="11">
        <v>300</v>
      </c>
      <c r="E14" s="11">
        <f>300</f>
        <v>300</v>
      </c>
      <c r="F14" s="11">
        <v>300</v>
      </c>
      <c r="G14" s="11">
        <v>300</v>
      </c>
      <c r="H14" s="11">
        <v>300</v>
      </c>
      <c r="I14" s="11"/>
      <c r="J14" s="12">
        <f>SUM(C14:I14)</f>
        <v>1800</v>
      </c>
      <c r="K14" s="13"/>
      <c r="L14" s="13"/>
    </row>
    <row r="15" spans="1:12" x14ac:dyDescent="0.2">
      <c r="A15" s="9">
        <f t="shared" si="0"/>
        <v>5</v>
      </c>
      <c r="B15" s="10" t="s">
        <v>15</v>
      </c>
      <c r="C15" s="11">
        <f>362.92+600+32.98</f>
        <v>995.90000000000009</v>
      </c>
      <c r="D15" s="11">
        <f>600+25+184.76+216.53+225.68</f>
        <v>1251.97</v>
      </c>
      <c r="E15" s="11">
        <f>300+406.16</f>
        <v>706.16000000000008</v>
      </c>
      <c r="F15" s="11">
        <v>600</v>
      </c>
      <c r="G15" s="11">
        <f>338.92+600</f>
        <v>938.92000000000007</v>
      </c>
      <c r="H15" s="11">
        <f>600+16.96</f>
        <v>616.96</v>
      </c>
      <c r="I15" s="11">
        <f>600+19.68</f>
        <v>619.67999999999995</v>
      </c>
      <c r="J15" s="12">
        <f>SUM(C15:I15)</f>
        <v>5729.59</v>
      </c>
      <c r="K15" s="13"/>
      <c r="L15" s="13"/>
    </row>
    <row r="16" spans="1:12" x14ac:dyDescent="0.2">
      <c r="A16" s="9">
        <f t="shared" si="0"/>
        <v>6</v>
      </c>
      <c r="B16" s="10" t="s">
        <v>45</v>
      </c>
      <c r="C16" s="11">
        <v>300</v>
      </c>
      <c r="D16" s="11">
        <f>300</f>
        <v>300</v>
      </c>
      <c r="E16" s="11">
        <v>300</v>
      </c>
      <c r="F16" s="11">
        <v>300</v>
      </c>
      <c r="G16" s="11">
        <v>300</v>
      </c>
      <c r="H16" s="11">
        <v>300</v>
      </c>
      <c r="I16" s="11"/>
      <c r="J16" s="12">
        <f>SUM(C16:I16)</f>
        <v>1800</v>
      </c>
      <c r="K16" s="13"/>
      <c r="L16" s="13"/>
    </row>
    <row r="17" spans="1:13" x14ac:dyDescent="0.2">
      <c r="A17" s="9">
        <f t="shared" si="0"/>
        <v>7</v>
      </c>
      <c r="B17" s="10" t="s">
        <v>16</v>
      </c>
      <c r="C17" s="11">
        <f>600+242.59</f>
        <v>842.59</v>
      </c>
      <c r="D17" s="11"/>
      <c r="E17" s="11"/>
      <c r="F17" s="11">
        <f>600+202.08</f>
        <v>802.08</v>
      </c>
      <c r="G17" s="11">
        <f>600+242.59</f>
        <v>842.59</v>
      </c>
      <c r="H17" s="11"/>
      <c r="I17" s="11"/>
      <c r="J17" s="12">
        <f>SUM(C17:I17)</f>
        <v>2487.2600000000002</v>
      </c>
      <c r="K17" s="13"/>
      <c r="L17" s="13"/>
    </row>
    <row r="18" spans="1:13" x14ac:dyDescent="0.2">
      <c r="A18" s="9">
        <f t="shared" si="0"/>
        <v>8</v>
      </c>
      <c r="B18" s="10" t="s">
        <v>17</v>
      </c>
      <c r="C18" s="11">
        <f>28582.16+6600</f>
        <v>35182.160000000003</v>
      </c>
      <c r="D18" s="11"/>
      <c r="E18" s="11">
        <f>10364.6+3300</f>
        <v>13664.6</v>
      </c>
      <c r="F18" s="11">
        <f>10364.6+3300</f>
        <v>13664.6</v>
      </c>
      <c r="G18" s="11">
        <f>10364.6+3300</f>
        <v>13664.6</v>
      </c>
      <c r="H18" s="11"/>
      <c r="I18" s="11">
        <f>13417.9+3300</f>
        <v>16717.900000000001</v>
      </c>
      <c r="J18" s="12">
        <f>SUM(C18:I18)</f>
        <v>92893.860000000015</v>
      </c>
      <c r="K18" s="13"/>
      <c r="L18" s="13"/>
    </row>
    <row r="19" spans="1:13" x14ac:dyDescent="0.2">
      <c r="A19" s="9">
        <f t="shared" si="0"/>
        <v>9</v>
      </c>
      <c r="B19" s="1"/>
      <c r="C19" s="14">
        <f t="shared" ref="C19:I19" si="1">SUM(C10:C18)</f>
        <v>51748.5</v>
      </c>
      <c r="D19" s="14">
        <f t="shared" si="1"/>
        <v>12574.119999999999</v>
      </c>
      <c r="E19" s="14">
        <f t="shared" si="1"/>
        <v>26262.34</v>
      </c>
      <c r="F19" s="14">
        <f t="shared" si="1"/>
        <v>24987.54</v>
      </c>
      <c r="G19" s="14">
        <f t="shared" si="1"/>
        <v>28550.27</v>
      </c>
      <c r="H19" s="14">
        <f t="shared" si="1"/>
        <v>7816.96</v>
      </c>
      <c r="I19" s="14">
        <f t="shared" si="1"/>
        <v>28117.070000000003</v>
      </c>
      <c r="J19" s="15">
        <f>SUM(C19:I19)</f>
        <v>180056.8</v>
      </c>
      <c r="K19" s="13"/>
      <c r="L19" s="13"/>
    </row>
    <row r="20" spans="1:13" x14ac:dyDescent="0.2">
      <c r="A20" s="9">
        <f t="shared" si="0"/>
        <v>10</v>
      </c>
      <c r="B20" s="1"/>
      <c r="C20" s="16"/>
      <c r="D20" s="16"/>
      <c r="E20" s="16"/>
      <c r="F20" s="16"/>
      <c r="G20" s="16"/>
      <c r="H20" s="16"/>
      <c r="I20" s="16"/>
      <c r="J20" s="16"/>
      <c r="K20" s="1"/>
      <c r="L20" s="13"/>
      <c r="M20" s="13"/>
    </row>
    <row r="21" spans="1:13" x14ac:dyDescent="0.2">
      <c r="A21" s="9">
        <f t="shared" si="0"/>
        <v>11</v>
      </c>
      <c r="B21" s="17"/>
      <c r="C21" s="18"/>
      <c r="D21" s="16"/>
      <c r="E21" s="16"/>
      <c r="F21" s="16"/>
      <c r="G21" s="16"/>
      <c r="H21" s="16"/>
      <c r="I21" s="16"/>
      <c r="J21" s="16"/>
      <c r="K21" s="1"/>
      <c r="L21" s="13"/>
      <c r="M21" s="13"/>
    </row>
    <row r="22" spans="1:13" x14ac:dyDescent="0.2">
      <c r="A22" s="9">
        <f t="shared" si="0"/>
        <v>12</v>
      </c>
      <c r="B22" s="1"/>
      <c r="C22" s="19"/>
      <c r="D22" s="16"/>
      <c r="E22" s="16"/>
      <c r="F22" s="16"/>
      <c r="G22" s="16"/>
      <c r="H22" s="1" t="s">
        <v>18</v>
      </c>
      <c r="I22" s="1"/>
      <c r="J22" s="12">
        <f>J19</f>
        <v>180056.8</v>
      </c>
      <c r="L22" s="13"/>
      <c r="M22" s="13"/>
    </row>
    <row r="23" spans="1:13" x14ac:dyDescent="0.2">
      <c r="D23" s="24"/>
      <c r="E23" s="24"/>
      <c r="F23" s="24"/>
      <c r="G23" s="24"/>
      <c r="H23" s="24"/>
      <c r="I23" s="24"/>
      <c r="J23" s="24"/>
    </row>
    <row r="24" spans="1:13" x14ac:dyDescent="0.2">
      <c r="B24" s="1"/>
      <c r="C24" s="1"/>
      <c r="D24" s="1"/>
    </row>
  </sheetData>
  <mergeCells count="3">
    <mergeCell ref="A4:K4"/>
    <mergeCell ref="A5:K5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2023-07-11T12:11:20Z</dcterms:created>
  <dcterms:modified xsi:type="dcterms:W3CDTF">2023-07-11T18:20:11Z</dcterms:modified>
</cp:coreProperties>
</file>