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16-Professional Services-READY\"/>
    </mc:Choice>
  </mc:AlternateContent>
  <xr:revisionPtr revIDLastSave="0" documentId="13_ncr:1_{28DABB05-8E53-4956-B699-C63FDB730640}" xr6:coauthVersionLast="47" xr6:coauthVersionMax="47" xr10:uidLastSave="{00000000-0000-0000-0000-000000000000}"/>
  <bookViews>
    <workbookView xWindow="28680" yWindow="-120" windowWidth="29040" windowHeight="15840" xr2:uid="{A6ACB13B-1C2D-4C3E-BC7C-10F80427BD3F}"/>
  </bookViews>
  <sheets>
    <sheet name="2018" sheetId="3" r:id="rId1"/>
    <sheet name="2019" sheetId="4" r:id="rId2"/>
    <sheet name="2020" sheetId="5" r:id="rId3"/>
    <sheet name="2021" sheetId="1" r:id="rId4"/>
    <sheet name="2022" sheetId="6" r:id="rId5"/>
  </sheets>
  <definedNames>
    <definedName name="_xlnm.Print_Area" localSheetId="0">'2018'!$A$11:$C$72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4" i="3" l="1"/>
  <c r="P28" i="3"/>
  <c r="P22" i="3"/>
  <c r="P92" i="6"/>
  <c r="P63" i="5"/>
  <c r="P83" i="6"/>
  <c r="P82" i="6"/>
  <c r="P80" i="6"/>
  <c r="P78" i="6"/>
  <c r="P71" i="6"/>
  <c r="P70" i="6"/>
  <c r="P69" i="6"/>
  <c r="P68" i="6"/>
  <c r="P67" i="6"/>
  <c r="P66" i="6"/>
  <c r="P65" i="6"/>
  <c r="P64" i="6"/>
  <c r="P63" i="6"/>
  <c r="P62" i="6"/>
  <c r="P61" i="6"/>
  <c r="P59" i="6"/>
  <c r="P58" i="6"/>
  <c r="P53" i="6"/>
  <c r="P52" i="6"/>
  <c r="P50" i="6"/>
  <c r="P49" i="6"/>
  <c r="P48" i="6"/>
  <c r="P46" i="6"/>
  <c r="P54" i="5"/>
  <c r="P49" i="5"/>
  <c r="P43" i="5"/>
  <c r="P42" i="5"/>
  <c r="P41" i="5"/>
  <c r="P71" i="4"/>
  <c r="P69" i="4"/>
  <c r="P68" i="4"/>
  <c r="P66" i="4"/>
  <c r="P65" i="4"/>
  <c r="P62" i="4"/>
  <c r="P60" i="4"/>
  <c r="P58" i="4"/>
  <c r="P56" i="4"/>
  <c r="P55" i="4"/>
  <c r="P54" i="4"/>
  <c r="P52" i="4"/>
  <c r="P51" i="4"/>
  <c r="P50" i="4"/>
  <c r="P47" i="4"/>
  <c r="P46" i="4"/>
  <c r="P45" i="4"/>
  <c r="P44" i="4"/>
  <c r="P42" i="4"/>
  <c r="P41" i="4"/>
  <c r="P79" i="4" s="1"/>
  <c r="P102" i="3"/>
  <c r="P101" i="3"/>
  <c r="P100" i="3"/>
  <c r="P99" i="3"/>
  <c r="P98" i="3"/>
  <c r="P97" i="3"/>
  <c r="P96" i="3"/>
  <c r="P95" i="3"/>
  <c r="P94" i="3"/>
  <c r="P92" i="3"/>
  <c r="P91" i="3"/>
  <c r="P90" i="3"/>
  <c r="P89" i="3"/>
  <c r="P88" i="3"/>
  <c r="P85" i="3"/>
  <c r="P84" i="3"/>
  <c r="P83" i="3"/>
  <c r="P82" i="3"/>
  <c r="P80" i="3"/>
  <c r="P79" i="3"/>
  <c r="P78" i="3"/>
  <c r="P76" i="3"/>
  <c r="P75" i="3"/>
  <c r="P73" i="3"/>
  <c r="P72" i="3"/>
  <c r="P71" i="3"/>
  <c r="P70" i="3"/>
  <c r="P69" i="3"/>
  <c r="P68" i="3"/>
  <c r="P65" i="3"/>
  <c r="P64" i="3"/>
  <c r="P63" i="3"/>
  <c r="P62" i="3"/>
  <c r="P61" i="3"/>
  <c r="P60" i="3"/>
  <c r="P59" i="3"/>
  <c r="P58" i="3"/>
  <c r="P56" i="3"/>
  <c r="P55" i="3"/>
  <c r="P53" i="3"/>
  <c r="P42" i="6"/>
  <c r="P41" i="6"/>
  <c r="P40" i="6"/>
  <c r="P39" i="6"/>
  <c r="P38" i="6"/>
  <c r="P35" i="6"/>
  <c r="P34" i="6"/>
  <c r="P33" i="6"/>
  <c r="P32" i="6"/>
  <c r="P30" i="5"/>
  <c r="P28" i="5"/>
  <c r="P25" i="5"/>
  <c r="P23" i="5"/>
  <c r="P105" i="3" l="1"/>
  <c r="P110" i="3" s="1"/>
  <c r="P15" i="6"/>
  <c r="P14" i="5"/>
  <c r="P20" i="4"/>
</calcChain>
</file>

<file path=xl/sharedStrings.xml><?xml version="1.0" encoding="utf-8"?>
<sst xmlns="http://schemas.openxmlformats.org/spreadsheetml/2006/main" count="766" uniqueCount="133">
  <si>
    <t xml:space="preserve">                                                        Analysis Of Professional Services</t>
  </si>
  <si>
    <t>Vendor #</t>
  </si>
  <si>
    <t>Name</t>
  </si>
  <si>
    <t xml:space="preserve">Invoice </t>
  </si>
  <si>
    <t>Account</t>
  </si>
  <si>
    <t>Date</t>
  </si>
  <si>
    <t>CK/ACH</t>
  </si>
  <si>
    <t>Hourly Rate</t>
  </si>
  <si>
    <t>Hours</t>
  </si>
  <si>
    <t xml:space="preserve">Amount </t>
  </si>
  <si>
    <t>Description</t>
  </si>
  <si>
    <t>Item</t>
  </si>
  <si>
    <t>Frost Brown</t>
  </si>
  <si>
    <t>Legal Services - Labor</t>
  </si>
  <si>
    <t>Legal</t>
  </si>
  <si>
    <t>Robert M Spragens, Jr</t>
  </si>
  <si>
    <t>SA00000000030248</t>
  </si>
  <si>
    <t>Retainer</t>
  </si>
  <si>
    <t>SA00000000030606</t>
  </si>
  <si>
    <t>SA00000000030603</t>
  </si>
  <si>
    <t>SA00000000030604</t>
  </si>
  <si>
    <t>Spragens &amp; Higdon PSC</t>
  </si>
  <si>
    <t>SA00000000030654</t>
  </si>
  <si>
    <t>Legal Services</t>
  </si>
  <si>
    <t>Legal Services-copies</t>
  </si>
  <si>
    <t>SA00000000030741</t>
  </si>
  <si>
    <t>SA00000000030812</t>
  </si>
  <si>
    <t>SA00000000030909</t>
  </si>
  <si>
    <t>Jones, Nale &amp; Mattingly PLC</t>
  </si>
  <si>
    <t>IRS Form 990</t>
  </si>
  <si>
    <t>Accounting</t>
  </si>
  <si>
    <t>May 2021 Audit</t>
  </si>
  <si>
    <t>McLean Engineering Co</t>
  </si>
  <si>
    <t>Attachment Management</t>
  </si>
  <si>
    <t>Engineering</t>
  </si>
  <si>
    <t>Attachment Management-Travel</t>
  </si>
  <si>
    <t>Patterson &amp; Dewar Engineers</t>
  </si>
  <si>
    <t>142.00/923.00</t>
  </si>
  <si>
    <t>WOI</t>
  </si>
  <si>
    <t>WOI-Travel</t>
  </si>
  <si>
    <t>107.00/923.00</t>
  </si>
  <si>
    <t>Power System Engineering INC</t>
  </si>
  <si>
    <t>Consulting Fees</t>
  </si>
  <si>
    <t>Total Professional Services</t>
  </si>
  <si>
    <t>SA00000000028752</t>
  </si>
  <si>
    <t>RETAINER</t>
  </si>
  <si>
    <t>SA00000000029293</t>
  </si>
  <si>
    <t>SA00000000029295</t>
  </si>
  <si>
    <t>SA00000000029296</t>
  </si>
  <si>
    <t>SA0000000029297</t>
  </si>
  <si>
    <t>SA0000000029833</t>
  </si>
  <si>
    <t>SA0000000029832</t>
  </si>
  <si>
    <t>SA0000000029834</t>
  </si>
  <si>
    <t>SA0000000029835</t>
  </si>
  <si>
    <t>SA0000000030245</t>
  </si>
  <si>
    <t>SA0000000030246</t>
  </si>
  <si>
    <t>SA0000000030247</t>
  </si>
  <si>
    <t>SA000000030605</t>
  </si>
  <si>
    <t>SA000000031004</t>
  </si>
  <si>
    <t>SA000000031005</t>
  </si>
  <si>
    <t>SA000000031006</t>
  </si>
  <si>
    <t>SA0000000029393</t>
  </si>
  <si>
    <t>Legal Services- Telephone calls</t>
  </si>
  <si>
    <t>Legal Services- postage</t>
  </si>
  <si>
    <t>SA000000029575</t>
  </si>
  <si>
    <t>Legal Services- Overnight delivery</t>
  </si>
  <si>
    <t>SA000000029668</t>
  </si>
  <si>
    <t>Legal Services - Copies/postage</t>
  </si>
  <si>
    <t>SA000000029764</t>
  </si>
  <si>
    <t>Legal Services - Copies</t>
  </si>
  <si>
    <t>Legal Services - Postage</t>
  </si>
  <si>
    <t>Legal Services - Recording Fees</t>
  </si>
  <si>
    <t>SA0000000029869</t>
  </si>
  <si>
    <t>SA0000000029984</t>
  </si>
  <si>
    <t>SA0000000030098</t>
  </si>
  <si>
    <t>Legal Services-County clerk</t>
  </si>
  <si>
    <t>SA000000030288</t>
  </si>
  <si>
    <t>Legal Services - FEDEX</t>
  </si>
  <si>
    <t>SA000000030321</t>
  </si>
  <si>
    <t>SA0000000030381</t>
  </si>
  <si>
    <t>SA000000030480</t>
  </si>
  <si>
    <t>SA00000030559</t>
  </si>
  <si>
    <t>SA000000031137</t>
  </si>
  <si>
    <t>SA000000031010</t>
  </si>
  <si>
    <t>N/A</t>
  </si>
  <si>
    <t>MAY 2020- AUDIT</t>
  </si>
  <si>
    <t>NRECA PARTICIPANTS REVIEW</t>
  </si>
  <si>
    <t>131842-1</t>
  </si>
  <si>
    <t>Consulting Services</t>
  </si>
  <si>
    <t>Data Engineer Time</t>
  </si>
  <si>
    <t>Pole Attachment Specialist</t>
  </si>
  <si>
    <t>Engineering Services Manager</t>
  </si>
  <si>
    <t>Mileage Reimbursement</t>
  </si>
  <si>
    <t>Travel Expenses</t>
  </si>
  <si>
    <t>Permitting-for Windstream</t>
  </si>
  <si>
    <t>Permitting for Charter Comm</t>
  </si>
  <si>
    <t>Utilities Analyst</t>
  </si>
  <si>
    <t>WOI Travel</t>
  </si>
  <si>
    <t>CWP</t>
  </si>
  <si>
    <t>Consulting Engineer</t>
  </si>
  <si>
    <t>CWP -Engineer</t>
  </si>
  <si>
    <t>CAD Operator</t>
  </si>
  <si>
    <t>Engineer</t>
  </si>
  <si>
    <t>Project Consultant</t>
  </si>
  <si>
    <t>CWP 19-21</t>
  </si>
  <si>
    <t>KY 23 Const Cont Bid 2018</t>
  </si>
  <si>
    <t>KY23 CWP 19-21</t>
  </si>
  <si>
    <t>Project consulant</t>
  </si>
  <si>
    <t>principal engineer</t>
  </si>
  <si>
    <t>Sectionalizing Study</t>
  </si>
  <si>
    <t>Ownership Sudy</t>
  </si>
  <si>
    <t>woi</t>
  </si>
  <si>
    <t>Principal Engineer</t>
  </si>
  <si>
    <t>Engineer II</t>
  </si>
  <si>
    <t>Engineer III</t>
  </si>
  <si>
    <t>Project Coordinator</t>
  </si>
  <si>
    <t>GIS Specialist</t>
  </si>
  <si>
    <t xml:space="preserve">Engineer </t>
  </si>
  <si>
    <t>GIS Specialist II</t>
  </si>
  <si>
    <t>TAYLOR COUNTY RURAL ELECTRIC COOPERATIVE CORPORATION</t>
  </si>
  <si>
    <t>CASE NO. 2023-00147</t>
  </si>
  <si>
    <t>AG REQUEST 116 - PROFESSIONAL SERVICES</t>
  </si>
  <si>
    <t>PAGE 1</t>
  </si>
  <si>
    <t>YEAR 2018</t>
  </si>
  <si>
    <t>YEAR 2019</t>
  </si>
  <si>
    <t>PAGE 2</t>
  </si>
  <si>
    <t>YEAR 2020</t>
  </si>
  <si>
    <t>PAGE 3</t>
  </si>
  <si>
    <t>YEAR 2021</t>
  </si>
  <si>
    <t>PAGE 4</t>
  </si>
  <si>
    <t>YEAR 2022</t>
  </si>
  <si>
    <t>PAGE 5</t>
  </si>
  <si>
    <t>NOTE:  NO ADJUSTMENTS WERE MADE TO THE TEST YEAR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</si>
</sst>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64" fontId="0" fillId="0" borderId="0" xfId="0" applyNumberFormat="1"/>
    <xf numFmtId="14" fontId="0" fillId="0" borderId="0" xfId="0" applyNumberFormat="1"/>
    <xf numFmtId="39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0" fillId="2" borderId="0" xfId="0" applyNumberFormat="1" applyFill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3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2126-B5CA-4773-9F8C-38F9567551D1}">
  <sheetPr>
    <pageSetUpPr fitToPage="1"/>
  </sheetPr>
  <dimension ref="A1:S110"/>
  <sheetViews>
    <sheetView tabSelected="1" workbookViewId="0">
      <pane ySplit="9" topLeftCell="A10" activePane="bottomLeft" state="frozen"/>
      <selection pane="bottomLeft" sqref="A1:XFD8"/>
    </sheetView>
  </sheetViews>
  <sheetFormatPr defaultRowHeight="15" x14ac:dyDescent="0.25"/>
  <cols>
    <col min="3" max="3" width="24.85546875" bestFit="1" customWidth="1"/>
    <col min="4" max="4" width="17.28515625" customWidth="1"/>
    <col min="6" max="6" width="8.85546875" style="1"/>
    <col min="8" max="8" width="10.42578125" customWidth="1"/>
    <col min="12" max="12" width="8.85546875" style="2"/>
    <col min="16" max="16" width="11.7109375" style="4" customWidth="1"/>
    <col min="18" max="18" width="27.140625" bestFit="1" customWidth="1"/>
    <col min="19" max="19" width="9.85546875" bestFit="1" customWidth="1"/>
  </cols>
  <sheetData>
    <row r="1" spans="1:19" x14ac:dyDescent="0.25">
      <c r="A1" s="9" t="s">
        <v>119</v>
      </c>
      <c r="D1" s="7"/>
      <c r="E1" s="7"/>
      <c r="F1" s="7"/>
      <c r="G1" s="10"/>
      <c r="H1" s="7"/>
      <c r="I1" s="7"/>
      <c r="L1"/>
      <c r="P1"/>
      <c r="S1" t="s">
        <v>122</v>
      </c>
    </row>
    <row r="2" spans="1:19" x14ac:dyDescent="0.25">
      <c r="A2" s="9" t="s">
        <v>120</v>
      </c>
      <c r="D2" s="7"/>
      <c r="E2" s="7"/>
      <c r="F2" s="7"/>
      <c r="G2" s="6"/>
      <c r="H2" s="7"/>
      <c r="I2" s="7"/>
      <c r="L2"/>
      <c r="P2"/>
    </row>
    <row r="3" spans="1:19" x14ac:dyDescent="0.25">
      <c r="A3" s="9" t="s">
        <v>121</v>
      </c>
      <c r="D3" s="7"/>
      <c r="E3" s="7"/>
      <c r="F3" s="7"/>
      <c r="G3" s="6"/>
      <c r="H3" s="7"/>
      <c r="I3" s="7"/>
      <c r="L3"/>
      <c r="P3"/>
    </row>
    <row r="4" spans="1:19" s="9" customFormat="1" x14ac:dyDescent="0.25">
      <c r="A4" s="9" t="s">
        <v>123</v>
      </c>
      <c r="F4" s="11"/>
    </row>
    <row r="5" spans="1:19" x14ac:dyDescent="0.25">
      <c r="F5" s="5"/>
      <c r="L5"/>
      <c r="P5"/>
    </row>
    <row r="7" spans="1:19" s="9" customFormat="1" x14ac:dyDescent="0.2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9" customFormat="1" x14ac:dyDescent="0.25">
      <c r="F8" s="13"/>
      <c r="L8" s="14"/>
      <c r="P8" s="15"/>
    </row>
    <row r="9" spans="1:19" s="9" customFormat="1" x14ac:dyDescent="0.25">
      <c r="A9" s="9" t="s">
        <v>1</v>
      </c>
      <c r="C9" s="9" t="s">
        <v>2</v>
      </c>
      <c r="D9" s="9" t="s">
        <v>3</v>
      </c>
      <c r="F9" s="13" t="s">
        <v>4</v>
      </c>
      <c r="H9" s="9" t="s">
        <v>5</v>
      </c>
      <c r="J9" s="9" t="s">
        <v>6</v>
      </c>
      <c r="L9" s="14" t="s">
        <v>7</v>
      </c>
      <c r="N9" s="13" t="s">
        <v>8</v>
      </c>
      <c r="P9" s="15" t="s">
        <v>9</v>
      </c>
      <c r="R9" s="9" t="s">
        <v>10</v>
      </c>
      <c r="S9" s="9" t="s">
        <v>11</v>
      </c>
    </row>
    <row r="10" spans="1:19" x14ac:dyDescent="0.25">
      <c r="N10" s="1"/>
    </row>
    <row r="11" spans="1:19" x14ac:dyDescent="0.25">
      <c r="A11">
        <v>2007</v>
      </c>
      <c r="C11" t="s">
        <v>12</v>
      </c>
      <c r="D11">
        <v>11160280</v>
      </c>
      <c r="F11" s="1">
        <v>923</v>
      </c>
      <c r="H11" s="3">
        <v>43139</v>
      </c>
      <c r="J11">
        <v>91178</v>
      </c>
      <c r="P11" s="4">
        <v>29256.560000000001</v>
      </c>
      <c r="R11" t="s">
        <v>13</v>
      </c>
      <c r="S11" t="s">
        <v>14</v>
      </c>
    </row>
    <row r="12" spans="1:19" x14ac:dyDescent="0.25">
      <c r="D12">
        <v>11166838</v>
      </c>
      <c r="F12" s="1">
        <v>923</v>
      </c>
      <c r="H12" s="3">
        <v>43171</v>
      </c>
      <c r="J12">
        <v>91441</v>
      </c>
      <c r="P12" s="4">
        <v>4095.77</v>
      </c>
      <c r="R12" t="s">
        <v>13</v>
      </c>
      <c r="S12" t="s">
        <v>14</v>
      </c>
    </row>
    <row r="13" spans="1:19" x14ac:dyDescent="0.25">
      <c r="D13">
        <v>11173648</v>
      </c>
      <c r="F13" s="1">
        <v>923</v>
      </c>
      <c r="H13" s="3">
        <v>43203</v>
      </c>
      <c r="J13">
        <v>91659</v>
      </c>
      <c r="P13" s="4">
        <v>3932.08</v>
      </c>
      <c r="R13" t="s">
        <v>13</v>
      </c>
      <c r="S13" t="s">
        <v>14</v>
      </c>
    </row>
    <row r="14" spans="1:19" x14ac:dyDescent="0.25">
      <c r="D14">
        <v>11159237</v>
      </c>
      <c r="F14" s="1">
        <v>923</v>
      </c>
      <c r="H14" s="3">
        <v>43237</v>
      </c>
      <c r="J14">
        <v>91802</v>
      </c>
      <c r="P14" s="4">
        <v>153</v>
      </c>
      <c r="R14" t="s">
        <v>13</v>
      </c>
      <c r="S14" t="s">
        <v>14</v>
      </c>
    </row>
    <row r="15" spans="1:19" x14ac:dyDescent="0.25">
      <c r="D15">
        <v>11179807</v>
      </c>
      <c r="F15" s="1">
        <v>923</v>
      </c>
      <c r="H15" s="3">
        <v>43231</v>
      </c>
      <c r="J15">
        <v>91894</v>
      </c>
      <c r="P15" s="4">
        <v>255</v>
      </c>
      <c r="R15" t="s">
        <v>13</v>
      </c>
      <c r="S15" t="s">
        <v>14</v>
      </c>
    </row>
    <row r="16" spans="1:19" x14ac:dyDescent="0.25">
      <c r="D16">
        <v>11185585</v>
      </c>
      <c r="F16" s="1">
        <v>923</v>
      </c>
      <c r="H16" s="3">
        <v>43263</v>
      </c>
      <c r="J16">
        <v>92273</v>
      </c>
      <c r="P16" s="4">
        <v>1699.12</v>
      </c>
      <c r="R16" t="s">
        <v>13</v>
      </c>
      <c r="S16" t="s">
        <v>14</v>
      </c>
    </row>
    <row r="17" spans="1:19" x14ac:dyDescent="0.25">
      <c r="D17">
        <v>11192897</v>
      </c>
      <c r="F17" s="1">
        <v>923</v>
      </c>
      <c r="H17" s="3">
        <v>43298</v>
      </c>
      <c r="J17">
        <v>92475</v>
      </c>
      <c r="P17" s="4">
        <v>408</v>
      </c>
      <c r="R17" t="s">
        <v>13</v>
      </c>
      <c r="S17" t="s">
        <v>14</v>
      </c>
    </row>
    <row r="18" spans="1:19" x14ac:dyDescent="0.25">
      <c r="D18">
        <v>11196606</v>
      </c>
      <c r="F18" s="1">
        <v>923</v>
      </c>
      <c r="H18" s="3">
        <v>43315</v>
      </c>
      <c r="J18">
        <v>92628</v>
      </c>
      <c r="P18" s="4">
        <v>255</v>
      </c>
      <c r="R18" t="s">
        <v>13</v>
      </c>
      <c r="S18" t="s">
        <v>14</v>
      </c>
    </row>
    <row r="19" spans="1:19" x14ac:dyDescent="0.25">
      <c r="D19">
        <v>210002800</v>
      </c>
      <c r="F19" s="1">
        <v>923</v>
      </c>
      <c r="H19" s="3">
        <v>43361</v>
      </c>
      <c r="J19">
        <v>92856</v>
      </c>
      <c r="P19" s="4">
        <v>255</v>
      </c>
      <c r="R19" t="s">
        <v>13</v>
      </c>
      <c r="S19" t="s">
        <v>14</v>
      </c>
    </row>
    <row r="20" spans="1:19" x14ac:dyDescent="0.25">
      <c r="D20">
        <v>210012964</v>
      </c>
      <c r="F20" s="1">
        <v>923</v>
      </c>
      <c r="H20" s="3">
        <v>43410</v>
      </c>
      <c r="J20">
        <v>93217</v>
      </c>
      <c r="P20" s="4">
        <v>153</v>
      </c>
      <c r="R20" t="s">
        <v>13</v>
      </c>
      <c r="S20" t="s">
        <v>14</v>
      </c>
    </row>
    <row r="21" spans="1:19" x14ac:dyDescent="0.25">
      <c r="D21">
        <v>210021367</v>
      </c>
      <c r="F21" s="1">
        <v>923</v>
      </c>
      <c r="H21" s="3">
        <v>43446</v>
      </c>
      <c r="J21">
        <v>93416</v>
      </c>
      <c r="P21" s="4">
        <v>1326</v>
      </c>
      <c r="R21" t="s">
        <v>13</v>
      </c>
      <c r="S21" t="s">
        <v>14</v>
      </c>
    </row>
    <row r="22" spans="1:19" x14ac:dyDescent="0.25">
      <c r="H22" s="3"/>
      <c r="P22" s="4">
        <f>SUM(P11:P21)</f>
        <v>41788.530000000006</v>
      </c>
    </row>
    <row r="23" spans="1:19" x14ac:dyDescent="0.25">
      <c r="H23" s="3"/>
    </row>
    <row r="24" spans="1:19" x14ac:dyDescent="0.25">
      <c r="A24">
        <v>19007</v>
      </c>
      <c r="C24" t="s">
        <v>15</v>
      </c>
      <c r="D24" t="s">
        <v>44</v>
      </c>
      <c r="F24" s="1">
        <v>923</v>
      </c>
      <c r="H24" s="3">
        <v>43104</v>
      </c>
      <c r="J24">
        <v>90937</v>
      </c>
      <c r="P24" s="4">
        <v>150</v>
      </c>
      <c r="R24" t="s">
        <v>45</v>
      </c>
      <c r="S24" t="s">
        <v>14</v>
      </c>
    </row>
    <row r="25" spans="1:19" x14ac:dyDescent="0.25">
      <c r="D25" t="s">
        <v>46</v>
      </c>
      <c r="F25" s="1">
        <v>923</v>
      </c>
      <c r="H25" s="3">
        <v>43202</v>
      </c>
      <c r="J25">
        <v>91586</v>
      </c>
      <c r="P25" s="4">
        <v>150</v>
      </c>
      <c r="R25" t="s">
        <v>45</v>
      </c>
      <c r="S25" t="s">
        <v>14</v>
      </c>
    </row>
    <row r="26" spans="1:19" x14ac:dyDescent="0.25">
      <c r="D26" t="s">
        <v>47</v>
      </c>
      <c r="F26" s="1">
        <v>923</v>
      </c>
      <c r="H26" s="3">
        <v>43293</v>
      </c>
      <c r="J26">
        <v>92367</v>
      </c>
      <c r="P26" s="4">
        <v>150</v>
      </c>
      <c r="R26" t="s">
        <v>45</v>
      </c>
      <c r="S26" t="s">
        <v>14</v>
      </c>
    </row>
    <row r="27" spans="1:19" x14ac:dyDescent="0.25">
      <c r="D27" t="s">
        <v>48</v>
      </c>
      <c r="F27" s="1">
        <v>923</v>
      </c>
      <c r="H27" s="3">
        <v>43384</v>
      </c>
      <c r="J27">
        <v>92963</v>
      </c>
      <c r="P27" s="4">
        <v>150</v>
      </c>
      <c r="R27" t="s">
        <v>45</v>
      </c>
      <c r="S27" t="s">
        <v>14</v>
      </c>
    </row>
    <row r="28" spans="1:19" x14ac:dyDescent="0.25">
      <c r="H28" s="3"/>
      <c r="P28" s="4">
        <f>SUM(P24:P27)</f>
        <v>600</v>
      </c>
    </row>
    <row r="30" spans="1:19" x14ac:dyDescent="0.25">
      <c r="A30">
        <v>19015</v>
      </c>
      <c r="C30" t="s">
        <v>21</v>
      </c>
      <c r="D30" t="s">
        <v>61</v>
      </c>
      <c r="F30" s="1">
        <v>923</v>
      </c>
      <c r="H30" s="3">
        <v>43195</v>
      </c>
      <c r="J30">
        <v>91501</v>
      </c>
      <c r="L30" s="2">
        <v>170</v>
      </c>
      <c r="N30">
        <v>26.4</v>
      </c>
      <c r="P30" s="4">
        <v>4488</v>
      </c>
      <c r="R30" t="s">
        <v>13</v>
      </c>
      <c r="S30" t="s">
        <v>14</v>
      </c>
    </row>
    <row r="31" spans="1:19" x14ac:dyDescent="0.25">
      <c r="P31" s="4">
        <v>237.8</v>
      </c>
      <c r="R31" t="s">
        <v>24</v>
      </c>
      <c r="S31" t="s">
        <v>14</v>
      </c>
    </row>
    <row r="32" spans="1:19" x14ac:dyDescent="0.25">
      <c r="P32" s="4">
        <v>17.420000000000002</v>
      </c>
      <c r="R32" t="s">
        <v>63</v>
      </c>
      <c r="S32" t="s">
        <v>14</v>
      </c>
    </row>
    <row r="33" spans="1:19" x14ac:dyDescent="0.25">
      <c r="P33" s="4">
        <v>33.75</v>
      </c>
      <c r="R33" t="s">
        <v>62</v>
      </c>
      <c r="S33" t="s">
        <v>14</v>
      </c>
    </row>
    <row r="34" spans="1:19" x14ac:dyDescent="0.25">
      <c r="D34" t="s">
        <v>64</v>
      </c>
      <c r="F34" s="1">
        <v>923</v>
      </c>
      <c r="H34" s="3">
        <v>43280</v>
      </c>
      <c r="J34">
        <v>92288</v>
      </c>
      <c r="L34" s="2">
        <v>170</v>
      </c>
      <c r="N34">
        <v>55.1</v>
      </c>
      <c r="P34" s="4">
        <v>9367</v>
      </c>
      <c r="R34" t="s">
        <v>13</v>
      </c>
      <c r="S34" t="s">
        <v>14</v>
      </c>
    </row>
    <row r="35" spans="1:19" x14ac:dyDescent="0.25">
      <c r="H35" s="3"/>
      <c r="P35" s="4">
        <v>333.4</v>
      </c>
      <c r="R35" t="s">
        <v>24</v>
      </c>
      <c r="S35" t="s">
        <v>14</v>
      </c>
    </row>
    <row r="36" spans="1:19" x14ac:dyDescent="0.25">
      <c r="P36" s="4">
        <v>49.16</v>
      </c>
      <c r="R36" t="s">
        <v>65</v>
      </c>
      <c r="S36" t="s">
        <v>14</v>
      </c>
    </row>
    <row r="37" spans="1:19" x14ac:dyDescent="0.25">
      <c r="P37" s="4">
        <v>33.75</v>
      </c>
      <c r="R37" t="s">
        <v>62</v>
      </c>
      <c r="S37" t="s">
        <v>14</v>
      </c>
    </row>
    <row r="38" spans="1:19" x14ac:dyDescent="0.25">
      <c r="D38" t="s">
        <v>66</v>
      </c>
      <c r="F38" s="1">
        <v>923</v>
      </c>
      <c r="H38" s="3">
        <v>43371</v>
      </c>
      <c r="J38">
        <v>92869</v>
      </c>
      <c r="L38" s="2">
        <v>170</v>
      </c>
      <c r="N38">
        <v>9.9499999999999993</v>
      </c>
      <c r="P38" s="4">
        <v>1691.5</v>
      </c>
      <c r="R38" t="s">
        <v>13</v>
      </c>
      <c r="S38" t="s">
        <v>14</v>
      </c>
    </row>
    <row r="39" spans="1:19" x14ac:dyDescent="0.25">
      <c r="P39" s="4">
        <v>56</v>
      </c>
      <c r="R39" t="s">
        <v>67</v>
      </c>
      <c r="S39" t="s">
        <v>14</v>
      </c>
    </row>
    <row r="40" spans="1:19" x14ac:dyDescent="0.25">
      <c r="D40" t="s">
        <v>68</v>
      </c>
      <c r="F40" s="1">
        <v>923</v>
      </c>
      <c r="H40" s="3">
        <v>43462</v>
      </c>
      <c r="J40">
        <v>93477</v>
      </c>
      <c r="L40" s="2">
        <v>170</v>
      </c>
      <c r="N40">
        <v>27.4</v>
      </c>
      <c r="P40" s="4">
        <v>4658</v>
      </c>
      <c r="R40" t="s">
        <v>13</v>
      </c>
      <c r="S40" t="s">
        <v>14</v>
      </c>
    </row>
    <row r="41" spans="1:19" x14ac:dyDescent="0.25">
      <c r="P41" s="4">
        <v>27.45</v>
      </c>
      <c r="R41" t="s">
        <v>69</v>
      </c>
      <c r="S41" t="s">
        <v>14</v>
      </c>
    </row>
    <row r="42" spans="1:19" x14ac:dyDescent="0.25">
      <c r="P42" s="4">
        <v>22.32</v>
      </c>
      <c r="R42" t="s">
        <v>70</v>
      </c>
      <c r="S42" t="s">
        <v>14</v>
      </c>
    </row>
    <row r="43" spans="1:19" x14ac:dyDescent="0.25">
      <c r="P43" s="4">
        <v>396</v>
      </c>
      <c r="R43" t="s">
        <v>71</v>
      </c>
      <c r="S43" t="s">
        <v>14</v>
      </c>
    </row>
    <row r="44" spans="1:19" x14ac:dyDescent="0.25">
      <c r="P44" s="4">
        <f>SUM(P30:P43)</f>
        <v>21411.55</v>
      </c>
    </row>
    <row r="46" spans="1:19" x14ac:dyDescent="0.25">
      <c r="A46">
        <v>10035</v>
      </c>
      <c r="C46" t="s">
        <v>28</v>
      </c>
      <c r="D46" t="s">
        <v>84</v>
      </c>
    </row>
    <row r="48" spans="1:19" x14ac:dyDescent="0.25">
      <c r="A48">
        <v>13064</v>
      </c>
      <c r="C48" t="s">
        <v>32</v>
      </c>
      <c r="D48" t="s">
        <v>84</v>
      </c>
    </row>
    <row r="50" spans="1:19" x14ac:dyDescent="0.25">
      <c r="A50">
        <v>16001</v>
      </c>
      <c r="C50" t="s">
        <v>36</v>
      </c>
      <c r="D50">
        <v>43446</v>
      </c>
      <c r="F50" s="1">
        <v>923</v>
      </c>
      <c r="H50" s="3">
        <v>43131</v>
      </c>
      <c r="J50">
        <v>91094</v>
      </c>
      <c r="P50" s="4">
        <v>96</v>
      </c>
      <c r="R50" t="s">
        <v>17</v>
      </c>
      <c r="S50" t="s">
        <v>34</v>
      </c>
    </row>
    <row r="51" spans="1:19" x14ac:dyDescent="0.25">
      <c r="D51">
        <v>43742</v>
      </c>
      <c r="F51" s="1">
        <v>923</v>
      </c>
      <c r="H51" s="3">
        <v>43131</v>
      </c>
      <c r="J51">
        <v>91191</v>
      </c>
      <c r="P51" s="4">
        <v>1024</v>
      </c>
      <c r="R51" t="s">
        <v>17</v>
      </c>
      <c r="S51" t="s">
        <v>34</v>
      </c>
    </row>
    <row r="52" spans="1:19" x14ac:dyDescent="0.25">
      <c r="D52">
        <v>44085</v>
      </c>
      <c r="F52" s="1">
        <v>923</v>
      </c>
      <c r="H52" s="3">
        <v>43159</v>
      </c>
      <c r="J52">
        <v>91392</v>
      </c>
      <c r="P52" s="4">
        <v>1024</v>
      </c>
      <c r="R52" t="s">
        <v>17</v>
      </c>
      <c r="S52" t="s">
        <v>34</v>
      </c>
    </row>
    <row r="53" spans="1:19" x14ac:dyDescent="0.25">
      <c r="D53">
        <v>44161</v>
      </c>
      <c r="F53" s="1">
        <v>107</v>
      </c>
      <c r="H53" s="3">
        <v>43159</v>
      </c>
      <c r="L53" s="2">
        <v>175</v>
      </c>
      <c r="N53">
        <v>30.5</v>
      </c>
      <c r="P53" s="4">
        <f>175*30.5</f>
        <v>5337.5</v>
      </c>
      <c r="R53" t="s">
        <v>38</v>
      </c>
      <c r="S53" t="s">
        <v>34</v>
      </c>
    </row>
    <row r="54" spans="1:19" x14ac:dyDescent="0.25">
      <c r="P54" s="4">
        <v>113.67</v>
      </c>
      <c r="R54" t="s">
        <v>97</v>
      </c>
      <c r="S54" t="s">
        <v>34</v>
      </c>
    </row>
    <row r="55" spans="1:19" x14ac:dyDescent="0.25">
      <c r="D55">
        <v>44162</v>
      </c>
      <c r="F55" s="1">
        <v>588</v>
      </c>
      <c r="H55" s="3">
        <v>43159</v>
      </c>
      <c r="L55" s="2">
        <v>175</v>
      </c>
      <c r="N55">
        <v>10</v>
      </c>
      <c r="P55" s="4">
        <f>10*175</f>
        <v>1750</v>
      </c>
      <c r="R55" t="s">
        <v>98</v>
      </c>
      <c r="S55" t="s">
        <v>34</v>
      </c>
    </row>
    <row r="56" spans="1:19" x14ac:dyDescent="0.25">
      <c r="D56">
        <v>44163</v>
      </c>
      <c r="F56" s="1">
        <v>923</v>
      </c>
      <c r="H56" s="3">
        <v>43159</v>
      </c>
      <c r="L56" s="2">
        <v>175</v>
      </c>
      <c r="N56">
        <v>11</v>
      </c>
      <c r="P56" s="4">
        <f>11*175</f>
        <v>1925</v>
      </c>
      <c r="R56" t="s">
        <v>99</v>
      </c>
      <c r="S56" t="s">
        <v>34</v>
      </c>
    </row>
    <row r="57" spans="1:19" x14ac:dyDescent="0.25">
      <c r="D57">
        <v>44438</v>
      </c>
      <c r="F57" s="1">
        <v>923</v>
      </c>
      <c r="H57" s="3">
        <v>43190</v>
      </c>
      <c r="J57">
        <v>91619</v>
      </c>
      <c r="P57" s="4">
        <v>1024</v>
      </c>
      <c r="R57" t="s">
        <v>17</v>
      </c>
      <c r="S57" t="s">
        <v>34</v>
      </c>
    </row>
    <row r="58" spans="1:19" x14ac:dyDescent="0.25">
      <c r="D58">
        <v>44562</v>
      </c>
      <c r="F58" s="1">
        <v>588</v>
      </c>
      <c r="H58" s="3">
        <v>43190</v>
      </c>
      <c r="L58" s="2">
        <v>195</v>
      </c>
      <c r="N58">
        <v>11</v>
      </c>
      <c r="P58" s="4">
        <f>11*195</f>
        <v>2145</v>
      </c>
      <c r="R58" t="s">
        <v>100</v>
      </c>
      <c r="S58" t="s">
        <v>34</v>
      </c>
    </row>
    <row r="59" spans="1:19" x14ac:dyDescent="0.25">
      <c r="L59" s="2">
        <v>116</v>
      </c>
      <c r="N59">
        <v>5</v>
      </c>
      <c r="P59" s="4">
        <f>5*116</f>
        <v>580</v>
      </c>
      <c r="R59" t="s">
        <v>101</v>
      </c>
      <c r="S59" t="s">
        <v>34</v>
      </c>
    </row>
    <row r="60" spans="1:19" x14ac:dyDescent="0.25">
      <c r="L60" s="2">
        <v>175</v>
      </c>
      <c r="N60">
        <v>22</v>
      </c>
      <c r="P60" s="4">
        <f>22*175</f>
        <v>3850</v>
      </c>
      <c r="R60" t="s">
        <v>99</v>
      </c>
      <c r="S60" t="s">
        <v>34</v>
      </c>
    </row>
    <row r="61" spans="1:19" x14ac:dyDescent="0.25">
      <c r="D61">
        <v>44563</v>
      </c>
      <c r="F61" s="1">
        <v>923</v>
      </c>
      <c r="H61" s="3">
        <v>43190</v>
      </c>
      <c r="L61" s="2">
        <v>175</v>
      </c>
      <c r="N61">
        <v>2.5</v>
      </c>
      <c r="P61" s="4">
        <f>2.5*175</f>
        <v>437.5</v>
      </c>
      <c r="R61" t="s">
        <v>99</v>
      </c>
      <c r="S61" t="s">
        <v>34</v>
      </c>
    </row>
    <row r="62" spans="1:19" x14ac:dyDescent="0.25">
      <c r="D62">
        <v>44830</v>
      </c>
      <c r="F62" s="1">
        <v>588</v>
      </c>
      <c r="H62" s="3">
        <v>43221</v>
      </c>
      <c r="J62">
        <v>91883</v>
      </c>
      <c r="L62" s="2">
        <v>103</v>
      </c>
      <c r="N62">
        <v>3</v>
      </c>
      <c r="P62" s="4">
        <f>3*103</f>
        <v>309</v>
      </c>
      <c r="R62" t="s">
        <v>101</v>
      </c>
      <c r="S62" t="s">
        <v>34</v>
      </c>
    </row>
    <row r="63" spans="1:19" x14ac:dyDescent="0.25">
      <c r="L63" s="2">
        <v>116</v>
      </c>
      <c r="N63">
        <v>13</v>
      </c>
      <c r="P63" s="4">
        <f>13*116</f>
        <v>1508</v>
      </c>
      <c r="R63" t="s">
        <v>101</v>
      </c>
      <c r="S63" t="s">
        <v>34</v>
      </c>
    </row>
    <row r="64" spans="1:19" x14ac:dyDescent="0.25">
      <c r="L64" s="2">
        <v>175</v>
      </c>
      <c r="N64">
        <v>6</v>
      </c>
      <c r="P64" s="4">
        <f>6*175</f>
        <v>1050</v>
      </c>
      <c r="R64" t="s">
        <v>99</v>
      </c>
      <c r="S64" t="s">
        <v>34</v>
      </c>
    </row>
    <row r="65" spans="1:19" x14ac:dyDescent="0.25">
      <c r="D65">
        <v>44831</v>
      </c>
      <c r="F65" s="1">
        <v>923</v>
      </c>
      <c r="H65" s="3">
        <v>43221</v>
      </c>
      <c r="L65" s="2">
        <v>175</v>
      </c>
      <c r="N65">
        <v>17</v>
      </c>
      <c r="P65" s="4">
        <f>17*175</f>
        <v>2975</v>
      </c>
      <c r="R65" t="s">
        <v>99</v>
      </c>
      <c r="S65" t="s">
        <v>34</v>
      </c>
    </row>
    <row r="66" spans="1:19" x14ac:dyDescent="0.25">
      <c r="D66">
        <v>44858</v>
      </c>
      <c r="F66" s="1">
        <v>923</v>
      </c>
      <c r="H66" s="3">
        <v>43221</v>
      </c>
      <c r="P66" s="4">
        <v>1024</v>
      </c>
      <c r="R66" t="s">
        <v>17</v>
      </c>
      <c r="S66" t="s">
        <v>34</v>
      </c>
    </row>
    <row r="67" spans="1:19" x14ac:dyDescent="0.25">
      <c r="D67">
        <v>45186</v>
      </c>
      <c r="F67" s="1">
        <v>923</v>
      </c>
      <c r="H67" s="3">
        <v>43251</v>
      </c>
      <c r="J67">
        <v>92197</v>
      </c>
      <c r="P67" s="4">
        <v>1024</v>
      </c>
      <c r="R67" t="s">
        <v>17</v>
      </c>
      <c r="S67" t="s">
        <v>34</v>
      </c>
    </row>
    <row r="68" spans="1:19" x14ac:dyDescent="0.25">
      <c r="D68">
        <v>45149</v>
      </c>
      <c r="F68" s="1">
        <v>588</v>
      </c>
      <c r="H68" s="3">
        <v>43251</v>
      </c>
      <c r="L68" s="2">
        <v>186</v>
      </c>
      <c r="N68">
        <v>0.5</v>
      </c>
      <c r="P68" s="4">
        <f>0.5*186</f>
        <v>93</v>
      </c>
      <c r="R68" t="s">
        <v>102</v>
      </c>
      <c r="S68" t="s">
        <v>34</v>
      </c>
    </row>
    <row r="69" spans="1:19" x14ac:dyDescent="0.25">
      <c r="L69" s="2">
        <v>195</v>
      </c>
      <c r="N69">
        <v>15.5</v>
      </c>
      <c r="P69" s="4">
        <f>15.5*195</f>
        <v>3022.5</v>
      </c>
      <c r="R69" t="s">
        <v>102</v>
      </c>
      <c r="S69" t="s">
        <v>34</v>
      </c>
    </row>
    <row r="70" spans="1:19" x14ac:dyDescent="0.25">
      <c r="A70">
        <v>16073</v>
      </c>
      <c r="L70" s="2">
        <v>116</v>
      </c>
      <c r="N70">
        <v>6</v>
      </c>
      <c r="P70" s="4">
        <f>6*116</f>
        <v>696</v>
      </c>
      <c r="R70" t="s">
        <v>101</v>
      </c>
      <c r="S70" t="s">
        <v>34</v>
      </c>
    </row>
    <row r="71" spans="1:19" x14ac:dyDescent="0.25">
      <c r="L71" s="2">
        <v>175</v>
      </c>
      <c r="N71">
        <v>10.5</v>
      </c>
      <c r="P71" s="4">
        <f>175*10.5</f>
        <v>1837.5</v>
      </c>
      <c r="R71" t="s">
        <v>104</v>
      </c>
      <c r="S71" t="s">
        <v>34</v>
      </c>
    </row>
    <row r="72" spans="1:19" x14ac:dyDescent="0.25">
      <c r="D72">
        <v>45148</v>
      </c>
      <c r="F72" s="1">
        <v>107</v>
      </c>
      <c r="H72" s="3">
        <v>43251</v>
      </c>
      <c r="L72" s="2">
        <v>175</v>
      </c>
      <c r="N72">
        <v>33</v>
      </c>
      <c r="P72" s="4">
        <f>33*175</f>
        <v>5775</v>
      </c>
      <c r="R72" t="s">
        <v>38</v>
      </c>
      <c r="S72" t="s">
        <v>34</v>
      </c>
    </row>
    <row r="73" spans="1:19" x14ac:dyDescent="0.25">
      <c r="D73">
        <v>45150</v>
      </c>
      <c r="F73" s="1">
        <v>923</v>
      </c>
      <c r="H73" s="3">
        <v>43251</v>
      </c>
      <c r="L73" s="2">
        <v>175</v>
      </c>
      <c r="N73">
        <v>34</v>
      </c>
      <c r="P73" s="4">
        <f>34*175</f>
        <v>5950</v>
      </c>
      <c r="R73" t="s">
        <v>105</v>
      </c>
      <c r="S73" t="s">
        <v>34</v>
      </c>
    </row>
    <row r="74" spans="1:19" x14ac:dyDescent="0.25">
      <c r="D74">
        <v>45605</v>
      </c>
      <c r="F74" s="1">
        <v>923</v>
      </c>
      <c r="H74" s="3">
        <v>43281</v>
      </c>
      <c r="J74">
        <v>92482</v>
      </c>
      <c r="P74" s="4">
        <v>1024</v>
      </c>
      <c r="R74" t="s">
        <v>17</v>
      </c>
      <c r="S74" t="s">
        <v>34</v>
      </c>
    </row>
    <row r="75" spans="1:19" x14ac:dyDescent="0.25">
      <c r="D75">
        <v>45683</v>
      </c>
      <c r="F75" s="1">
        <v>588</v>
      </c>
      <c r="H75" s="3">
        <v>43281</v>
      </c>
      <c r="L75" s="2">
        <v>175</v>
      </c>
      <c r="N75">
        <v>8</v>
      </c>
      <c r="P75" s="4">
        <f>8*175</f>
        <v>1400</v>
      </c>
      <c r="R75" t="s">
        <v>106</v>
      </c>
      <c r="S75" t="s">
        <v>34</v>
      </c>
    </row>
    <row r="76" spans="1:19" x14ac:dyDescent="0.25">
      <c r="D76">
        <v>45684</v>
      </c>
      <c r="F76" s="1">
        <v>923</v>
      </c>
      <c r="H76" s="3">
        <v>43281</v>
      </c>
      <c r="L76" s="2">
        <v>175</v>
      </c>
      <c r="N76">
        <v>15.5</v>
      </c>
      <c r="P76" s="4">
        <f>15.5*175</f>
        <v>2712.5</v>
      </c>
      <c r="R76" t="s">
        <v>105</v>
      </c>
      <c r="S76" t="s">
        <v>34</v>
      </c>
    </row>
    <row r="77" spans="1:19" x14ac:dyDescent="0.25">
      <c r="D77">
        <v>45998</v>
      </c>
      <c r="F77" s="1">
        <v>923</v>
      </c>
      <c r="H77" s="3">
        <v>43312</v>
      </c>
      <c r="J77">
        <v>92640</v>
      </c>
      <c r="P77" s="4">
        <v>1024</v>
      </c>
      <c r="R77" t="s">
        <v>17</v>
      </c>
      <c r="S77" t="s">
        <v>34</v>
      </c>
    </row>
    <row r="78" spans="1:19" x14ac:dyDescent="0.25">
      <c r="D78">
        <v>46085</v>
      </c>
      <c r="F78" s="1">
        <v>588</v>
      </c>
      <c r="H78" s="3">
        <v>43312</v>
      </c>
      <c r="L78" s="2">
        <v>175</v>
      </c>
      <c r="N78">
        <v>9.5</v>
      </c>
      <c r="P78" s="4">
        <f>9.5*175</f>
        <v>1662.5</v>
      </c>
      <c r="R78" t="s">
        <v>106</v>
      </c>
      <c r="S78" t="s">
        <v>34</v>
      </c>
    </row>
    <row r="79" spans="1:19" x14ac:dyDescent="0.25">
      <c r="D79">
        <v>46086</v>
      </c>
      <c r="F79" s="1">
        <v>923</v>
      </c>
      <c r="H79" s="3">
        <v>43312</v>
      </c>
      <c r="L79" s="2">
        <v>175</v>
      </c>
      <c r="N79">
        <v>18</v>
      </c>
      <c r="P79" s="4">
        <f>18*175</f>
        <v>3150</v>
      </c>
      <c r="R79" t="s">
        <v>105</v>
      </c>
      <c r="S79" t="s">
        <v>34</v>
      </c>
    </row>
    <row r="80" spans="1:19" x14ac:dyDescent="0.25">
      <c r="D80">
        <v>46273</v>
      </c>
      <c r="F80" s="1">
        <v>923</v>
      </c>
      <c r="H80" s="3">
        <v>43344</v>
      </c>
      <c r="J80">
        <v>92864</v>
      </c>
      <c r="L80" s="2">
        <v>175</v>
      </c>
      <c r="N80">
        <v>32</v>
      </c>
      <c r="P80" s="4">
        <f>32*175</f>
        <v>5600</v>
      </c>
      <c r="R80" t="s">
        <v>38</v>
      </c>
      <c r="S80" t="s">
        <v>34</v>
      </c>
    </row>
    <row r="81" spans="4:19" x14ac:dyDescent="0.25">
      <c r="P81" s="4">
        <v>115.42</v>
      </c>
      <c r="R81" t="s">
        <v>97</v>
      </c>
      <c r="S81" t="s">
        <v>34</v>
      </c>
    </row>
    <row r="82" spans="4:19" x14ac:dyDescent="0.25">
      <c r="D82">
        <v>46351</v>
      </c>
      <c r="F82" s="1">
        <v>588</v>
      </c>
      <c r="H82" s="3">
        <v>43344</v>
      </c>
      <c r="L82" s="2">
        <v>195</v>
      </c>
      <c r="N82">
        <v>4.5</v>
      </c>
      <c r="P82" s="4">
        <f>4.5*195</f>
        <v>877.5</v>
      </c>
      <c r="R82" t="s">
        <v>102</v>
      </c>
      <c r="S82" t="s">
        <v>34</v>
      </c>
    </row>
    <row r="83" spans="4:19" x14ac:dyDescent="0.25">
      <c r="L83" s="2">
        <v>103</v>
      </c>
      <c r="N83">
        <v>2</v>
      </c>
      <c r="P83" s="4">
        <f>2*103</f>
        <v>206</v>
      </c>
      <c r="R83" t="s">
        <v>101</v>
      </c>
      <c r="S83" t="s">
        <v>34</v>
      </c>
    </row>
    <row r="84" spans="4:19" x14ac:dyDescent="0.25">
      <c r="L84" s="2">
        <v>116</v>
      </c>
      <c r="N84">
        <v>2</v>
      </c>
      <c r="P84" s="4">
        <f>2*116</f>
        <v>232</v>
      </c>
      <c r="R84" t="s">
        <v>101</v>
      </c>
      <c r="S84" t="s">
        <v>34</v>
      </c>
    </row>
    <row r="85" spans="4:19" x14ac:dyDescent="0.25">
      <c r="L85" s="2">
        <v>175</v>
      </c>
      <c r="N85">
        <v>67.5</v>
      </c>
      <c r="P85" s="4">
        <f>67.5*175</f>
        <v>11812.5</v>
      </c>
      <c r="R85" t="s">
        <v>107</v>
      </c>
      <c r="S85" t="s">
        <v>34</v>
      </c>
    </row>
    <row r="86" spans="4:19" x14ac:dyDescent="0.25">
      <c r="D86">
        <v>46273</v>
      </c>
      <c r="F86" s="1">
        <v>923</v>
      </c>
      <c r="H86" s="3">
        <v>43344</v>
      </c>
      <c r="P86" s="4">
        <v>1024</v>
      </c>
      <c r="R86" t="s">
        <v>17</v>
      </c>
      <c r="S86" t="s">
        <v>34</v>
      </c>
    </row>
    <row r="87" spans="4:19" x14ac:dyDescent="0.25">
      <c r="D87">
        <v>46701</v>
      </c>
      <c r="F87" s="1">
        <v>923</v>
      </c>
      <c r="H87" s="3">
        <v>43373</v>
      </c>
      <c r="J87">
        <v>93001</v>
      </c>
      <c r="P87" s="4">
        <v>1024</v>
      </c>
      <c r="R87" t="s">
        <v>17</v>
      </c>
      <c r="S87" t="s">
        <v>34</v>
      </c>
    </row>
    <row r="88" spans="4:19" x14ac:dyDescent="0.25">
      <c r="D88">
        <v>46767</v>
      </c>
      <c r="F88" s="1">
        <v>183</v>
      </c>
      <c r="H88" s="3">
        <v>43373</v>
      </c>
      <c r="L88" s="2">
        <v>186</v>
      </c>
      <c r="N88">
        <v>1</v>
      </c>
      <c r="P88" s="4">
        <f>1*186</f>
        <v>186</v>
      </c>
      <c r="R88" t="s">
        <v>108</v>
      </c>
      <c r="S88" t="s">
        <v>34</v>
      </c>
    </row>
    <row r="89" spans="4:19" x14ac:dyDescent="0.25">
      <c r="H89" s="3"/>
      <c r="L89" s="2">
        <v>195</v>
      </c>
      <c r="N89">
        <v>0.5</v>
      </c>
      <c r="P89" s="4">
        <f>0.5*195</f>
        <v>97.5</v>
      </c>
      <c r="R89" t="s">
        <v>108</v>
      </c>
      <c r="S89" t="s">
        <v>34</v>
      </c>
    </row>
    <row r="90" spans="4:19" x14ac:dyDescent="0.25">
      <c r="L90" s="2">
        <v>103</v>
      </c>
      <c r="N90">
        <v>36.5</v>
      </c>
      <c r="P90" s="4">
        <f>36.5*103</f>
        <v>3759.5</v>
      </c>
      <c r="R90" t="s">
        <v>101</v>
      </c>
      <c r="S90" t="s">
        <v>34</v>
      </c>
    </row>
    <row r="91" spans="4:19" x14ac:dyDescent="0.25">
      <c r="L91" s="2">
        <v>116</v>
      </c>
      <c r="N91">
        <v>6</v>
      </c>
      <c r="P91" s="4">
        <f>6*116</f>
        <v>696</v>
      </c>
      <c r="R91" t="s">
        <v>101</v>
      </c>
      <c r="S91" t="s">
        <v>34</v>
      </c>
    </row>
    <row r="92" spans="4:19" x14ac:dyDescent="0.25">
      <c r="L92" s="2">
        <v>175</v>
      </c>
      <c r="N92">
        <v>76.5</v>
      </c>
      <c r="P92" s="4">
        <f>175*76.5</f>
        <v>13387.5</v>
      </c>
      <c r="R92" t="s">
        <v>107</v>
      </c>
      <c r="S92" t="s">
        <v>34</v>
      </c>
    </row>
    <row r="93" spans="4:19" x14ac:dyDescent="0.25">
      <c r="D93">
        <v>47070</v>
      </c>
      <c r="F93" s="1">
        <v>923</v>
      </c>
      <c r="H93" s="3">
        <v>43404</v>
      </c>
      <c r="J93">
        <v>93193</v>
      </c>
      <c r="P93" s="4">
        <v>1024</v>
      </c>
      <c r="R93" t="s">
        <v>17</v>
      </c>
      <c r="S93" t="s">
        <v>34</v>
      </c>
    </row>
    <row r="94" spans="4:19" x14ac:dyDescent="0.25">
      <c r="D94">
        <v>47146</v>
      </c>
      <c r="F94" s="1">
        <v>183</v>
      </c>
      <c r="H94" s="3">
        <v>43404</v>
      </c>
      <c r="L94" s="2">
        <v>195</v>
      </c>
      <c r="N94">
        <v>25.5</v>
      </c>
      <c r="P94" s="4">
        <f>25.5*195</f>
        <v>4972.5</v>
      </c>
      <c r="R94" t="s">
        <v>108</v>
      </c>
      <c r="S94" t="s">
        <v>34</v>
      </c>
    </row>
    <row r="95" spans="4:19" x14ac:dyDescent="0.25">
      <c r="L95" s="2">
        <v>103</v>
      </c>
      <c r="N95">
        <v>1</v>
      </c>
      <c r="P95" s="4">
        <f>1*103</f>
        <v>103</v>
      </c>
      <c r="R95" t="s">
        <v>101</v>
      </c>
      <c r="S95" t="s">
        <v>34</v>
      </c>
    </row>
    <row r="96" spans="4:19" x14ac:dyDescent="0.25">
      <c r="L96" s="2">
        <v>116</v>
      </c>
      <c r="N96">
        <v>20</v>
      </c>
      <c r="P96" s="4">
        <f>20*116</f>
        <v>2320</v>
      </c>
      <c r="R96" t="s">
        <v>101</v>
      </c>
      <c r="S96" t="s">
        <v>34</v>
      </c>
    </row>
    <row r="97" spans="3:19" x14ac:dyDescent="0.25">
      <c r="L97" s="2">
        <v>175</v>
      </c>
      <c r="N97">
        <v>47.5</v>
      </c>
      <c r="P97" s="4">
        <f>47.5*175</f>
        <v>8312.5</v>
      </c>
      <c r="R97" t="s">
        <v>107</v>
      </c>
      <c r="S97" t="s">
        <v>34</v>
      </c>
    </row>
    <row r="98" spans="3:19" x14ac:dyDescent="0.25">
      <c r="D98">
        <v>47480</v>
      </c>
      <c r="F98" s="1">
        <v>183</v>
      </c>
      <c r="H98" s="3">
        <v>43435</v>
      </c>
      <c r="J98">
        <v>93438</v>
      </c>
      <c r="L98" s="2">
        <v>195</v>
      </c>
      <c r="N98">
        <v>5</v>
      </c>
      <c r="P98" s="4">
        <f>5*195</f>
        <v>975</v>
      </c>
      <c r="R98" t="s">
        <v>108</v>
      </c>
      <c r="S98" t="s">
        <v>34</v>
      </c>
    </row>
    <row r="99" spans="3:19" x14ac:dyDescent="0.25">
      <c r="L99" s="2">
        <v>105</v>
      </c>
      <c r="N99">
        <v>2</v>
      </c>
      <c r="P99" s="4">
        <f>2*105</f>
        <v>210</v>
      </c>
      <c r="R99" t="s">
        <v>107</v>
      </c>
      <c r="S99" t="s">
        <v>34</v>
      </c>
    </row>
    <row r="100" spans="3:19" x14ac:dyDescent="0.25">
      <c r="L100" s="2">
        <v>116</v>
      </c>
      <c r="N100">
        <v>1.5</v>
      </c>
      <c r="P100" s="4">
        <f>1.5*116</f>
        <v>174</v>
      </c>
      <c r="R100" t="s">
        <v>101</v>
      </c>
      <c r="S100" t="s">
        <v>34</v>
      </c>
    </row>
    <row r="101" spans="3:19" x14ac:dyDescent="0.25">
      <c r="L101" s="2">
        <v>175</v>
      </c>
      <c r="N101">
        <v>13</v>
      </c>
      <c r="P101" s="4">
        <f>13*175</f>
        <v>2275</v>
      </c>
      <c r="R101" t="s">
        <v>107</v>
      </c>
      <c r="S101" t="s">
        <v>34</v>
      </c>
    </row>
    <row r="102" spans="3:19" x14ac:dyDescent="0.25">
      <c r="D102">
        <v>47590</v>
      </c>
      <c r="F102" s="1">
        <v>107</v>
      </c>
      <c r="H102" s="3">
        <v>43435</v>
      </c>
      <c r="L102" s="2">
        <v>175</v>
      </c>
      <c r="N102">
        <v>32.5</v>
      </c>
      <c r="P102" s="4">
        <f>32.5*175</f>
        <v>5687.5</v>
      </c>
      <c r="R102" t="s">
        <v>38</v>
      </c>
      <c r="S102" t="s">
        <v>34</v>
      </c>
    </row>
    <row r="103" spans="3:19" x14ac:dyDescent="0.25">
      <c r="D103">
        <v>47589</v>
      </c>
      <c r="F103" s="1">
        <v>107</v>
      </c>
      <c r="H103" s="3">
        <v>43435</v>
      </c>
      <c r="P103" s="4">
        <v>101.89</v>
      </c>
      <c r="R103" t="s">
        <v>38</v>
      </c>
      <c r="S103" t="s">
        <v>34</v>
      </c>
    </row>
    <row r="104" spans="3:19" x14ac:dyDescent="0.25">
      <c r="D104">
        <v>47480</v>
      </c>
      <c r="F104" s="1">
        <v>923</v>
      </c>
      <c r="H104" s="3">
        <v>43435</v>
      </c>
      <c r="P104" s="4">
        <v>1024</v>
      </c>
      <c r="R104" t="s">
        <v>17</v>
      </c>
      <c r="S104" t="s">
        <v>34</v>
      </c>
    </row>
    <row r="105" spans="3:19" x14ac:dyDescent="0.25">
      <c r="P105" s="4">
        <f>SUM(P50:P104)</f>
        <v>121740.98</v>
      </c>
      <c r="S105" t="s">
        <v>34</v>
      </c>
    </row>
    <row r="107" spans="3:19" x14ac:dyDescent="0.25">
      <c r="C107" t="s">
        <v>41</v>
      </c>
      <c r="D107" s="7" t="s">
        <v>84</v>
      </c>
    </row>
    <row r="110" spans="3:19" x14ac:dyDescent="0.25">
      <c r="C110" t="s">
        <v>43</v>
      </c>
      <c r="P110" s="4">
        <f>P22+P28+P44+P105</f>
        <v>185541.06</v>
      </c>
    </row>
  </sheetData>
  <mergeCells count="1">
    <mergeCell ref="A7:S7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58E47-37F7-4050-9DCC-95DE07BA9163}">
  <dimension ref="A1:S79"/>
  <sheetViews>
    <sheetView workbookViewId="0">
      <pane ySplit="9" topLeftCell="A10" activePane="bottomLeft" state="frozen"/>
      <selection pane="bottomLeft" sqref="A1:XFD8"/>
    </sheetView>
  </sheetViews>
  <sheetFormatPr defaultRowHeight="15" x14ac:dyDescent="0.25"/>
  <cols>
    <col min="3" max="3" width="24.85546875" bestFit="1" customWidth="1"/>
    <col min="4" max="4" width="16" bestFit="1" customWidth="1"/>
    <col min="6" max="6" width="8.85546875" style="1"/>
    <col min="8" max="8" width="10.28515625" bestFit="1" customWidth="1"/>
    <col min="12" max="12" width="8.85546875" style="2"/>
    <col min="16" max="16" width="12.42578125" style="5" customWidth="1"/>
    <col min="18" max="18" width="27.42578125" bestFit="1" customWidth="1"/>
    <col min="19" max="19" width="9.7109375" customWidth="1"/>
  </cols>
  <sheetData>
    <row r="1" spans="1:19" x14ac:dyDescent="0.25">
      <c r="A1" s="9" t="s">
        <v>119</v>
      </c>
      <c r="D1" s="7"/>
      <c r="E1" s="7"/>
      <c r="F1" s="7"/>
      <c r="G1" s="10"/>
      <c r="H1" s="7"/>
      <c r="I1" s="7"/>
      <c r="L1"/>
      <c r="P1"/>
      <c r="S1" t="s">
        <v>125</v>
      </c>
    </row>
    <row r="2" spans="1:19" x14ac:dyDescent="0.25">
      <c r="A2" s="9" t="s">
        <v>120</v>
      </c>
      <c r="D2" s="7"/>
      <c r="E2" s="7"/>
      <c r="F2" s="7"/>
      <c r="G2" s="6"/>
      <c r="H2" s="7"/>
      <c r="I2" s="7"/>
      <c r="L2"/>
      <c r="P2"/>
    </row>
    <row r="3" spans="1:19" x14ac:dyDescent="0.25">
      <c r="A3" s="9" t="s">
        <v>121</v>
      </c>
      <c r="D3" s="7"/>
      <c r="E3" s="7"/>
      <c r="F3" s="7"/>
      <c r="G3" s="6"/>
      <c r="H3" s="7"/>
      <c r="I3" s="7"/>
      <c r="L3"/>
      <c r="P3"/>
    </row>
    <row r="4" spans="1:19" s="9" customFormat="1" x14ac:dyDescent="0.25">
      <c r="A4" s="9" t="s">
        <v>124</v>
      </c>
      <c r="F4" s="11"/>
    </row>
    <row r="5" spans="1:19" x14ac:dyDescent="0.25">
      <c r="F5" s="5"/>
      <c r="L5"/>
      <c r="P5"/>
    </row>
    <row r="6" spans="1:19" x14ac:dyDescent="0.25">
      <c r="P6" s="4"/>
    </row>
    <row r="7" spans="1:19" s="9" customFormat="1" x14ac:dyDescent="0.2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9" customFormat="1" x14ac:dyDescent="0.25">
      <c r="F8" s="13"/>
      <c r="L8" s="14"/>
      <c r="P8" s="15"/>
    </row>
    <row r="9" spans="1:19" x14ac:dyDescent="0.25">
      <c r="A9" t="s">
        <v>1</v>
      </c>
      <c r="C9" t="s">
        <v>2</v>
      </c>
      <c r="D9" t="s">
        <v>3</v>
      </c>
      <c r="F9" s="1" t="s">
        <v>4</v>
      </c>
      <c r="H9" t="s">
        <v>5</v>
      </c>
      <c r="J9" t="s">
        <v>6</v>
      </c>
      <c r="L9" s="2" t="s">
        <v>7</v>
      </c>
      <c r="N9" s="1" t="s">
        <v>8</v>
      </c>
      <c r="P9" s="5" t="s">
        <v>9</v>
      </c>
      <c r="R9" t="s">
        <v>10</v>
      </c>
      <c r="S9" t="s">
        <v>11</v>
      </c>
    </row>
    <row r="10" spans="1:19" x14ac:dyDescent="0.25">
      <c r="N10" s="1"/>
    </row>
    <row r="11" spans="1:19" x14ac:dyDescent="0.25">
      <c r="A11">
        <v>2007</v>
      </c>
      <c r="C11" t="s">
        <v>12</v>
      </c>
      <c r="D11">
        <v>210028961</v>
      </c>
      <c r="F11" s="1">
        <v>923</v>
      </c>
      <c r="H11" s="3">
        <v>43482</v>
      </c>
      <c r="J11">
        <v>93674</v>
      </c>
      <c r="P11" s="5">
        <v>765.4</v>
      </c>
      <c r="R11" t="s">
        <v>13</v>
      </c>
      <c r="S11" t="s">
        <v>14</v>
      </c>
    </row>
    <row r="12" spans="1:19" x14ac:dyDescent="0.25">
      <c r="D12">
        <v>210028968</v>
      </c>
      <c r="F12" s="1">
        <v>923</v>
      </c>
      <c r="H12" s="3">
        <v>43482</v>
      </c>
      <c r="J12">
        <v>93674</v>
      </c>
      <c r="P12" s="5">
        <v>1071</v>
      </c>
      <c r="R12" t="s">
        <v>13</v>
      </c>
      <c r="S12" t="s">
        <v>14</v>
      </c>
    </row>
    <row r="13" spans="1:19" x14ac:dyDescent="0.25">
      <c r="D13">
        <v>210034771</v>
      </c>
      <c r="F13" s="1">
        <v>923</v>
      </c>
      <c r="H13" s="3">
        <v>43524</v>
      </c>
      <c r="J13">
        <v>93833</v>
      </c>
      <c r="P13" s="5">
        <v>7045.14</v>
      </c>
      <c r="R13" t="s">
        <v>13</v>
      </c>
      <c r="S13" t="s">
        <v>14</v>
      </c>
    </row>
    <row r="14" spans="1:19" x14ac:dyDescent="0.25">
      <c r="D14">
        <v>210039303</v>
      </c>
      <c r="F14" s="1">
        <v>923</v>
      </c>
      <c r="H14" s="3">
        <v>43532</v>
      </c>
      <c r="J14">
        <v>93894</v>
      </c>
      <c r="P14" s="5">
        <v>4803.8999999999996</v>
      </c>
      <c r="R14" t="s">
        <v>13</v>
      </c>
      <c r="S14" t="s">
        <v>14</v>
      </c>
    </row>
    <row r="15" spans="1:19" x14ac:dyDescent="0.25">
      <c r="D15">
        <v>210046662</v>
      </c>
      <c r="F15" s="1">
        <v>923</v>
      </c>
      <c r="H15" s="3">
        <v>43570</v>
      </c>
      <c r="J15">
        <v>94280</v>
      </c>
      <c r="P15" s="5">
        <v>2462</v>
      </c>
      <c r="R15" t="s">
        <v>13</v>
      </c>
      <c r="S15" t="s">
        <v>14</v>
      </c>
    </row>
    <row r="16" spans="1:19" x14ac:dyDescent="0.25">
      <c r="D16">
        <v>210046664</v>
      </c>
      <c r="F16" s="1">
        <v>923</v>
      </c>
      <c r="H16" s="3">
        <v>43570</v>
      </c>
      <c r="J16">
        <v>94280</v>
      </c>
      <c r="P16" s="5">
        <v>2461</v>
      </c>
      <c r="R16" t="s">
        <v>13</v>
      </c>
      <c r="S16" t="s">
        <v>14</v>
      </c>
    </row>
    <row r="17" spans="1:19" x14ac:dyDescent="0.25">
      <c r="D17">
        <v>210052681</v>
      </c>
      <c r="F17" s="1">
        <v>923</v>
      </c>
      <c r="H17" s="3">
        <v>43594</v>
      </c>
      <c r="J17">
        <v>94428</v>
      </c>
      <c r="P17" s="5">
        <v>2461</v>
      </c>
      <c r="R17" t="s">
        <v>13</v>
      </c>
      <c r="S17" t="s">
        <v>14</v>
      </c>
    </row>
    <row r="18" spans="1:19" x14ac:dyDescent="0.25">
      <c r="D18">
        <v>2100070907</v>
      </c>
      <c r="F18" s="1">
        <v>923</v>
      </c>
      <c r="H18" s="3">
        <v>43683</v>
      </c>
      <c r="J18">
        <v>95189</v>
      </c>
      <c r="P18" s="5">
        <v>214</v>
      </c>
      <c r="R18" t="s">
        <v>13</v>
      </c>
      <c r="S18" t="s">
        <v>14</v>
      </c>
    </row>
    <row r="19" spans="1:19" x14ac:dyDescent="0.25">
      <c r="H19" s="3"/>
    </row>
    <row r="20" spans="1:19" x14ac:dyDescent="0.25">
      <c r="H20" s="3"/>
      <c r="P20" s="5">
        <f>SUM(P11:P19)</f>
        <v>21283.440000000002</v>
      </c>
    </row>
    <row r="22" spans="1:19" x14ac:dyDescent="0.25">
      <c r="A22">
        <v>19007</v>
      </c>
      <c r="C22" t="s">
        <v>15</v>
      </c>
      <c r="D22" t="s">
        <v>49</v>
      </c>
      <c r="F22" s="1">
        <v>923</v>
      </c>
      <c r="H22" s="3">
        <v>43475</v>
      </c>
      <c r="J22">
        <v>93529</v>
      </c>
      <c r="P22" s="4">
        <v>150</v>
      </c>
      <c r="R22" t="s">
        <v>45</v>
      </c>
      <c r="S22" t="s">
        <v>14</v>
      </c>
    </row>
    <row r="23" spans="1:19" x14ac:dyDescent="0.25">
      <c r="D23" t="s">
        <v>51</v>
      </c>
      <c r="F23" s="1">
        <v>923</v>
      </c>
      <c r="H23" s="3">
        <v>43566</v>
      </c>
      <c r="J23">
        <v>94102</v>
      </c>
      <c r="P23" s="4">
        <v>150</v>
      </c>
      <c r="R23" t="s">
        <v>45</v>
      </c>
      <c r="S23" t="s">
        <v>14</v>
      </c>
    </row>
    <row r="24" spans="1:19" x14ac:dyDescent="0.25">
      <c r="D24" t="s">
        <v>50</v>
      </c>
      <c r="F24" s="1">
        <v>923</v>
      </c>
      <c r="H24" s="3">
        <v>43657</v>
      </c>
      <c r="J24">
        <v>94970</v>
      </c>
      <c r="P24" s="4">
        <v>150</v>
      </c>
      <c r="R24" t="s">
        <v>45</v>
      </c>
      <c r="S24" t="s">
        <v>14</v>
      </c>
    </row>
    <row r="25" spans="1:19" x14ac:dyDescent="0.25">
      <c r="D25" t="s">
        <v>52</v>
      </c>
      <c r="F25" s="1">
        <v>923</v>
      </c>
      <c r="H25" s="3">
        <v>43748</v>
      </c>
      <c r="J25">
        <v>95618</v>
      </c>
      <c r="P25" s="4">
        <v>150</v>
      </c>
      <c r="R25" t="s">
        <v>45</v>
      </c>
      <c r="S25" t="s">
        <v>14</v>
      </c>
    </row>
    <row r="27" spans="1:19" x14ac:dyDescent="0.25">
      <c r="A27">
        <v>19015</v>
      </c>
      <c r="C27" t="s">
        <v>21</v>
      </c>
      <c r="D27" t="s">
        <v>72</v>
      </c>
      <c r="F27" s="1">
        <v>923</v>
      </c>
      <c r="H27" s="3">
        <v>43555</v>
      </c>
      <c r="J27">
        <v>94063</v>
      </c>
      <c r="L27" s="2">
        <v>170</v>
      </c>
      <c r="N27">
        <v>5.75</v>
      </c>
      <c r="P27" s="5">
        <v>977.5</v>
      </c>
      <c r="R27" t="s">
        <v>13</v>
      </c>
      <c r="S27" t="s">
        <v>14</v>
      </c>
    </row>
    <row r="28" spans="1:19" x14ac:dyDescent="0.25">
      <c r="P28" s="5">
        <v>46.4</v>
      </c>
      <c r="R28" t="s">
        <v>69</v>
      </c>
      <c r="S28" t="s">
        <v>14</v>
      </c>
    </row>
    <row r="29" spans="1:19" x14ac:dyDescent="0.25">
      <c r="D29" t="s">
        <v>73</v>
      </c>
      <c r="F29" s="1">
        <v>923</v>
      </c>
      <c r="H29" s="3">
        <v>43646</v>
      </c>
      <c r="J29">
        <v>94975</v>
      </c>
      <c r="L29" s="2">
        <v>170</v>
      </c>
      <c r="N29">
        <v>8.85</v>
      </c>
      <c r="P29" s="5">
        <v>1504.5</v>
      </c>
      <c r="R29" t="s">
        <v>13</v>
      </c>
      <c r="S29" t="s">
        <v>14</v>
      </c>
    </row>
    <row r="30" spans="1:19" x14ac:dyDescent="0.25">
      <c r="P30" s="5">
        <v>12.2</v>
      </c>
      <c r="R30" t="s">
        <v>69</v>
      </c>
      <c r="S30" t="s">
        <v>14</v>
      </c>
    </row>
    <row r="31" spans="1:19" x14ac:dyDescent="0.25">
      <c r="D31" t="s">
        <v>74</v>
      </c>
      <c r="F31" s="1">
        <v>923</v>
      </c>
      <c r="H31" s="3">
        <v>43738</v>
      </c>
      <c r="J31">
        <v>95622</v>
      </c>
      <c r="L31" s="2">
        <v>170</v>
      </c>
      <c r="N31">
        <v>38</v>
      </c>
      <c r="P31" s="5">
        <v>6460</v>
      </c>
      <c r="R31" t="s">
        <v>13</v>
      </c>
      <c r="S31" t="s">
        <v>14</v>
      </c>
    </row>
    <row r="32" spans="1:19" x14ac:dyDescent="0.25">
      <c r="P32" s="5">
        <v>27.4</v>
      </c>
      <c r="R32" t="s">
        <v>69</v>
      </c>
      <c r="S32" t="s">
        <v>14</v>
      </c>
    </row>
    <row r="33" spans="1:19" x14ac:dyDescent="0.25">
      <c r="P33" s="5">
        <v>44</v>
      </c>
      <c r="R33" t="s">
        <v>63</v>
      </c>
      <c r="S33" t="s">
        <v>14</v>
      </c>
    </row>
    <row r="34" spans="1:19" x14ac:dyDescent="0.25">
      <c r="P34" s="5">
        <v>1314</v>
      </c>
      <c r="R34" t="s">
        <v>75</v>
      </c>
      <c r="S34" t="s">
        <v>14</v>
      </c>
    </row>
    <row r="36" spans="1:19" x14ac:dyDescent="0.25">
      <c r="A36">
        <v>10035</v>
      </c>
      <c r="C36" t="s">
        <v>28</v>
      </c>
      <c r="D36">
        <v>124637</v>
      </c>
      <c r="F36" s="1">
        <v>923</v>
      </c>
      <c r="H36" s="3">
        <v>43708</v>
      </c>
      <c r="J36">
        <v>124637</v>
      </c>
      <c r="P36" s="5">
        <v>10250</v>
      </c>
      <c r="R36" t="s">
        <v>85</v>
      </c>
      <c r="S36" t="s">
        <v>30</v>
      </c>
    </row>
    <row r="38" spans="1:19" x14ac:dyDescent="0.25">
      <c r="A38">
        <v>13064</v>
      </c>
      <c r="C38" t="s">
        <v>32</v>
      </c>
      <c r="D38" t="s">
        <v>84</v>
      </c>
    </row>
    <row r="40" spans="1:19" x14ac:dyDescent="0.25">
      <c r="A40">
        <v>16001</v>
      </c>
      <c r="C40" t="s">
        <v>36</v>
      </c>
      <c r="D40">
        <v>48153</v>
      </c>
      <c r="F40" s="1">
        <v>923</v>
      </c>
      <c r="H40" s="3">
        <v>43496</v>
      </c>
      <c r="J40">
        <v>93795</v>
      </c>
      <c r="P40" s="5">
        <v>1104.72</v>
      </c>
      <c r="R40" t="s">
        <v>17</v>
      </c>
      <c r="S40" t="s">
        <v>34</v>
      </c>
    </row>
    <row r="41" spans="1:19" x14ac:dyDescent="0.25">
      <c r="D41">
        <v>48226</v>
      </c>
      <c r="F41" s="1">
        <v>183</v>
      </c>
      <c r="H41" s="3">
        <v>43496</v>
      </c>
      <c r="L41" s="2">
        <v>119</v>
      </c>
      <c r="N41">
        <v>2.5</v>
      </c>
      <c r="P41" s="5">
        <f>119*2.5</f>
        <v>297.5</v>
      </c>
      <c r="R41" t="s">
        <v>98</v>
      </c>
      <c r="S41" t="s">
        <v>34</v>
      </c>
    </row>
    <row r="42" spans="1:19" x14ac:dyDescent="0.25">
      <c r="D42">
        <v>48227</v>
      </c>
      <c r="F42" s="1">
        <v>588</v>
      </c>
      <c r="H42" s="3">
        <v>43496</v>
      </c>
      <c r="L42" s="2">
        <v>179</v>
      </c>
      <c r="N42">
        <v>83</v>
      </c>
      <c r="P42" s="5">
        <f>83*179</f>
        <v>14857</v>
      </c>
      <c r="R42" t="s">
        <v>109</v>
      </c>
      <c r="S42" t="s">
        <v>34</v>
      </c>
    </row>
    <row r="43" spans="1:19" x14ac:dyDescent="0.25">
      <c r="D43">
        <v>48582</v>
      </c>
      <c r="F43" s="1">
        <v>923</v>
      </c>
      <c r="H43" s="3">
        <v>43524</v>
      </c>
      <c r="J43">
        <v>93979</v>
      </c>
      <c r="P43" s="5">
        <v>1056</v>
      </c>
      <c r="R43" t="s">
        <v>17</v>
      </c>
      <c r="S43" t="s">
        <v>34</v>
      </c>
    </row>
    <row r="44" spans="1:19" x14ac:dyDescent="0.25">
      <c r="D44">
        <v>48583</v>
      </c>
      <c r="F44" s="1">
        <v>107</v>
      </c>
      <c r="H44" s="3">
        <v>43524</v>
      </c>
      <c r="L44" s="2">
        <v>179</v>
      </c>
      <c r="N44">
        <v>32</v>
      </c>
      <c r="P44" s="5">
        <f>32*179</f>
        <v>5728</v>
      </c>
      <c r="R44" t="s">
        <v>38</v>
      </c>
      <c r="S44" t="s">
        <v>34</v>
      </c>
    </row>
    <row r="45" spans="1:19" x14ac:dyDescent="0.25">
      <c r="D45">
        <v>48584</v>
      </c>
      <c r="F45" s="1">
        <v>588</v>
      </c>
      <c r="H45" s="3">
        <v>43524</v>
      </c>
      <c r="L45" s="2">
        <v>179</v>
      </c>
      <c r="N45">
        <v>31.5</v>
      </c>
      <c r="P45" s="5">
        <f>31.5*179</f>
        <v>5638.5</v>
      </c>
      <c r="R45" t="s">
        <v>109</v>
      </c>
      <c r="S45" t="s">
        <v>34</v>
      </c>
    </row>
    <row r="46" spans="1:19" x14ac:dyDescent="0.25">
      <c r="D46">
        <v>48947</v>
      </c>
      <c r="F46" s="1">
        <v>588</v>
      </c>
      <c r="H46" s="3">
        <v>43555</v>
      </c>
      <c r="J46">
        <v>94230</v>
      </c>
      <c r="L46" s="2">
        <v>179</v>
      </c>
      <c r="N46">
        <v>29.5</v>
      </c>
      <c r="P46" s="5">
        <f>29.5*179</f>
        <v>5280.5</v>
      </c>
      <c r="R46" t="s">
        <v>109</v>
      </c>
      <c r="S46" t="s">
        <v>34</v>
      </c>
    </row>
    <row r="47" spans="1:19" x14ac:dyDescent="0.25">
      <c r="D47">
        <v>48949</v>
      </c>
      <c r="F47" s="1">
        <v>588</v>
      </c>
      <c r="H47" s="3">
        <v>43555</v>
      </c>
      <c r="L47" s="2">
        <v>179</v>
      </c>
      <c r="N47">
        <v>54</v>
      </c>
      <c r="P47" s="5">
        <f>54*179</f>
        <v>9666</v>
      </c>
      <c r="R47" t="s">
        <v>110</v>
      </c>
      <c r="S47" t="s">
        <v>34</v>
      </c>
    </row>
    <row r="48" spans="1:19" x14ac:dyDescent="0.25">
      <c r="D48">
        <v>48862</v>
      </c>
      <c r="F48" s="1">
        <v>923</v>
      </c>
      <c r="H48" s="3">
        <v>43555</v>
      </c>
      <c r="P48" s="5">
        <v>1056</v>
      </c>
      <c r="R48" t="s">
        <v>17</v>
      </c>
      <c r="S48" t="s">
        <v>34</v>
      </c>
    </row>
    <row r="49" spans="4:19" x14ac:dyDescent="0.25">
      <c r="D49">
        <v>49300</v>
      </c>
      <c r="F49" s="1">
        <v>923</v>
      </c>
      <c r="H49" s="3">
        <v>43585</v>
      </c>
      <c r="J49">
        <v>94437</v>
      </c>
      <c r="P49" s="5">
        <v>1056</v>
      </c>
      <c r="R49" t="s">
        <v>17</v>
      </c>
      <c r="S49" t="s">
        <v>34</v>
      </c>
    </row>
    <row r="50" spans="4:19" x14ac:dyDescent="0.25">
      <c r="D50">
        <v>49438</v>
      </c>
      <c r="F50" s="1">
        <v>107</v>
      </c>
      <c r="H50" s="3">
        <v>43585</v>
      </c>
      <c r="L50" s="2">
        <v>199</v>
      </c>
      <c r="N50">
        <v>3</v>
      </c>
      <c r="P50" s="5">
        <f>3*199</f>
        <v>597</v>
      </c>
      <c r="R50" t="s">
        <v>38</v>
      </c>
      <c r="S50" t="s">
        <v>34</v>
      </c>
    </row>
    <row r="51" spans="4:19" x14ac:dyDescent="0.25">
      <c r="D51">
        <v>49439</v>
      </c>
      <c r="F51" s="1">
        <v>588</v>
      </c>
      <c r="H51" s="3">
        <v>43585</v>
      </c>
      <c r="L51" s="2">
        <v>179</v>
      </c>
      <c r="N51">
        <v>47.5</v>
      </c>
      <c r="P51" s="5">
        <f>47.5*179</f>
        <v>8502.5</v>
      </c>
      <c r="R51" t="s">
        <v>109</v>
      </c>
      <c r="S51" t="s">
        <v>34</v>
      </c>
    </row>
    <row r="52" spans="4:19" x14ac:dyDescent="0.25">
      <c r="D52">
        <v>49440</v>
      </c>
      <c r="F52" s="1">
        <v>588</v>
      </c>
      <c r="H52" s="3">
        <v>43585</v>
      </c>
      <c r="L52" s="2">
        <v>179</v>
      </c>
      <c r="N52">
        <v>12</v>
      </c>
      <c r="P52" s="5">
        <f>12*179</f>
        <v>2148</v>
      </c>
      <c r="R52" t="s">
        <v>110</v>
      </c>
      <c r="S52" t="s">
        <v>34</v>
      </c>
    </row>
    <row r="53" spans="4:19" x14ac:dyDescent="0.25">
      <c r="D53">
        <v>49620</v>
      </c>
      <c r="F53" s="1">
        <v>923</v>
      </c>
      <c r="H53" s="3">
        <v>43616</v>
      </c>
      <c r="J53">
        <v>94847</v>
      </c>
      <c r="P53" s="5">
        <v>1056</v>
      </c>
      <c r="R53" t="s">
        <v>17</v>
      </c>
      <c r="S53" t="s">
        <v>34</v>
      </c>
    </row>
    <row r="54" spans="4:19" x14ac:dyDescent="0.25">
      <c r="D54">
        <v>49733</v>
      </c>
      <c r="F54" s="1">
        <v>107</v>
      </c>
      <c r="H54" s="3">
        <v>43616</v>
      </c>
      <c r="L54" s="2">
        <v>179</v>
      </c>
      <c r="N54">
        <v>31.5</v>
      </c>
      <c r="P54" s="5">
        <f>31.5*179</f>
        <v>5638.5</v>
      </c>
      <c r="R54" t="s">
        <v>38</v>
      </c>
      <c r="S54" t="s">
        <v>34</v>
      </c>
    </row>
    <row r="55" spans="4:19" x14ac:dyDescent="0.25">
      <c r="D55">
        <v>49734</v>
      </c>
      <c r="F55" s="1">
        <v>588</v>
      </c>
      <c r="H55" s="3">
        <v>43616</v>
      </c>
      <c r="L55" s="2">
        <v>179</v>
      </c>
      <c r="N55">
        <v>26</v>
      </c>
      <c r="P55" s="5">
        <f>26*179</f>
        <v>4654</v>
      </c>
      <c r="R55" t="s">
        <v>109</v>
      </c>
      <c r="S55" t="s">
        <v>34</v>
      </c>
    </row>
    <row r="56" spans="4:19" x14ac:dyDescent="0.25">
      <c r="D56">
        <v>49735</v>
      </c>
      <c r="F56" s="1">
        <v>588</v>
      </c>
      <c r="H56" s="3">
        <v>43616</v>
      </c>
      <c r="L56" s="2">
        <v>179</v>
      </c>
      <c r="N56">
        <v>34</v>
      </c>
      <c r="P56" s="5">
        <f>34*179</f>
        <v>6086</v>
      </c>
      <c r="R56" t="s">
        <v>110</v>
      </c>
      <c r="S56" t="s">
        <v>34</v>
      </c>
    </row>
    <row r="57" spans="4:19" x14ac:dyDescent="0.25">
      <c r="D57">
        <v>50404</v>
      </c>
      <c r="F57" s="1">
        <v>923</v>
      </c>
      <c r="H57" s="3">
        <v>43677</v>
      </c>
      <c r="J57">
        <v>95279</v>
      </c>
      <c r="P57" s="5">
        <v>1056</v>
      </c>
      <c r="R57" t="s">
        <v>17</v>
      </c>
      <c r="S57" t="s">
        <v>34</v>
      </c>
    </row>
    <row r="58" spans="4:19" x14ac:dyDescent="0.25">
      <c r="D58">
        <v>50501</v>
      </c>
      <c r="F58" s="1">
        <v>588</v>
      </c>
      <c r="H58" s="3">
        <v>43677</v>
      </c>
      <c r="L58" s="2">
        <v>179</v>
      </c>
      <c r="N58">
        <v>55.5</v>
      </c>
      <c r="P58" s="5">
        <f>55.5*179</f>
        <v>9934.5</v>
      </c>
      <c r="R58" t="s">
        <v>110</v>
      </c>
      <c r="S58" t="s">
        <v>34</v>
      </c>
    </row>
    <row r="59" spans="4:19" x14ac:dyDescent="0.25">
      <c r="D59">
        <v>50017</v>
      </c>
      <c r="F59" s="1">
        <v>923</v>
      </c>
      <c r="H59" s="3">
        <v>43646</v>
      </c>
      <c r="J59">
        <v>95320</v>
      </c>
      <c r="P59" s="5">
        <v>1056</v>
      </c>
      <c r="R59" t="s">
        <v>17</v>
      </c>
      <c r="S59" t="s">
        <v>34</v>
      </c>
    </row>
    <row r="60" spans="4:19" x14ac:dyDescent="0.25">
      <c r="D60">
        <v>50113</v>
      </c>
      <c r="F60" s="1">
        <v>588</v>
      </c>
      <c r="H60" s="3">
        <v>43646</v>
      </c>
      <c r="L60" s="2">
        <v>179</v>
      </c>
      <c r="N60">
        <v>9.5</v>
      </c>
      <c r="P60" s="5">
        <f>9.5*179</f>
        <v>1700.5</v>
      </c>
      <c r="R60" t="s">
        <v>110</v>
      </c>
      <c r="S60" t="s">
        <v>34</v>
      </c>
    </row>
    <row r="61" spans="4:19" x14ac:dyDescent="0.25">
      <c r="D61">
        <v>51162</v>
      </c>
      <c r="F61" s="1">
        <v>923</v>
      </c>
      <c r="H61" s="3">
        <v>43738</v>
      </c>
      <c r="J61">
        <v>95693</v>
      </c>
      <c r="P61" s="5">
        <v>1056</v>
      </c>
      <c r="R61" t="s">
        <v>17</v>
      </c>
      <c r="S61" t="s">
        <v>34</v>
      </c>
    </row>
    <row r="62" spans="4:19" x14ac:dyDescent="0.25">
      <c r="D62">
        <v>51256</v>
      </c>
      <c r="F62" s="1">
        <v>588</v>
      </c>
      <c r="H62" s="3">
        <v>43738</v>
      </c>
      <c r="L62" s="2">
        <v>179</v>
      </c>
      <c r="N62">
        <v>2</v>
      </c>
      <c r="P62" s="5">
        <f>2*179</f>
        <v>358</v>
      </c>
      <c r="R62" t="s">
        <v>110</v>
      </c>
      <c r="S62" t="s">
        <v>34</v>
      </c>
    </row>
    <row r="63" spans="4:19" x14ac:dyDescent="0.25">
      <c r="D63">
        <v>51598</v>
      </c>
      <c r="F63" s="1">
        <v>923</v>
      </c>
      <c r="H63" s="3">
        <v>43769</v>
      </c>
      <c r="J63">
        <v>95836</v>
      </c>
      <c r="P63" s="5">
        <v>1056</v>
      </c>
      <c r="R63" t="s">
        <v>17</v>
      </c>
      <c r="S63" t="s">
        <v>34</v>
      </c>
    </row>
    <row r="64" spans="4:19" x14ac:dyDescent="0.25">
      <c r="D64">
        <v>50929</v>
      </c>
      <c r="F64" s="1">
        <v>923</v>
      </c>
      <c r="H64" s="3">
        <v>43708</v>
      </c>
      <c r="J64">
        <v>95457</v>
      </c>
      <c r="P64" s="5">
        <v>1056</v>
      </c>
      <c r="R64" t="s">
        <v>17</v>
      </c>
      <c r="S64" t="s">
        <v>34</v>
      </c>
    </row>
    <row r="65" spans="1:19" x14ac:dyDescent="0.25">
      <c r="D65">
        <v>50907</v>
      </c>
      <c r="F65" s="1">
        <v>107</v>
      </c>
      <c r="H65" s="3">
        <v>43708</v>
      </c>
      <c r="L65" s="2">
        <v>199</v>
      </c>
      <c r="N65">
        <v>2</v>
      </c>
      <c r="P65" s="5">
        <f>2*199</f>
        <v>398</v>
      </c>
      <c r="R65" t="s">
        <v>112</v>
      </c>
      <c r="S65" t="s">
        <v>34</v>
      </c>
    </row>
    <row r="66" spans="1:19" x14ac:dyDescent="0.25">
      <c r="L66" s="2">
        <v>179</v>
      </c>
      <c r="N66">
        <v>32</v>
      </c>
      <c r="P66" s="5">
        <f>32*179</f>
        <v>5728</v>
      </c>
      <c r="R66" t="s">
        <v>103</v>
      </c>
      <c r="S66" t="s">
        <v>34</v>
      </c>
    </row>
    <row r="67" spans="1:19" x14ac:dyDescent="0.25">
      <c r="D67">
        <v>51852</v>
      </c>
      <c r="F67" s="1">
        <v>923</v>
      </c>
      <c r="H67" s="3">
        <v>43800</v>
      </c>
      <c r="J67">
        <v>96071</v>
      </c>
      <c r="P67" s="5">
        <v>1056</v>
      </c>
      <c r="R67" t="s">
        <v>17</v>
      </c>
      <c r="S67" t="s">
        <v>34</v>
      </c>
    </row>
    <row r="68" spans="1:19" x14ac:dyDescent="0.25">
      <c r="D68">
        <v>51998</v>
      </c>
      <c r="F68" s="1">
        <v>588</v>
      </c>
      <c r="H68" s="3">
        <v>43800</v>
      </c>
      <c r="L68" s="2">
        <v>199</v>
      </c>
      <c r="N68">
        <v>3</v>
      </c>
      <c r="P68" s="5">
        <f>3*199</f>
        <v>597</v>
      </c>
      <c r="R68" t="s">
        <v>111</v>
      </c>
      <c r="S68" t="s">
        <v>34</v>
      </c>
    </row>
    <row r="69" spans="1:19" x14ac:dyDescent="0.25">
      <c r="L69" s="2">
        <v>179</v>
      </c>
      <c r="N69">
        <v>32.5</v>
      </c>
      <c r="P69" s="5">
        <f>32.5*179</f>
        <v>5817.5</v>
      </c>
      <c r="R69" t="s">
        <v>112</v>
      </c>
      <c r="S69" t="s">
        <v>34</v>
      </c>
    </row>
    <row r="70" spans="1:19" x14ac:dyDescent="0.25">
      <c r="D70">
        <v>52213</v>
      </c>
      <c r="F70" s="1">
        <v>923</v>
      </c>
      <c r="H70" s="3">
        <v>43830</v>
      </c>
      <c r="J70">
        <v>96230</v>
      </c>
      <c r="P70" s="5">
        <v>1056</v>
      </c>
      <c r="R70" t="s">
        <v>17</v>
      </c>
      <c r="S70" t="s">
        <v>34</v>
      </c>
    </row>
    <row r="71" spans="1:19" x14ac:dyDescent="0.25">
      <c r="D71">
        <v>52288</v>
      </c>
      <c r="F71" s="1">
        <v>107</v>
      </c>
      <c r="H71" s="3">
        <v>43830</v>
      </c>
      <c r="L71" s="2">
        <v>199</v>
      </c>
      <c r="N71">
        <v>2</v>
      </c>
      <c r="P71" s="5">
        <f>2*199</f>
        <v>398</v>
      </c>
      <c r="R71" t="s">
        <v>38</v>
      </c>
      <c r="S71" t="s">
        <v>34</v>
      </c>
    </row>
    <row r="73" spans="1:19" x14ac:dyDescent="0.25">
      <c r="A73">
        <v>16073</v>
      </c>
      <c r="C73" t="s">
        <v>41</v>
      </c>
    </row>
    <row r="79" spans="1:19" x14ac:dyDescent="0.25">
      <c r="C79" t="s">
        <v>43</v>
      </c>
      <c r="P79" s="5">
        <f>SUM(P40:P78)</f>
        <v>106745.72</v>
      </c>
    </row>
  </sheetData>
  <mergeCells count="1">
    <mergeCell ref="A7:S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2FE72-A8A0-4E4D-916A-45A9BE0D3095}">
  <dimension ref="A1:S63"/>
  <sheetViews>
    <sheetView workbookViewId="0">
      <pane ySplit="9" topLeftCell="A10" activePane="bottomLeft" state="frozen"/>
      <selection pane="bottomLeft" sqref="A1:XFD7"/>
    </sheetView>
  </sheetViews>
  <sheetFormatPr defaultRowHeight="15" x14ac:dyDescent="0.25"/>
  <cols>
    <col min="3" max="3" width="24.85546875" bestFit="1" customWidth="1"/>
    <col min="4" max="4" width="16" bestFit="1" customWidth="1"/>
    <col min="6" max="6" width="8.85546875" style="1"/>
    <col min="8" max="8" width="10.28515625" bestFit="1" customWidth="1"/>
    <col min="12" max="12" width="8.85546875" style="2"/>
    <col min="16" max="16" width="8.85546875" style="5"/>
    <col min="18" max="18" width="19.42578125" customWidth="1"/>
    <col min="19" max="19" width="9.85546875" bestFit="1" customWidth="1"/>
  </cols>
  <sheetData>
    <row r="1" spans="1:19" x14ac:dyDescent="0.25">
      <c r="A1" s="9" t="s">
        <v>119</v>
      </c>
      <c r="D1" s="7"/>
      <c r="E1" s="7"/>
      <c r="F1" s="7"/>
      <c r="G1" s="10"/>
      <c r="H1" s="7"/>
      <c r="I1" s="7"/>
      <c r="L1"/>
      <c r="P1"/>
      <c r="S1" t="s">
        <v>127</v>
      </c>
    </row>
    <row r="2" spans="1:19" x14ac:dyDescent="0.25">
      <c r="A2" s="9" t="s">
        <v>120</v>
      </c>
      <c r="D2" s="7"/>
      <c r="E2" s="7"/>
      <c r="F2" s="7"/>
      <c r="G2" s="6"/>
      <c r="H2" s="7"/>
      <c r="I2" s="7"/>
      <c r="L2"/>
      <c r="P2"/>
    </row>
    <row r="3" spans="1:19" x14ac:dyDescent="0.25">
      <c r="A3" s="9" t="s">
        <v>121</v>
      </c>
      <c r="D3" s="7"/>
      <c r="E3" s="7"/>
      <c r="F3" s="7"/>
      <c r="G3" s="6"/>
      <c r="H3" s="7"/>
      <c r="I3" s="7"/>
      <c r="L3"/>
      <c r="P3"/>
    </row>
    <row r="4" spans="1:19" s="9" customFormat="1" x14ac:dyDescent="0.25">
      <c r="A4" s="9" t="s">
        <v>126</v>
      </c>
      <c r="F4" s="11"/>
    </row>
    <row r="5" spans="1:19" x14ac:dyDescent="0.25">
      <c r="F5" s="5"/>
      <c r="L5"/>
      <c r="P5"/>
    </row>
    <row r="6" spans="1:19" x14ac:dyDescent="0.25">
      <c r="P6" s="4"/>
    </row>
    <row r="7" spans="1:19" s="9" customFormat="1" x14ac:dyDescent="0.2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9" customFormat="1" x14ac:dyDescent="0.25">
      <c r="F8" s="13"/>
      <c r="L8" s="14"/>
      <c r="P8" s="15"/>
    </row>
    <row r="9" spans="1:19" x14ac:dyDescent="0.25">
      <c r="A9" t="s">
        <v>1</v>
      </c>
      <c r="C9" t="s">
        <v>2</v>
      </c>
      <c r="D9" t="s">
        <v>3</v>
      </c>
      <c r="F9" s="1" t="s">
        <v>4</v>
      </c>
      <c r="H9" t="s">
        <v>5</v>
      </c>
      <c r="J9" t="s">
        <v>6</v>
      </c>
      <c r="L9" s="2" t="s">
        <v>7</v>
      </c>
      <c r="N9" s="1" t="s">
        <v>8</v>
      </c>
      <c r="P9" s="5" t="s">
        <v>9</v>
      </c>
      <c r="R9" t="s">
        <v>10</v>
      </c>
      <c r="S9" t="s">
        <v>11</v>
      </c>
    </row>
    <row r="10" spans="1:19" x14ac:dyDescent="0.25">
      <c r="N10" s="1"/>
    </row>
    <row r="11" spans="1:19" x14ac:dyDescent="0.25">
      <c r="A11">
        <v>2007</v>
      </c>
      <c r="C11" t="s">
        <v>12</v>
      </c>
      <c r="D11">
        <v>210110071</v>
      </c>
      <c r="F11" s="1">
        <v>923</v>
      </c>
      <c r="H11" s="3">
        <v>43871</v>
      </c>
      <c r="J11">
        <v>96402</v>
      </c>
      <c r="P11" s="5">
        <v>909.5</v>
      </c>
      <c r="R11" t="s">
        <v>13</v>
      </c>
      <c r="S11" t="s">
        <v>14</v>
      </c>
    </row>
    <row r="12" spans="1:19" x14ac:dyDescent="0.25">
      <c r="D12">
        <v>210115686</v>
      </c>
      <c r="F12" s="1">
        <v>923</v>
      </c>
      <c r="H12" s="3">
        <v>43895</v>
      </c>
      <c r="J12">
        <v>96527</v>
      </c>
      <c r="P12" s="5">
        <v>856</v>
      </c>
      <c r="R12" t="s">
        <v>13</v>
      </c>
      <c r="S12" t="s">
        <v>14</v>
      </c>
    </row>
    <row r="13" spans="1:19" x14ac:dyDescent="0.25">
      <c r="D13">
        <v>210166314</v>
      </c>
      <c r="F13" s="1">
        <v>923</v>
      </c>
      <c r="H13" s="3">
        <v>44140</v>
      </c>
      <c r="J13">
        <v>98353</v>
      </c>
      <c r="P13" s="5">
        <v>8399.5</v>
      </c>
      <c r="R13" t="s">
        <v>13</v>
      </c>
      <c r="S13" t="s">
        <v>14</v>
      </c>
    </row>
    <row r="14" spans="1:19" x14ac:dyDescent="0.25">
      <c r="P14" s="5">
        <f>SUM(P11:P13)</f>
        <v>10165</v>
      </c>
      <c r="R14" t="s">
        <v>13</v>
      </c>
      <c r="S14" t="s">
        <v>14</v>
      </c>
    </row>
    <row r="16" spans="1:19" x14ac:dyDescent="0.25">
      <c r="A16">
        <v>19007</v>
      </c>
      <c r="C16" t="s">
        <v>15</v>
      </c>
      <c r="D16" t="s">
        <v>53</v>
      </c>
      <c r="F16" s="1">
        <v>923</v>
      </c>
      <c r="H16" s="3">
        <v>43839</v>
      </c>
      <c r="J16">
        <v>96199</v>
      </c>
      <c r="P16" s="4">
        <v>150</v>
      </c>
      <c r="R16" t="s">
        <v>45</v>
      </c>
      <c r="S16" t="s">
        <v>14</v>
      </c>
    </row>
    <row r="17" spans="1:19" x14ac:dyDescent="0.25">
      <c r="D17" t="s">
        <v>54</v>
      </c>
      <c r="F17" s="1">
        <v>923</v>
      </c>
      <c r="H17" s="3">
        <v>43930</v>
      </c>
      <c r="J17">
        <v>96699</v>
      </c>
      <c r="P17" s="4">
        <v>150</v>
      </c>
      <c r="R17" t="s">
        <v>45</v>
      </c>
      <c r="S17" t="s">
        <v>14</v>
      </c>
    </row>
    <row r="18" spans="1:19" x14ac:dyDescent="0.25">
      <c r="D18" t="s">
        <v>55</v>
      </c>
      <c r="F18" s="1">
        <v>923</v>
      </c>
      <c r="H18" s="3">
        <v>44021</v>
      </c>
      <c r="J18">
        <v>97579</v>
      </c>
      <c r="P18" s="4">
        <v>150</v>
      </c>
      <c r="R18" t="s">
        <v>45</v>
      </c>
      <c r="S18" t="s">
        <v>14</v>
      </c>
    </row>
    <row r="19" spans="1:19" x14ac:dyDescent="0.25">
      <c r="D19" t="s">
        <v>56</v>
      </c>
      <c r="F19" s="1">
        <v>923</v>
      </c>
      <c r="H19" s="3">
        <v>44112</v>
      </c>
      <c r="J19">
        <v>98125</v>
      </c>
      <c r="P19" s="4">
        <v>150</v>
      </c>
      <c r="R19" t="s">
        <v>45</v>
      </c>
      <c r="S19" t="s">
        <v>14</v>
      </c>
    </row>
    <row r="20" spans="1:19" x14ac:dyDescent="0.25">
      <c r="H20" s="3"/>
    </row>
    <row r="21" spans="1:19" x14ac:dyDescent="0.25">
      <c r="A21">
        <v>19015</v>
      </c>
      <c r="C21" t="s">
        <v>21</v>
      </c>
      <c r="D21" t="s">
        <v>76</v>
      </c>
      <c r="F21" s="1">
        <v>923</v>
      </c>
      <c r="H21" s="3">
        <v>43862</v>
      </c>
      <c r="J21">
        <v>96551</v>
      </c>
      <c r="L21" s="2">
        <v>170</v>
      </c>
      <c r="N21">
        <v>16.600000000000001</v>
      </c>
      <c r="P21" s="5">
        <v>2822</v>
      </c>
      <c r="R21" t="s">
        <v>13</v>
      </c>
      <c r="S21" t="s">
        <v>14</v>
      </c>
    </row>
    <row r="22" spans="1:19" x14ac:dyDescent="0.25">
      <c r="P22" s="5">
        <v>15.8</v>
      </c>
      <c r="R22" t="s">
        <v>69</v>
      </c>
      <c r="S22" t="s">
        <v>14</v>
      </c>
    </row>
    <row r="23" spans="1:19" x14ac:dyDescent="0.25">
      <c r="P23" s="5">
        <f>11.95+23.9</f>
        <v>35.849999999999994</v>
      </c>
      <c r="R23" t="s">
        <v>77</v>
      </c>
      <c r="S23" t="s">
        <v>14</v>
      </c>
    </row>
    <row r="24" spans="1:19" x14ac:dyDescent="0.25">
      <c r="D24" t="s">
        <v>78</v>
      </c>
      <c r="F24" s="1">
        <v>923</v>
      </c>
      <c r="H24" s="3">
        <v>43922</v>
      </c>
      <c r="J24">
        <v>96704</v>
      </c>
      <c r="L24" s="2">
        <v>170</v>
      </c>
      <c r="N24">
        <v>9.75</v>
      </c>
      <c r="P24" s="5">
        <v>1657.5</v>
      </c>
      <c r="R24" t="s">
        <v>13</v>
      </c>
      <c r="S24" t="s">
        <v>14</v>
      </c>
    </row>
    <row r="25" spans="1:19" x14ac:dyDescent="0.25">
      <c r="P25" s="5">
        <f>13.6+0.5+1.3</f>
        <v>15.4</v>
      </c>
      <c r="R25" t="s">
        <v>69</v>
      </c>
      <c r="S25" t="s">
        <v>14</v>
      </c>
    </row>
    <row r="26" spans="1:19" x14ac:dyDescent="0.25">
      <c r="P26" s="5">
        <v>11.43</v>
      </c>
      <c r="R26" t="s">
        <v>77</v>
      </c>
      <c r="S26" t="s">
        <v>14</v>
      </c>
    </row>
    <row r="27" spans="1:19" x14ac:dyDescent="0.25">
      <c r="D27" t="s">
        <v>79</v>
      </c>
      <c r="F27" s="1">
        <v>923</v>
      </c>
      <c r="H27" s="3">
        <v>44012</v>
      </c>
      <c r="J27">
        <v>97538</v>
      </c>
      <c r="L27" s="2">
        <v>170</v>
      </c>
      <c r="N27">
        <v>5.5</v>
      </c>
      <c r="P27" s="5">
        <v>935</v>
      </c>
      <c r="R27" t="s">
        <v>13</v>
      </c>
      <c r="S27" t="s">
        <v>14</v>
      </c>
    </row>
    <row r="28" spans="1:19" x14ac:dyDescent="0.25">
      <c r="P28" s="5">
        <f>4.6+1.5</f>
        <v>6.1</v>
      </c>
      <c r="R28" t="s">
        <v>69</v>
      </c>
      <c r="S28" t="s">
        <v>14</v>
      </c>
    </row>
    <row r="29" spans="1:19" x14ac:dyDescent="0.25">
      <c r="D29" t="s">
        <v>80</v>
      </c>
      <c r="F29" s="1">
        <v>923</v>
      </c>
      <c r="H29" s="3">
        <v>44104</v>
      </c>
      <c r="J29">
        <v>98128</v>
      </c>
      <c r="L29" s="2">
        <v>170</v>
      </c>
      <c r="N29">
        <v>19.649999999999999</v>
      </c>
      <c r="P29" s="5">
        <v>3340.5</v>
      </c>
      <c r="R29" t="s">
        <v>13</v>
      </c>
      <c r="S29" t="s">
        <v>14</v>
      </c>
    </row>
    <row r="30" spans="1:19" x14ac:dyDescent="0.25">
      <c r="P30" s="5">
        <f>41.4+1.5</f>
        <v>42.9</v>
      </c>
      <c r="R30" t="s">
        <v>69</v>
      </c>
      <c r="S30" t="s">
        <v>14</v>
      </c>
    </row>
    <row r="31" spans="1:19" x14ac:dyDescent="0.25">
      <c r="D31" t="s">
        <v>81</v>
      </c>
      <c r="F31" s="1">
        <v>923</v>
      </c>
      <c r="H31" s="3">
        <v>44196</v>
      </c>
      <c r="J31">
        <v>98764</v>
      </c>
      <c r="L31" s="2">
        <v>170</v>
      </c>
      <c r="N31">
        <v>10.6</v>
      </c>
      <c r="P31" s="5">
        <v>1802</v>
      </c>
      <c r="R31" t="s">
        <v>13</v>
      </c>
      <c r="S31" t="s">
        <v>14</v>
      </c>
    </row>
    <row r="32" spans="1:19" x14ac:dyDescent="0.25">
      <c r="P32" s="5">
        <v>15.8</v>
      </c>
      <c r="R32" t="s">
        <v>69</v>
      </c>
      <c r="S32" t="s">
        <v>14</v>
      </c>
    </row>
    <row r="34" spans="1:19" x14ac:dyDescent="0.25">
      <c r="A34">
        <v>10035</v>
      </c>
      <c r="C34" t="s">
        <v>28</v>
      </c>
      <c r="D34">
        <v>126828</v>
      </c>
      <c r="F34" s="1">
        <v>923</v>
      </c>
      <c r="H34" s="3">
        <v>44027</v>
      </c>
      <c r="J34">
        <v>97874</v>
      </c>
      <c r="P34" s="5">
        <v>800</v>
      </c>
      <c r="R34" t="s">
        <v>29</v>
      </c>
      <c r="S34" t="s">
        <v>30</v>
      </c>
    </row>
    <row r="35" spans="1:19" x14ac:dyDescent="0.25">
      <c r="D35">
        <v>127498</v>
      </c>
      <c r="F35" s="1">
        <v>923</v>
      </c>
      <c r="H35" s="3">
        <v>44165</v>
      </c>
      <c r="J35">
        <v>98590</v>
      </c>
      <c r="P35" s="5">
        <v>1300</v>
      </c>
      <c r="R35" t="s">
        <v>31</v>
      </c>
      <c r="S35" t="s">
        <v>30</v>
      </c>
    </row>
    <row r="37" spans="1:19" x14ac:dyDescent="0.25">
      <c r="A37">
        <v>13064</v>
      </c>
      <c r="C37" t="s">
        <v>32</v>
      </c>
      <c r="D37" t="s">
        <v>84</v>
      </c>
    </row>
    <row r="39" spans="1:19" x14ac:dyDescent="0.25">
      <c r="A39">
        <v>16001</v>
      </c>
      <c r="C39" t="s">
        <v>36</v>
      </c>
      <c r="D39">
        <v>52473</v>
      </c>
      <c r="F39" s="1">
        <v>923</v>
      </c>
      <c r="H39" s="3">
        <v>43861</v>
      </c>
      <c r="J39">
        <v>96412</v>
      </c>
      <c r="P39" s="5">
        <v>1056</v>
      </c>
      <c r="R39" t="s">
        <v>17</v>
      </c>
      <c r="S39" t="s">
        <v>34</v>
      </c>
    </row>
    <row r="40" spans="1:19" x14ac:dyDescent="0.25">
      <c r="D40">
        <v>52839</v>
      </c>
      <c r="F40" s="1">
        <v>923</v>
      </c>
      <c r="H40" s="3">
        <v>43890</v>
      </c>
      <c r="J40">
        <v>96578</v>
      </c>
      <c r="P40" s="5">
        <v>1056</v>
      </c>
      <c r="R40" t="s">
        <v>17</v>
      </c>
      <c r="S40" t="s">
        <v>34</v>
      </c>
    </row>
    <row r="41" spans="1:19" x14ac:dyDescent="0.25">
      <c r="D41">
        <v>52944</v>
      </c>
      <c r="F41" s="1">
        <v>588</v>
      </c>
      <c r="H41" s="3">
        <v>43890</v>
      </c>
      <c r="L41" s="2">
        <v>209</v>
      </c>
      <c r="N41">
        <v>1</v>
      </c>
      <c r="P41" s="5">
        <f>1*209</f>
        <v>209</v>
      </c>
      <c r="R41" t="s">
        <v>112</v>
      </c>
      <c r="S41" t="s">
        <v>34</v>
      </c>
    </row>
    <row r="42" spans="1:19" x14ac:dyDescent="0.25">
      <c r="H42" s="3"/>
      <c r="L42" s="2">
        <v>184</v>
      </c>
      <c r="N42">
        <v>32</v>
      </c>
      <c r="P42" s="5">
        <f>32*184</f>
        <v>5888</v>
      </c>
      <c r="R42" t="s">
        <v>103</v>
      </c>
      <c r="S42" t="s">
        <v>34</v>
      </c>
    </row>
    <row r="43" spans="1:19" x14ac:dyDescent="0.25">
      <c r="D43">
        <v>53333</v>
      </c>
      <c r="F43" s="1">
        <v>588</v>
      </c>
      <c r="H43" s="3">
        <v>43921</v>
      </c>
      <c r="J43">
        <v>96767</v>
      </c>
      <c r="L43" s="2">
        <v>209</v>
      </c>
      <c r="N43">
        <v>1</v>
      </c>
      <c r="P43" s="5">
        <f>1*209</f>
        <v>209</v>
      </c>
      <c r="R43" t="s">
        <v>112</v>
      </c>
      <c r="S43" t="s">
        <v>34</v>
      </c>
    </row>
    <row r="44" spans="1:19" x14ac:dyDescent="0.25">
      <c r="D44">
        <v>53223</v>
      </c>
      <c r="F44" s="1">
        <v>923</v>
      </c>
      <c r="H44" s="3">
        <v>43921</v>
      </c>
      <c r="P44" s="5">
        <v>1056</v>
      </c>
      <c r="R44" t="s">
        <v>17</v>
      </c>
      <c r="S44" t="s">
        <v>34</v>
      </c>
    </row>
    <row r="45" spans="1:19" x14ac:dyDescent="0.25">
      <c r="D45">
        <v>53581</v>
      </c>
      <c r="F45" s="1">
        <v>923</v>
      </c>
      <c r="H45" s="3">
        <v>43951</v>
      </c>
      <c r="J45">
        <v>97000</v>
      </c>
      <c r="P45" s="5">
        <v>1056</v>
      </c>
      <c r="R45" t="s">
        <v>17</v>
      </c>
      <c r="S45" t="s">
        <v>34</v>
      </c>
    </row>
    <row r="46" spans="1:19" x14ac:dyDescent="0.25">
      <c r="D46">
        <v>54426</v>
      </c>
      <c r="F46" s="1">
        <v>588</v>
      </c>
      <c r="H46" s="3">
        <v>44012</v>
      </c>
      <c r="J46">
        <v>97671</v>
      </c>
      <c r="P46" s="5">
        <v>1056</v>
      </c>
      <c r="R46" t="s">
        <v>17</v>
      </c>
      <c r="S46" t="s">
        <v>34</v>
      </c>
    </row>
    <row r="47" spans="1:19" x14ac:dyDescent="0.25">
      <c r="D47">
        <v>53935</v>
      </c>
      <c r="F47" s="1">
        <v>923</v>
      </c>
      <c r="H47" s="3">
        <v>43982</v>
      </c>
      <c r="J47">
        <v>97451</v>
      </c>
      <c r="P47" s="5">
        <v>1056</v>
      </c>
      <c r="R47" t="s">
        <v>17</v>
      </c>
      <c r="S47" t="s">
        <v>34</v>
      </c>
    </row>
    <row r="48" spans="1:19" x14ac:dyDescent="0.25">
      <c r="D48">
        <v>54609</v>
      </c>
      <c r="F48" s="1">
        <v>588</v>
      </c>
      <c r="H48" s="3">
        <v>44043</v>
      </c>
      <c r="J48">
        <v>98021</v>
      </c>
      <c r="P48" s="5">
        <v>1056</v>
      </c>
      <c r="R48" t="s">
        <v>17</v>
      </c>
      <c r="S48" t="s">
        <v>34</v>
      </c>
    </row>
    <row r="49" spans="1:19" x14ac:dyDescent="0.25">
      <c r="D49">
        <v>55076</v>
      </c>
      <c r="F49" s="1">
        <v>107</v>
      </c>
      <c r="H49" s="3">
        <v>44074</v>
      </c>
      <c r="L49" s="2">
        <v>184</v>
      </c>
      <c r="N49">
        <v>31.5</v>
      </c>
      <c r="P49" s="5">
        <f>31.5*184</f>
        <v>5796</v>
      </c>
      <c r="R49" t="s">
        <v>38</v>
      </c>
      <c r="S49" t="s">
        <v>34</v>
      </c>
    </row>
    <row r="50" spans="1:19" x14ac:dyDescent="0.25">
      <c r="D50">
        <v>54967</v>
      </c>
      <c r="F50" s="1">
        <v>588</v>
      </c>
      <c r="H50" s="3">
        <v>44074</v>
      </c>
      <c r="P50" s="5">
        <v>1056</v>
      </c>
      <c r="R50" t="s">
        <v>17</v>
      </c>
      <c r="S50" t="s">
        <v>34</v>
      </c>
    </row>
    <row r="51" spans="1:19" x14ac:dyDescent="0.25">
      <c r="D51">
        <v>55399</v>
      </c>
      <c r="F51" s="1">
        <v>107</v>
      </c>
      <c r="H51" s="3">
        <v>44104</v>
      </c>
      <c r="J51">
        <v>98171</v>
      </c>
      <c r="P51" s="5">
        <v>1056</v>
      </c>
      <c r="R51" t="s">
        <v>17</v>
      </c>
      <c r="S51" t="s">
        <v>34</v>
      </c>
    </row>
    <row r="52" spans="1:19" x14ac:dyDescent="0.25">
      <c r="D52">
        <v>55634</v>
      </c>
      <c r="F52" s="1">
        <v>923</v>
      </c>
      <c r="H52" s="3">
        <v>44136</v>
      </c>
      <c r="J52">
        <v>98500</v>
      </c>
      <c r="P52" s="5">
        <v>1056</v>
      </c>
      <c r="R52" t="s">
        <v>17</v>
      </c>
      <c r="S52" t="s">
        <v>34</v>
      </c>
    </row>
    <row r="53" spans="1:19" x14ac:dyDescent="0.25">
      <c r="D53">
        <v>56005</v>
      </c>
      <c r="F53" s="1">
        <v>923</v>
      </c>
      <c r="H53" s="3">
        <v>44165</v>
      </c>
      <c r="J53">
        <v>98660</v>
      </c>
      <c r="P53" s="5">
        <v>1056</v>
      </c>
      <c r="R53" t="s">
        <v>17</v>
      </c>
      <c r="S53" t="s">
        <v>34</v>
      </c>
    </row>
    <row r="54" spans="1:19" x14ac:dyDescent="0.25">
      <c r="D54">
        <v>56126</v>
      </c>
      <c r="F54" s="1">
        <v>107</v>
      </c>
      <c r="H54" s="3">
        <v>44165</v>
      </c>
      <c r="L54" s="2">
        <v>184</v>
      </c>
      <c r="N54">
        <v>4</v>
      </c>
      <c r="P54" s="5">
        <f>4*184</f>
        <v>736</v>
      </c>
      <c r="R54" t="s">
        <v>38</v>
      </c>
      <c r="S54" t="s">
        <v>34</v>
      </c>
    </row>
    <row r="55" spans="1:19" x14ac:dyDescent="0.25">
      <c r="D55">
        <v>56300</v>
      </c>
      <c r="F55" s="1">
        <v>923</v>
      </c>
      <c r="H55" s="3">
        <v>44196</v>
      </c>
      <c r="J55">
        <v>98859</v>
      </c>
      <c r="P55" s="5">
        <v>1056</v>
      </c>
      <c r="R55" t="s">
        <v>17</v>
      </c>
      <c r="S55" t="s">
        <v>34</v>
      </c>
    </row>
    <row r="57" spans="1:19" x14ac:dyDescent="0.25">
      <c r="A57">
        <v>16073</v>
      </c>
      <c r="C57" t="s">
        <v>41</v>
      </c>
      <c r="D57" s="7" t="s">
        <v>84</v>
      </c>
    </row>
    <row r="63" spans="1:19" x14ac:dyDescent="0.25">
      <c r="C63" t="s">
        <v>43</v>
      </c>
      <c r="P63" s="5">
        <f>SUM(P39:P62)</f>
        <v>25510</v>
      </c>
    </row>
  </sheetData>
  <mergeCells count="1">
    <mergeCell ref="A7:S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E9B7F-7D30-4CF2-86B2-6255DD8B4129}">
  <dimension ref="A1:S70"/>
  <sheetViews>
    <sheetView workbookViewId="0">
      <pane ySplit="9" topLeftCell="A10" activePane="bottomLeft" state="frozen"/>
      <selection pane="bottomLeft" activeCell="A70" sqref="A70"/>
    </sheetView>
  </sheetViews>
  <sheetFormatPr defaultRowHeight="15" x14ac:dyDescent="0.25"/>
  <cols>
    <col min="3" max="3" width="24.85546875" bestFit="1" customWidth="1"/>
    <col min="4" max="4" width="17.42578125" customWidth="1"/>
    <col min="7" max="7" width="9.28515625" bestFit="1" customWidth="1"/>
    <col min="8" max="8" width="10.85546875" customWidth="1"/>
    <col min="16" max="16" width="10.85546875" bestFit="1" customWidth="1"/>
    <col min="18" max="18" width="26.140625" bestFit="1" customWidth="1"/>
  </cols>
  <sheetData>
    <row r="1" spans="1:19" x14ac:dyDescent="0.25">
      <c r="A1" s="9" t="s">
        <v>119</v>
      </c>
      <c r="D1" s="7"/>
      <c r="E1" s="7"/>
      <c r="F1" s="7"/>
      <c r="G1" s="10"/>
      <c r="H1" s="7"/>
      <c r="I1" s="7"/>
      <c r="S1" t="s">
        <v>129</v>
      </c>
    </row>
    <row r="2" spans="1:19" x14ac:dyDescent="0.25">
      <c r="A2" s="9" t="s">
        <v>120</v>
      </c>
      <c r="D2" s="7"/>
      <c r="E2" s="7"/>
      <c r="F2" s="7"/>
      <c r="G2" s="6"/>
      <c r="H2" s="7"/>
      <c r="I2" s="7"/>
    </row>
    <row r="3" spans="1:19" x14ac:dyDescent="0.25">
      <c r="A3" s="9" t="s">
        <v>121</v>
      </c>
      <c r="D3" s="7"/>
      <c r="E3" s="7"/>
      <c r="F3" s="7"/>
      <c r="G3" s="6"/>
      <c r="H3" s="7"/>
      <c r="I3" s="7"/>
    </row>
    <row r="4" spans="1:19" s="9" customFormat="1" x14ac:dyDescent="0.25">
      <c r="A4" s="9" t="s">
        <v>128</v>
      </c>
      <c r="F4" s="11"/>
    </row>
    <row r="5" spans="1:19" x14ac:dyDescent="0.25">
      <c r="F5" s="5"/>
    </row>
    <row r="6" spans="1:19" x14ac:dyDescent="0.25">
      <c r="F6" s="1"/>
      <c r="L6" s="2"/>
      <c r="P6" s="4"/>
    </row>
    <row r="7" spans="1:19" s="9" customFormat="1" x14ac:dyDescent="0.2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x14ac:dyDescent="0.25">
      <c r="F8" s="1"/>
      <c r="L8" s="2"/>
      <c r="N8" s="1"/>
    </row>
    <row r="9" spans="1:19" x14ac:dyDescent="0.25">
      <c r="A9" t="s">
        <v>1</v>
      </c>
      <c r="C9" t="s">
        <v>2</v>
      </c>
      <c r="D9" t="s">
        <v>3</v>
      </c>
      <c r="F9" s="1" t="s">
        <v>4</v>
      </c>
      <c r="H9" t="s">
        <v>5</v>
      </c>
      <c r="J9" t="s">
        <v>6</v>
      </c>
      <c r="L9" s="2" t="s">
        <v>7</v>
      </c>
      <c r="N9" s="1" t="s">
        <v>8</v>
      </c>
      <c r="P9" s="2" t="s">
        <v>9</v>
      </c>
      <c r="R9" t="s">
        <v>10</v>
      </c>
      <c r="S9" t="s">
        <v>11</v>
      </c>
    </row>
    <row r="10" spans="1:19" x14ac:dyDescent="0.25">
      <c r="F10" s="1"/>
      <c r="L10" s="2"/>
      <c r="N10" s="1"/>
    </row>
    <row r="11" spans="1:19" x14ac:dyDescent="0.25">
      <c r="A11">
        <v>2007</v>
      </c>
      <c r="C11" t="s">
        <v>12</v>
      </c>
      <c r="D11">
        <v>210183134</v>
      </c>
      <c r="F11" s="1">
        <v>923</v>
      </c>
      <c r="H11" s="3">
        <v>44217</v>
      </c>
      <c r="J11">
        <v>98910</v>
      </c>
      <c r="L11" s="2"/>
      <c r="N11" s="1"/>
      <c r="P11" s="2">
        <v>22153</v>
      </c>
      <c r="R11" t="s">
        <v>13</v>
      </c>
      <c r="S11" t="s">
        <v>14</v>
      </c>
    </row>
    <row r="12" spans="1:19" x14ac:dyDescent="0.25">
      <c r="D12">
        <v>210186378</v>
      </c>
      <c r="F12" s="1">
        <v>923</v>
      </c>
      <c r="H12" s="3">
        <v>44237</v>
      </c>
      <c r="J12">
        <v>99013</v>
      </c>
      <c r="L12" s="2"/>
      <c r="N12" s="1"/>
      <c r="P12" s="2">
        <v>3745</v>
      </c>
      <c r="R12" t="s">
        <v>13</v>
      </c>
      <c r="S12" t="s">
        <v>14</v>
      </c>
    </row>
    <row r="13" spans="1:19" x14ac:dyDescent="0.25">
      <c r="D13">
        <v>210193079</v>
      </c>
      <c r="F13" s="1">
        <v>923</v>
      </c>
      <c r="H13" s="3">
        <v>44266</v>
      </c>
      <c r="J13">
        <v>99174</v>
      </c>
      <c r="L13" s="2"/>
      <c r="N13" s="1"/>
      <c r="P13" s="2">
        <v>3477.5</v>
      </c>
      <c r="R13" t="s">
        <v>13</v>
      </c>
      <c r="S13" t="s">
        <v>14</v>
      </c>
    </row>
    <row r="14" spans="1:19" x14ac:dyDescent="0.25">
      <c r="D14">
        <v>210898320</v>
      </c>
      <c r="F14" s="1">
        <v>923</v>
      </c>
      <c r="H14" s="3">
        <v>44294</v>
      </c>
      <c r="J14">
        <v>99388</v>
      </c>
      <c r="L14" s="2"/>
      <c r="N14" s="1"/>
      <c r="P14" s="2">
        <v>14796.2</v>
      </c>
      <c r="R14" t="s">
        <v>13</v>
      </c>
      <c r="S14" t="s">
        <v>14</v>
      </c>
    </row>
    <row r="15" spans="1:19" x14ac:dyDescent="0.25">
      <c r="D15">
        <v>210204595</v>
      </c>
      <c r="F15" s="1">
        <v>923</v>
      </c>
      <c r="H15" s="3">
        <v>44327</v>
      </c>
      <c r="J15">
        <v>99613</v>
      </c>
      <c r="L15" s="2"/>
      <c r="N15" s="1"/>
      <c r="P15" s="2">
        <v>7906.35</v>
      </c>
      <c r="R15" t="s">
        <v>13</v>
      </c>
      <c r="S15" t="s">
        <v>14</v>
      </c>
    </row>
    <row r="16" spans="1:19" x14ac:dyDescent="0.25">
      <c r="D16">
        <v>210212786</v>
      </c>
      <c r="F16" s="1">
        <v>923</v>
      </c>
      <c r="H16" s="3">
        <v>44363</v>
      </c>
      <c r="J16">
        <v>100049</v>
      </c>
      <c r="L16" s="2"/>
      <c r="N16" s="1"/>
      <c r="P16" s="2">
        <v>3798.5</v>
      </c>
      <c r="R16" t="s">
        <v>13</v>
      </c>
      <c r="S16" t="s">
        <v>14</v>
      </c>
    </row>
    <row r="17" spans="1:19" x14ac:dyDescent="0.25">
      <c r="D17">
        <v>210249887</v>
      </c>
      <c r="F17" s="1">
        <v>923</v>
      </c>
      <c r="H17" s="3">
        <v>44539</v>
      </c>
      <c r="J17">
        <v>101241</v>
      </c>
      <c r="L17" s="2"/>
      <c r="N17" s="1"/>
      <c r="P17" s="2">
        <v>321</v>
      </c>
      <c r="R17" t="s">
        <v>13</v>
      </c>
      <c r="S17" t="s">
        <v>14</v>
      </c>
    </row>
    <row r="18" spans="1:19" x14ac:dyDescent="0.25">
      <c r="F18" s="1"/>
      <c r="H18" s="3"/>
      <c r="L18" s="2"/>
      <c r="N18" s="1"/>
      <c r="P18" s="2"/>
    </row>
    <row r="19" spans="1:19" x14ac:dyDescent="0.25">
      <c r="A19">
        <v>19007</v>
      </c>
      <c r="C19" t="s">
        <v>15</v>
      </c>
      <c r="D19" t="s">
        <v>16</v>
      </c>
      <c r="F19" s="1">
        <v>923</v>
      </c>
      <c r="H19" s="3">
        <v>44210</v>
      </c>
      <c r="J19">
        <v>98831</v>
      </c>
      <c r="L19" s="2"/>
      <c r="N19" s="1"/>
      <c r="P19" s="2">
        <v>150</v>
      </c>
      <c r="R19" t="s">
        <v>17</v>
      </c>
      <c r="S19" t="s">
        <v>14</v>
      </c>
    </row>
    <row r="20" spans="1:19" x14ac:dyDescent="0.25">
      <c r="D20" t="s">
        <v>18</v>
      </c>
      <c r="F20" s="1">
        <v>923</v>
      </c>
      <c r="H20" s="3">
        <v>44294</v>
      </c>
      <c r="J20">
        <v>99269</v>
      </c>
      <c r="L20" s="2"/>
      <c r="N20" s="1"/>
      <c r="P20" s="2">
        <v>150</v>
      </c>
      <c r="R20" t="s">
        <v>17</v>
      </c>
      <c r="S20" t="s">
        <v>14</v>
      </c>
    </row>
    <row r="21" spans="1:19" x14ac:dyDescent="0.25">
      <c r="D21" t="s">
        <v>19</v>
      </c>
      <c r="F21" s="1">
        <v>923</v>
      </c>
      <c r="H21" s="3">
        <v>44385</v>
      </c>
      <c r="J21">
        <v>100133</v>
      </c>
      <c r="L21" s="2"/>
      <c r="N21" s="1"/>
      <c r="P21" s="2">
        <v>150</v>
      </c>
      <c r="R21" t="s">
        <v>17</v>
      </c>
      <c r="S21" t="s">
        <v>14</v>
      </c>
    </row>
    <row r="22" spans="1:19" x14ac:dyDescent="0.25">
      <c r="D22" t="s">
        <v>20</v>
      </c>
      <c r="F22" s="1">
        <v>923</v>
      </c>
      <c r="H22" s="3">
        <v>44476</v>
      </c>
      <c r="J22">
        <v>100768</v>
      </c>
      <c r="L22" s="2"/>
      <c r="N22" s="1"/>
      <c r="P22" s="2">
        <v>150</v>
      </c>
      <c r="R22" t="s">
        <v>17</v>
      </c>
      <c r="S22" t="s">
        <v>14</v>
      </c>
    </row>
    <row r="23" spans="1:19" x14ac:dyDescent="0.25">
      <c r="A23">
        <v>19015</v>
      </c>
      <c r="C23" t="s">
        <v>21</v>
      </c>
      <c r="D23" t="s">
        <v>22</v>
      </c>
      <c r="F23" s="1">
        <v>923</v>
      </c>
      <c r="H23" s="3">
        <v>44287</v>
      </c>
      <c r="J23">
        <v>99274</v>
      </c>
      <c r="L23" s="2">
        <v>170</v>
      </c>
      <c r="N23" s="1">
        <v>7.25</v>
      </c>
      <c r="P23" s="2">
        <v>1232.5</v>
      </c>
      <c r="R23" t="s">
        <v>23</v>
      </c>
      <c r="S23" t="s">
        <v>14</v>
      </c>
    </row>
    <row r="24" spans="1:19" x14ac:dyDescent="0.25">
      <c r="F24" s="1"/>
      <c r="H24" s="3"/>
      <c r="L24" s="2"/>
      <c r="N24" s="1"/>
      <c r="P24" s="2">
        <v>56.4</v>
      </c>
      <c r="R24" t="s">
        <v>24</v>
      </c>
      <c r="S24" t="s">
        <v>14</v>
      </c>
    </row>
    <row r="25" spans="1:19" x14ac:dyDescent="0.25">
      <c r="D25" t="s">
        <v>25</v>
      </c>
      <c r="F25" s="1">
        <v>923</v>
      </c>
      <c r="H25" s="3">
        <v>44378</v>
      </c>
      <c r="J25">
        <v>100138</v>
      </c>
      <c r="L25" s="2">
        <v>170</v>
      </c>
      <c r="N25" s="1">
        <v>11.6</v>
      </c>
      <c r="P25" s="2">
        <v>1972</v>
      </c>
      <c r="R25" t="s">
        <v>23</v>
      </c>
      <c r="S25" t="s">
        <v>14</v>
      </c>
    </row>
    <row r="26" spans="1:19" x14ac:dyDescent="0.25">
      <c r="F26" s="1"/>
      <c r="H26" s="3"/>
      <c r="L26" s="2"/>
      <c r="N26" s="1"/>
      <c r="P26" s="2">
        <v>22.2</v>
      </c>
      <c r="R26" t="s">
        <v>24</v>
      </c>
      <c r="S26" t="s">
        <v>14</v>
      </c>
    </row>
    <row r="27" spans="1:19" x14ac:dyDescent="0.25">
      <c r="D27" t="s">
        <v>26</v>
      </c>
      <c r="F27" s="1">
        <v>923</v>
      </c>
      <c r="H27" s="3">
        <v>44469</v>
      </c>
      <c r="J27">
        <v>100773</v>
      </c>
      <c r="L27" s="2">
        <v>170</v>
      </c>
      <c r="N27" s="1">
        <v>18.399999999999999</v>
      </c>
      <c r="P27" s="2">
        <v>3127.9999999999995</v>
      </c>
      <c r="R27" t="s">
        <v>23</v>
      </c>
      <c r="S27" t="s">
        <v>14</v>
      </c>
    </row>
    <row r="28" spans="1:19" x14ac:dyDescent="0.25">
      <c r="D28" t="s">
        <v>27</v>
      </c>
      <c r="F28" s="1">
        <v>923</v>
      </c>
      <c r="H28" s="3">
        <v>44561</v>
      </c>
      <c r="J28">
        <v>101455</v>
      </c>
      <c r="L28" s="2">
        <v>170</v>
      </c>
      <c r="N28" s="1">
        <v>5.85</v>
      </c>
      <c r="P28" s="2">
        <v>994.49999999999989</v>
      </c>
      <c r="R28" t="s">
        <v>23</v>
      </c>
      <c r="S28" t="s">
        <v>14</v>
      </c>
    </row>
    <row r="29" spans="1:19" x14ac:dyDescent="0.25">
      <c r="F29" s="1"/>
      <c r="H29" s="3"/>
      <c r="L29" s="2"/>
      <c r="N29" s="1"/>
      <c r="P29" s="2"/>
    </row>
    <row r="30" spans="1:19" x14ac:dyDescent="0.25">
      <c r="F30" s="1"/>
      <c r="H30" s="3"/>
      <c r="L30" s="2"/>
      <c r="N30" s="1"/>
      <c r="P30" s="2"/>
    </row>
    <row r="31" spans="1:19" x14ac:dyDescent="0.25">
      <c r="F31" s="1"/>
      <c r="H31" s="3"/>
      <c r="L31" s="2"/>
      <c r="N31" s="1"/>
      <c r="P31" s="2"/>
    </row>
    <row r="32" spans="1:19" x14ac:dyDescent="0.25">
      <c r="A32">
        <v>10035</v>
      </c>
      <c r="C32" t="s">
        <v>28</v>
      </c>
      <c r="D32">
        <v>128594</v>
      </c>
      <c r="F32" s="1">
        <v>923</v>
      </c>
      <c r="H32" s="3">
        <v>44348</v>
      </c>
      <c r="J32">
        <v>100054</v>
      </c>
      <c r="L32" s="2"/>
      <c r="N32" s="1"/>
      <c r="P32" s="2">
        <v>800</v>
      </c>
      <c r="R32" t="s">
        <v>29</v>
      </c>
      <c r="S32" t="s">
        <v>30</v>
      </c>
    </row>
    <row r="33" spans="1:19" x14ac:dyDescent="0.25">
      <c r="D33">
        <v>129424</v>
      </c>
      <c r="F33" s="1">
        <v>923</v>
      </c>
      <c r="G33" s="3">
        <v>44504</v>
      </c>
      <c r="H33" s="3">
        <v>44484</v>
      </c>
      <c r="J33">
        <v>100933</v>
      </c>
      <c r="L33" s="2"/>
      <c r="N33" s="1"/>
      <c r="P33" s="2">
        <v>13750</v>
      </c>
      <c r="R33" t="s">
        <v>31</v>
      </c>
      <c r="S33" t="s">
        <v>30</v>
      </c>
    </row>
    <row r="34" spans="1:19" x14ac:dyDescent="0.25">
      <c r="F34" s="1"/>
      <c r="G34" s="3"/>
      <c r="H34" s="3"/>
      <c r="L34" s="2"/>
      <c r="N34" s="1"/>
      <c r="P34" s="2">
        <v>14550</v>
      </c>
    </row>
    <row r="35" spans="1:19" x14ac:dyDescent="0.25">
      <c r="F35" s="1"/>
      <c r="G35" s="3"/>
      <c r="H35" s="3"/>
      <c r="L35" s="2"/>
      <c r="N35" s="1"/>
      <c r="P35" s="2"/>
    </row>
    <row r="36" spans="1:19" x14ac:dyDescent="0.25">
      <c r="F36" s="1"/>
      <c r="G36" s="3"/>
      <c r="H36" s="3"/>
      <c r="L36" s="2"/>
      <c r="N36" s="1"/>
      <c r="P36" s="2"/>
    </row>
    <row r="37" spans="1:19" x14ac:dyDescent="0.25">
      <c r="A37">
        <v>13064</v>
      </c>
      <c r="C37" t="s">
        <v>32</v>
      </c>
      <c r="D37">
        <v>10531</v>
      </c>
      <c r="F37" s="1">
        <v>923</v>
      </c>
      <c r="H37" s="3">
        <v>44500</v>
      </c>
      <c r="J37">
        <v>101042</v>
      </c>
      <c r="L37" s="2">
        <v>79</v>
      </c>
      <c r="N37" s="1">
        <v>12</v>
      </c>
      <c r="P37" s="2">
        <v>948</v>
      </c>
      <c r="R37" t="s">
        <v>33</v>
      </c>
      <c r="S37" t="s">
        <v>34</v>
      </c>
    </row>
    <row r="38" spans="1:19" x14ac:dyDescent="0.25">
      <c r="F38" s="1"/>
      <c r="H38" s="3"/>
      <c r="L38" s="2"/>
      <c r="N38" s="1"/>
      <c r="P38" s="2">
        <v>1267.24</v>
      </c>
      <c r="R38" t="s">
        <v>35</v>
      </c>
      <c r="S38" t="s">
        <v>34</v>
      </c>
    </row>
    <row r="39" spans="1:19" x14ac:dyDescent="0.25">
      <c r="D39">
        <v>10607</v>
      </c>
      <c r="F39" s="1">
        <v>923</v>
      </c>
      <c r="H39" s="3">
        <v>44530</v>
      </c>
      <c r="J39">
        <v>101369</v>
      </c>
      <c r="L39" s="2">
        <v>79</v>
      </c>
      <c r="N39" s="1">
        <v>12.5</v>
      </c>
      <c r="P39" s="2">
        <v>987.5</v>
      </c>
      <c r="R39" t="s">
        <v>33</v>
      </c>
      <c r="S39" t="s">
        <v>34</v>
      </c>
    </row>
    <row r="40" spans="1:19" x14ac:dyDescent="0.25">
      <c r="D40">
        <v>10753</v>
      </c>
      <c r="F40" s="1">
        <v>923</v>
      </c>
      <c r="H40" s="3">
        <v>44561</v>
      </c>
      <c r="J40">
        <v>101510</v>
      </c>
      <c r="L40" s="2">
        <v>79</v>
      </c>
      <c r="N40" s="1">
        <v>3.75</v>
      </c>
      <c r="P40" s="2">
        <v>296.25</v>
      </c>
      <c r="R40" t="s">
        <v>33</v>
      </c>
      <c r="S40" t="s">
        <v>34</v>
      </c>
    </row>
    <row r="41" spans="1:19" x14ac:dyDescent="0.25">
      <c r="A41">
        <v>16001</v>
      </c>
      <c r="C41" t="s">
        <v>36</v>
      </c>
      <c r="D41">
        <v>56603</v>
      </c>
      <c r="F41" s="1" t="s">
        <v>37</v>
      </c>
      <c r="H41" s="3">
        <v>44227</v>
      </c>
      <c r="J41">
        <v>99022</v>
      </c>
      <c r="L41" s="2"/>
      <c r="N41" s="1"/>
      <c r="P41" s="2">
        <v>1088</v>
      </c>
      <c r="R41" t="s">
        <v>17</v>
      </c>
      <c r="S41" t="s">
        <v>34</v>
      </c>
    </row>
    <row r="42" spans="1:19" x14ac:dyDescent="0.25">
      <c r="D42">
        <v>56965</v>
      </c>
      <c r="F42" s="1" t="s">
        <v>37</v>
      </c>
      <c r="H42" s="3">
        <v>44256</v>
      </c>
      <c r="J42">
        <v>99200</v>
      </c>
      <c r="L42" s="2"/>
      <c r="N42" s="1"/>
      <c r="P42" s="2">
        <v>1088</v>
      </c>
      <c r="R42" t="s">
        <v>17</v>
      </c>
      <c r="S42" t="s">
        <v>34</v>
      </c>
    </row>
    <row r="43" spans="1:19" x14ac:dyDescent="0.25">
      <c r="D43">
        <v>57095</v>
      </c>
      <c r="F43" s="1">
        <v>107</v>
      </c>
      <c r="H43" s="3"/>
      <c r="L43" s="2">
        <v>189</v>
      </c>
      <c r="N43" s="1">
        <v>32.5</v>
      </c>
      <c r="P43" s="2">
        <v>6142.5</v>
      </c>
      <c r="R43" t="s">
        <v>38</v>
      </c>
      <c r="S43" t="s">
        <v>34</v>
      </c>
    </row>
    <row r="44" spans="1:19" x14ac:dyDescent="0.25">
      <c r="F44" s="1"/>
      <c r="H44" s="3"/>
      <c r="L44" s="2"/>
      <c r="N44" s="1"/>
      <c r="P44" s="2">
        <v>279.88</v>
      </c>
      <c r="R44" t="s">
        <v>39</v>
      </c>
      <c r="S44" t="s">
        <v>34</v>
      </c>
    </row>
    <row r="45" spans="1:19" x14ac:dyDescent="0.25">
      <c r="D45">
        <v>57297</v>
      </c>
      <c r="F45" s="1" t="s">
        <v>37</v>
      </c>
      <c r="H45" s="3">
        <v>44287</v>
      </c>
      <c r="J45">
        <v>99430</v>
      </c>
      <c r="L45" s="2"/>
      <c r="N45" s="1"/>
      <c r="P45" s="2">
        <v>1088</v>
      </c>
      <c r="R45" t="s">
        <v>17</v>
      </c>
      <c r="S45" t="s">
        <v>34</v>
      </c>
    </row>
    <row r="46" spans="1:19" x14ac:dyDescent="0.25">
      <c r="D46">
        <v>57640</v>
      </c>
      <c r="F46" s="1">
        <v>923</v>
      </c>
      <c r="H46" s="3">
        <v>44316</v>
      </c>
      <c r="J46">
        <v>99629</v>
      </c>
      <c r="L46" s="2"/>
      <c r="N46" s="1"/>
      <c r="P46" s="2">
        <v>1088</v>
      </c>
      <c r="R46" t="s">
        <v>17</v>
      </c>
      <c r="S46" t="s">
        <v>34</v>
      </c>
    </row>
    <row r="47" spans="1:19" x14ac:dyDescent="0.25">
      <c r="D47">
        <v>58032</v>
      </c>
      <c r="F47" s="1">
        <v>923</v>
      </c>
      <c r="H47" s="3">
        <v>44347</v>
      </c>
      <c r="J47">
        <v>99980</v>
      </c>
      <c r="L47" s="2"/>
      <c r="N47" s="1"/>
      <c r="P47" s="2">
        <v>1088</v>
      </c>
      <c r="R47" t="s">
        <v>17</v>
      </c>
      <c r="S47" t="s">
        <v>34</v>
      </c>
    </row>
    <row r="48" spans="1:19" x14ac:dyDescent="0.25">
      <c r="D48">
        <v>58144</v>
      </c>
      <c r="F48" s="1">
        <v>107</v>
      </c>
      <c r="H48" s="3">
        <v>44347</v>
      </c>
      <c r="L48" s="2">
        <v>189</v>
      </c>
      <c r="N48" s="1">
        <v>31.5</v>
      </c>
      <c r="P48" s="2">
        <v>5953.5</v>
      </c>
      <c r="R48" t="s">
        <v>38</v>
      </c>
      <c r="S48" t="s">
        <v>34</v>
      </c>
    </row>
    <row r="49" spans="1:19" x14ac:dyDescent="0.25">
      <c r="F49" s="1"/>
      <c r="L49" s="2"/>
      <c r="N49" s="1"/>
      <c r="P49" s="2">
        <v>261.02999999999997</v>
      </c>
      <c r="R49" t="s">
        <v>39</v>
      </c>
      <c r="S49" t="s">
        <v>34</v>
      </c>
    </row>
    <row r="50" spans="1:19" x14ac:dyDescent="0.25">
      <c r="D50">
        <v>58349</v>
      </c>
      <c r="F50" s="1">
        <v>107</v>
      </c>
      <c r="H50" s="3">
        <v>44377</v>
      </c>
      <c r="J50">
        <v>100168</v>
      </c>
      <c r="L50" s="2"/>
      <c r="N50" s="1"/>
      <c r="P50" s="2">
        <v>1088</v>
      </c>
      <c r="R50" t="s">
        <v>17</v>
      </c>
      <c r="S50" t="s">
        <v>34</v>
      </c>
    </row>
    <row r="51" spans="1:19" x14ac:dyDescent="0.25">
      <c r="D51">
        <v>58742</v>
      </c>
      <c r="F51" s="1">
        <v>107</v>
      </c>
      <c r="H51" s="3">
        <v>44409</v>
      </c>
      <c r="J51">
        <v>100479</v>
      </c>
      <c r="L51" s="2"/>
      <c r="N51" s="1"/>
      <c r="P51" s="2">
        <v>1088</v>
      </c>
      <c r="R51" t="s">
        <v>17</v>
      </c>
      <c r="S51" t="s">
        <v>34</v>
      </c>
    </row>
    <row r="52" spans="1:19" x14ac:dyDescent="0.25">
      <c r="D52">
        <v>59226</v>
      </c>
      <c r="F52" s="1">
        <v>107</v>
      </c>
      <c r="H52" s="3">
        <v>44439</v>
      </c>
      <c r="J52">
        <v>100703</v>
      </c>
      <c r="L52" s="2"/>
      <c r="N52" s="1"/>
      <c r="P52" s="2">
        <v>1088</v>
      </c>
      <c r="R52" t="s">
        <v>17</v>
      </c>
      <c r="S52" t="s">
        <v>34</v>
      </c>
    </row>
    <row r="53" spans="1:19" x14ac:dyDescent="0.25">
      <c r="D53">
        <v>59330</v>
      </c>
      <c r="F53" s="1"/>
      <c r="H53" s="3"/>
      <c r="L53" s="2">
        <v>189</v>
      </c>
      <c r="N53" s="1">
        <v>33</v>
      </c>
      <c r="P53" s="2">
        <v>6237</v>
      </c>
      <c r="R53" t="s">
        <v>38</v>
      </c>
      <c r="S53" t="s">
        <v>34</v>
      </c>
    </row>
    <row r="54" spans="1:19" x14ac:dyDescent="0.25">
      <c r="F54" s="1"/>
      <c r="H54" s="3"/>
      <c r="L54" s="2"/>
      <c r="N54" s="1"/>
      <c r="P54" s="2">
        <v>240.43</v>
      </c>
      <c r="R54" t="s">
        <v>39</v>
      </c>
      <c r="S54" t="s">
        <v>34</v>
      </c>
    </row>
    <row r="55" spans="1:19" x14ac:dyDescent="0.25">
      <c r="D55">
        <v>59540</v>
      </c>
      <c r="F55" s="1" t="s">
        <v>40</v>
      </c>
      <c r="H55" s="3">
        <v>44470</v>
      </c>
      <c r="J55">
        <v>100880</v>
      </c>
      <c r="L55" s="2"/>
      <c r="N55" s="1"/>
      <c r="P55" s="2">
        <v>1088</v>
      </c>
      <c r="R55" t="s">
        <v>17</v>
      </c>
      <c r="S55" t="s">
        <v>34</v>
      </c>
    </row>
    <row r="56" spans="1:19" x14ac:dyDescent="0.25">
      <c r="D56">
        <v>59944</v>
      </c>
      <c r="F56" s="1">
        <v>923</v>
      </c>
      <c r="H56" s="3">
        <v>44500</v>
      </c>
      <c r="J56">
        <v>101043</v>
      </c>
      <c r="L56" s="2"/>
      <c r="N56" s="1"/>
      <c r="P56" s="2">
        <v>1088</v>
      </c>
      <c r="R56" t="s">
        <v>17</v>
      </c>
      <c r="S56" t="s">
        <v>34</v>
      </c>
    </row>
    <row r="57" spans="1:19" x14ac:dyDescent="0.25">
      <c r="D57">
        <v>60292</v>
      </c>
      <c r="F57" s="1">
        <v>923</v>
      </c>
      <c r="H57" s="3">
        <v>44530</v>
      </c>
      <c r="J57">
        <v>101252</v>
      </c>
      <c r="L57" s="2"/>
      <c r="N57" s="1"/>
      <c r="P57" s="2">
        <v>1088</v>
      </c>
      <c r="R57" t="s">
        <v>17</v>
      </c>
      <c r="S57" t="s">
        <v>34</v>
      </c>
    </row>
    <row r="58" spans="1:19" x14ac:dyDescent="0.25">
      <c r="D58">
        <v>60423</v>
      </c>
      <c r="F58" s="1">
        <v>107</v>
      </c>
      <c r="H58" s="3"/>
      <c r="L58" s="2">
        <v>189</v>
      </c>
      <c r="N58" s="1">
        <v>32</v>
      </c>
      <c r="P58" s="2">
        <v>6048</v>
      </c>
      <c r="R58" t="s">
        <v>38</v>
      </c>
      <c r="S58" t="s">
        <v>34</v>
      </c>
    </row>
    <row r="59" spans="1:19" x14ac:dyDescent="0.25">
      <c r="F59" s="1"/>
      <c r="H59" s="3"/>
      <c r="L59" s="2"/>
      <c r="N59" s="1"/>
      <c r="P59" s="2">
        <v>127.13</v>
      </c>
      <c r="R59" t="s">
        <v>39</v>
      </c>
      <c r="S59" t="s">
        <v>34</v>
      </c>
    </row>
    <row r="60" spans="1:19" x14ac:dyDescent="0.25">
      <c r="D60">
        <v>60646</v>
      </c>
      <c r="F60" s="1">
        <v>923</v>
      </c>
      <c r="H60" s="3">
        <v>44561</v>
      </c>
      <c r="J60">
        <v>101512</v>
      </c>
      <c r="L60" s="2"/>
      <c r="N60" s="1"/>
      <c r="P60" s="2">
        <v>1088</v>
      </c>
      <c r="R60" t="s">
        <v>17</v>
      </c>
      <c r="S60" t="s">
        <v>34</v>
      </c>
    </row>
    <row r="61" spans="1:19" x14ac:dyDescent="0.25">
      <c r="A61">
        <v>16073</v>
      </c>
      <c r="C61" t="s">
        <v>41</v>
      </c>
      <c r="D61">
        <v>9037231</v>
      </c>
      <c r="F61" s="1">
        <v>923</v>
      </c>
      <c r="H61" s="3">
        <v>44409</v>
      </c>
      <c r="J61">
        <v>100525</v>
      </c>
      <c r="L61" s="2">
        <v>180</v>
      </c>
      <c r="N61" s="1">
        <v>12</v>
      </c>
      <c r="P61" s="2">
        <v>2160</v>
      </c>
      <c r="R61" t="s">
        <v>42</v>
      </c>
      <c r="S61" t="s">
        <v>34</v>
      </c>
    </row>
    <row r="62" spans="1:19" x14ac:dyDescent="0.25">
      <c r="D62">
        <v>9038708</v>
      </c>
      <c r="F62" s="1">
        <v>923</v>
      </c>
      <c r="H62" s="3">
        <v>44446</v>
      </c>
      <c r="J62">
        <v>100058</v>
      </c>
      <c r="L62" s="2">
        <v>180</v>
      </c>
      <c r="N62" s="1">
        <v>2.5</v>
      </c>
      <c r="P62" s="2">
        <v>450</v>
      </c>
      <c r="R62" t="s">
        <v>42</v>
      </c>
      <c r="S62" t="s">
        <v>34</v>
      </c>
    </row>
    <row r="63" spans="1:19" x14ac:dyDescent="0.25">
      <c r="D63">
        <v>9039621</v>
      </c>
      <c r="F63" s="1">
        <v>923</v>
      </c>
      <c r="H63" s="3">
        <v>44531</v>
      </c>
      <c r="J63">
        <v>101218</v>
      </c>
      <c r="L63" s="2">
        <v>180</v>
      </c>
      <c r="N63" s="1">
        <v>3</v>
      </c>
      <c r="P63" s="2">
        <v>540</v>
      </c>
      <c r="R63" t="s">
        <v>42</v>
      </c>
      <c r="S63" t="s">
        <v>34</v>
      </c>
    </row>
    <row r="64" spans="1:19" x14ac:dyDescent="0.25">
      <c r="F64" s="1"/>
      <c r="H64" s="3"/>
      <c r="L64" s="2"/>
      <c r="N64" s="1"/>
      <c r="P64" s="2">
        <v>44994.46</v>
      </c>
    </row>
    <row r="65" spans="1:16" x14ac:dyDescent="0.25">
      <c r="F65" s="1"/>
      <c r="H65" s="3"/>
      <c r="L65" s="2"/>
      <c r="N65" s="1"/>
      <c r="P65" s="2"/>
    </row>
    <row r="67" spans="1:16" x14ac:dyDescent="0.25">
      <c r="C67" t="s">
        <v>43</v>
      </c>
      <c r="F67" s="1"/>
      <c r="L67" s="2"/>
      <c r="N67" s="1"/>
      <c r="P67" s="2">
        <v>123747.61</v>
      </c>
    </row>
    <row r="68" spans="1:16" x14ac:dyDescent="0.25">
      <c r="F68" s="1"/>
      <c r="L68" s="2"/>
      <c r="N68" s="1"/>
    </row>
    <row r="70" spans="1:16" x14ac:dyDescent="0.25">
      <c r="A70" t="s">
        <v>132</v>
      </c>
    </row>
  </sheetData>
  <mergeCells count="1">
    <mergeCell ref="A7:S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93BA-284D-4D15-8EA6-2FA96097CE83}">
  <dimension ref="A1:S107"/>
  <sheetViews>
    <sheetView workbookViewId="0">
      <pane ySplit="9" topLeftCell="A10" activePane="bottomLeft" state="frozen"/>
      <selection pane="bottomLeft" activeCell="S2" sqref="S2"/>
    </sheetView>
  </sheetViews>
  <sheetFormatPr defaultRowHeight="15" x14ac:dyDescent="0.25"/>
  <cols>
    <col min="3" max="3" width="24.85546875" bestFit="1" customWidth="1"/>
    <col min="4" max="4" width="15" bestFit="1" customWidth="1"/>
    <col min="6" max="6" width="8.85546875" style="1"/>
    <col min="8" max="8" width="10.28515625" bestFit="1" customWidth="1"/>
    <col min="12" max="12" width="8.85546875" style="2"/>
    <col min="16" max="16" width="8.85546875" style="5" bestFit="1" customWidth="1"/>
    <col min="18" max="18" width="26.5703125" customWidth="1"/>
    <col min="19" max="19" width="12" customWidth="1"/>
  </cols>
  <sheetData>
    <row r="1" spans="1:19" x14ac:dyDescent="0.25">
      <c r="A1" s="9" t="s">
        <v>119</v>
      </c>
      <c r="D1" s="7"/>
      <c r="E1" s="7"/>
      <c r="F1" s="7"/>
      <c r="G1" s="10"/>
      <c r="H1" s="7"/>
      <c r="I1" s="7"/>
      <c r="L1"/>
      <c r="P1"/>
      <c r="S1" t="s">
        <v>131</v>
      </c>
    </row>
    <row r="2" spans="1:19" x14ac:dyDescent="0.25">
      <c r="A2" s="9" t="s">
        <v>120</v>
      </c>
      <c r="D2" s="7"/>
      <c r="E2" s="7"/>
      <c r="F2" s="7"/>
      <c r="G2" s="6"/>
      <c r="H2" s="7"/>
      <c r="I2" s="7"/>
      <c r="L2"/>
      <c r="P2"/>
    </row>
    <row r="3" spans="1:19" x14ac:dyDescent="0.25">
      <c r="A3" s="9" t="s">
        <v>121</v>
      </c>
      <c r="D3" s="7"/>
      <c r="E3" s="7"/>
      <c r="F3" s="7"/>
      <c r="G3" s="6"/>
      <c r="H3" s="7"/>
      <c r="I3" s="7"/>
      <c r="L3"/>
      <c r="P3"/>
    </row>
    <row r="4" spans="1:19" s="9" customFormat="1" x14ac:dyDescent="0.25">
      <c r="A4" s="9" t="s">
        <v>130</v>
      </c>
      <c r="F4" s="11"/>
    </row>
    <row r="5" spans="1:19" x14ac:dyDescent="0.25">
      <c r="F5" s="5"/>
      <c r="L5"/>
      <c r="P5"/>
    </row>
    <row r="6" spans="1:19" x14ac:dyDescent="0.25">
      <c r="P6" s="4"/>
    </row>
    <row r="7" spans="1:19" s="9" customFormat="1" x14ac:dyDescent="0.2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x14ac:dyDescent="0.25">
      <c r="N8" s="1"/>
      <c r="P8"/>
    </row>
    <row r="9" spans="1:19" x14ac:dyDescent="0.25">
      <c r="A9" t="s">
        <v>1</v>
      </c>
      <c r="C9" t="s">
        <v>2</v>
      </c>
      <c r="D9" t="s">
        <v>3</v>
      </c>
      <c r="F9" s="1" t="s">
        <v>4</v>
      </c>
      <c r="H9" t="s">
        <v>5</v>
      </c>
      <c r="J9" t="s">
        <v>6</v>
      </c>
      <c r="L9" s="2" t="s">
        <v>7</v>
      </c>
      <c r="N9" s="1" t="s">
        <v>8</v>
      </c>
      <c r="P9" s="5" t="s">
        <v>9</v>
      </c>
      <c r="R9" t="s">
        <v>10</v>
      </c>
      <c r="S9" t="s">
        <v>11</v>
      </c>
    </row>
    <row r="10" spans="1:19" x14ac:dyDescent="0.25">
      <c r="N10" s="1"/>
    </row>
    <row r="11" spans="1:19" x14ac:dyDescent="0.25">
      <c r="A11">
        <v>2007</v>
      </c>
      <c r="C11" t="s">
        <v>12</v>
      </c>
      <c r="D11">
        <v>210257242</v>
      </c>
      <c r="F11" s="1">
        <v>923</v>
      </c>
      <c r="H11" s="3">
        <v>44725</v>
      </c>
      <c r="J11">
        <v>101503</v>
      </c>
      <c r="P11" s="5">
        <v>267.5</v>
      </c>
      <c r="R11" t="s">
        <v>13</v>
      </c>
      <c r="S11" t="s">
        <v>14</v>
      </c>
    </row>
    <row r="12" spans="1:19" x14ac:dyDescent="0.25">
      <c r="D12">
        <v>210263485</v>
      </c>
      <c r="F12" s="1">
        <v>923</v>
      </c>
      <c r="H12" s="3">
        <v>44607</v>
      </c>
      <c r="J12">
        <v>101692</v>
      </c>
      <c r="P12" s="5">
        <v>1123.5</v>
      </c>
      <c r="R12" t="s">
        <v>13</v>
      </c>
      <c r="S12" t="s">
        <v>14</v>
      </c>
    </row>
    <row r="13" spans="1:19" x14ac:dyDescent="0.25">
      <c r="D13">
        <v>210268783</v>
      </c>
      <c r="F13" s="1">
        <v>923</v>
      </c>
      <c r="H13" s="3">
        <v>44630</v>
      </c>
      <c r="J13">
        <v>101803</v>
      </c>
      <c r="P13" s="5">
        <v>5562.5</v>
      </c>
      <c r="R13" t="s">
        <v>13</v>
      </c>
      <c r="S13" t="s">
        <v>14</v>
      </c>
    </row>
    <row r="14" spans="1:19" x14ac:dyDescent="0.25">
      <c r="D14">
        <v>210276016</v>
      </c>
      <c r="F14" s="1">
        <v>923</v>
      </c>
      <c r="H14" s="3">
        <v>44672</v>
      </c>
      <c r="J14">
        <v>102046</v>
      </c>
      <c r="P14" s="5">
        <v>2247</v>
      </c>
      <c r="R14" t="s">
        <v>13</v>
      </c>
      <c r="S14" t="s">
        <v>14</v>
      </c>
    </row>
    <row r="15" spans="1:19" x14ac:dyDescent="0.25">
      <c r="P15" s="5">
        <f>SUM(P11:P14)</f>
        <v>9200.5</v>
      </c>
    </row>
    <row r="17" spans="1:19" x14ac:dyDescent="0.25">
      <c r="A17">
        <v>19007</v>
      </c>
      <c r="C17" t="s">
        <v>15</v>
      </c>
      <c r="D17" t="s">
        <v>57</v>
      </c>
      <c r="F17" s="1">
        <v>923</v>
      </c>
      <c r="H17" s="3">
        <v>44574</v>
      </c>
      <c r="J17">
        <v>101450</v>
      </c>
      <c r="P17" s="5">
        <v>150</v>
      </c>
      <c r="R17" t="s">
        <v>45</v>
      </c>
      <c r="S17" t="s">
        <v>14</v>
      </c>
    </row>
    <row r="18" spans="1:19" x14ac:dyDescent="0.25">
      <c r="D18" t="s">
        <v>58</v>
      </c>
      <c r="F18" s="1">
        <v>923</v>
      </c>
      <c r="H18" s="3">
        <v>44665</v>
      </c>
      <c r="J18">
        <v>102021</v>
      </c>
      <c r="P18" s="5">
        <v>150</v>
      </c>
      <c r="R18" t="s">
        <v>45</v>
      </c>
      <c r="S18" t="s">
        <v>14</v>
      </c>
    </row>
    <row r="19" spans="1:19" x14ac:dyDescent="0.25">
      <c r="D19" t="s">
        <v>59</v>
      </c>
      <c r="F19" s="1">
        <v>923</v>
      </c>
      <c r="H19" s="3">
        <v>44756</v>
      </c>
      <c r="J19">
        <v>102782</v>
      </c>
      <c r="P19" s="5">
        <v>150</v>
      </c>
      <c r="R19" t="s">
        <v>45</v>
      </c>
      <c r="S19" t="s">
        <v>14</v>
      </c>
    </row>
    <row r="20" spans="1:19" x14ac:dyDescent="0.25">
      <c r="D20" t="s">
        <v>60</v>
      </c>
      <c r="F20" s="1">
        <v>923</v>
      </c>
      <c r="H20" s="3">
        <v>44784</v>
      </c>
      <c r="J20">
        <v>103023</v>
      </c>
      <c r="P20" s="5">
        <v>50</v>
      </c>
      <c r="R20" t="s">
        <v>45</v>
      </c>
      <c r="S20" t="s">
        <v>14</v>
      </c>
    </row>
    <row r="21" spans="1:19" x14ac:dyDescent="0.25">
      <c r="H21" s="3"/>
    </row>
    <row r="22" spans="1:19" x14ac:dyDescent="0.25">
      <c r="A22">
        <v>19015</v>
      </c>
      <c r="C22" t="s">
        <v>21</v>
      </c>
      <c r="D22" t="s">
        <v>82</v>
      </c>
      <c r="F22" s="1">
        <v>923</v>
      </c>
      <c r="H22" s="3">
        <v>44748</v>
      </c>
      <c r="J22">
        <v>102765</v>
      </c>
      <c r="L22" s="2">
        <v>170</v>
      </c>
      <c r="N22">
        <v>18.100000000000001</v>
      </c>
      <c r="P22" s="5">
        <v>3077</v>
      </c>
      <c r="R22" t="s">
        <v>23</v>
      </c>
      <c r="S22" t="s">
        <v>14</v>
      </c>
    </row>
    <row r="23" spans="1:19" x14ac:dyDescent="0.25">
      <c r="D23" t="s">
        <v>83</v>
      </c>
      <c r="F23" s="1">
        <v>923</v>
      </c>
      <c r="H23" s="3">
        <v>44651</v>
      </c>
      <c r="J23">
        <v>101927</v>
      </c>
      <c r="L23" s="2">
        <v>170</v>
      </c>
      <c r="N23">
        <v>5</v>
      </c>
      <c r="P23" s="5">
        <v>850</v>
      </c>
      <c r="R23" t="s">
        <v>23</v>
      </c>
      <c r="S23" t="s">
        <v>14</v>
      </c>
    </row>
    <row r="25" spans="1:19" x14ac:dyDescent="0.25">
      <c r="A25">
        <v>10035</v>
      </c>
      <c r="C25" t="s">
        <v>28</v>
      </c>
      <c r="D25">
        <v>130967</v>
      </c>
      <c r="F25" s="1">
        <v>923</v>
      </c>
      <c r="H25" s="3">
        <v>44742</v>
      </c>
      <c r="J25">
        <v>102814</v>
      </c>
      <c r="P25" s="5">
        <v>4300</v>
      </c>
      <c r="R25" t="s">
        <v>86</v>
      </c>
      <c r="S25" t="s">
        <v>30</v>
      </c>
    </row>
    <row r="26" spans="1:19" x14ac:dyDescent="0.25">
      <c r="D26">
        <v>131842</v>
      </c>
      <c r="F26" s="1">
        <v>923</v>
      </c>
      <c r="H26" s="3">
        <v>44895</v>
      </c>
      <c r="J26">
        <v>103873</v>
      </c>
      <c r="P26" s="5">
        <v>800</v>
      </c>
      <c r="R26" t="s">
        <v>29</v>
      </c>
      <c r="S26" t="s">
        <v>30</v>
      </c>
    </row>
    <row r="27" spans="1:19" x14ac:dyDescent="0.25">
      <c r="D27" s="6" t="s">
        <v>87</v>
      </c>
      <c r="F27" s="1">
        <v>923</v>
      </c>
      <c r="H27" s="3">
        <v>44895</v>
      </c>
      <c r="J27">
        <v>103873</v>
      </c>
      <c r="P27" s="5">
        <v>14500</v>
      </c>
      <c r="R27" t="s">
        <v>31</v>
      </c>
      <c r="S27" t="s">
        <v>30</v>
      </c>
    </row>
    <row r="29" spans="1:19" x14ac:dyDescent="0.25">
      <c r="A29">
        <v>13064</v>
      </c>
      <c r="C29" t="s">
        <v>32</v>
      </c>
      <c r="D29">
        <v>10906</v>
      </c>
      <c r="F29" s="1">
        <v>923</v>
      </c>
      <c r="H29" s="3">
        <v>44620</v>
      </c>
      <c r="J29">
        <v>101808</v>
      </c>
      <c r="L29" s="2">
        <v>110</v>
      </c>
      <c r="N29">
        <v>25.75</v>
      </c>
      <c r="P29" s="5">
        <v>2832.5</v>
      </c>
      <c r="R29" t="s">
        <v>33</v>
      </c>
      <c r="S29" t="s">
        <v>34</v>
      </c>
    </row>
    <row r="30" spans="1:19" x14ac:dyDescent="0.25">
      <c r="D30">
        <v>11000</v>
      </c>
      <c r="F30" s="1">
        <v>923</v>
      </c>
      <c r="H30" s="3">
        <v>44651</v>
      </c>
      <c r="J30">
        <v>102053</v>
      </c>
      <c r="L30" s="2">
        <v>110</v>
      </c>
      <c r="N30">
        <v>4.5</v>
      </c>
      <c r="P30" s="5">
        <v>495</v>
      </c>
      <c r="R30" t="s">
        <v>33</v>
      </c>
      <c r="S30" t="s">
        <v>34</v>
      </c>
    </row>
    <row r="31" spans="1:19" x14ac:dyDescent="0.25">
      <c r="D31">
        <v>11184</v>
      </c>
      <c r="F31" s="1">
        <v>923</v>
      </c>
      <c r="H31" s="3">
        <v>44712</v>
      </c>
      <c r="J31">
        <v>102624</v>
      </c>
      <c r="L31" s="2">
        <v>110</v>
      </c>
      <c r="N31">
        <v>9.75</v>
      </c>
      <c r="P31" s="5">
        <v>1072.5</v>
      </c>
      <c r="R31" t="s">
        <v>33</v>
      </c>
      <c r="S31" t="s">
        <v>34</v>
      </c>
    </row>
    <row r="32" spans="1:19" x14ac:dyDescent="0.25">
      <c r="D32">
        <v>11469</v>
      </c>
      <c r="F32" s="1">
        <v>923</v>
      </c>
      <c r="H32" s="3">
        <v>44804</v>
      </c>
      <c r="J32">
        <v>103311</v>
      </c>
      <c r="L32" s="2">
        <v>110</v>
      </c>
      <c r="N32">
        <v>8.75</v>
      </c>
      <c r="P32" s="5">
        <f>110*8.75</f>
        <v>962.5</v>
      </c>
      <c r="R32" t="s">
        <v>88</v>
      </c>
      <c r="S32" t="s">
        <v>34</v>
      </c>
    </row>
    <row r="33" spans="1:19" x14ac:dyDescent="0.25">
      <c r="L33" s="2">
        <v>92</v>
      </c>
      <c r="N33">
        <v>1</v>
      </c>
      <c r="P33" s="5">
        <f>1*92</f>
        <v>92</v>
      </c>
      <c r="R33" t="s">
        <v>89</v>
      </c>
      <c r="S33" t="s">
        <v>34</v>
      </c>
    </row>
    <row r="34" spans="1:19" x14ac:dyDescent="0.25">
      <c r="L34" s="2">
        <v>64</v>
      </c>
      <c r="N34">
        <v>38.5</v>
      </c>
      <c r="P34" s="5">
        <f>38.5*64</f>
        <v>2464</v>
      </c>
      <c r="R34" t="s">
        <v>90</v>
      </c>
      <c r="S34" t="s">
        <v>34</v>
      </c>
    </row>
    <row r="35" spans="1:19" x14ac:dyDescent="0.25">
      <c r="L35" s="2">
        <v>122.5</v>
      </c>
      <c r="N35">
        <v>5</v>
      </c>
      <c r="P35" s="5">
        <f>5*122.5</f>
        <v>612.5</v>
      </c>
      <c r="R35" t="s">
        <v>91</v>
      </c>
      <c r="S35" t="s">
        <v>34</v>
      </c>
    </row>
    <row r="36" spans="1:19" x14ac:dyDescent="0.25">
      <c r="P36" s="5">
        <v>470.94</v>
      </c>
      <c r="R36" t="s">
        <v>92</v>
      </c>
      <c r="S36" t="s">
        <v>34</v>
      </c>
    </row>
    <row r="37" spans="1:19" x14ac:dyDescent="0.25">
      <c r="P37" s="5">
        <v>75.930000000000007</v>
      </c>
      <c r="R37" t="s">
        <v>93</v>
      </c>
      <c r="S37" t="s">
        <v>34</v>
      </c>
    </row>
    <row r="38" spans="1:19" x14ac:dyDescent="0.25">
      <c r="D38">
        <v>11276</v>
      </c>
      <c r="F38" s="1">
        <v>923</v>
      </c>
      <c r="H38" s="3">
        <v>44805</v>
      </c>
      <c r="J38">
        <v>103341</v>
      </c>
      <c r="L38" s="2">
        <v>110</v>
      </c>
      <c r="N38">
        <v>3.5</v>
      </c>
      <c r="P38" s="5">
        <f>3.5*110</f>
        <v>385</v>
      </c>
      <c r="R38" t="s">
        <v>94</v>
      </c>
      <c r="S38" t="s">
        <v>34</v>
      </c>
    </row>
    <row r="39" spans="1:19" x14ac:dyDescent="0.25">
      <c r="D39">
        <v>11579</v>
      </c>
      <c r="F39" s="1">
        <v>923</v>
      </c>
      <c r="H39" s="3">
        <v>44834</v>
      </c>
      <c r="J39">
        <v>103429</v>
      </c>
      <c r="L39" s="2">
        <v>110</v>
      </c>
      <c r="N39">
        <v>4.75</v>
      </c>
      <c r="P39" s="5">
        <f>110*4.75</f>
        <v>522.5</v>
      </c>
      <c r="R39" t="s">
        <v>95</v>
      </c>
      <c r="S39" t="s">
        <v>34</v>
      </c>
    </row>
    <row r="40" spans="1:19" x14ac:dyDescent="0.25">
      <c r="D40">
        <v>11787</v>
      </c>
      <c r="F40" s="1">
        <v>923</v>
      </c>
      <c r="H40" s="3">
        <v>44895</v>
      </c>
      <c r="J40">
        <v>103928</v>
      </c>
      <c r="L40" s="2">
        <v>110</v>
      </c>
      <c r="N40">
        <v>2.5</v>
      </c>
      <c r="P40" s="5">
        <f>110*2.5</f>
        <v>275</v>
      </c>
      <c r="R40" t="s">
        <v>95</v>
      </c>
      <c r="S40" t="s">
        <v>34</v>
      </c>
    </row>
    <row r="41" spans="1:19" x14ac:dyDescent="0.25">
      <c r="D41">
        <v>11927</v>
      </c>
      <c r="F41" s="1">
        <v>923</v>
      </c>
      <c r="H41" s="3">
        <v>44926</v>
      </c>
      <c r="J41">
        <v>104178</v>
      </c>
      <c r="L41" s="2">
        <v>110</v>
      </c>
      <c r="N41">
        <v>2.25</v>
      </c>
      <c r="P41" s="5">
        <f>110*2.25</f>
        <v>247.5</v>
      </c>
      <c r="R41" t="s">
        <v>95</v>
      </c>
      <c r="S41" t="s">
        <v>34</v>
      </c>
    </row>
    <row r="42" spans="1:19" x14ac:dyDescent="0.25">
      <c r="L42" s="2">
        <v>79</v>
      </c>
      <c r="N42">
        <v>5</v>
      </c>
      <c r="P42" s="5">
        <f>79*5</f>
        <v>395</v>
      </c>
      <c r="R42" t="s">
        <v>96</v>
      </c>
      <c r="S42" t="s">
        <v>34</v>
      </c>
    </row>
    <row r="43" spans="1:19" x14ac:dyDescent="0.25">
      <c r="S43" t="s">
        <v>34</v>
      </c>
    </row>
    <row r="44" spans="1:19" x14ac:dyDescent="0.25">
      <c r="A44">
        <v>16001</v>
      </c>
      <c r="C44" t="s">
        <v>36</v>
      </c>
      <c r="D44">
        <v>61009</v>
      </c>
      <c r="F44" s="1">
        <v>923</v>
      </c>
      <c r="H44" s="3">
        <v>44592</v>
      </c>
      <c r="J44">
        <v>101633</v>
      </c>
      <c r="P44" s="5">
        <v>1120</v>
      </c>
      <c r="R44" t="s">
        <v>17</v>
      </c>
      <c r="S44" t="s">
        <v>34</v>
      </c>
    </row>
    <row r="45" spans="1:19" x14ac:dyDescent="0.25">
      <c r="D45">
        <v>61391</v>
      </c>
      <c r="F45" s="1">
        <v>923</v>
      </c>
      <c r="H45" s="3">
        <v>44620</v>
      </c>
      <c r="J45">
        <v>101813</v>
      </c>
      <c r="P45" s="5">
        <v>1120</v>
      </c>
      <c r="R45" t="s">
        <v>17</v>
      </c>
      <c r="S45" t="s">
        <v>34</v>
      </c>
    </row>
    <row r="46" spans="1:19" x14ac:dyDescent="0.25">
      <c r="D46">
        <v>61509</v>
      </c>
      <c r="F46" s="1">
        <v>588</v>
      </c>
      <c r="H46" s="3">
        <v>44620</v>
      </c>
      <c r="L46" s="2">
        <v>189</v>
      </c>
      <c r="N46">
        <v>8</v>
      </c>
      <c r="P46" s="5">
        <f>8*189</f>
        <v>1512</v>
      </c>
      <c r="R46" t="s">
        <v>98</v>
      </c>
      <c r="S46" t="s">
        <v>34</v>
      </c>
    </row>
    <row r="47" spans="1:19" x14ac:dyDescent="0.25">
      <c r="D47">
        <v>61908</v>
      </c>
      <c r="F47" s="1">
        <v>923</v>
      </c>
      <c r="H47" s="3">
        <v>44651</v>
      </c>
      <c r="J47">
        <v>102054</v>
      </c>
      <c r="P47" s="5">
        <v>1120</v>
      </c>
      <c r="R47" t="s">
        <v>17</v>
      </c>
      <c r="S47" t="s">
        <v>34</v>
      </c>
    </row>
    <row r="48" spans="1:19" x14ac:dyDescent="0.25">
      <c r="D48">
        <v>61909</v>
      </c>
      <c r="F48" s="1">
        <v>588</v>
      </c>
      <c r="H48" s="3">
        <v>44651</v>
      </c>
      <c r="L48" s="2">
        <v>160</v>
      </c>
      <c r="N48">
        <v>1</v>
      </c>
      <c r="P48" s="5">
        <f>1*160</f>
        <v>160</v>
      </c>
      <c r="R48" t="s">
        <v>98</v>
      </c>
      <c r="S48" t="s">
        <v>34</v>
      </c>
    </row>
    <row r="49" spans="4:19" x14ac:dyDescent="0.25">
      <c r="L49" s="2">
        <v>118</v>
      </c>
      <c r="N49">
        <v>38.5</v>
      </c>
      <c r="P49" s="5">
        <f>38.5*118</f>
        <v>4543</v>
      </c>
      <c r="R49" t="s">
        <v>98</v>
      </c>
      <c r="S49" t="s">
        <v>34</v>
      </c>
    </row>
    <row r="50" spans="4:19" x14ac:dyDescent="0.25">
      <c r="L50" s="2">
        <v>130</v>
      </c>
      <c r="N50">
        <v>10</v>
      </c>
      <c r="P50" s="5">
        <f>10*130</f>
        <v>1300</v>
      </c>
      <c r="R50" t="s">
        <v>98</v>
      </c>
      <c r="S50" t="s">
        <v>34</v>
      </c>
    </row>
    <row r="51" spans="4:19" x14ac:dyDescent="0.25">
      <c r="D51">
        <v>62314</v>
      </c>
      <c r="F51" s="1">
        <v>923</v>
      </c>
      <c r="H51" s="3">
        <v>44681</v>
      </c>
      <c r="J51">
        <v>102355</v>
      </c>
      <c r="P51" s="5">
        <v>1120</v>
      </c>
      <c r="R51" t="s">
        <v>17</v>
      </c>
      <c r="S51" t="s">
        <v>34</v>
      </c>
    </row>
    <row r="52" spans="4:19" x14ac:dyDescent="0.25">
      <c r="D52">
        <v>62315</v>
      </c>
      <c r="F52" s="1">
        <v>107</v>
      </c>
      <c r="H52" s="3">
        <v>44681</v>
      </c>
      <c r="L52" s="2">
        <v>160</v>
      </c>
      <c r="N52">
        <v>0.5</v>
      </c>
      <c r="P52" s="5">
        <f>0.5*160</f>
        <v>80</v>
      </c>
      <c r="R52" t="s">
        <v>98</v>
      </c>
      <c r="S52" t="s">
        <v>34</v>
      </c>
    </row>
    <row r="53" spans="4:19" x14ac:dyDescent="0.25">
      <c r="D53">
        <v>62736</v>
      </c>
      <c r="F53" s="1">
        <v>107</v>
      </c>
      <c r="H53" s="3">
        <v>44721</v>
      </c>
      <c r="J53">
        <v>102651</v>
      </c>
      <c r="L53" s="2">
        <v>189</v>
      </c>
      <c r="N53">
        <v>26.5</v>
      </c>
      <c r="P53" s="5">
        <f>26.5*189</f>
        <v>5008.5</v>
      </c>
      <c r="R53" t="s">
        <v>38</v>
      </c>
      <c r="S53" t="s">
        <v>34</v>
      </c>
    </row>
    <row r="54" spans="4:19" x14ac:dyDescent="0.25">
      <c r="D54">
        <v>62737</v>
      </c>
      <c r="F54" s="1">
        <v>107</v>
      </c>
      <c r="H54" s="3">
        <v>44721</v>
      </c>
      <c r="P54" s="5">
        <v>6869</v>
      </c>
      <c r="R54" t="s">
        <v>98</v>
      </c>
      <c r="S54" t="s">
        <v>34</v>
      </c>
    </row>
    <row r="55" spans="4:19" x14ac:dyDescent="0.25">
      <c r="D55">
        <v>62740</v>
      </c>
      <c r="F55" s="1">
        <v>923</v>
      </c>
      <c r="H55" s="3">
        <v>44721</v>
      </c>
      <c r="P55" s="5">
        <v>1120</v>
      </c>
      <c r="R55" t="s">
        <v>17</v>
      </c>
      <c r="S55" t="s">
        <v>34</v>
      </c>
    </row>
    <row r="56" spans="4:19" x14ac:dyDescent="0.25">
      <c r="D56">
        <v>62978</v>
      </c>
      <c r="F56" s="1">
        <v>923</v>
      </c>
      <c r="H56" s="3">
        <v>44742</v>
      </c>
      <c r="J56">
        <v>102828</v>
      </c>
      <c r="P56" s="5">
        <v>1120</v>
      </c>
      <c r="R56" t="s">
        <v>17</v>
      </c>
      <c r="S56" t="s">
        <v>34</v>
      </c>
    </row>
    <row r="57" spans="4:19" x14ac:dyDescent="0.25">
      <c r="D57">
        <v>63510</v>
      </c>
      <c r="F57" s="1">
        <v>923</v>
      </c>
      <c r="H57" s="3">
        <v>44773</v>
      </c>
      <c r="J57">
        <v>103055</v>
      </c>
      <c r="P57" s="5">
        <v>1120</v>
      </c>
      <c r="R57" t="s">
        <v>17</v>
      </c>
      <c r="S57" t="s">
        <v>34</v>
      </c>
    </row>
    <row r="58" spans="4:19" x14ac:dyDescent="0.25">
      <c r="D58">
        <v>63511</v>
      </c>
      <c r="F58" s="1">
        <v>107</v>
      </c>
      <c r="H58" s="3">
        <v>44773</v>
      </c>
      <c r="L58" s="2">
        <v>160</v>
      </c>
      <c r="N58">
        <v>22.5</v>
      </c>
      <c r="P58" s="5">
        <f>22.5*160</f>
        <v>3600</v>
      </c>
      <c r="R58" t="s">
        <v>98</v>
      </c>
      <c r="S58" t="s">
        <v>34</v>
      </c>
    </row>
    <row r="59" spans="4:19" x14ac:dyDescent="0.25">
      <c r="L59" s="2">
        <v>127</v>
      </c>
      <c r="N59">
        <v>5.75</v>
      </c>
      <c r="P59" s="5">
        <f>5.75*127</f>
        <v>730.25</v>
      </c>
      <c r="R59" t="s">
        <v>102</v>
      </c>
      <c r="S59" t="s">
        <v>34</v>
      </c>
    </row>
    <row r="60" spans="4:19" x14ac:dyDescent="0.25">
      <c r="D60">
        <v>63987</v>
      </c>
      <c r="F60" s="1">
        <v>923</v>
      </c>
      <c r="H60" s="3">
        <v>44804</v>
      </c>
      <c r="J60">
        <v>103312</v>
      </c>
      <c r="P60" s="5">
        <v>1120</v>
      </c>
      <c r="R60" t="s">
        <v>17</v>
      </c>
      <c r="S60" t="s">
        <v>34</v>
      </c>
    </row>
    <row r="61" spans="4:19" x14ac:dyDescent="0.25">
      <c r="D61">
        <v>63989</v>
      </c>
      <c r="F61" s="1">
        <v>107</v>
      </c>
      <c r="H61" s="3">
        <v>44804</v>
      </c>
      <c r="L61" s="2">
        <v>199</v>
      </c>
      <c r="N61">
        <v>3</v>
      </c>
      <c r="P61" s="5">
        <f>3*199</f>
        <v>597</v>
      </c>
      <c r="R61" t="s">
        <v>102</v>
      </c>
      <c r="S61" t="s">
        <v>34</v>
      </c>
    </row>
    <row r="62" spans="4:19" x14ac:dyDescent="0.25">
      <c r="L62" s="2">
        <v>160</v>
      </c>
      <c r="N62">
        <v>5.5</v>
      </c>
      <c r="P62" s="5">
        <f>5.5*160</f>
        <v>880</v>
      </c>
      <c r="R62" t="s">
        <v>113</v>
      </c>
      <c r="S62" t="s">
        <v>34</v>
      </c>
    </row>
    <row r="63" spans="4:19" x14ac:dyDescent="0.25">
      <c r="L63" s="2">
        <v>127</v>
      </c>
      <c r="N63">
        <v>43.25</v>
      </c>
      <c r="P63" s="5">
        <f>43.25*127</f>
        <v>5492.75</v>
      </c>
      <c r="R63" t="s">
        <v>114</v>
      </c>
      <c r="S63" t="s">
        <v>34</v>
      </c>
    </row>
    <row r="64" spans="4:19" x14ac:dyDescent="0.25">
      <c r="L64" s="2">
        <v>127</v>
      </c>
      <c r="N64">
        <v>2</v>
      </c>
      <c r="P64" s="5">
        <f>2*127</f>
        <v>254</v>
      </c>
      <c r="R64" t="s">
        <v>115</v>
      </c>
      <c r="S64" t="s">
        <v>34</v>
      </c>
    </row>
    <row r="65" spans="4:19" x14ac:dyDescent="0.25">
      <c r="L65" s="2">
        <v>118</v>
      </c>
      <c r="N65">
        <v>0.5</v>
      </c>
      <c r="P65" s="5">
        <f>0.5*118</f>
        <v>59</v>
      </c>
      <c r="R65" t="s">
        <v>116</v>
      </c>
      <c r="S65" t="s">
        <v>34</v>
      </c>
    </row>
    <row r="66" spans="4:19" x14ac:dyDescent="0.25">
      <c r="D66">
        <v>103535</v>
      </c>
      <c r="F66" s="1">
        <v>107</v>
      </c>
      <c r="H66" s="3">
        <v>44835</v>
      </c>
      <c r="L66" s="2">
        <v>160</v>
      </c>
      <c r="N66">
        <v>16.75</v>
      </c>
      <c r="P66" s="5">
        <f>16.75*160</f>
        <v>2680</v>
      </c>
      <c r="R66" t="s">
        <v>113</v>
      </c>
      <c r="S66" t="s">
        <v>34</v>
      </c>
    </row>
    <row r="67" spans="4:19" x14ac:dyDescent="0.25">
      <c r="L67" s="2">
        <v>127</v>
      </c>
      <c r="N67">
        <v>61.5</v>
      </c>
      <c r="P67" s="5">
        <f>61.5*127</f>
        <v>7810.5</v>
      </c>
      <c r="R67" t="s">
        <v>117</v>
      </c>
      <c r="S67" t="s">
        <v>34</v>
      </c>
    </row>
    <row r="68" spans="4:19" x14ac:dyDescent="0.25">
      <c r="L68" s="2">
        <v>127</v>
      </c>
      <c r="N68">
        <v>2.5</v>
      </c>
      <c r="P68" s="5">
        <f>127*2.5</f>
        <v>317.5</v>
      </c>
      <c r="R68" t="s">
        <v>115</v>
      </c>
      <c r="S68" t="s">
        <v>34</v>
      </c>
    </row>
    <row r="69" spans="4:19" x14ac:dyDescent="0.25">
      <c r="L69" s="2">
        <v>118</v>
      </c>
      <c r="N69">
        <v>19</v>
      </c>
      <c r="P69" s="5">
        <f>118*19</f>
        <v>2242</v>
      </c>
      <c r="R69" t="s">
        <v>116</v>
      </c>
      <c r="S69" t="s">
        <v>34</v>
      </c>
    </row>
    <row r="70" spans="4:19" x14ac:dyDescent="0.25">
      <c r="L70" s="2">
        <v>130</v>
      </c>
      <c r="N70">
        <v>2</v>
      </c>
      <c r="P70" s="5">
        <f>130*2</f>
        <v>260</v>
      </c>
      <c r="R70" t="s">
        <v>118</v>
      </c>
      <c r="S70" t="s">
        <v>34</v>
      </c>
    </row>
    <row r="71" spans="4:19" x14ac:dyDescent="0.25">
      <c r="D71">
        <v>64306</v>
      </c>
      <c r="F71" s="1">
        <v>107</v>
      </c>
      <c r="H71" s="3">
        <v>44835</v>
      </c>
      <c r="J71">
        <v>103535</v>
      </c>
      <c r="L71" s="2">
        <v>160</v>
      </c>
      <c r="N71">
        <v>16.75</v>
      </c>
      <c r="P71" s="5">
        <f>16.75*160</f>
        <v>2680</v>
      </c>
      <c r="R71" t="s">
        <v>113</v>
      </c>
      <c r="S71" t="s">
        <v>34</v>
      </c>
    </row>
    <row r="72" spans="4:19" x14ac:dyDescent="0.25">
      <c r="L72" s="2">
        <v>127</v>
      </c>
      <c r="N72">
        <v>61.5</v>
      </c>
      <c r="P72" s="5">
        <v>7810.5</v>
      </c>
      <c r="R72" t="s">
        <v>117</v>
      </c>
      <c r="S72" t="s">
        <v>34</v>
      </c>
    </row>
    <row r="73" spans="4:19" x14ac:dyDescent="0.25">
      <c r="L73" s="2">
        <v>127</v>
      </c>
      <c r="N73">
        <v>2.5</v>
      </c>
      <c r="P73" s="5">
        <v>317.5</v>
      </c>
      <c r="R73" t="s">
        <v>115</v>
      </c>
      <c r="S73" t="s">
        <v>34</v>
      </c>
    </row>
    <row r="74" spans="4:19" x14ac:dyDescent="0.25">
      <c r="L74" s="2">
        <v>118</v>
      </c>
      <c r="N74">
        <v>19</v>
      </c>
      <c r="P74" s="5">
        <v>2242</v>
      </c>
      <c r="R74" t="s">
        <v>116</v>
      </c>
      <c r="S74" t="s">
        <v>34</v>
      </c>
    </row>
    <row r="75" spans="4:19" x14ac:dyDescent="0.25">
      <c r="L75" s="2">
        <v>130</v>
      </c>
      <c r="N75">
        <v>2</v>
      </c>
      <c r="P75" s="5">
        <v>260</v>
      </c>
      <c r="R75" t="s">
        <v>118</v>
      </c>
      <c r="S75" t="s">
        <v>34</v>
      </c>
    </row>
    <row r="76" spans="4:19" x14ac:dyDescent="0.25">
      <c r="D76">
        <v>64307</v>
      </c>
      <c r="F76" s="1">
        <v>923</v>
      </c>
      <c r="H76" s="3">
        <v>44835</v>
      </c>
      <c r="P76" s="5">
        <v>1120</v>
      </c>
      <c r="R76" t="s">
        <v>17</v>
      </c>
      <c r="S76" t="s">
        <v>34</v>
      </c>
    </row>
    <row r="77" spans="4:19" x14ac:dyDescent="0.25">
      <c r="D77">
        <v>64781</v>
      </c>
      <c r="F77" s="1">
        <v>923</v>
      </c>
      <c r="H77" s="3">
        <v>44865</v>
      </c>
      <c r="J77">
        <v>103704</v>
      </c>
      <c r="P77" s="5">
        <v>1120</v>
      </c>
      <c r="R77" t="s">
        <v>17</v>
      </c>
      <c r="S77" t="s">
        <v>34</v>
      </c>
    </row>
    <row r="78" spans="4:19" x14ac:dyDescent="0.25">
      <c r="D78">
        <v>64910</v>
      </c>
      <c r="F78" s="1">
        <v>107</v>
      </c>
      <c r="H78" s="3">
        <v>44865</v>
      </c>
      <c r="L78" s="2">
        <v>160</v>
      </c>
      <c r="N78">
        <v>22.5</v>
      </c>
      <c r="P78" s="5">
        <f>22.5*160</f>
        <v>3600</v>
      </c>
      <c r="R78" t="s">
        <v>113</v>
      </c>
      <c r="S78" t="s">
        <v>34</v>
      </c>
    </row>
    <row r="79" spans="4:19" x14ac:dyDescent="0.25">
      <c r="D79">
        <v>65372</v>
      </c>
      <c r="F79" s="1">
        <v>923</v>
      </c>
      <c r="H79" s="3">
        <v>44895</v>
      </c>
      <c r="J79">
        <v>103936</v>
      </c>
      <c r="P79" s="5">
        <v>1120</v>
      </c>
      <c r="R79" t="s">
        <v>17</v>
      </c>
      <c r="S79" t="s">
        <v>34</v>
      </c>
    </row>
    <row r="80" spans="4:19" x14ac:dyDescent="0.25">
      <c r="D80">
        <v>65373</v>
      </c>
      <c r="F80" s="1">
        <v>107</v>
      </c>
      <c r="H80" s="3">
        <v>44895</v>
      </c>
      <c r="L80" s="2">
        <v>118</v>
      </c>
      <c r="N80">
        <v>0.75</v>
      </c>
      <c r="P80" s="5">
        <f>118*0.75</f>
        <v>88.5</v>
      </c>
      <c r="R80" t="s">
        <v>98</v>
      </c>
      <c r="S80" t="s">
        <v>34</v>
      </c>
    </row>
    <row r="81" spans="1:19" x14ac:dyDescent="0.25">
      <c r="L81" s="2">
        <v>130</v>
      </c>
      <c r="N81">
        <v>1.5</v>
      </c>
      <c r="P81" s="5">
        <v>195</v>
      </c>
      <c r="R81" t="s">
        <v>98</v>
      </c>
      <c r="S81" t="s">
        <v>34</v>
      </c>
    </row>
    <row r="82" spans="1:19" x14ac:dyDescent="0.25">
      <c r="D82">
        <v>65374</v>
      </c>
      <c r="F82" s="1">
        <v>588</v>
      </c>
      <c r="H82" s="3">
        <v>44895</v>
      </c>
      <c r="L82" s="2">
        <v>229</v>
      </c>
      <c r="N82">
        <v>9.5</v>
      </c>
      <c r="P82" s="5">
        <f>9.5*229</f>
        <v>2175.5</v>
      </c>
      <c r="R82" t="s">
        <v>109</v>
      </c>
      <c r="S82" t="s">
        <v>34</v>
      </c>
    </row>
    <row r="83" spans="1:19" x14ac:dyDescent="0.25">
      <c r="H83" s="3"/>
      <c r="L83" s="2">
        <v>127</v>
      </c>
      <c r="N83">
        <v>4</v>
      </c>
      <c r="P83" s="5">
        <f>4*127</f>
        <v>508</v>
      </c>
      <c r="R83" t="s">
        <v>109</v>
      </c>
      <c r="S83" t="s">
        <v>34</v>
      </c>
    </row>
    <row r="84" spans="1:19" x14ac:dyDescent="0.25">
      <c r="D84">
        <v>65375</v>
      </c>
      <c r="F84" s="1">
        <v>107</v>
      </c>
      <c r="H84" s="3">
        <v>44895</v>
      </c>
      <c r="L84" s="2">
        <v>139</v>
      </c>
      <c r="N84">
        <v>22</v>
      </c>
      <c r="P84" s="5">
        <v>3058</v>
      </c>
      <c r="R84" t="s">
        <v>117</v>
      </c>
      <c r="S84" t="s">
        <v>34</v>
      </c>
    </row>
    <row r="85" spans="1:19" x14ac:dyDescent="0.25">
      <c r="D85">
        <v>65810</v>
      </c>
      <c r="F85" s="1">
        <v>923</v>
      </c>
      <c r="H85" s="3">
        <v>44926</v>
      </c>
      <c r="J85">
        <v>104180</v>
      </c>
      <c r="P85" s="5">
        <v>1120</v>
      </c>
      <c r="R85" t="s">
        <v>17</v>
      </c>
      <c r="S85" t="s">
        <v>34</v>
      </c>
    </row>
    <row r="86" spans="1:19" x14ac:dyDescent="0.25">
      <c r="D86">
        <v>65811</v>
      </c>
      <c r="F86" s="1">
        <v>588</v>
      </c>
      <c r="H86" s="3">
        <v>44926</v>
      </c>
      <c r="L86" s="2">
        <v>229</v>
      </c>
      <c r="N86">
        <v>34</v>
      </c>
      <c r="P86" s="5">
        <v>7786</v>
      </c>
      <c r="R86" t="s">
        <v>109</v>
      </c>
      <c r="S86" t="s">
        <v>34</v>
      </c>
    </row>
    <row r="87" spans="1:19" x14ac:dyDescent="0.25">
      <c r="D87">
        <v>65812</v>
      </c>
      <c r="F87" s="1">
        <v>107</v>
      </c>
      <c r="H87" s="3">
        <v>44926</v>
      </c>
      <c r="L87" s="2">
        <v>139</v>
      </c>
      <c r="N87">
        <v>2.5</v>
      </c>
      <c r="P87" s="5">
        <v>347.5</v>
      </c>
      <c r="R87" t="s">
        <v>38</v>
      </c>
      <c r="S87" t="s">
        <v>34</v>
      </c>
    </row>
    <row r="89" spans="1:19" x14ac:dyDescent="0.25">
      <c r="A89">
        <v>16073</v>
      </c>
      <c r="C89" t="s">
        <v>41</v>
      </c>
      <c r="D89">
        <v>9041063</v>
      </c>
      <c r="F89" s="1">
        <v>923</v>
      </c>
      <c r="H89" s="3">
        <v>44659</v>
      </c>
      <c r="J89">
        <v>102018</v>
      </c>
      <c r="P89" s="5">
        <v>1587.64</v>
      </c>
      <c r="R89" t="s">
        <v>42</v>
      </c>
      <c r="S89" t="s">
        <v>34</v>
      </c>
    </row>
    <row r="92" spans="1:19" x14ac:dyDescent="0.25">
      <c r="A92" t="s">
        <v>43</v>
      </c>
      <c r="P92" s="8">
        <f>SUM(P89:P91)</f>
        <v>1587.64</v>
      </c>
    </row>
    <row r="107" spans="3:3" x14ac:dyDescent="0.25">
      <c r="C107" t="s">
        <v>43</v>
      </c>
    </row>
  </sheetData>
  <mergeCells count="1">
    <mergeCell ref="A7:S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'2018'!Print_Area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Patsy</cp:lastModifiedBy>
  <cp:lastPrinted>2023-07-13T15:02:50Z</cp:lastPrinted>
  <dcterms:created xsi:type="dcterms:W3CDTF">2023-07-13T14:43:52Z</dcterms:created>
  <dcterms:modified xsi:type="dcterms:W3CDTF">2023-07-15T12:33:49Z</dcterms:modified>
</cp:coreProperties>
</file>