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.goad\Documents\Electric Rate Cases\RECC Rate Cases\Taylor County RECC\Case No. 2023-00147\"/>
    </mc:Choice>
  </mc:AlternateContent>
  <xr:revisionPtr revIDLastSave="0" documentId="8_{B2AFE3F1-B073-48BB-8C77-715BF8C757CF}" xr6:coauthVersionLast="47" xr6:coauthVersionMax="47" xr10:uidLastSave="{00000000-0000-0000-0000-000000000000}"/>
  <bookViews>
    <workbookView xWindow="-110" yWindow="-110" windowWidth="19420" windowHeight="10420" firstSheet="16" activeTab="23" xr2:uid="{00000000-000D-0000-FFFF-FFFF00000000}"/>
  </bookViews>
  <sheets>
    <sheet name="AG Summary" sheetId="23" r:id="rId1"/>
    <sheet name="RevReq" sheetId="1" r:id="rId2"/>
    <sheet name="Adj List" sheetId="15" r:id="rId3"/>
    <sheet name="Adj BS" sheetId="17" r:id="rId4"/>
    <sheet name="Adj IS" sheetId="18" r:id="rId5"/>
    <sheet name="1.01 FAC" sheetId="8" r:id="rId6"/>
    <sheet name="1.02 ES" sheetId="9" r:id="rId7"/>
    <sheet name="1.03 Int Exp" sheetId="10" r:id="rId8"/>
    <sheet name="1.04 Depr" sheetId="11" r:id="rId9"/>
    <sheet name="1.05 ROW" sheetId="12" r:id="rId10"/>
    <sheet name="1.06 YearEndCust" sheetId="13" r:id="rId11"/>
    <sheet name="1.07 FEMA" sheetId="14" r:id="rId12"/>
    <sheet name="1.08 DonAdsDues" sheetId="7" r:id="rId13"/>
    <sheet name="1.09 Directors" sheetId="6" r:id="rId14"/>
    <sheet name="1.10 Wages &amp; Salaries" sheetId="2" r:id="rId15"/>
    <sheet name="1.11 401K" sheetId="4" r:id="rId16"/>
    <sheet name="1.12 Health" sheetId="3" r:id="rId17"/>
    <sheet name="1.13 RateCase" sheetId="16" r:id="rId18"/>
    <sheet name="1.14 PPP Loan" sheetId="19" r:id="rId19"/>
    <sheet name="1.15 GTCC" sheetId="20" r:id="rId20"/>
    <sheet name="1.16" sheetId="21" r:id="rId21"/>
    <sheet name="1.17" sheetId="24" r:id="rId22"/>
    <sheet name="1.18" sheetId="22" r:id="rId23"/>
    <sheet name="1.19" sheetId="25" r:id="rId24"/>
    <sheet name="1.20" sheetId="27" r:id="rId25"/>
  </sheets>
  <externalReferences>
    <externalReference r:id="rId26"/>
    <externalReference r:id="rId27"/>
  </externalReferences>
  <definedNames>
    <definedName name="_xlnm.Print_Area" localSheetId="12">'1.08 DonAdsDues'!$A$1:$E$29</definedName>
    <definedName name="_xlnm.Print_Area" localSheetId="18">'1.14 PPP Loan'!$A$1:$F$47</definedName>
    <definedName name="_xlnm.Print_Area" localSheetId="19">'1.15 GTCC'!$A$1:$D$20</definedName>
    <definedName name="_xlnm.Print_Area" localSheetId="20">'1.16'!$A$1:$D$17</definedName>
    <definedName name="_xlnm.Print_Area" localSheetId="3">'Adj BS'!$A$1:$F$71</definedName>
    <definedName name="_xlnm.Print_Area" localSheetId="4">'Adj IS'!$A$1:$Y$43</definedName>
    <definedName name="_xlnm.Print_Area" localSheetId="2">'Adj List'!$A$1:$G$31</definedName>
    <definedName name="_xlnm.Print_Area" localSheetId="0">'AG Summary'!$A$1:$D$31</definedName>
    <definedName name="_xlnm.Print_Area" localSheetId="1">RevReq!$A$1:$G$61</definedName>
    <definedName name="_xlnm.Print_Titles" localSheetId="10">'1.06 YearEndCust'!$2:$11</definedName>
    <definedName name="_xlnm.Print_Titles" localSheetId="14">'1.10 Wages &amp; Salaries'!$2:$12</definedName>
    <definedName name="_xlnm.Print_Titles" localSheetId="15">'1.11 401K'!$2:$10</definedName>
    <definedName name="_xlnm.Print_Titles" localSheetId="16">'1.12 Health'!$2:$7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27" l="1"/>
  <c r="D15" i="27"/>
  <c r="D1" i="25"/>
  <c r="D1" i="22"/>
  <c r="D1" i="24"/>
  <c r="D1" i="21"/>
  <c r="D1" i="20"/>
  <c r="D1" i="16"/>
  <c r="J1" i="3"/>
  <c r="U1" i="4"/>
  <c r="S1" i="2"/>
  <c r="D23" i="23"/>
  <c r="D24" i="23"/>
  <c r="D15" i="23" l="1"/>
  <c r="D11" i="22"/>
  <c r="D20" i="23"/>
  <c r="J2" i="11"/>
  <c r="C1" i="12" s="1"/>
  <c r="F1" i="10"/>
  <c r="H1" i="9"/>
  <c r="H1" i="8"/>
  <c r="Y1" i="18"/>
  <c r="F1" i="17"/>
  <c r="G1" i="15"/>
  <c r="G1" i="1"/>
  <c r="I1" i="13" s="1"/>
  <c r="D21" i="23"/>
  <c r="W24" i="18"/>
  <c r="E27" i="15"/>
  <c r="A12" i="27"/>
  <c r="A13" i="27" s="1"/>
  <c r="A14" i="27" s="1"/>
  <c r="A15" i="27" s="1"/>
  <c r="D22" i="23"/>
  <c r="D14" i="23"/>
  <c r="D16" i="23"/>
  <c r="D1" i="14" l="1"/>
  <c r="K1" i="6"/>
  <c r="F1" i="19"/>
  <c r="E1" i="7"/>
  <c r="D25" i="25"/>
  <c r="D13" i="25" s="1"/>
  <c r="D15" i="25" s="1"/>
  <c r="A12" i="25"/>
  <c r="A13" i="25" s="1"/>
  <c r="A14" i="25" s="1"/>
  <c r="A15" i="25" s="1"/>
  <c r="C17" i="12"/>
  <c r="X47" i="18"/>
  <c r="E26" i="15" l="1"/>
  <c r="V24" i="18"/>
  <c r="W41" i="18" l="1"/>
  <c r="W47" i="18" s="1"/>
  <c r="V41" i="18"/>
  <c r="V47" i="18" s="1"/>
  <c r="U41" i="18"/>
  <c r="U47" i="18" s="1"/>
  <c r="W13" i="18"/>
  <c r="V13" i="18"/>
  <c r="U13" i="18"/>
  <c r="W25" i="18"/>
  <c r="W32" i="18" s="1"/>
  <c r="V25" i="18"/>
  <c r="V32" i="18" s="1"/>
  <c r="V34" i="18" l="1"/>
  <c r="V43" i="18" s="1"/>
  <c r="V46" i="18"/>
  <c r="V48" i="18" s="1"/>
  <c r="W34" i="18"/>
  <c r="W43" i="18" s="1"/>
  <c r="W46" i="18"/>
  <c r="W48" i="18" s="1"/>
  <c r="D15" i="24"/>
  <c r="E24" i="15" s="1"/>
  <c r="T24" i="18" s="1"/>
  <c r="A12" i="24"/>
  <c r="A13" i="24" s="1"/>
  <c r="A14" i="24" s="1"/>
  <c r="A15" i="24" s="1"/>
  <c r="D11" i="23"/>
  <c r="D19" i="23" l="1"/>
  <c r="D18" i="23"/>
  <c r="D17" i="23"/>
  <c r="C18" i="6" l="1"/>
  <c r="C14" i="12" l="1"/>
  <c r="D15" i="21"/>
  <c r="D23" i="15" s="1"/>
  <c r="D11" i="1" s="1"/>
  <c r="F24" i="3"/>
  <c r="F23" i="3"/>
  <c r="F22" i="3"/>
  <c r="F21" i="3"/>
  <c r="D15" i="22" l="1"/>
  <c r="A12" i="22"/>
  <c r="A13" i="22" s="1"/>
  <c r="A14" i="22" s="1"/>
  <c r="A15" i="22" s="1"/>
  <c r="A12" i="21"/>
  <c r="A13" i="21" s="1"/>
  <c r="A14" i="21" s="1"/>
  <c r="A15" i="21" s="1"/>
  <c r="E46" i="19"/>
  <c r="P24" i="18" s="1"/>
  <c r="E45" i="19"/>
  <c r="E44" i="19"/>
  <c r="P21" i="18" s="1"/>
  <c r="E43" i="19"/>
  <c r="E42" i="19"/>
  <c r="D16" i="1" s="1"/>
  <c r="P22" i="18"/>
  <c r="D19" i="1"/>
  <c r="D18" i="1" l="1"/>
  <c r="E25" i="15"/>
  <c r="U24" i="18"/>
  <c r="U25" i="18" s="1"/>
  <c r="U32" i="18" s="1"/>
  <c r="P20" i="18"/>
  <c r="P19" i="18"/>
  <c r="E47" i="19"/>
  <c r="U46" i="18" l="1"/>
  <c r="U48" i="18" s="1"/>
  <c r="U34" i="18"/>
  <c r="U43" i="18" s="1"/>
  <c r="X46" i="18"/>
  <c r="X48" i="18" s="1"/>
  <c r="E32" i="19"/>
  <c r="E48" i="19" s="1"/>
  <c r="D32" i="19"/>
  <c r="E21" i="15" l="1"/>
  <c r="F32" i="19" l="1"/>
  <c r="A2" i="18" l="1"/>
  <c r="E53" i="1"/>
  <c r="F53" i="1" l="1"/>
  <c r="F21" i="15"/>
  <c r="R7" i="18"/>
  <c r="R5" i="18"/>
  <c r="D36" i="1" l="1"/>
  <c r="G53" i="1"/>
  <c r="R10" i="18"/>
  <c r="Y10" i="18" s="1"/>
  <c r="Q7" i="18"/>
  <c r="Q5" i="18"/>
  <c r="Q25" i="18"/>
  <c r="Q32" i="18" s="1"/>
  <c r="Q46" i="18" s="1"/>
  <c r="Q13" i="18"/>
  <c r="Q45" i="18" s="1"/>
  <c r="D12" i="20"/>
  <c r="D16" i="20" s="1"/>
  <c r="F22" i="15" s="1"/>
  <c r="F31" i="15" s="1"/>
  <c r="A13" i="20"/>
  <c r="A14" i="20" s="1"/>
  <c r="A15" i="20" s="1"/>
  <c r="A16" i="20" s="1"/>
  <c r="A6" i="20"/>
  <c r="A5" i="20"/>
  <c r="E18" i="15"/>
  <c r="H35" i="13"/>
  <c r="G35" i="13"/>
  <c r="F35" i="13"/>
  <c r="H25" i="13"/>
  <c r="H30" i="13" s="1"/>
  <c r="G25" i="13"/>
  <c r="G30" i="13" s="1"/>
  <c r="F25" i="13"/>
  <c r="F30" i="13" s="1"/>
  <c r="A6" i="13"/>
  <c r="A5" i="13"/>
  <c r="Q38" i="18" l="1"/>
  <c r="Q41" i="18" s="1"/>
  <c r="Q47" i="18" s="1"/>
  <c r="Q48" i="18" s="1"/>
  <c r="D37" i="1"/>
  <c r="Q34" i="18"/>
  <c r="F27" i="13"/>
  <c r="F31" i="13" s="1"/>
  <c r="F36" i="13" s="1"/>
  <c r="G27" i="13"/>
  <c r="G31" i="13" s="1"/>
  <c r="G36" i="13" s="1"/>
  <c r="H27" i="13"/>
  <c r="H31" i="13" s="1"/>
  <c r="H36" i="13" s="1"/>
  <c r="Q43" i="18" l="1"/>
  <c r="Q49" i="18" s="1"/>
  <c r="I31" i="13"/>
  <c r="I36" i="13"/>
  <c r="F46" i="13" s="1"/>
  <c r="F48" i="13" s="1"/>
  <c r="D13" i="15" s="1"/>
  <c r="H11" i="18" l="1"/>
  <c r="P7" i="18" l="1"/>
  <c r="P5" i="18"/>
  <c r="P13" i="18"/>
  <c r="P45" i="18" s="1"/>
  <c r="P25" i="18"/>
  <c r="P32" i="18" s="1"/>
  <c r="P46" i="18" s="1"/>
  <c r="A13" i="19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6" i="19"/>
  <c r="A5" i="19"/>
  <c r="P38" i="18" l="1"/>
  <c r="P41" i="18" s="1"/>
  <c r="P47" i="18" s="1"/>
  <c r="P48" i="18" s="1"/>
  <c r="E9" i="17"/>
  <c r="P34" i="18"/>
  <c r="E11" i="17" l="1"/>
  <c r="E13" i="17" s="1"/>
  <c r="E45" i="17"/>
  <c r="F45" i="17" s="1"/>
  <c r="Y38" i="18"/>
  <c r="P43" i="18"/>
  <c r="P49" i="18" s="1"/>
  <c r="M24" i="18"/>
  <c r="M25" i="18" s="1"/>
  <c r="M32" i="18" s="1"/>
  <c r="M46" i="18" s="1"/>
  <c r="O7" i="18"/>
  <c r="N7" i="18"/>
  <c r="M7" i="18"/>
  <c r="L7" i="18"/>
  <c r="K7" i="18"/>
  <c r="J7" i="18"/>
  <c r="I7" i="18"/>
  <c r="H7" i="18"/>
  <c r="G7" i="18"/>
  <c r="F7" i="18"/>
  <c r="E7" i="18"/>
  <c r="O5" i="18"/>
  <c r="N5" i="18"/>
  <c r="M5" i="18"/>
  <c r="L5" i="18"/>
  <c r="K5" i="18"/>
  <c r="J5" i="18"/>
  <c r="I5" i="18"/>
  <c r="H5" i="18"/>
  <c r="G5" i="18"/>
  <c r="F5" i="18"/>
  <c r="D7" i="18"/>
  <c r="C7" i="18"/>
  <c r="C5" i="18"/>
  <c r="D5" i="18"/>
  <c r="E5" i="18"/>
  <c r="T41" i="18"/>
  <c r="S41" i="18"/>
  <c r="R41" i="18"/>
  <c r="O41" i="18"/>
  <c r="O47" i="18" s="1"/>
  <c r="N41" i="18"/>
  <c r="N47" i="18" s="1"/>
  <c r="M41" i="18"/>
  <c r="M47" i="18" s="1"/>
  <c r="L41" i="18"/>
  <c r="L47" i="18" s="1"/>
  <c r="K41" i="18"/>
  <c r="K47" i="18" s="1"/>
  <c r="J41" i="18"/>
  <c r="J47" i="18" s="1"/>
  <c r="I41" i="18"/>
  <c r="I47" i="18" s="1"/>
  <c r="H41" i="18"/>
  <c r="H47" i="18" s="1"/>
  <c r="G41" i="18"/>
  <c r="G47" i="18" s="1"/>
  <c r="F41" i="18"/>
  <c r="F47" i="18" s="1"/>
  <c r="E41" i="18"/>
  <c r="E47" i="18" s="1"/>
  <c r="D41" i="18"/>
  <c r="D47" i="18" s="1"/>
  <c r="C41" i="18"/>
  <c r="C47" i="18" s="1"/>
  <c r="Y40" i="18"/>
  <c r="Y39" i="18"/>
  <c r="Y36" i="18"/>
  <c r="Y31" i="18"/>
  <c r="Y30" i="18"/>
  <c r="Y28" i="18"/>
  <c r="T25" i="18"/>
  <c r="T32" i="18" s="1"/>
  <c r="T46" i="18" s="1"/>
  <c r="S25" i="18"/>
  <c r="S32" i="18" s="1"/>
  <c r="S46" i="18" s="1"/>
  <c r="R25" i="18"/>
  <c r="R32" i="18" s="1"/>
  <c r="R46" i="18" s="1"/>
  <c r="Y23" i="18"/>
  <c r="Y22" i="18"/>
  <c r="Y21" i="18"/>
  <c r="Y19" i="18"/>
  <c r="F25" i="18"/>
  <c r="E25" i="18"/>
  <c r="Y16" i="18"/>
  <c r="T13" i="18"/>
  <c r="S13" i="18"/>
  <c r="S45" i="18" s="1"/>
  <c r="R13" i="18"/>
  <c r="O13" i="18"/>
  <c r="N13" i="18"/>
  <c r="N45" i="18" s="1"/>
  <c r="M13" i="18"/>
  <c r="L13" i="18"/>
  <c r="K13" i="18"/>
  <c r="J13" i="18"/>
  <c r="J45" i="18" s="1"/>
  <c r="I13" i="18"/>
  <c r="G13" i="18"/>
  <c r="Y12" i="18"/>
  <c r="F13" i="18"/>
  <c r="E13" i="18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E59" i="17"/>
  <c r="D59" i="17"/>
  <c r="F57" i="17"/>
  <c r="D11" i="17"/>
  <c r="A2" i="17"/>
  <c r="F70" i="17"/>
  <c r="F69" i="17"/>
  <c r="E67" i="17"/>
  <c r="D67" i="17"/>
  <c r="F66" i="17"/>
  <c r="F65" i="17"/>
  <c r="F64" i="17"/>
  <c r="F63" i="17"/>
  <c r="F62" i="17"/>
  <c r="F61" i="17"/>
  <c r="F58" i="17"/>
  <c r="E55" i="17"/>
  <c r="D55" i="17"/>
  <c r="F54" i="17"/>
  <c r="F53" i="17"/>
  <c r="F52" i="17"/>
  <c r="F51" i="17"/>
  <c r="F50" i="17"/>
  <c r="E48" i="17"/>
  <c r="D48" i="17"/>
  <c r="F47" i="17"/>
  <c r="F46" i="17"/>
  <c r="F43" i="17"/>
  <c r="F42" i="17"/>
  <c r="F37" i="17"/>
  <c r="F36" i="17"/>
  <c r="E34" i="17"/>
  <c r="D34" i="17"/>
  <c r="F33" i="17"/>
  <c r="F32" i="17"/>
  <c r="F31" i="17"/>
  <c r="F30" i="17"/>
  <c r="F29" i="17"/>
  <c r="F28" i="17"/>
  <c r="F27" i="17"/>
  <c r="F26" i="17"/>
  <c r="F25" i="17"/>
  <c r="F24" i="17"/>
  <c r="E22" i="17"/>
  <c r="D22" i="17"/>
  <c r="F21" i="17"/>
  <c r="F20" i="17"/>
  <c r="F19" i="17"/>
  <c r="F18" i="17"/>
  <c r="F17" i="17"/>
  <c r="F16" i="17"/>
  <c r="F15" i="17"/>
  <c r="F12" i="17"/>
  <c r="F10" i="17"/>
  <c r="F9" i="17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D7" i="17"/>
  <c r="E7" i="17" s="1"/>
  <c r="F59" i="17" l="1"/>
  <c r="A38" i="17"/>
  <c r="A39" i="17" s="1"/>
  <c r="A40" i="17" s="1"/>
  <c r="A41" i="17" s="1"/>
  <c r="A42" i="17" s="1"/>
  <c r="A43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D71" i="17"/>
  <c r="E71" i="17"/>
  <c r="F11" i="17"/>
  <c r="E39" i="17"/>
  <c r="R34" i="18"/>
  <c r="R43" i="18" s="1"/>
  <c r="T34" i="18"/>
  <c r="T43" i="18" s="1"/>
  <c r="Y47" i="18"/>
  <c r="S48" i="18"/>
  <c r="E45" i="18"/>
  <c r="F45" i="18"/>
  <c r="M34" i="18"/>
  <c r="M43" i="18" s="1"/>
  <c r="H13" i="18"/>
  <c r="S34" i="18"/>
  <c r="S43" i="18" s="1"/>
  <c r="Y41" i="18"/>
  <c r="F39" i="15" s="1"/>
  <c r="G45" i="18"/>
  <c r="K45" i="18"/>
  <c r="O45" i="18"/>
  <c r="T45" i="18"/>
  <c r="L45" i="18"/>
  <c r="I45" i="18"/>
  <c r="M45" i="18"/>
  <c r="M48" i="18" s="1"/>
  <c r="R45" i="18"/>
  <c r="F55" i="17"/>
  <c r="F67" i="17"/>
  <c r="F48" i="17"/>
  <c r="F34" i="17"/>
  <c r="F22" i="17"/>
  <c r="F13" i="17"/>
  <c r="D13" i="17"/>
  <c r="D39" i="17" s="1"/>
  <c r="F71" i="17" l="1"/>
  <c r="L70" i="17" s="1"/>
  <c r="R48" i="18"/>
  <c r="R49" i="18" s="1"/>
  <c r="T48" i="18"/>
  <c r="T49" i="18" s="1"/>
  <c r="S49" i="18"/>
  <c r="M49" i="18"/>
  <c r="H45" i="18"/>
  <c r="F39" i="17"/>
  <c r="L69" i="17" s="1"/>
  <c r="L71" i="17" l="1"/>
  <c r="A6" i="16" l="1"/>
  <c r="A5" i="16"/>
  <c r="D16" i="16"/>
  <c r="D18" i="16" s="1"/>
  <c r="D20" i="16" s="1"/>
  <c r="D24" i="16" s="1"/>
  <c r="D26" i="16" s="1"/>
  <c r="E20" i="15" s="1"/>
  <c r="A14" i="16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C42" i="3"/>
  <c r="C43" i="3"/>
  <c r="C44" i="3"/>
  <c r="C45" i="3"/>
  <c r="O24" i="18" l="1"/>
  <c r="O25" i="18" s="1"/>
  <c r="O32" i="18" s="1"/>
  <c r="O46" i="18" s="1"/>
  <c r="O48" i="18" l="1"/>
  <c r="O34" i="18"/>
  <c r="O43" i="18" s="1"/>
  <c r="O49" i="18" l="1"/>
  <c r="A2" i="15" l="1"/>
  <c r="G30" i="15"/>
  <c r="G29" i="15"/>
  <c r="G28" i="15"/>
  <c r="G27" i="15"/>
  <c r="G26" i="15"/>
  <c r="G25" i="15"/>
  <c r="G24" i="15"/>
  <c r="G23" i="15"/>
  <c r="G22" i="15"/>
  <c r="G21" i="15"/>
  <c r="G20" i="15"/>
  <c r="G18" i="15"/>
  <c r="AA41" i="18"/>
  <c r="D6" i="15"/>
  <c r="E6" i="15" s="1"/>
  <c r="F6" i="15" s="1"/>
  <c r="G6" i="15" s="1"/>
  <c r="A13" i="14"/>
  <c r="A14" i="14" s="1"/>
  <c r="A15" i="14" s="1"/>
  <c r="A16" i="14" s="1"/>
  <c r="A17" i="14" s="1"/>
  <c r="A18" i="14" s="1"/>
  <c r="A6" i="14"/>
  <c r="A5" i="14"/>
  <c r="D15" i="14"/>
  <c r="D18" i="14" s="1"/>
  <c r="E14" i="15" s="1"/>
  <c r="I20" i="18" s="1"/>
  <c r="I25" i="18" s="1"/>
  <c r="I32" i="18" s="1"/>
  <c r="I46" i="18" l="1"/>
  <c r="I48" i="18" s="1"/>
  <c r="I34" i="18"/>
  <c r="I43" i="18" s="1"/>
  <c r="G14" i="15"/>
  <c r="AA47" i="18"/>
  <c r="F40" i="15"/>
  <c r="I49" i="18" l="1"/>
  <c r="A6" i="12"/>
  <c r="A5" i="12"/>
  <c r="A14" i="12"/>
  <c r="A15" i="12" s="1"/>
  <c r="H21" i="11" l="1"/>
  <c r="J21" i="11" s="1"/>
  <c r="A4" i="11" l="1"/>
  <c r="A3" i="11"/>
  <c r="I37" i="11"/>
  <c r="F37" i="11"/>
  <c r="E37" i="11"/>
  <c r="H36" i="11"/>
  <c r="J36" i="11" s="1"/>
  <c r="H35" i="11"/>
  <c r="J35" i="11" s="1"/>
  <c r="H34" i="11"/>
  <c r="J34" i="11" s="1"/>
  <c r="H33" i="11"/>
  <c r="J33" i="11" s="1"/>
  <c r="H32" i="11"/>
  <c r="J32" i="11" s="1"/>
  <c r="H31" i="11"/>
  <c r="J31" i="11" s="1"/>
  <c r="H30" i="11"/>
  <c r="J30" i="11" s="1"/>
  <c r="H29" i="11"/>
  <c r="J29" i="11" s="1"/>
  <c r="H28" i="11"/>
  <c r="J28" i="11" s="1"/>
  <c r="H27" i="11"/>
  <c r="I23" i="11"/>
  <c r="F23" i="11"/>
  <c r="E23" i="11"/>
  <c r="H22" i="11"/>
  <c r="J22" i="11" s="1"/>
  <c r="H20" i="11"/>
  <c r="J20" i="11" s="1"/>
  <c r="H19" i="11"/>
  <c r="J19" i="11" s="1"/>
  <c r="H18" i="11"/>
  <c r="J18" i="11" s="1"/>
  <c r="H17" i="11"/>
  <c r="J17" i="11" s="1"/>
  <c r="H16" i="11"/>
  <c r="J16" i="11" s="1"/>
  <c r="H15" i="11"/>
  <c r="J15" i="11" s="1"/>
  <c r="H14" i="11"/>
  <c r="J14" i="11" s="1"/>
  <c r="H13" i="11"/>
  <c r="J13" i="11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F36" i="10"/>
  <c r="E38" i="11" l="1"/>
  <c r="F38" i="11"/>
  <c r="I38" i="11"/>
  <c r="J23" i="11"/>
  <c r="J44" i="11" s="1"/>
  <c r="H37" i="11"/>
  <c r="J37" i="11" s="1"/>
  <c r="J45" i="11" s="1"/>
  <c r="H23" i="11"/>
  <c r="J27" i="11"/>
  <c r="B6" i="10"/>
  <c r="B5" i="10"/>
  <c r="C32" i="10"/>
  <c r="C34" i="10" s="1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F11" i="10"/>
  <c r="H38" i="11" l="1"/>
  <c r="J38" i="11"/>
  <c r="J46" i="11" s="1"/>
  <c r="E11" i="15" s="1"/>
  <c r="F32" i="10"/>
  <c r="A6" i="9"/>
  <c r="A5" i="9"/>
  <c r="H26" i="9"/>
  <c r="H28" i="9" s="1"/>
  <c r="H32" i="9" s="1"/>
  <c r="E9" i="15" s="1"/>
  <c r="D18" i="18" s="1"/>
  <c r="D25" i="18" s="1"/>
  <c r="D32" i="18" s="1"/>
  <c r="D46" i="18" s="1"/>
  <c r="F26" i="9"/>
  <c r="C15" i="9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F28" i="9" l="1"/>
  <c r="F32" i="9" s="1"/>
  <c r="D9" i="15" s="1"/>
  <c r="G9" i="15" s="1"/>
  <c r="G54" i="13"/>
  <c r="F27" i="18"/>
  <c r="D24" i="1"/>
  <c r="G11" i="15"/>
  <c r="F34" i="10"/>
  <c r="F38" i="10" s="1"/>
  <c r="F40" i="10" s="1"/>
  <c r="E10" i="15" s="1"/>
  <c r="D11" i="18" l="1"/>
  <c r="D13" i="18" s="1"/>
  <c r="D34" i="18" s="1"/>
  <c r="D43" i="18" s="1"/>
  <c r="E29" i="18"/>
  <c r="D26" i="1"/>
  <c r="G10" i="15"/>
  <c r="Y27" i="18"/>
  <c r="F32" i="18"/>
  <c r="A5" i="8"/>
  <c r="A6" i="8"/>
  <c r="H26" i="8"/>
  <c r="H28" i="8" s="1"/>
  <c r="H32" i="8" s="1"/>
  <c r="E8" i="15" s="1"/>
  <c r="F26" i="8"/>
  <c r="C15" i="8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E20" i="7"/>
  <c r="E26" i="7" s="1"/>
  <c r="E15" i="15" s="1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C35" i="6"/>
  <c r="C34" i="6"/>
  <c r="C33" i="6"/>
  <c r="C32" i="6"/>
  <c r="C45" i="6"/>
  <c r="C46" i="6" s="1"/>
  <c r="C15" i="6"/>
  <c r="J15" i="6"/>
  <c r="C37" i="6" s="1"/>
  <c r="D45" i="18" l="1"/>
  <c r="D48" i="18" s="1"/>
  <c r="D49" i="18" s="1"/>
  <c r="F28" i="8"/>
  <c r="F32" i="8" s="1"/>
  <c r="D8" i="15" s="1"/>
  <c r="D10" i="1" s="1"/>
  <c r="G53" i="13"/>
  <c r="G55" i="13" s="1"/>
  <c r="F39" i="13" s="1"/>
  <c r="F46" i="18"/>
  <c r="F48" i="18" s="1"/>
  <c r="F34" i="18"/>
  <c r="F43" i="18" s="1"/>
  <c r="J24" i="18"/>
  <c r="G15" i="15"/>
  <c r="C18" i="18"/>
  <c r="Y29" i="18"/>
  <c r="E32" i="18"/>
  <c r="C17" i="6"/>
  <c r="G8" i="15" l="1"/>
  <c r="D31" i="15"/>
  <c r="C11" i="18"/>
  <c r="C13" i="18" s="1"/>
  <c r="G39" i="13"/>
  <c r="F40" i="13"/>
  <c r="J25" i="18"/>
  <c r="J32" i="18" s="1"/>
  <c r="E46" i="18"/>
  <c r="E48" i="18" s="1"/>
  <c r="E34" i="18"/>
  <c r="E43" i="18" s="1"/>
  <c r="C25" i="18"/>
  <c r="Y18" i="18"/>
  <c r="Y11" i="18"/>
  <c r="F49" i="18"/>
  <c r="I17" i="3"/>
  <c r="I14" i="3"/>
  <c r="G40" i="13" l="1"/>
  <c r="H39" i="13"/>
  <c r="H40" i="13" s="1"/>
  <c r="C32" i="18"/>
  <c r="E49" i="18"/>
  <c r="C45" i="18"/>
  <c r="Y13" i="18"/>
  <c r="C34" i="18"/>
  <c r="J34" i="18"/>
  <c r="J43" i="18" s="1"/>
  <c r="J46" i="18"/>
  <c r="J48" i="18" s="1"/>
  <c r="H85" i="2"/>
  <c r="J82" i="2" s="1"/>
  <c r="J83" i="2" l="1"/>
  <c r="I40" i="13"/>
  <c r="G46" i="13" s="1"/>
  <c r="G48" i="13" s="1"/>
  <c r="E13" i="15" s="1"/>
  <c r="H17" i="18" s="1"/>
  <c r="J49" i="18"/>
  <c r="C43" i="18"/>
  <c r="D39" i="15"/>
  <c r="D40" i="15" s="1"/>
  <c r="AA13" i="18"/>
  <c r="Y45" i="18"/>
  <c r="AA45" i="18" s="1"/>
  <c r="C46" i="18"/>
  <c r="J84" i="2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6" i="7"/>
  <c r="A5" i="7"/>
  <c r="J18" i="6"/>
  <c r="I18" i="6"/>
  <c r="H18" i="6"/>
  <c r="F18" i="6"/>
  <c r="D18" i="6"/>
  <c r="E18" i="6"/>
  <c r="D15" i="6"/>
  <c r="C36" i="6" s="1"/>
  <c r="D15" i="1" l="1"/>
  <c r="G13" i="15"/>
  <c r="Y17" i="18"/>
  <c r="H25" i="18"/>
  <c r="H32" i="18" s="1"/>
  <c r="C48" i="18"/>
  <c r="C12" i="6"/>
  <c r="H46" i="18" l="1"/>
  <c r="H48" i="18" s="1"/>
  <c r="H34" i="18"/>
  <c r="H43" i="18" s="1"/>
  <c r="C49" i="18"/>
  <c r="K17" i="6"/>
  <c r="K13" i="6"/>
  <c r="H49" i="18" l="1"/>
  <c r="A5" i="6"/>
  <c r="A6" i="6"/>
  <c r="J19" i="6"/>
  <c r="I19" i="6"/>
  <c r="H19" i="6"/>
  <c r="K18" i="6"/>
  <c r="C39" i="6" s="1"/>
  <c r="K16" i="6"/>
  <c r="K15" i="6"/>
  <c r="K14" i="6"/>
  <c r="K12" i="6"/>
  <c r="G19" i="6"/>
  <c r="F19" i="6"/>
  <c r="E19" i="6"/>
  <c r="D19" i="6"/>
  <c r="K11" i="6"/>
  <c r="C38" i="6" s="1"/>
  <c r="C40" i="6" l="1"/>
  <c r="K26" i="6" s="1"/>
  <c r="E16" i="15" s="1"/>
  <c r="C19" i="6"/>
  <c r="K24" i="18" l="1"/>
  <c r="G16" i="15"/>
  <c r="K19" i="6"/>
  <c r="K25" i="18" l="1"/>
  <c r="K22" i="6"/>
  <c r="K24" i="6" s="1"/>
  <c r="Q15" i="4"/>
  <c r="R15" i="4" s="1"/>
  <c r="T15" i="4" s="1"/>
  <c r="Q16" i="4"/>
  <c r="R16" i="4" s="1"/>
  <c r="Q17" i="4"/>
  <c r="R17" i="4" s="1"/>
  <c r="Q19" i="4"/>
  <c r="R19" i="4" s="1"/>
  <c r="Q20" i="4"/>
  <c r="R20" i="4" s="1"/>
  <c r="Q21" i="4"/>
  <c r="R21" i="4" s="1"/>
  <c r="Q22" i="4"/>
  <c r="R22" i="4" s="1"/>
  <c r="Q23" i="4"/>
  <c r="R23" i="4" s="1"/>
  <c r="T23" i="4" s="1"/>
  <c r="Q25" i="4"/>
  <c r="R25" i="4" s="1"/>
  <c r="Q26" i="4"/>
  <c r="R26" i="4" s="1"/>
  <c r="T26" i="4" s="1"/>
  <c r="Q27" i="4"/>
  <c r="R27" i="4" s="1"/>
  <c r="Q28" i="4"/>
  <c r="R28" i="4" s="1"/>
  <c r="Q29" i="4"/>
  <c r="R29" i="4" s="1"/>
  <c r="Q31" i="4"/>
  <c r="R31" i="4" s="1"/>
  <c r="Q32" i="4"/>
  <c r="R32" i="4" s="1"/>
  <c r="Q33" i="4"/>
  <c r="R33" i="4" s="1"/>
  <c r="Q34" i="4"/>
  <c r="R34" i="4" s="1"/>
  <c r="Q35" i="4"/>
  <c r="R35" i="4" s="1"/>
  <c r="Q36" i="4"/>
  <c r="R36" i="4" s="1"/>
  <c r="Q37" i="4"/>
  <c r="R37" i="4" s="1"/>
  <c r="Q38" i="4"/>
  <c r="R38" i="4" s="1"/>
  <c r="Q39" i="4"/>
  <c r="R39" i="4" s="1"/>
  <c r="Q40" i="4"/>
  <c r="R40" i="4" s="1"/>
  <c r="Q41" i="4"/>
  <c r="R41" i="4" s="1"/>
  <c r="Q42" i="4"/>
  <c r="R42" i="4" s="1"/>
  <c r="Q44" i="4"/>
  <c r="R44" i="4" s="1"/>
  <c r="Q46" i="4"/>
  <c r="R46" i="4" s="1"/>
  <c r="Q47" i="4"/>
  <c r="R47" i="4" s="1"/>
  <c r="Q48" i="4"/>
  <c r="R48" i="4" s="1"/>
  <c r="Q49" i="4"/>
  <c r="R49" i="4" s="1"/>
  <c r="Q50" i="4"/>
  <c r="R50" i="4" s="1"/>
  <c r="Q52" i="4"/>
  <c r="R52" i="4" s="1"/>
  <c r="Q53" i="4"/>
  <c r="R53" i="4" s="1"/>
  <c r="T53" i="4" s="1"/>
  <c r="Q54" i="4"/>
  <c r="R54" i="4" s="1"/>
  <c r="Q56" i="4"/>
  <c r="R56" i="4" s="1"/>
  <c r="Q57" i="4"/>
  <c r="R57" i="4" s="1"/>
  <c r="Q58" i="4"/>
  <c r="R58" i="4" s="1"/>
  <c r="Q59" i="4"/>
  <c r="R59" i="4" s="1"/>
  <c r="Q60" i="4"/>
  <c r="R60" i="4" s="1"/>
  <c r="Q61" i="4"/>
  <c r="R61" i="4" s="1"/>
  <c r="T61" i="4" s="1"/>
  <c r="Q62" i="4"/>
  <c r="R62" i="4" s="1"/>
  <c r="Q63" i="4"/>
  <c r="R63" i="4" s="1"/>
  <c r="Q64" i="4"/>
  <c r="R64" i="4" s="1"/>
  <c r="T64" i="4" s="1"/>
  <c r="Q65" i="4"/>
  <c r="R65" i="4" s="1"/>
  <c r="Q66" i="4"/>
  <c r="R66" i="4" s="1"/>
  <c r="Q67" i="4"/>
  <c r="R67" i="4" s="1"/>
  <c r="Q68" i="4"/>
  <c r="R68" i="4" s="1"/>
  <c r="Q69" i="4"/>
  <c r="R69" i="4" s="1"/>
  <c r="Q70" i="4"/>
  <c r="R70" i="4" s="1"/>
  <c r="Q71" i="4"/>
  <c r="R71" i="4" s="1"/>
  <c r="Q73" i="4"/>
  <c r="R73" i="4" s="1"/>
  <c r="Q74" i="4"/>
  <c r="R74" i="4" s="1"/>
  <c r="T74" i="4" s="1"/>
  <c r="Q75" i="4"/>
  <c r="R75" i="4" s="1"/>
  <c r="Q76" i="4"/>
  <c r="R76" i="4" s="1"/>
  <c r="Q77" i="4"/>
  <c r="R77" i="4" s="1"/>
  <c r="Q78" i="4"/>
  <c r="R78" i="4" s="1"/>
  <c r="Q79" i="4"/>
  <c r="R79" i="4" s="1"/>
  <c r="M82" i="4"/>
  <c r="L82" i="4"/>
  <c r="K82" i="4"/>
  <c r="J82" i="4"/>
  <c r="I82" i="4"/>
  <c r="H82" i="4"/>
  <c r="G82" i="4"/>
  <c r="F82" i="4"/>
  <c r="E82" i="4"/>
  <c r="D82" i="4"/>
  <c r="C82" i="4"/>
  <c r="B82" i="4"/>
  <c r="N79" i="4"/>
  <c r="N78" i="4"/>
  <c r="N77" i="4"/>
  <c r="N76" i="4"/>
  <c r="N75" i="4"/>
  <c r="N73" i="4"/>
  <c r="N72" i="4"/>
  <c r="T72" i="4" s="1"/>
  <c r="N71" i="4"/>
  <c r="N70" i="4"/>
  <c r="N69" i="4"/>
  <c r="N68" i="4"/>
  <c r="N67" i="4"/>
  <c r="N66" i="4"/>
  <c r="N65" i="4"/>
  <c r="N63" i="4"/>
  <c r="N62" i="4"/>
  <c r="N60" i="4"/>
  <c r="N59" i="4"/>
  <c r="N58" i="4"/>
  <c r="N57" i="4"/>
  <c r="N56" i="4"/>
  <c r="N55" i="4"/>
  <c r="T55" i="4" s="1"/>
  <c r="N54" i="4"/>
  <c r="N52" i="4"/>
  <c r="N51" i="4"/>
  <c r="T51" i="4" s="1"/>
  <c r="N50" i="4"/>
  <c r="N49" i="4"/>
  <c r="N48" i="4"/>
  <c r="N47" i="4"/>
  <c r="N46" i="4"/>
  <c r="N45" i="4"/>
  <c r="T45" i="4" s="1"/>
  <c r="N44" i="4"/>
  <c r="N43" i="4"/>
  <c r="T43" i="4" s="1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T30" i="4" s="1"/>
  <c r="N29" i="4"/>
  <c r="N28" i="4"/>
  <c r="N27" i="4"/>
  <c r="N25" i="4"/>
  <c r="N24" i="4"/>
  <c r="T24" i="4" s="1"/>
  <c r="N22" i="4"/>
  <c r="N21" i="4"/>
  <c r="N20" i="4"/>
  <c r="N19" i="4"/>
  <c r="N18" i="4"/>
  <c r="T18" i="4" s="1"/>
  <c r="N17" i="4"/>
  <c r="N16" i="4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T60" i="4" l="1"/>
  <c r="K32" i="18"/>
  <c r="T77" i="4"/>
  <c r="T73" i="4"/>
  <c r="T68" i="4"/>
  <c r="T56" i="4"/>
  <c r="T50" i="4"/>
  <c r="T46" i="4"/>
  <c r="T40" i="4"/>
  <c r="T36" i="4"/>
  <c r="T32" i="4"/>
  <c r="T27" i="4"/>
  <c r="T22" i="4"/>
  <c r="T17" i="4"/>
  <c r="T76" i="4"/>
  <c r="T71" i="4"/>
  <c r="T67" i="4"/>
  <c r="T63" i="4"/>
  <c r="T59" i="4"/>
  <c r="T54" i="4"/>
  <c r="T49" i="4"/>
  <c r="T44" i="4"/>
  <c r="T39" i="4"/>
  <c r="T35" i="4"/>
  <c r="T31" i="4"/>
  <c r="T21" i="4"/>
  <c r="T16" i="4"/>
  <c r="T79" i="4"/>
  <c r="T75" i="4"/>
  <c r="T70" i="4"/>
  <c r="T66" i="4"/>
  <c r="T62" i="4"/>
  <c r="T58" i="4"/>
  <c r="T48" i="4"/>
  <c r="T42" i="4"/>
  <c r="T38" i="4"/>
  <c r="T34" i="4"/>
  <c r="T29" i="4"/>
  <c r="T25" i="4"/>
  <c r="T20" i="4"/>
  <c r="T78" i="4"/>
  <c r="T69" i="4"/>
  <c r="T65" i="4"/>
  <c r="T57" i="4"/>
  <c r="T52" i="4"/>
  <c r="T47" i="4"/>
  <c r="T41" i="4"/>
  <c r="T37" i="4"/>
  <c r="T33" i="4"/>
  <c r="T28" i="4"/>
  <c r="T19" i="4"/>
  <c r="Q82" i="4"/>
  <c r="R82" i="4"/>
  <c r="N87" i="4" s="1"/>
  <c r="N82" i="4"/>
  <c r="N86" i="4" s="1"/>
  <c r="K46" i="18" l="1"/>
  <c r="K34" i="18"/>
  <c r="N88" i="4"/>
  <c r="T82" i="4"/>
  <c r="A6" i="4"/>
  <c r="A5" i="4"/>
  <c r="C108" i="4" l="1"/>
  <c r="C116" i="4"/>
  <c r="C124" i="4"/>
  <c r="C110" i="4"/>
  <c r="C118" i="4"/>
  <c r="C119" i="4"/>
  <c r="C107" i="4"/>
  <c r="C101" i="4"/>
  <c r="C109" i="4"/>
  <c r="C117" i="4"/>
  <c r="C125" i="4"/>
  <c r="C102" i="4"/>
  <c r="C126" i="4"/>
  <c r="C103" i="4"/>
  <c r="C111" i="4"/>
  <c r="C127" i="4"/>
  <c r="C123" i="4"/>
  <c r="C104" i="4"/>
  <c r="C112" i="4"/>
  <c r="C120" i="4"/>
  <c r="C128" i="4"/>
  <c r="C106" i="4"/>
  <c r="C130" i="4"/>
  <c r="C105" i="4"/>
  <c r="C113" i="4"/>
  <c r="C121" i="4"/>
  <c r="C129" i="4"/>
  <c r="C114" i="4"/>
  <c r="C122" i="4"/>
  <c r="C115" i="4"/>
  <c r="K43" i="18"/>
  <c r="K48" i="18"/>
  <c r="I24" i="3"/>
  <c r="I22" i="3"/>
  <c r="I18" i="3"/>
  <c r="I25" i="3" l="1"/>
  <c r="C132" i="4"/>
  <c r="C134" i="4"/>
  <c r="K49" i="18"/>
  <c r="C21" i="3"/>
  <c r="C22" i="3"/>
  <c r="C23" i="3"/>
  <c r="C24" i="3"/>
  <c r="B5" i="3" l="1"/>
  <c r="B4" i="3"/>
  <c r="C46" i="3"/>
  <c r="G45" i="3"/>
  <c r="G44" i="3"/>
  <c r="G43" i="3"/>
  <c r="G42" i="3"/>
  <c r="C39" i="3"/>
  <c r="G38" i="3"/>
  <c r="E38" i="3"/>
  <c r="G37" i="3"/>
  <c r="E37" i="3"/>
  <c r="G36" i="3"/>
  <c r="E36" i="3"/>
  <c r="G35" i="3"/>
  <c r="E35" i="3"/>
  <c r="C25" i="3"/>
  <c r="G24" i="3"/>
  <c r="J24" i="3" s="1"/>
  <c r="E24" i="3"/>
  <c r="G23" i="3"/>
  <c r="J23" i="3" s="1"/>
  <c r="E23" i="3"/>
  <c r="G22" i="3"/>
  <c r="J22" i="3" s="1"/>
  <c r="E22" i="3"/>
  <c r="G21" i="3"/>
  <c r="J21" i="3" s="1"/>
  <c r="E21" i="3"/>
  <c r="C18" i="3"/>
  <c r="G17" i="3"/>
  <c r="J17" i="3" s="1"/>
  <c r="E17" i="3"/>
  <c r="G16" i="3"/>
  <c r="J16" i="3" s="1"/>
  <c r="E16" i="3"/>
  <c r="G15" i="3"/>
  <c r="J15" i="3" s="1"/>
  <c r="E15" i="3"/>
  <c r="G14" i="3"/>
  <c r="J14" i="3" s="1"/>
  <c r="E14" i="3"/>
  <c r="A5" i="2"/>
  <c r="A4" i="2"/>
  <c r="C15" i="2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J80" i="2"/>
  <c r="I80" i="2"/>
  <c r="H80" i="2"/>
  <c r="F80" i="2"/>
  <c r="E80" i="2"/>
  <c r="O78" i="2"/>
  <c r="N78" i="2"/>
  <c r="O77" i="2"/>
  <c r="N77" i="2"/>
  <c r="O76" i="2"/>
  <c r="N76" i="2"/>
  <c r="O75" i="2"/>
  <c r="N75" i="2"/>
  <c r="O74" i="2"/>
  <c r="N74" i="2"/>
  <c r="O73" i="2"/>
  <c r="N73" i="2"/>
  <c r="O72" i="2"/>
  <c r="N72" i="2"/>
  <c r="P71" i="2"/>
  <c r="R71" i="2" s="1"/>
  <c r="O70" i="2"/>
  <c r="N70" i="2"/>
  <c r="O69" i="2"/>
  <c r="N69" i="2"/>
  <c r="O68" i="2"/>
  <c r="N68" i="2"/>
  <c r="O67" i="2"/>
  <c r="N67" i="2"/>
  <c r="O66" i="2"/>
  <c r="N66" i="2"/>
  <c r="O65" i="2"/>
  <c r="N65" i="2"/>
  <c r="O64" i="2"/>
  <c r="N64" i="2"/>
  <c r="O63" i="2"/>
  <c r="N63" i="2"/>
  <c r="O62" i="2"/>
  <c r="N62" i="2"/>
  <c r="O61" i="2"/>
  <c r="N61" i="2"/>
  <c r="O60" i="2"/>
  <c r="N60" i="2"/>
  <c r="O59" i="2"/>
  <c r="N59" i="2"/>
  <c r="O58" i="2"/>
  <c r="N58" i="2"/>
  <c r="O57" i="2"/>
  <c r="N57" i="2"/>
  <c r="O56" i="2"/>
  <c r="N56" i="2"/>
  <c r="O55" i="2"/>
  <c r="N55" i="2"/>
  <c r="P54" i="2"/>
  <c r="R54" i="2" s="1"/>
  <c r="O53" i="2"/>
  <c r="N53" i="2"/>
  <c r="O52" i="2"/>
  <c r="N52" i="2"/>
  <c r="O51" i="2"/>
  <c r="N51" i="2"/>
  <c r="P50" i="2"/>
  <c r="R50" i="2" s="1"/>
  <c r="O49" i="2"/>
  <c r="N49" i="2"/>
  <c r="O48" i="2"/>
  <c r="N48" i="2"/>
  <c r="O47" i="2"/>
  <c r="N47" i="2"/>
  <c r="O46" i="2"/>
  <c r="N46" i="2"/>
  <c r="O45" i="2"/>
  <c r="N45" i="2"/>
  <c r="P44" i="2"/>
  <c r="R44" i="2" s="1"/>
  <c r="O43" i="2"/>
  <c r="N43" i="2"/>
  <c r="P42" i="2"/>
  <c r="R42" i="2" s="1"/>
  <c r="O41" i="2"/>
  <c r="N41" i="2"/>
  <c r="O40" i="2"/>
  <c r="N40" i="2"/>
  <c r="O39" i="2"/>
  <c r="N39" i="2"/>
  <c r="O38" i="2"/>
  <c r="N38" i="2"/>
  <c r="P38" i="2" s="1"/>
  <c r="R38" i="2" s="1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P29" i="2"/>
  <c r="R29" i="2" s="1"/>
  <c r="O28" i="2"/>
  <c r="N28" i="2"/>
  <c r="O27" i="2"/>
  <c r="N27" i="2"/>
  <c r="O26" i="2"/>
  <c r="N26" i="2"/>
  <c r="O25" i="2"/>
  <c r="N25" i="2"/>
  <c r="O24" i="2"/>
  <c r="N24" i="2"/>
  <c r="P23" i="2"/>
  <c r="R23" i="2" s="1"/>
  <c r="O22" i="2"/>
  <c r="N22" i="2"/>
  <c r="O21" i="2"/>
  <c r="N21" i="2"/>
  <c r="O20" i="2"/>
  <c r="N20" i="2"/>
  <c r="O19" i="2"/>
  <c r="N19" i="2"/>
  <c r="O18" i="2"/>
  <c r="N18" i="2"/>
  <c r="P17" i="2"/>
  <c r="R17" i="2" s="1"/>
  <c r="O16" i="2"/>
  <c r="N16" i="2"/>
  <c r="O15" i="2"/>
  <c r="N15" i="2"/>
  <c r="O14" i="2"/>
  <c r="N14" i="2"/>
  <c r="E12" i="2"/>
  <c r="F12" i="2" s="1"/>
  <c r="H12" i="2" s="1"/>
  <c r="I12" i="2" s="1"/>
  <c r="J12" i="2" s="1"/>
  <c r="L12" i="2" s="1"/>
  <c r="N12" i="2" s="1"/>
  <c r="O12" i="2" s="1"/>
  <c r="P12" i="2" s="1"/>
  <c r="R12" i="2" s="1"/>
  <c r="S12" i="2" s="1"/>
  <c r="P15" i="2" l="1"/>
  <c r="R15" i="2" s="1"/>
  <c r="P24" i="2"/>
  <c r="R24" i="2" s="1"/>
  <c r="P28" i="2"/>
  <c r="R28" i="2" s="1"/>
  <c r="P75" i="2"/>
  <c r="R75" i="2" s="1"/>
  <c r="P35" i="2"/>
  <c r="R35" i="2" s="1"/>
  <c r="P37" i="2"/>
  <c r="R37" i="2" s="1"/>
  <c r="P39" i="2"/>
  <c r="R39" i="2" s="1"/>
  <c r="P14" i="2"/>
  <c r="P27" i="2"/>
  <c r="R27" i="2" s="1"/>
  <c r="P53" i="2"/>
  <c r="R53" i="2" s="1"/>
  <c r="P74" i="2"/>
  <c r="R74" i="2" s="1"/>
  <c r="P78" i="2"/>
  <c r="R78" i="2" s="1"/>
  <c r="P26" i="2"/>
  <c r="R26" i="2" s="1"/>
  <c r="P43" i="2"/>
  <c r="R43" i="2" s="1"/>
  <c r="P52" i="2"/>
  <c r="R52" i="2" s="1"/>
  <c r="P73" i="2"/>
  <c r="R73" i="2" s="1"/>
  <c r="P77" i="2"/>
  <c r="R77" i="2" s="1"/>
  <c r="P36" i="2"/>
  <c r="R36" i="2" s="1"/>
  <c r="P40" i="2"/>
  <c r="R40" i="2" s="1"/>
  <c r="P41" i="2"/>
  <c r="R41" i="2" s="1"/>
  <c r="P16" i="2"/>
  <c r="R16" i="2" s="1"/>
  <c r="P25" i="2"/>
  <c r="R25" i="2" s="1"/>
  <c r="P51" i="2"/>
  <c r="R51" i="2" s="1"/>
  <c r="P72" i="2"/>
  <c r="R72" i="2" s="1"/>
  <c r="P76" i="2"/>
  <c r="R76" i="2" s="1"/>
  <c r="P19" i="2"/>
  <c r="R19" i="2" s="1"/>
  <c r="P21" i="2"/>
  <c r="R21" i="2" s="1"/>
  <c r="P31" i="2"/>
  <c r="R31" i="2" s="1"/>
  <c r="P33" i="2"/>
  <c r="R33" i="2" s="1"/>
  <c r="P45" i="2"/>
  <c r="R45" i="2" s="1"/>
  <c r="P47" i="2"/>
  <c r="R47" i="2" s="1"/>
  <c r="P49" i="2"/>
  <c r="R49" i="2" s="1"/>
  <c r="P55" i="2"/>
  <c r="R55" i="2" s="1"/>
  <c r="P57" i="2"/>
  <c r="R57" i="2" s="1"/>
  <c r="P59" i="2"/>
  <c r="R59" i="2" s="1"/>
  <c r="P61" i="2"/>
  <c r="R61" i="2" s="1"/>
  <c r="P63" i="2"/>
  <c r="R63" i="2" s="1"/>
  <c r="P65" i="2"/>
  <c r="R65" i="2" s="1"/>
  <c r="P67" i="2"/>
  <c r="R67" i="2" s="1"/>
  <c r="P69" i="2"/>
  <c r="R69" i="2" s="1"/>
  <c r="N80" i="2"/>
  <c r="O80" i="2"/>
  <c r="P18" i="2"/>
  <c r="R18" i="2" s="1"/>
  <c r="P20" i="2"/>
  <c r="R20" i="2" s="1"/>
  <c r="P22" i="2"/>
  <c r="R22" i="2" s="1"/>
  <c r="P30" i="2"/>
  <c r="R30" i="2" s="1"/>
  <c r="P32" i="2"/>
  <c r="R32" i="2" s="1"/>
  <c r="P34" i="2"/>
  <c r="R34" i="2" s="1"/>
  <c r="P46" i="2"/>
  <c r="R46" i="2" s="1"/>
  <c r="P48" i="2"/>
  <c r="R48" i="2" s="1"/>
  <c r="P56" i="2"/>
  <c r="R56" i="2" s="1"/>
  <c r="P58" i="2"/>
  <c r="R58" i="2" s="1"/>
  <c r="P60" i="2"/>
  <c r="R60" i="2" s="1"/>
  <c r="P62" i="2"/>
  <c r="R62" i="2" s="1"/>
  <c r="P64" i="2"/>
  <c r="R64" i="2" s="1"/>
  <c r="P66" i="2"/>
  <c r="R66" i="2" s="1"/>
  <c r="P68" i="2"/>
  <c r="R68" i="2" s="1"/>
  <c r="P70" i="2"/>
  <c r="R70" i="2" s="1"/>
  <c r="G39" i="3"/>
  <c r="J18" i="3"/>
  <c r="J25" i="3"/>
  <c r="E39" i="3"/>
  <c r="E43" i="3"/>
  <c r="E42" i="3"/>
  <c r="E44" i="3"/>
  <c r="E45" i="3"/>
  <c r="E25" i="3"/>
  <c r="E18" i="3"/>
  <c r="G18" i="3"/>
  <c r="G25" i="3"/>
  <c r="G46" i="3"/>
  <c r="R14" i="2"/>
  <c r="P80" i="2" l="1"/>
  <c r="G48" i="3"/>
  <c r="J27" i="3"/>
  <c r="E19" i="15" s="1"/>
  <c r="R80" i="2"/>
  <c r="E46" i="3"/>
  <c r="C42" i="1"/>
  <c r="E37" i="1"/>
  <c r="D38" i="1"/>
  <c r="E38" i="1" s="1"/>
  <c r="F38" i="1" s="1"/>
  <c r="G38" i="1" s="1"/>
  <c r="E36" i="1"/>
  <c r="F36" i="1" s="1"/>
  <c r="G36" i="1" s="1"/>
  <c r="E35" i="1"/>
  <c r="F35" i="1" s="1"/>
  <c r="G35" i="1" s="1"/>
  <c r="E34" i="1"/>
  <c r="F34" i="1" s="1"/>
  <c r="G34" i="1" s="1"/>
  <c r="E28" i="1"/>
  <c r="F28" i="1" s="1"/>
  <c r="G28" i="1" s="1"/>
  <c r="E27" i="1"/>
  <c r="F27" i="1" s="1"/>
  <c r="G27" i="1" s="1"/>
  <c r="E26" i="1"/>
  <c r="E25" i="1"/>
  <c r="F25" i="1" s="1"/>
  <c r="G25" i="1" s="1"/>
  <c r="E24" i="1"/>
  <c r="F24" i="1" s="1"/>
  <c r="G24" i="1" s="1"/>
  <c r="C22" i="1"/>
  <c r="C30" i="1" s="1"/>
  <c r="E20" i="1"/>
  <c r="F20" i="1" s="1"/>
  <c r="G20" i="1" s="1"/>
  <c r="E19" i="1"/>
  <c r="F19" i="1" s="1"/>
  <c r="G19" i="1" s="1"/>
  <c r="E18" i="1"/>
  <c r="F18" i="1" s="1"/>
  <c r="G18" i="1" s="1"/>
  <c r="E16" i="1"/>
  <c r="F16" i="1" s="1"/>
  <c r="G16" i="1" s="1"/>
  <c r="E15" i="1"/>
  <c r="F15" i="1" s="1"/>
  <c r="G15" i="1" s="1"/>
  <c r="D12" i="1"/>
  <c r="C12" i="1"/>
  <c r="E11" i="1"/>
  <c r="F11" i="1" s="1"/>
  <c r="G11" i="1" s="1"/>
  <c r="E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C8" i="1"/>
  <c r="D8" i="1" s="1"/>
  <c r="E42" i="1" l="1"/>
  <c r="F42" i="1" s="1"/>
  <c r="C54" i="1"/>
  <c r="D36" i="15"/>
  <c r="D37" i="15" s="1"/>
  <c r="N24" i="18"/>
  <c r="N25" i="18" s="1"/>
  <c r="N32" i="18" s="1"/>
  <c r="G50" i="3"/>
  <c r="G19" i="15" s="1"/>
  <c r="F26" i="1"/>
  <c r="D91" i="3"/>
  <c r="E107" i="2"/>
  <c r="E115" i="2"/>
  <c r="E123" i="2"/>
  <c r="E101" i="2"/>
  <c r="E109" i="2"/>
  <c r="E117" i="2"/>
  <c r="E125" i="2"/>
  <c r="E126" i="2"/>
  <c r="E114" i="2"/>
  <c r="E100" i="2"/>
  <c r="E108" i="2"/>
  <c r="E116" i="2"/>
  <c r="E124" i="2"/>
  <c r="E102" i="2"/>
  <c r="E110" i="2"/>
  <c r="E118" i="2"/>
  <c r="E122" i="2"/>
  <c r="E103" i="2"/>
  <c r="E111" i="2"/>
  <c r="E119" i="2"/>
  <c r="E127" i="2"/>
  <c r="E106" i="2"/>
  <c r="E104" i="2"/>
  <c r="E112" i="2"/>
  <c r="E120" i="2"/>
  <c r="E128" i="2"/>
  <c r="E105" i="2"/>
  <c r="E113" i="2"/>
  <c r="E121" i="2"/>
  <c r="E99" i="2"/>
  <c r="D82" i="3"/>
  <c r="D81" i="3"/>
  <c r="F36" i="15"/>
  <c r="F37" i="15" s="1"/>
  <c r="E12" i="1"/>
  <c r="R82" i="2"/>
  <c r="E17" i="15" s="1"/>
  <c r="D21" i="1" s="1"/>
  <c r="R83" i="2"/>
  <c r="R84" i="2"/>
  <c r="F37" i="1"/>
  <c r="C32" i="1"/>
  <c r="G42" i="1" l="1"/>
  <c r="E54" i="1"/>
  <c r="D87" i="3"/>
  <c r="C55" i="1"/>
  <c r="D80" i="3"/>
  <c r="D69" i="3"/>
  <c r="D90" i="3"/>
  <c r="D73" i="3"/>
  <c r="D67" i="3"/>
  <c r="D71" i="3"/>
  <c r="D75" i="3"/>
  <c r="D66" i="3"/>
  <c r="D70" i="3"/>
  <c r="D65" i="3"/>
  <c r="D77" i="3"/>
  <c r="D89" i="3"/>
  <c r="D79" i="3"/>
  <c r="D83" i="3"/>
  <c r="D64" i="3"/>
  <c r="D72" i="3"/>
  <c r="D76" i="3"/>
  <c r="D74" i="3"/>
  <c r="D68" i="3"/>
  <c r="D78" i="3"/>
  <c r="D88" i="3"/>
  <c r="D63" i="3"/>
  <c r="D84" i="3"/>
  <c r="D85" i="3"/>
  <c r="D86" i="3"/>
  <c r="D62" i="3"/>
  <c r="N46" i="18"/>
  <c r="N48" i="18" s="1"/>
  <c r="N34" i="18"/>
  <c r="N43" i="18" s="1"/>
  <c r="G26" i="1"/>
  <c r="F54" i="1"/>
  <c r="G37" i="1"/>
  <c r="L24" i="18"/>
  <c r="G17" i="15"/>
  <c r="E130" i="2"/>
  <c r="R85" i="2"/>
  <c r="C43" i="1"/>
  <c r="C40" i="1"/>
  <c r="D93" i="3" l="1"/>
  <c r="G78" i="3"/>
  <c r="C56" i="1"/>
  <c r="N49" i="18"/>
  <c r="G54" i="1"/>
  <c r="E21" i="1"/>
  <c r="L25" i="18"/>
  <c r="Y24" i="18"/>
  <c r="C44" i="1"/>
  <c r="C45" i="1"/>
  <c r="L32" i="18" l="1"/>
  <c r="F21" i="1"/>
  <c r="G21" i="1" l="1"/>
  <c r="L46" i="18"/>
  <c r="L34" i="18"/>
  <c r="L48" i="18" l="1"/>
  <c r="L43" i="18"/>
  <c r="L49" i="18" l="1"/>
  <c r="E12" i="15" l="1"/>
  <c r="E31" i="15" s="1"/>
  <c r="G20" i="18" l="1"/>
  <c r="G12" i="15"/>
  <c r="G31" i="15" s="1"/>
  <c r="D17" i="1"/>
  <c r="Y20" i="18" l="1"/>
  <c r="G25" i="18"/>
  <c r="E17" i="1"/>
  <c r="D22" i="1"/>
  <c r="D30" i="1" s="1"/>
  <c r="G32" i="18" l="1"/>
  <c r="Y25" i="18"/>
  <c r="D32" i="1"/>
  <c r="D40" i="1" s="1"/>
  <c r="G36" i="15" s="1"/>
  <c r="G37" i="15" s="1"/>
  <c r="E36" i="15"/>
  <c r="E37" i="15" s="1"/>
  <c r="E22" i="1"/>
  <c r="E30" i="1" s="1"/>
  <c r="F17" i="1"/>
  <c r="F22" i="1" l="1"/>
  <c r="F30" i="1" s="1"/>
  <c r="G17" i="1"/>
  <c r="G22" i="1" s="1"/>
  <c r="G30" i="1" s="1"/>
  <c r="E55" i="1"/>
  <c r="E32" i="1"/>
  <c r="G34" i="18"/>
  <c r="Y32" i="18"/>
  <c r="G46" i="18"/>
  <c r="G55" i="1" l="1"/>
  <c r="G48" i="18"/>
  <c r="Y46" i="18"/>
  <c r="AA46" i="18" s="1"/>
  <c r="E39" i="15"/>
  <c r="E40" i="15" s="1"/>
  <c r="AA32" i="18"/>
  <c r="G43" i="18"/>
  <c r="Y43" i="18" s="1"/>
  <c r="Y34" i="18"/>
  <c r="E43" i="1"/>
  <c r="E57" i="1" s="1"/>
  <c r="E40" i="1"/>
  <c r="F55" i="1"/>
  <c r="Y48" i="18" l="1"/>
  <c r="G49" i="18"/>
  <c r="G39" i="15"/>
  <c r="G40" i="15" s="1"/>
  <c r="AA43" i="18"/>
  <c r="E44" i="1"/>
  <c r="E45" i="1"/>
  <c r="E56" i="1"/>
  <c r="G60" i="1" s="1"/>
  <c r="D33" i="23" s="1"/>
  <c r="G61" i="1" l="1"/>
  <c r="G10" i="1"/>
  <c r="G12" i="1" s="1"/>
  <c r="G32" i="1" s="1"/>
  <c r="Y49" i="18"/>
  <c r="AA48" i="18"/>
  <c r="G40" i="1" l="1"/>
  <c r="G43" i="1"/>
  <c r="G57" i="1" s="1"/>
  <c r="G45" i="1" l="1"/>
  <c r="G56" i="1"/>
  <c r="G44" i="1"/>
  <c r="C47" i="1" s="1"/>
  <c r="D28" i="23"/>
  <c r="D30" i="23" s="1"/>
  <c r="D34" i="23" s="1"/>
  <c r="E47" i="1" l="1"/>
  <c r="C48" i="1"/>
  <c r="E51" i="1"/>
  <c r="G51" i="1"/>
  <c r="C49" i="1" l="1"/>
  <c r="C50" i="1"/>
  <c r="F47" i="1"/>
  <c r="E48" i="1"/>
  <c r="E49" i="1" l="1"/>
  <c r="E50" i="1"/>
  <c r="F60" i="1" s="1"/>
  <c r="G47" i="1"/>
  <c r="G48" i="1" s="1"/>
  <c r="F48" i="1"/>
  <c r="G49" i="1" l="1"/>
  <c r="G50" i="1"/>
  <c r="F49" i="1"/>
  <c r="F10" i="1"/>
  <c r="F12" i="1" s="1"/>
  <c r="F32" i="1" s="1"/>
  <c r="F61" i="1"/>
  <c r="F43" i="1" l="1"/>
  <c r="F57" i="1" s="1"/>
  <c r="F40" i="1"/>
  <c r="F56" i="1" l="1"/>
  <c r="F45" i="1"/>
  <c r="F51" i="1" s="1"/>
  <c r="F44" i="1"/>
  <c r="F50" i="1"/>
</calcChain>
</file>

<file path=xl/sharedStrings.xml><?xml version="1.0" encoding="utf-8"?>
<sst xmlns="http://schemas.openxmlformats.org/spreadsheetml/2006/main" count="908" uniqueCount="530">
  <si>
    <t>TAYLOR COUNTY RECC</t>
  </si>
  <si>
    <t>Statement of Operations &amp; Revenue Requirement</t>
  </si>
  <si>
    <t>For the 12 Months Ended December 31, 2021</t>
  </si>
  <si>
    <t>Actual Rates</t>
  </si>
  <si>
    <t>Pro Forma</t>
  </si>
  <si>
    <t>Present Rates</t>
  </si>
  <si>
    <t>Proposed Rates</t>
  </si>
  <si>
    <t>Line</t>
  </si>
  <si>
    <t>Description</t>
  </si>
  <si>
    <t>Actual Test Yr</t>
  </si>
  <si>
    <t>Adjustment</t>
  </si>
  <si>
    <t>Adj Test Yr</t>
  </si>
  <si>
    <t>#</t>
  </si>
  <si>
    <t>(4)</t>
  </si>
  <si>
    <t>(5)</t>
  </si>
  <si>
    <t>Operating Revenues</t>
  </si>
  <si>
    <t>Total Sales of Electric Energy</t>
  </si>
  <si>
    <t>Other Electric Revenue</t>
  </si>
  <si>
    <t>Total Operating Revenue</t>
  </si>
  <si>
    <t>Operating Expenses:</t>
  </si>
  <si>
    <t>Purchased Power</t>
  </si>
  <si>
    <t>Distribution Operations</t>
  </si>
  <si>
    <t>Distribution Maintenance</t>
  </si>
  <si>
    <t>Customer Accounts</t>
  </si>
  <si>
    <t>Customer Service</t>
  </si>
  <si>
    <t>Sales Expense</t>
  </si>
  <si>
    <t>A&amp;G</t>
  </si>
  <si>
    <t>Total O&amp;M Expense</t>
  </si>
  <si>
    <t xml:space="preserve">Depreciation </t>
  </si>
  <si>
    <t>Taxes - Other</t>
  </si>
  <si>
    <t>Interest on LTD</t>
  </si>
  <si>
    <t>Interest - Other</t>
  </si>
  <si>
    <t>Other Deductions</t>
  </si>
  <si>
    <t>Total Cost of Electric Service</t>
  </si>
  <si>
    <t>Utility Operating Margins</t>
  </si>
  <si>
    <t>Non-Operating Margins - Interest</t>
  </si>
  <si>
    <t>26a</t>
  </si>
  <si>
    <t>Income(Loss) from Equity Investments</t>
  </si>
  <si>
    <t>Non-Operating Margins - Other</t>
  </si>
  <si>
    <t>G&amp;T Capital Credits</t>
  </si>
  <si>
    <t>Other Capital Credits</t>
  </si>
  <si>
    <t>Net Margins</t>
  </si>
  <si>
    <t>Cash Receipts from Lenders</t>
  </si>
  <si>
    <t>OTIER</t>
  </si>
  <si>
    <t>TIER</t>
  </si>
  <si>
    <t>TIER excluding GTCC</t>
  </si>
  <si>
    <t>Target TIER</t>
  </si>
  <si>
    <t>Margins at Target TIER</t>
  </si>
  <si>
    <t>(6)</t>
  </si>
  <si>
    <t>Target OTIER</t>
  </si>
  <si>
    <t>Based on TIER</t>
  </si>
  <si>
    <t>Based on OTIER</t>
  </si>
  <si>
    <t>Revenue Requirement at Target TIER</t>
  </si>
  <si>
    <t>Revenue Deficiency at Target TIER</t>
  </si>
  <si>
    <t xml:space="preserve">Variance from Target OTIER </t>
  </si>
  <si>
    <t>Variance from Target TIER</t>
  </si>
  <si>
    <t>Wages &amp; Salaries</t>
  </si>
  <si>
    <t>ID</t>
  </si>
  <si>
    <t>Hours Worked</t>
  </si>
  <si>
    <t>Actual Test Year Wages</t>
  </si>
  <si>
    <t>2022 Wage Rate</t>
  </si>
  <si>
    <t>Pro Forma Wages at 2,080 Hours</t>
  </si>
  <si>
    <t>Pro Forma Adjustment</t>
  </si>
  <si>
    <t>Note</t>
  </si>
  <si>
    <t>Regular</t>
  </si>
  <si>
    <t>Overtime</t>
  </si>
  <si>
    <t>Total</t>
  </si>
  <si>
    <t>E</t>
  </si>
  <si>
    <t xml:space="preserve"> </t>
  </si>
  <si>
    <t>C</t>
  </si>
  <si>
    <t>A</t>
  </si>
  <si>
    <t>D</t>
  </si>
  <si>
    <t>B</t>
  </si>
  <si>
    <t xml:space="preserve">GRAND TOTALS       </t>
  </si>
  <si>
    <t>Notes</t>
  </si>
  <si>
    <t>Retired</t>
  </si>
  <si>
    <t>Hired during test year</t>
  </si>
  <si>
    <t xml:space="preserve">Terminated </t>
  </si>
  <si>
    <t>Workers Comp</t>
  </si>
  <si>
    <t>New Hire after test year</t>
  </si>
  <si>
    <t>This adjustment normalizes actual test year labor to 2021 wages rates and headcount.</t>
  </si>
  <si>
    <t>Reference Schedule:  1.12</t>
  </si>
  <si>
    <t>Option</t>
  </si>
  <si>
    <t>Total Cost $</t>
  </si>
  <si>
    <t>Employee %</t>
  </si>
  <si>
    <t>Employee $</t>
  </si>
  <si>
    <t>Utility %</t>
  </si>
  <si>
    <t>Utility $</t>
  </si>
  <si>
    <t>(1)</t>
  </si>
  <si>
    <t>(2)</t>
  </si>
  <si>
    <t>(3)</t>
  </si>
  <si>
    <t>Normalized Test Year</t>
  </si>
  <si>
    <t>Employee</t>
  </si>
  <si>
    <t>Employee &amp; Spouse</t>
  </si>
  <si>
    <t>Employee &amp; Child(ren)</t>
  </si>
  <si>
    <t>Employee &amp; Family</t>
  </si>
  <si>
    <t>Dental Insurance Premiums</t>
  </si>
  <si>
    <t>H.S.A./H.R.A. Contributions</t>
  </si>
  <si>
    <t>HDHP Health Insurance Premiums</t>
  </si>
  <si>
    <t>Total Utility $</t>
  </si>
  <si>
    <t>(7)</t>
  </si>
  <si>
    <t>(8)</t>
  </si>
  <si>
    <t>Reference Schedule:  1.11</t>
  </si>
  <si>
    <t>401(k) Contribution Match Expense</t>
  </si>
  <si>
    <t>Empl #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</si>
  <si>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</si>
  <si>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</si>
  <si>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</si>
  <si>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</si>
  <si>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</si>
  <si>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</si>
  <si>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</si>
  <si>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</si>
  <si>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</si>
  <si>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</si>
  <si>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</si>
  <si>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</si>
  <si>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Test Year 401k Match Expense</t>
  </si>
  <si>
    <t>Pro Forma 401k Match Expense</t>
  </si>
  <si>
    <t>Actual Test Yeat 401(k) Employer Contributions</t>
  </si>
  <si>
    <t>401(k)  Employer Contr</t>
  </si>
  <si>
    <t>Pro Forma 401(k) Contributions</t>
  </si>
  <si>
    <t>Pro Forma Amount</t>
  </si>
  <si>
    <t xml:space="preserve">This adjustment reflects the utility contribution increase from 10% on Gross Wages in 2021 to 16% on Regular Wages in 2023. </t>
  </si>
  <si>
    <t>Reference Schedule:  1.09</t>
  </si>
  <si>
    <t>Item</t>
  </si>
  <si>
    <t>KEC Annual Meeting</t>
  </si>
  <si>
    <t>Shuffett</t>
  </si>
  <si>
    <t>Tucker</t>
  </si>
  <si>
    <t>Taylor</t>
  </si>
  <si>
    <t>CFC Workshop</t>
  </si>
  <si>
    <t>EKPC Annual Meeting</t>
  </si>
  <si>
    <t>Irvin</t>
  </si>
  <si>
    <t>Clements</t>
  </si>
  <si>
    <t>Corbin</t>
  </si>
  <si>
    <t>Woodrum</t>
  </si>
  <si>
    <t>Rucker</t>
  </si>
  <si>
    <t>Health Insurance</t>
  </si>
  <si>
    <t>Directors Expenses Test Year</t>
  </si>
  <si>
    <t>Test Year Total Amount</t>
  </si>
  <si>
    <t>Reference Schedule:  1.08</t>
  </si>
  <si>
    <t>Donations, Promotional Advertising &amp; Dues</t>
  </si>
  <si>
    <t>ACCOUNT</t>
  </si>
  <si>
    <t>NUMBER</t>
  </si>
  <si>
    <t>PAYROLL</t>
  </si>
  <si>
    <t>PERCENT</t>
  </si>
  <si>
    <t>Payroll Expensed</t>
  </si>
  <si>
    <t>Payroll Capitalized</t>
  </si>
  <si>
    <t>Payroll Other</t>
  </si>
  <si>
    <t>Per 2021 Form 7</t>
  </si>
  <si>
    <t>Pro Forma Year</t>
  </si>
  <si>
    <t>Grand Total Adjustment for Medical and Dental Insurance</t>
  </si>
  <si>
    <t>NRECA Winter School</t>
  </si>
  <si>
    <t>Items to be removed:</t>
  </si>
  <si>
    <t>Amount</t>
  </si>
  <si>
    <t>Total to be removed:</t>
  </si>
  <si>
    <t>Items to be added:</t>
  </si>
  <si>
    <t>NRECA Winter School (Tucker)</t>
  </si>
  <si>
    <t>NRECA Winter School (Taylor)</t>
  </si>
  <si>
    <t>NRECA Winter School (Corbin)</t>
  </si>
  <si>
    <t>NRECA Winter School (Woodrum)</t>
  </si>
  <si>
    <t>KEC Annual Meeting (Rucker)</t>
  </si>
  <si>
    <t>KEC Annual Meeting (Tucker)</t>
  </si>
  <si>
    <t xml:space="preserve">Health Insurance </t>
  </si>
  <si>
    <t>Per Diem</t>
  </si>
  <si>
    <t>Per Diem ($325 per meeting)</t>
  </si>
  <si>
    <t>Per Diem ($300 per Meeting)</t>
  </si>
  <si>
    <t>Retainer ($1000 per month)</t>
  </si>
  <si>
    <t>Total to be added:</t>
  </si>
  <si>
    <t>Account</t>
  </si>
  <si>
    <t>Excluded</t>
  </si>
  <si>
    <t>NRECA Dues</t>
  </si>
  <si>
    <t>Item ID</t>
  </si>
  <si>
    <t>DUES  02</t>
  </si>
  <si>
    <t>KEC Dues</t>
  </si>
  <si>
    <t>DUES  01</t>
  </si>
  <si>
    <t>Youth Tour</t>
  </si>
  <si>
    <t>MPRL  01</t>
  </si>
  <si>
    <t xml:space="preserve">KY Living </t>
  </si>
  <si>
    <t>Chamber Dues</t>
  </si>
  <si>
    <t>DUES  04</t>
  </si>
  <si>
    <t>MPRL  00</t>
  </si>
  <si>
    <t>Advertising</t>
  </si>
  <si>
    <t>MPRL  05</t>
  </si>
  <si>
    <t>MISC  00</t>
  </si>
  <si>
    <t>Donations</t>
  </si>
  <si>
    <t>ANMT  03</t>
  </si>
  <si>
    <t>Annual Meeting - Prizes</t>
  </si>
  <si>
    <t>ANMT  01</t>
  </si>
  <si>
    <t>ANMT  05</t>
  </si>
  <si>
    <t>Annual Meeting - Registration</t>
  </si>
  <si>
    <t>This adjustment removes charitable donations, promotional advertising expenses, and dues from the revenue requirement consistent with standard Commission practices.</t>
  </si>
  <si>
    <t>Annual Meeting - Advertising</t>
  </si>
  <si>
    <t>Reference Schedule:  1.01</t>
  </si>
  <si>
    <t xml:space="preserve">Fuel Adjustment Clause </t>
  </si>
  <si>
    <t>Year</t>
  </si>
  <si>
    <t>Month</t>
  </si>
  <si>
    <t>Revenue</t>
  </si>
  <si>
    <t>Expense</t>
  </si>
  <si>
    <t>TOTAL</t>
  </si>
  <si>
    <t>Test Year Amount</t>
  </si>
  <si>
    <t>Pro Forma Year Amount</t>
  </si>
  <si>
    <t>This adjustment removes the FAC revenues and expenses from the test period.</t>
  </si>
  <si>
    <t>Reference Schedule:  1.02</t>
  </si>
  <si>
    <t>Environmental Surcharge</t>
  </si>
  <si>
    <t>This adjustment removes the Envionmental Surcharge revenues and expenses from the test period.</t>
  </si>
  <si>
    <t>Interest Expense</t>
  </si>
  <si>
    <t>Note #</t>
  </si>
  <si>
    <t>Lender</t>
  </si>
  <si>
    <t>Rate</t>
  </si>
  <si>
    <t>Interest</t>
  </si>
  <si>
    <t>1-1</t>
  </si>
  <si>
    <t>2-1</t>
  </si>
  <si>
    <t>3-2</t>
  </si>
  <si>
    <t>3-3</t>
  </si>
  <si>
    <t>CoBank</t>
  </si>
  <si>
    <t>LTD per Form 7</t>
  </si>
  <si>
    <t>Adjustment - Account 427</t>
  </si>
  <si>
    <t>This adjustment normalizes the interest on Interest Expense from test year to recent amounts.</t>
  </si>
  <si>
    <t>Reference Schedule:  1.03</t>
  </si>
  <si>
    <t>Oustanding Principal 12/31/2022</t>
  </si>
  <si>
    <t>FFB</t>
  </si>
  <si>
    <t>7-2</t>
  </si>
  <si>
    <t>8-2</t>
  </si>
  <si>
    <t>3-4</t>
  </si>
  <si>
    <t>7-1</t>
  </si>
  <si>
    <t>RUS</t>
  </si>
  <si>
    <t>7-3</t>
  </si>
  <si>
    <t>7-4</t>
  </si>
  <si>
    <t>7-5</t>
  </si>
  <si>
    <t>8-1</t>
  </si>
  <si>
    <t>8-3</t>
  </si>
  <si>
    <t>9-1</t>
  </si>
  <si>
    <t>9-2</t>
  </si>
  <si>
    <t>RIML0654T06</t>
  </si>
  <si>
    <t>RIML0654T07</t>
  </si>
  <si>
    <t>RIML0654T08</t>
  </si>
  <si>
    <t>RIML0654T01</t>
  </si>
  <si>
    <t>RX0654T10</t>
  </si>
  <si>
    <t>RIML065T11</t>
  </si>
  <si>
    <t>Advance - 2023</t>
  </si>
  <si>
    <t>Depreciation Expense Normalization</t>
  </si>
  <si>
    <t>Acct #</t>
  </si>
  <si>
    <t>Fully Depr Items</t>
  </si>
  <si>
    <t>Normalized Expense</t>
  </si>
  <si>
    <t>Test Year Expense</t>
  </si>
  <si>
    <t>Pro Forma Adj</t>
  </si>
  <si>
    <t>Distribution Plant</t>
  </si>
  <si>
    <t>Land</t>
  </si>
  <si>
    <t>Station equipment</t>
  </si>
  <si>
    <t>Poles, towers &amp; fixtures</t>
  </si>
  <si>
    <t>Overhead conductors &amp; devices</t>
  </si>
  <si>
    <t>Underground conduit</t>
  </si>
  <si>
    <t>Underground conductor &amp; devices</t>
  </si>
  <si>
    <t>Line transformers</t>
  </si>
  <si>
    <t>Services</t>
  </si>
  <si>
    <t>Meters</t>
  </si>
  <si>
    <t>371</t>
  </si>
  <si>
    <t>Installations on customer premises</t>
  </si>
  <si>
    <t>Street Lights &amp; Signs</t>
  </si>
  <si>
    <t>Subtotal</t>
  </si>
  <si>
    <t>General Plant</t>
  </si>
  <si>
    <t>Structures and improvements</t>
  </si>
  <si>
    <t>Office furniture and equipment</t>
  </si>
  <si>
    <t>Computer hardware/software</t>
  </si>
  <si>
    <t>Transportation equipment</t>
  </si>
  <si>
    <t>Stores</t>
  </si>
  <si>
    <t>Tools, shop and garage</t>
  </si>
  <si>
    <t>Laboratory</t>
  </si>
  <si>
    <t>Power operated</t>
  </si>
  <si>
    <t>Communications</t>
  </si>
  <si>
    <t>Miscellaneous</t>
  </si>
  <si>
    <t>Distribution &amp; General Total</t>
  </si>
  <si>
    <t>This adjustment normalizes depreciation expenses by replacing test year actual expenses with test year end balances (less any fully depreciated items) at approved depreciation rates.</t>
  </si>
  <si>
    <t>Total Adjustment to Expense</t>
  </si>
  <si>
    <t>Reference Schedule:  1.04</t>
  </si>
  <si>
    <t>Distribution  Plant</t>
  </si>
  <si>
    <t>Right of Way</t>
  </si>
  <si>
    <t>Account 593</t>
  </si>
  <si>
    <t>Cost</t>
  </si>
  <si>
    <t>Test Year Right of Way expense</t>
  </si>
  <si>
    <t>Reference Schedule:  1.05</t>
  </si>
  <si>
    <t>FEMA Credit</t>
  </si>
  <si>
    <t xml:space="preserve">Pro Forma Adjustment </t>
  </si>
  <si>
    <t>Reference Schedule:  1.07</t>
  </si>
  <si>
    <t>Storm Work-Dec Tornado</t>
  </si>
  <si>
    <t>Admin Costs-Dec Tornado</t>
  </si>
  <si>
    <t>Storm Expense - FEMA</t>
  </si>
  <si>
    <t>was recovered in 2022 thru FEMA.</t>
  </si>
  <si>
    <t>Reference Schedule: 1.10</t>
  </si>
  <si>
    <t>Summary of Pro Forma Adjustments</t>
  </si>
  <si>
    <t>Non-Operating Income</t>
  </si>
  <si>
    <t>Net Margin</t>
  </si>
  <si>
    <t>Donations, Promo Ads &amp; Dues</t>
  </si>
  <si>
    <t>401k Contributions</t>
  </si>
  <si>
    <t>Rate Case Costs</t>
  </si>
  <si>
    <t>Year End Customers</t>
  </si>
  <si>
    <t>Depreciation Normalization</t>
  </si>
  <si>
    <t>Directors Expenses</t>
  </si>
  <si>
    <t xml:space="preserve">Right of Way </t>
  </si>
  <si>
    <t>Health Care Costs</t>
  </si>
  <si>
    <t>Checks</t>
  </si>
  <si>
    <t>Variance</t>
  </si>
  <si>
    <t>This adjustment adds back to expense.  This expense</t>
  </si>
  <si>
    <t>Total 401K Expensed</t>
  </si>
  <si>
    <t>Total Health Expensed</t>
  </si>
  <si>
    <t>Rate Case Expenses</t>
  </si>
  <si>
    <t>Consulting - Catalyst Consulting LLC</t>
  </si>
  <si>
    <t>Advertising / Notices</t>
  </si>
  <si>
    <t>Total Amount</t>
  </si>
  <si>
    <t>Amortization Period (Years)</t>
  </si>
  <si>
    <t>Annual Amortization Amount</t>
  </si>
  <si>
    <t>Reference Schedule:  1.13</t>
  </si>
  <si>
    <t>Legal - Honaker Law Office PLLC</t>
  </si>
  <si>
    <t>Summary of Adjustments to Test Year Balance Sheet</t>
  </si>
  <si>
    <t>Pro Forma Adjs</t>
  </si>
  <si>
    <t>Pro Forma Test Yr</t>
  </si>
  <si>
    <t>Assets and Other Debits</t>
  </si>
  <si>
    <t>Total Utility Plant in Service</t>
  </si>
  <si>
    <t>Construction Work in Progress</t>
  </si>
  <si>
    <t xml:space="preserve">   Total Utility Plant</t>
  </si>
  <si>
    <t>Accum Provision for Depr and Amort</t>
  </si>
  <si>
    <t>Net Utility Plant</t>
  </si>
  <si>
    <t>Investment in Subsidiary Companies</t>
  </si>
  <si>
    <t>Investment in Assoc Org - Patr Capital</t>
  </si>
  <si>
    <t>Investment in Assoc Org - Other Gen Fnd</t>
  </si>
  <si>
    <t>Investment in Assoc Org - Non Gen Fnd</t>
  </si>
  <si>
    <t>Investment in Economic Development Projects</t>
  </si>
  <si>
    <t>Other Investment</t>
  </si>
  <si>
    <t>Special Funds</t>
  </si>
  <si>
    <t>Total Other Prop &amp; Investments</t>
  </si>
  <si>
    <t>Cash - General Funds</t>
  </si>
  <si>
    <t>Cash - Construction Fund Trust</t>
  </si>
  <si>
    <t>Special Deposits</t>
  </si>
  <si>
    <t>Temporary Investments</t>
  </si>
  <si>
    <t>Accts Receivable - Sales Energy (Net)</t>
  </si>
  <si>
    <t>Accts Receivable - Other (Net)</t>
  </si>
  <si>
    <t>Renewable Energy Credits</t>
  </si>
  <si>
    <t>Material &amp; Supplies - Elec &amp; Other</t>
  </si>
  <si>
    <t>Prepayments</t>
  </si>
  <si>
    <t>Other Current &amp; Accr Assets</t>
  </si>
  <si>
    <t>Total Current &amp; Accr Assets</t>
  </si>
  <si>
    <t>Other Regulatory Assets</t>
  </si>
  <si>
    <t>Other Deferred Debits</t>
  </si>
  <si>
    <t>Total Assets &amp; Other Debits</t>
  </si>
  <si>
    <t>Liabilities &amp; Other Credits</t>
  </si>
  <si>
    <t>Memberships</t>
  </si>
  <si>
    <t>Patronage Capital</t>
  </si>
  <si>
    <t>Operating Margins - Prior Year</t>
  </si>
  <si>
    <t>Operating Margins - Current Year</t>
  </si>
  <si>
    <t>Non-Operating Margins</t>
  </si>
  <si>
    <t>Other Margins &amp; Equities</t>
  </si>
  <si>
    <t>Total Margins &amp; Equities</t>
  </si>
  <si>
    <t>Long Term Debt - REA (Net)</t>
  </si>
  <si>
    <t>Long Term Debt - FFB - RUS GUAR</t>
  </si>
  <si>
    <t>Long Term Debt - Other - REA GUAR</t>
  </si>
  <si>
    <t>Long Term Debt - Other (Net)</t>
  </si>
  <si>
    <t>Total Long Term Debt</t>
  </si>
  <si>
    <t>Accum Operating Provisions</t>
  </si>
  <si>
    <t>Notes Payable</t>
  </si>
  <si>
    <t>Accounts Payable</t>
  </si>
  <si>
    <t>Consumer Deposits</t>
  </si>
  <si>
    <t>Current Maturities LTD</t>
  </si>
  <si>
    <t>Current Maturities LTD - Econ Dev</t>
  </si>
  <si>
    <t>Other Current &amp; Accr Liabilities</t>
  </si>
  <si>
    <t>Total Current &amp; Accr Liabilities</t>
  </si>
  <si>
    <t>Regulatory Liabilities</t>
  </si>
  <si>
    <t>Other Deferred Credits</t>
  </si>
  <si>
    <t>Total Liabilities &amp; Other Credits</t>
  </si>
  <si>
    <t>Payments - Unapplied</t>
  </si>
  <si>
    <t>Obligation under Capital Lease</t>
  </si>
  <si>
    <t>Total Other Noncurr Liability</t>
  </si>
  <si>
    <t>Summary of Adjustments to Test Year Statement of Operations</t>
  </si>
  <si>
    <t xml:space="preserve">Reference Schedule &gt;     </t>
  </si>
  <si>
    <t xml:space="preserve">Item  &gt;     </t>
  </si>
  <si>
    <t>Var from Adj List</t>
  </si>
  <si>
    <t>Operating Revenues:</t>
  </si>
  <si>
    <t>Base Rates</t>
  </si>
  <si>
    <t>Rate Riders</t>
  </si>
  <si>
    <t>Total Revenues</t>
  </si>
  <si>
    <t xml:space="preserve">        Base Rates</t>
  </si>
  <si>
    <t xml:space="preserve">        Rate Riders</t>
  </si>
  <si>
    <t>Distribution - Operations</t>
  </si>
  <si>
    <t>Distribution - Maintenance</t>
  </si>
  <si>
    <t>Consumer Accounts</t>
  </si>
  <si>
    <t>Sales</t>
  </si>
  <si>
    <t>Administrative and General</t>
  </si>
  <si>
    <t xml:space="preserve">    Total Operating Expenses</t>
  </si>
  <si>
    <t>Depreciation</t>
  </si>
  <si>
    <t>Interest on Long Term Debt</t>
  </si>
  <si>
    <t>Interest Expense - Other</t>
  </si>
  <si>
    <t>Income(Loss) from Equity Invstmts</t>
  </si>
  <si>
    <t>Total Non-Operating Margins</t>
  </si>
  <si>
    <t>Revenue Adj</t>
  </si>
  <si>
    <t>Expense Adj</t>
  </si>
  <si>
    <t>Non Oper Adj</t>
  </si>
  <si>
    <t>Net Adj</t>
  </si>
  <si>
    <t>Fuel Adjustment Clause</t>
  </si>
  <si>
    <t>Sum from Rev Req page</t>
  </si>
  <si>
    <t>Sum from Adj IS page</t>
  </si>
  <si>
    <t>SBA/PPP Loan</t>
  </si>
  <si>
    <t>Reference Schedule:  1.14</t>
  </si>
  <si>
    <t>Work Orders</t>
  </si>
  <si>
    <t>Test Year Balance Sheet</t>
  </si>
  <si>
    <t>Test Year Income Statement</t>
  </si>
  <si>
    <t>Retirement Work-in-Progress</t>
  </si>
  <si>
    <t>Transportation Clearing</t>
  </si>
  <si>
    <t>Operation-Supervision</t>
  </si>
  <si>
    <t>Overhead Line Expense</t>
  </si>
  <si>
    <t>Meter Expense</t>
  </si>
  <si>
    <t>Consumer Installation Expense</t>
  </si>
  <si>
    <t>Maint of Overhead Lines</t>
  </si>
  <si>
    <t>Maint Supervision &amp; Eng</t>
  </si>
  <si>
    <t>Maint of Underground Lines</t>
  </si>
  <si>
    <t>Maintenance of Meters</t>
  </si>
  <si>
    <t>Maint of Misc Plant Dist</t>
  </si>
  <si>
    <t>Meter Reading Expense</t>
  </si>
  <si>
    <t>Cons Records &amp; Collection</t>
  </si>
  <si>
    <t>Supervision (MSE)</t>
  </si>
  <si>
    <t>Adm &amp; Gen Salaries</t>
  </si>
  <si>
    <t>Maintenace of General Plant</t>
  </si>
  <si>
    <t>Misc NonOperating Income</t>
  </si>
  <si>
    <t>In 2021, procedures were updated on how to record the SBA/PPP Loan Forgiveness amount.</t>
  </si>
  <si>
    <t>During Taylor County RECC's annual audit ending May 2021, reversing journal entries were made</t>
  </si>
  <si>
    <t>amount of $336,819.31.  The total SBA/PPP Loan Amount of $882,873.52 was recorded</t>
  </si>
  <si>
    <t>as Miscellaneous Non-operating Income to correct the original journal entries dated 12/31/2020.</t>
  </si>
  <si>
    <t xml:space="preserve">to Expense Accounts in the amount of $546,054.21 and August 2021 to Plant Accounts in the </t>
  </si>
  <si>
    <t>Audit Adjustment - SBA/PPP Loan</t>
  </si>
  <si>
    <t>Pro Forma Adjustment  - Misc Income</t>
  </si>
  <si>
    <t>Reference Schedule:  1.06</t>
  </si>
  <si>
    <t>Year-End Customers</t>
  </si>
  <si>
    <t>Average</t>
  </si>
  <si>
    <t>End of Period Increase over Avg</t>
  </si>
  <si>
    <t>Total kWh</t>
  </si>
  <si>
    <t>Average kWh</t>
  </si>
  <si>
    <t>Year-End kWh Adjustment</t>
  </si>
  <si>
    <t>(continued)</t>
  </si>
  <si>
    <t>Revenue Adjustment</t>
  </si>
  <si>
    <t>Current Base Rate Revenue</t>
  </si>
  <si>
    <t>Average Revenue per kWh</t>
  </si>
  <si>
    <t>Year End Revenue Adj</t>
  </si>
  <si>
    <t>Expense Adjustment</t>
  </si>
  <si>
    <t>Avg Adj Purchase Exp per kWh</t>
  </si>
  <si>
    <t>Year End Expense Adj</t>
  </si>
  <si>
    <t xml:space="preserve">Revenue </t>
  </si>
  <si>
    <t>For Expense Adjustment:</t>
  </si>
  <si>
    <t>Test Period Total</t>
  </si>
  <si>
    <t>Total Purchased Power Expense</t>
  </si>
  <si>
    <t>Less Fuel Adjustment Clause</t>
  </si>
  <si>
    <t>Less Environmental Surcharge</t>
  </si>
  <si>
    <t>Adjusted Purchased Power Expense</t>
  </si>
  <si>
    <t>Total Purchased Power kWh</t>
  </si>
  <si>
    <t>This adjustment adjusts the test year expenses and revenues to reflect the number of customers at the end of the test year.</t>
  </si>
  <si>
    <t>Total 401K</t>
  </si>
  <si>
    <t>Total 401K Capitalized</t>
  </si>
  <si>
    <t>Reference Schedule:  1.15</t>
  </si>
  <si>
    <t xml:space="preserve">This adjustment removes G&amp;T capital credits </t>
  </si>
  <si>
    <t>consistent with Commission practice.</t>
  </si>
  <si>
    <t>Debits</t>
  </si>
  <si>
    <t>Credits</t>
  </si>
  <si>
    <t>Margins at Target OTIER</t>
  </si>
  <si>
    <t>Revenue Requirement at Target OTIER</t>
  </si>
  <si>
    <t>Revenue Deficiency at Target OTIER</t>
  </si>
  <si>
    <t>check:</t>
  </si>
  <si>
    <t>Assets</t>
  </si>
  <si>
    <t>Liab</t>
  </si>
  <si>
    <t>Diff</t>
  </si>
  <si>
    <t>Ref Schedule</t>
  </si>
  <si>
    <t>Residential Farm &amp; Home - A</t>
  </si>
  <si>
    <t>Small Commercial - GP1</t>
  </si>
  <si>
    <t>Small Comnercial - GP2</t>
  </si>
  <si>
    <t>Regular Wages</t>
  </si>
  <si>
    <t xml:space="preserve">This adjustment adjusts contributions to employee premiums for medical and dental insurance to reflect the change in health care plans </t>
  </si>
  <si>
    <t>Distr Ops</t>
  </si>
  <si>
    <t>Dist Maint</t>
  </si>
  <si>
    <t>Cust Accts</t>
  </si>
  <si>
    <t>Cust Serv</t>
  </si>
  <si>
    <t>Income Statement Adjustments:</t>
  </si>
  <si>
    <t>Increase $</t>
  </si>
  <si>
    <t>Increase %</t>
  </si>
  <si>
    <t>This adjustment removes certain Director expenses consistent with recent Commission orders and standard Commission practices.</t>
  </si>
  <si>
    <t>A + B</t>
  </si>
  <si>
    <t>Other Revenues</t>
  </si>
  <si>
    <t>Taylor County RECC</t>
  </si>
  <si>
    <t>For the Twelve Months Ended December 31, 2021</t>
  </si>
  <si>
    <t>Reference Schedule 1.16</t>
  </si>
  <si>
    <t>Reference Schedule 1.17</t>
  </si>
  <si>
    <t>End Bal 12/31/21</t>
  </si>
  <si>
    <t>Depreciation Expense</t>
  </si>
  <si>
    <t>Director Expenses</t>
  </si>
  <si>
    <t>Employee Awards</t>
  </si>
  <si>
    <t>ROW Expense</t>
  </si>
  <si>
    <t xml:space="preserve">Adjustment </t>
  </si>
  <si>
    <t>($ Millions)</t>
  </si>
  <si>
    <t>Test Year Ended December 31, 2021</t>
  </si>
  <si>
    <t>Case Number 2023-00147</t>
  </si>
  <si>
    <t xml:space="preserve">Taylor County Rural Electric Cooperative Corporation </t>
  </si>
  <si>
    <t>Awards</t>
  </si>
  <si>
    <t>Proforma Increase</t>
  </si>
  <si>
    <t>Reference Schedule 1.18</t>
  </si>
  <si>
    <t>Legal Expense</t>
  </si>
  <si>
    <t>Reference Schedule 1.19</t>
  </si>
  <si>
    <t>5 Yr Avg</t>
  </si>
  <si>
    <t>Schedule</t>
  </si>
  <si>
    <t>1.20</t>
  </si>
  <si>
    <t>Non-recurring cost</t>
  </si>
  <si>
    <t>Reference Schedule 1.20</t>
  </si>
  <si>
    <t>Check</t>
  </si>
  <si>
    <t>Non-recurring GPS Project cost</t>
  </si>
  <si>
    <t>Source: AG 2-35, 55</t>
  </si>
  <si>
    <t>Meter Testing Expense</t>
  </si>
  <si>
    <t>Source: AG 2-64</t>
  </si>
  <si>
    <t>Source: AG 1-97</t>
  </si>
  <si>
    <t>Source: AG 2-32</t>
  </si>
  <si>
    <t>Exhibit JD-1</t>
  </si>
  <si>
    <t>Rate Case Expense</t>
  </si>
  <si>
    <t>Defever Adjustments to TC RECC's Calculated Revenue Requirement:</t>
  </si>
  <si>
    <t>Total Defever Adjustments to TC RECC's Requested Increase</t>
  </si>
  <si>
    <t>Summary of Defever Revenue Requirement Recommendations</t>
  </si>
  <si>
    <t xml:space="preserve"> Recommended Maximum Base Rate Increase for TC RECC</t>
  </si>
  <si>
    <t>Non-recurring expense</t>
  </si>
  <si>
    <t>Source: PSC 2-13 c)</t>
  </si>
  <si>
    <t>Adjusted TY Pro Forma Cost  (Line 1 + Line 3)</t>
  </si>
  <si>
    <t>(Company Proforma Increase $3,279,658 X 50%)</t>
  </si>
  <si>
    <t>Source: PSC 2-19</t>
  </si>
  <si>
    <t>This adjustment estimates the rate case costs amortized over a 6 year period.</t>
  </si>
  <si>
    <t>Source: AG 2-54</t>
  </si>
  <si>
    <t>Non-Recurring GPS Project cost</t>
  </si>
  <si>
    <t>Amount of Increase Requested by TC RECC</t>
  </si>
  <si>
    <t>401(k)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</si>
</sst>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#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  <numFmt numFmtId="168" formatCode="m/d/yy;@"/>
    <numFmt numFmtId="169" formatCode="0.000%"/>
    <numFmt numFmtId="170" formatCode="0.0%"/>
    <numFmt numFmtId="171" formatCode="_(&quot;$&quot;* #,##0.00000_);_(&quot;$&quot;* \(#,##0.00000\);_(&quot;$&quot;* &quot;-&quot;??_);_(@_)"/>
    <numFmt numFmtId="172" formatCode="_(* #,##0.00000_);_(* \(#,##0.00000\);_(* &quot;-&quot;??_);_(@_)"/>
    <numFmt numFmtId="173" formatCode="_(* #,##0.000_);_(* \(#,##0.000\);_(* &quot;-&quot;??_);_(@_)"/>
    <numFmt numFmtId="174" formatCode="_(* #,##0.000_);_(* \(#,##0.000\);_(* &quot;-&quot;???_);_(@_)"/>
    <numFmt numFmtId="175" formatCode="_(&quot;$&quot;* #,##0.000_);_(&quot;$&quot;* \(#,##0.000\);_(&quot;$&quot;* &quot;-&quot;?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name val="P-TIMES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P-TIMES"/>
    </font>
    <font>
      <u/>
      <sz val="11"/>
      <name val="Arial"/>
      <family val="2"/>
    </font>
    <font>
      <b/>
      <u/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P-TIMES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0" fontId="17" fillId="0" borderId="0"/>
  </cellStyleXfs>
  <cellXfs count="35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0" fontId="4" fillId="0" borderId="0" xfId="0" applyFont="1"/>
    <xf numFmtId="165" fontId="3" fillId="0" borderId="0" xfId="0" applyNumberFormat="1" applyFont="1"/>
    <xf numFmtId="165" fontId="3" fillId="0" borderId="0" xfId="1" applyNumberFormat="1" applyFont="1" applyFill="1"/>
    <xf numFmtId="0" fontId="3" fillId="0" borderId="2" xfId="0" applyFont="1" applyBorder="1"/>
    <xf numFmtId="165" fontId="3" fillId="0" borderId="2" xfId="1" applyNumberFormat="1" applyFont="1" applyFill="1" applyBorder="1"/>
    <xf numFmtId="10" fontId="3" fillId="0" borderId="0" xfId="3" applyNumberFormat="1" applyFont="1" applyFill="1" applyBorder="1"/>
    <xf numFmtId="43" fontId="3" fillId="0" borderId="0" xfId="1" applyFont="1" applyFill="1"/>
    <xf numFmtId="0" fontId="3" fillId="0" borderId="3" xfId="0" applyFont="1" applyBorder="1"/>
    <xf numFmtId="165" fontId="3" fillId="0" borderId="3" xfId="1" applyNumberFormat="1" applyFont="1" applyFill="1" applyBorder="1"/>
    <xf numFmtId="0" fontId="3" fillId="0" borderId="4" xfId="0" applyFont="1" applyBorder="1"/>
    <xf numFmtId="165" fontId="3" fillId="0" borderId="4" xfId="1" applyNumberFormat="1" applyFont="1" applyFill="1" applyBorder="1"/>
    <xf numFmtId="43" fontId="3" fillId="0" borderId="0" xfId="0" applyNumberFormat="1" applyFont="1"/>
    <xf numFmtId="166" fontId="3" fillId="0" borderId="0" xfId="0" applyNumberFormat="1" applyFont="1"/>
    <xf numFmtId="165" fontId="3" fillId="0" borderId="0" xfId="1" applyNumberFormat="1" applyFont="1" applyFill="1" applyBorder="1"/>
    <xf numFmtId="0" fontId="3" fillId="0" borderId="0" xfId="0" applyFont="1" applyAlignment="1">
      <alignment horizontal="right"/>
    </xf>
    <xf numFmtId="43" fontId="3" fillId="0" borderId="0" xfId="1" applyFont="1" applyFill="1" applyBorder="1"/>
    <xf numFmtId="43" fontId="3" fillId="0" borderId="0" xfId="1" applyFont="1"/>
    <xf numFmtId="10" fontId="3" fillId="0" borderId="0" xfId="3" applyNumberFormat="1" applyFont="1" applyAlignment="1">
      <alignment horizontal="right"/>
    </xf>
    <xf numFmtId="0" fontId="6" fillId="0" borderId="0" xfId="4" applyFont="1" applyAlignment="1">
      <alignment horizontal="right"/>
    </xf>
    <xf numFmtId="0" fontId="2" fillId="0" borderId="0" xfId="4" applyFont="1" applyAlignment="1">
      <alignment horizontal="right"/>
    </xf>
    <xf numFmtId="0" fontId="3" fillId="0" borderId="0" xfId="4" applyFont="1"/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4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3" fontId="3" fillId="0" borderId="0" xfId="0" applyNumberFormat="1" applyFont="1"/>
    <xf numFmtId="166" fontId="3" fillId="0" borderId="0" xfId="2" applyNumberFormat="1" applyFont="1"/>
    <xf numFmtId="0" fontId="4" fillId="0" borderId="0" xfId="0" applyFont="1" applyAlignment="1">
      <alignment horizontal="center"/>
    </xf>
    <xf numFmtId="41" fontId="3" fillId="0" borderId="0" xfId="1" applyNumberFormat="1" applyFont="1"/>
    <xf numFmtId="2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0" fontId="6" fillId="0" borderId="0" xfId="4" applyFont="1"/>
    <xf numFmtId="0" fontId="8" fillId="0" borderId="0" xfId="4" applyFont="1"/>
    <xf numFmtId="168" fontId="2" fillId="0" borderId="0" xfId="0" quotePrefix="1" applyNumberFormat="1" applyFont="1" applyAlignment="1">
      <alignment horizontal="center" wrapText="1"/>
    </xf>
    <xf numFmtId="0" fontId="2" fillId="0" borderId="0" xfId="0" quotePrefix="1" applyFont="1" applyAlignment="1">
      <alignment horizontal="center" wrapText="1"/>
    </xf>
    <xf numFmtId="0" fontId="6" fillId="0" borderId="1" xfId="0" quotePrefix="1" applyFont="1" applyBorder="1" applyAlignment="1">
      <alignment horizontal="left"/>
    </xf>
    <xf numFmtId="0" fontId="6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/>
    <xf numFmtId="168" fontId="7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 wrapText="1"/>
    </xf>
    <xf numFmtId="165" fontId="3" fillId="0" borderId="0" xfId="1" applyNumberFormat="1" applyFont="1" applyFill="1" applyAlignment="1">
      <alignment horizontal="right"/>
    </xf>
    <xf numFmtId="9" fontId="3" fillId="0" borderId="0" xfId="3" applyFont="1" applyFill="1" applyAlignment="1"/>
    <xf numFmtId="165" fontId="3" fillId="0" borderId="0" xfId="1" applyNumberFormat="1" applyFont="1" applyFill="1" applyAlignment="1"/>
    <xf numFmtId="165" fontId="3" fillId="0" borderId="1" xfId="1" applyNumberFormat="1" applyFont="1" applyFill="1" applyBorder="1" applyAlignment="1">
      <alignment horizontal="right"/>
    </xf>
    <xf numFmtId="9" fontId="3" fillId="0" borderId="1" xfId="3" applyFont="1" applyFill="1" applyBorder="1" applyAlignment="1"/>
    <xf numFmtId="165" fontId="3" fillId="0" borderId="1" xfId="1" applyNumberFormat="1" applyFont="1" applyFill="1" applyBorder="1" applyAlignment="1"/>
    <xf numFmtId="165" fontId="3" fillId="0" borderId="2" xfId="1" applyNumberFormat="1" applyFont="1" applyFill="1" applyBorder="1" applyAlignment="1">
      <alignment horizontal="right"/>
    </xf>
    <xf numFmtId="165" fontId="3" fillId="0" borderId="2" xfId="1" applyNumberFormat="1" applyFont="1" applyFill="1" applyBorder="1" applyAlignment="1"/>
    <xf numFmtId="165" fontId="7" fillId="0" borderId="0" xfId="1" applyNumberFormat="1" applyFont="1" applyFill="1" applyAlignment="1"/>
    <xf numFmtId="0" fontId="7" fillId="0" borderId="0" xfId="0" applyFont="1" applyAlignment="1">
      <alignment horizontal="left"/>
    </xf>
    <xf numFmtId="0" fontId="2" fillId="0" borderId="4" xfId="0" applyFont="1" applyBorder="1"/>
    <xf numFmtId="165" fontId="3" fillId="0" borderId="4" xfId="1" applyNumberFormat="1" applyFont="1" applyFill="1" applyBorder="1" applyAlignment="1">
      <alignment horizontal="right"/>
    </xf>
    <xf numFmtId="165" fontId="3" fillId="0" borderId="4" xfId="1" applyNumberFormat="1" applyFont="1" applyFill="1" applyBorder="1" applyAlignment="1"/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65" fontId="11" fillId="0" borderId="0" xfId="1" applyNumberFormat="1" applyFont="1"/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4" fontId="8" fillId="0" borderId="0" xfId="2" applyFont="1"/>
    <xf numFmtId="0" fontId="13" fillId="0" borderId="0" xfId="0" applyFont="1"/>
    <xf numFmtId="0" fontId="8" fillId="0" borderId="0" xfId="0" applyFont="1" applyAlignment="1">
      <alignment horizontal="left"/>
    </xf>
    <xf numFmtId="44" fontId="11" fillId="0" borderId="0" xfId="2" applyFont="1"/>
    <xf numFmtId="44" fontId="8" fillId="0" borderId="2" xfId="2" applyFont="1" applyBorder="1"/>
    <xf numFmtId="43" fontId="8" fillId="0" borderId="0" xfId="1" applyFont="1"/>
    <xf numFmtId="44" fontId="8" fillId="0" borderId="0" xfId="1" applyNumberFormat="1" applyFont="1" applyBorder="1"/>
    <xf numFmtId="0" fontId="8" fillId="0" borderId="4" xfId="0" applyFont="1" applyBorder="1"/>
    <xf numFmtId="44" fontId="8" fillId="0" borderId="4" xfId="1" applyNumberFormat="1" applyFont="1" applyBorder="1"/>
    <xf numFmtId="43" fontId="11" fillId="0" borderId="0" xfId="1" applyFont="1"/>
    <xf numFmtId="44" fontId="8" fillId="0" borderId="0" xfId="2" applyFont="1" applyFill="1"/>
    <xf numFmtId="0" fontId="6" fillId="0" borderId="0" xfId="4" applyFont="1" applyAlignment="1">
      <alignment horizontal="center"/>
    </xf>
    <xf numFmtId="0" fontId="3" fillId="0" borderId="0" xfId="0" applyFont="1" applyAlignment="1">
      <alignment horizontal="left" vertical="top" wrapText="1"/>
    </xf>
    <xf numFmtId="5" fontId="3" fillId="0" borderId="4" xfId="1" applyNumberFormat="1" applyFont="1" applyFill="1" applyBorder="1" applyAlignment="1"/>
    <xf numFmtId="0" fontId="6" fillId="0" borderId="1" xfId="0" applyFont="1" applyBorder="1"/>
    <xf numFmtId="0" fontId="8" fillId="0" borderId="2" xfId="0" applyFont="1" applyBorder="1"/>
    <xf numFmtId="44" fontId="8" fillId="0" borderId="2" xfId="2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43" fontId="8" fillId="0" borderId="0" xfId="1" applyFont="1" applyBorder="1"/>
    <xf numFmtId="44" fontId="8" fillId="0" borderId="0" xfId="2" applyFont="1" applyBorder="1"/>
    <xf numFmtId="0" fontId="12" fillId="0" borderId="0" xfId="0" applyFont="1" applyAlignment="1">
      <alignment horizontal="center" wrapText="1"/>
    </xf>
    <xf numFmtId="0" fontId="8" fillId="0" borderId="1" xfId="0" quotePrefix="1" applyFont="1" applyBorder="1" applyAlignment="1">
      <alignment horizontal="center"/>
    </xf>
    <xf numFmtId="167" fontId="8" fillId="0" borderId="0" xfId="0" applyNumberFormat="1" applyFont="1"/>
    <xf numFmtId="167" fontId="11" fillId="0" borderId="0" xfId="0" quotePrefix="1" applyNumberFormat="1" applyFont="1" applyAlignment="1">
      <alignment horizontal="center"/>
    </xf>
    <xf numFmtId="167" fontId="8" fillId="0" borderId="1" xfId="0" quotePrefix="1" applyNumberFormat="1" applyFont="1" applyBorder="1" applyAlignment="1">
      <alignment horizontal="center"/>
    </xf>
    <xf numFmtId="0" fontId="2" fillId="0" borderId="0" xfId="4" applyFont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3" fillId="0" borderId="2" xfId="2" applyNumberFormat="1" applyFont="1" applyBorder="1"/>
    <xf numFmtId="166" fontId="3" fillId="0" borderId="0" xfId="2" applyNumberFormat="1" applyFont="1" applyBorder="1"/>
    <xf numFmtId="166" fontId="3" fillId="0" borderId="0" xfId="2" applyNumberFormat="1" applyFont="1" applyFill="1" applyBorder="1"/>
    <xf numFmtId="166" fontId="3" fillId="0" borderId="4" xfId="0" applyNumberFormat="1" applyFont="1" applyBorder="1"/>
    <xf numFmtId="166" fontId="3" fillId="0" borderId="4" xfId="2" applyNumberFormat="1" applyFont="1" applyBorder="1"/>
    <xf numFmtId="0" fontId="8" fillId="0" borderId="1" xfId="0" applyFont="1" applyBorder="1"/>
    <xf numFmtId="44" fontId="8" fillId="0" borderId="1" xfId="2" applyFont="1" applyBorder="1" applyAlignment="1" applyProtection="1">
      <alignment horizontal="center"/>
      <protection locked="0"/>
    </xf>
    <xf numFmtId="40" fontId="8" fillId="0" borderId="1" xfId="1" applyNumberFormat="1" applyFont="1" applyBorder="1" applyAlignment="1" applyProtection="1">
      <alignment horizontal="center" wrapText="1"/>
      <protection locked="0"/>
    </xf>
    <xf numFmtId="40" fontId="8" fillId="0" borderId="1" xfId="2" applyNumberFormat="1" applyFont="1" applyFill="1" applyBorder="1" applyAlignment="1">
      <alignment horizontal="center"/>
    </xf>
    <xf numFmtId="40" fontId="8" fillId="0" borderId="1" xfId="1" applyNumberFormat="1" applyFont="1" applyBorder="1" applyAlignment="1" applyProtection="1">
      <alignment horizontal="center"/>
      <protection locked="0"/>
    </xf>
    <xf numFmtId="40" fontId="8" fillId="0" borderId="1" xfId="1" applyNumberFormat="1" applyFont="1" applyBorder="1" applyAlignment="1" applyProtection="1">
      <alignment horizontal="right"/>
      <protection locked="0"/>
    </xf>
    <xf numFmtId="16" fontId="8" fillId="0" borderId="0" xfId="0" quotePrefix="1" applyNumberFormat="1" applyFont="1" applyAlignment="1">
      <alignment horizontal="center"/>
    </xf>
    <xf numFmtId="40" fontId="8" fillId="0" borderId="0" xfId="1" applyNumberFormat="1" applyFont="1" applyBorder="1" applyProtection="1">
      <protection locked="0"/>
    </xf>
    <xf numFmtId="40" fontId="8" fillId="0" borderId="0" xfId="1" applyNumberFormat="1" applyFont="1" applyFill="1" applyBorder="1" applyAlignment="1">
      <alignment horizontal="center"/>
    </xf>
    <xf numFmtId="169" fontId="8" fillId="0" borderId="0" xfId="3" applyNumberFormat="1" applyFont="1" applyBorder="1" applyAlignment="1" applyProtection="1">
      <alignment horizontal="center"/>
      <protection locked="0"/>
    </xf>
    <xf numFmtId="44" fontId="8" fillId="0" borderId="0" xfId="2" applyFont="1" applyBorder="1" applyProtection="1">
      <protection locked="0"/>
    </xf>
    <xf numFmtId="0" fontId="6" fillId="0" borderId="0" xfId="0" applyFont="1" applyAlignment="1">
      <alignment horizontal="center" wrapText="1"/>
    </xf>
    <xf numFmtId="0" fontId="6" fillId="0" borderId="0" xfId="0" quotePrefix="1" applyFont="1" applyAlignment="1">
      <alignment horizontal="center"/>
    </xf>
    <xf numFmtId="0" fontId="8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40" fontId="8" fillId="0" borderId="0" xfId="0" applyNumberFormat="1" applyFont="1" applyProtection="1">
      <protection locked="0"/>
    </xf>
    <xf numFmtId="169" fontId="8" fillId="0" borderId="0" xfId="3" applyNumberFormat="1" applyFont="1" applyAlignment="1" applyProtection="1">
      <alignment horizontal="center"/>
      <protection locked="0"/>
    </xf>
    <xf numFmtId="40" fontId="8" fillId="0" borderId="0" xfId="1" applyNumberFormat="1" applyFont="1" applyFill="1" applyBorder="1"/>
    <xf numFmtId="169" fontId="8" fillId="0" borderId="0" xfId="3" applyNumberFormat="1" applyFont="1" applyFill="1" applyBorder="1" applyAlignment="1">
      <alignment horizontal="center"/>
    </xf>
    <xf numFmtId="165" fontId="8" fillId="0" borderId="0" xfId="1" applyNumberFormat="1" applyFont="1" applyBorder="1"/>
    <xf numFmtId="169" fontId="8" fillId="0" borderId="0" xfId="3" applyNumberFormat="1" applyFont="1" applyBorder="1" applyAlignment="1">
      <alignment horizontal="center"/>
    </xf>
    <xf numFmtId="169" fontId="8" fillId="0" borderId="0" xfId="3" applyNumberFormat="1" applyFont="1" applyAlignment="1">
      <alignment horizontal="center"/>
    </xf>
    <xf numFmtId="165" fontId="8" fillId="0" borderId="0" xfId="1" applyNumberFormat="1" applyFont="1"/>
    <xf numFmtId="0" fontId="8" fillId="0" borderId="1" xfId="0" applyFont="1" applyBorder="1" applyAlignment="1">
      <alignment horizontal="center"/>
    </xf>
    <xf numFmtId="165" fontId="8" fillId="0" borderId="1" xfId="1" applyNumberFormat="1" applyFont="1" applyBorder="1"/>
    <xf numFmtId="40" fontId="8" fillId="0" borderId="1" xfId="1" applyNumberFormat="1" applyFont="1" applyFill="1" applyBorder="1" applyAlignment="1">
      <alignment horizontal="center"/>
    </xf>
    <xf numFmtId="169" fontId="8" fillId="0" borderId="1" xfId="3" applyNumberFormat="1" applyFont="1" applyBorder="1" applyAlignment="1">
      <alignment horizontal="center"/>
    </xf>
    <xf numFmtId="44" fontId="8" fillId="0" borderId="1" xfId="2" applyFont="1" applyBorder="1" applyProtection="1">
      <protection locked="0"/>
    </xf>
    <xf numFmtId="166" fontId="8" fillId="0" borderId="0" xfId="2" applyNumberFormat="1" applyFont="1" applyFill="1"/>
    <xf numFmtId="165" fontId="8" fillId="0" borderId="0" xfId="1" applyNumberFormat="1" applyFont="1" applyAlignment="1">
      <alignment horizontal="center"/>
    </xf>
    <xf numFmtId="44" fontId="8" fillId="0" borderId="0" xfId="0" applyNumberFormat="1" applyFont="1"/>
    <xf numFmtId="0" fontId="8" fillId="0" borderId="0" xfId="0" quotePrefix="1" applyFont="1"/>
    <xf numFmtId="0" fontId="8" fillId="0" borderId="4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0" xfId="0" applyFont="1" applyAlignment="1">
      <alignment vertical="top" wrapText="1"/>
    </xf>
    <xf numFmtId="40" fontId="8" fillId="0" borderId="0" xfId="1" applyNumberFormat="1" applyFont="1" applyFill="1" applyBorder="1" applyProtection="1">
      <protection locked="0"/>
    </xf>
    <xf numFmtId="169" fontId="8" fillId="0" borderId="0" xfId="3" applyNumberFormat="1" applyFont="1" applyFill="1" applyBorder="1" applyAlignment="1" applyProtection="1">
      <alignment horizontal="center"/>
      <protection locked="0"/>
    </xf>
    <xf numFmtId="44" fontId="8" fillId="0" borderId="0" xfId="2" applyFont="1" applyFill="1" applyBorder="1" applyProtection="1">
      <protection locked="0"/>
    </xf>
    <xf numFmtId="0" fontId="14" fillId="0" borderId="0" xfId="0" applyFont="1" applyAlignment="1">
      <alignment horizontal="right"/>
    </xf>
    <xf numFmtId="0" fontId="8" fillId="0" borderId="0" xfId="1" quotePrefix="1" applyNumberFormat="1" applyFont="1" applyBorder="1" applyAlignment="1" applyProtection="1">
      <alignment horizontal="center"/>
      <protection locked="0"/>
    </xf>
    <xf numFmtId="0" fontId="8" fillId="0" borderId="0" xfId="1" quotePrefix="1" applyNumberFormat="1" applyFont="1" applyFill="1" applyBorder="1" applyAlignment="1" applyProtection="1">
      <alignment horizontal="center"/>
      <protection locked="0"/>
    </xf>
    <xf numFmtId="0" fontId="8" fillId="0" borderId="0" xfId="1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1" fontId="3" fillId="0" borderId="0" xfId="0" applyNumberFormat="1" applyFont="1"/>
    <xf numFmtId="10" fontId="3" fillId="0" borderId="0" xfId="0" applyNumberFormat="1" applyFont="1"/>
    <xf numFmtId="0" fontId="8" fillId="0" borderId="2" xfId="0" applyFont="1" applyBorder="1" applyAlignment="1">
      <alignment horizontal="right"/>
    </xf>
    <xf numFmtId="166" fontId="8" fillId="0" borderId="2" xfId="2" applyNumberFormat="1" applyFont="1" applyBorder="1"/>
    <xf numFmtId="170" fontId="3" fillId="0" borderId="0" xfId="0" applyNumberFormat="1" applyFont="1"/>
    <xf numFmtId="166" fontId="8" fillId="0" borderId="0" xfId="2" applyNumberFormat="1" applyFont="1" applyBorder="1"/>
    <xf numFmtId="41" fontId="8" fillId="0" borderId="0" xfId="0" applyNumberFormat="1" applyFont="1"/>
    <xf numFmtId="41" fontId="8" fillId="0" borderId="2" xfId="0" applyNumberFormat="1" applyFont="1" applyBorder="1"/>
    <xf numFmtId="0" fontId="6" fillId="0" borderId="0" xfId="0" applyFont="1" applyAlignment="1">
      <alignment horizontal="right"/>
    </xf>
    <xf numFmtId="166" fontId="6" fillId="0" borderId="0" xfId="2" applyNumberFormat="1" applyFont="1" applyBorder="1"/>
    <xf numFmtId="166" fontId="8" fillId="0" borderId="0" xfId="0" applyNumberFormat="1" applyFont="1"/>
    <xf numFmtId="0" fontId="8" fillId="0" borderId="0" xfId="0" applyFont="1" applyAlignment="1">
      <alignment horizontal="right"/>
    </xf>
    <xf numFmtId="41" fontId="6" fillId="0" borderId="0" xfId="0" applyNumberFormat="1" applyFont="1"/>
    <xf numFmtId="0" fontId="8" fillId="0" borderId="1" xfId="0" applyFont="1" applyBorder="1" applyAlignment="1">
      <alignment horizontal="left"/>
    </xf>
    <xf numFmtId="0" fontId="15" fillId="0" borderId="0" xfId="0" applyFont="1"/>
    <xf numFmtId="0" fontId="8" fillId="0" borderId="1" xfId="0" quotePrefix="1" applyFont="1" applyBorder="1" applyAlignment="1">
      <alignment horizontal="left"/>
    </xf>
    <xf numFmtId="166" fontId="8" fillId="0" borderId="0" xfId="2" applyNumberFormat="1" applyFont="1" applyBorder="1" applyProtection="1">
      <protection locked="0"/>
    </xf>
    <xf numFmtId="44" fontId="8" fillId="0" borderId="0" xfId="2" applyFont="1" applyFill="1" applyBorder="1" applyAlignment="1" applyProtection="1">
      <protection locked="0"/>
    </xf>
    <xf numFmtId="0" fontId="8" fillId="0" borderId="1" xfId="0" applyFont="1" applyBorder="1" applyAlignment="1">
      <alignment horizontal="center" wrapText="1"/>
    </xf>
    <xf numFmtId="164" fontId="3" fillId="0" borderId="0" xfId="0" quotePrefix="1" applyNumberFormat="1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65" fontId="8" fillId="0" borderId="4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/>
    <xf numFmtId="165" fontId="8" fillId="0" borderId="0" xfId="1" applyNumberFormat="1" applyFont="1" applyFill="1"/>
    <xf numFmtId="0" fontId="12" fillId="0" borderId="0" xfId="0" quotePrefix="1" applyFont="1" applyAlignment="1">
      <alignment horizontal="center"/>
    </xf>
    <xf numFmtId="40" fontId="11" fillId="0" borderId="0" xfId="1" applyNumberFormat="1" applyFont="1" applyBorder="1" applyProtection="1">
      <protection locked="0"/>
    </xf>
    <xf numFmtId="166" fontId="8" fillId="0" borderId="2" xfId="2" applyNumberFormat="1" applyFont="1" applyFill="1" applyBorder="1"/>
    <xf numFmtId="166" fontId="8" fillId="0" borderId="0" xfId="2" applyNumberFormat="1" applyFont="1" applyFill="1" applyBorder="1"/>
    <xf numFmtId="166" fontId="8" fillId="0" borderId="0" xfId="2" applyNumberFormat="1" applyFont="1"/>
    <xf numFmtId="40" fontId="11" fillId="0" borderId="0" xfId="0" applyNumberFormat="1" applyFont="1" applyProtection="1">
      <protection locked="0"/>
    </xf>
    <xf numFmtId="166" fontId="8" fillId="0" borderId="4" xfId="2" applyNumberFormat="1" applyFont="1" applyBorder="1"/>
    <xf numFmtId="40" fontId="11" fillId="0" borderId="0" xfId="1" applyNumberFormat="1" applyFont="1" applyFill="1" applyBorder="1"/>
    <xf numFmtId="165" fontId="11" fillId="0" borderId="0" xfId="1" applyNumberFormat="1" applyFont="1" applyBorder="1"/>
    <xf numFmtId="40" fontId="11" fillId="0" borderId="0" xfId="1" applyNumberFormat="1" applyFont="1" applyFill="1" applyBorder="1" applyProtection="1">
      <protection locked="0"/>
    </xf>
    <xf numFmtId="165" fontId="6" fillId="0" borderId="0" xfId="1" applyNumberFormat="1" applyFont="1" applyFill="1" applyAlignment="1"/>
    <xf numFmtId="0" fontId="19" fillId="0" borderId="0" xfId="0" applyFont="1" applyAlignment="1">
      <alignment horizontal="right"/>
    </xf>
    <xf numFmtId="165" fontId="6" fillId="0" borderId="0" xfId="1" applyNumberFormat="1" applyFont="1" applyFill="1" applyAlignment="1">
      <alignment horizontal="center"/>
    </xf>
    <xf numFmtId="0" fontId="16" fillId="0" borderId="0" xfId="0" applyFont="1"/>
    <xf numFmtId="0" fontId="20" fillId="0" borderId="0" xfId="0" applyFont="1"/>
    <xf numFmtId="165" fontId="3" fillId="0" borderId="0" xfId="1" applyNumberFormat="1" applyFont="1" applyProtection="1"/>
    <xf numFmtId="165" fontId="3" fillId="0" borderId="2" xfId="1" applyNumberFormat="1" applyFont="1" applyBorder="1" applyProtection="1"/>
    <xf numFmtId="165" fontId="3" fillId="0" borderId="0" xfId="1" applyNumberFormat="1" applyFont="1" applyFill="1" applyProtection="1"/>
    <xf numFmtId="165" fontId="3" fillId="0" borderId="4" xfId="1" applyNumberFormat="1" applyFont="1" applyBorder="1" applyProtection="1"/>
    <xf numFmtId="165" fontId="3" fillId="0" borderId="0" xfId="1" applyNumberFormat="1" applyFont="1" applyBorder="1" applyProtection="1"/>
    <xf numFmtId="0" fontId="20" fillId="0" borderId="0" xfId="0" applyFont="1" applyAlignment="1">
      <alignment horizontal="left"/>
    </xf>
    <xf numFmtId="0" fontId="21" fillId="0" borderId="0" xfId="0" applyFont="1"/>
    <xf numFmtId="165" fontId="0" fillId="0" borderId="0" xfId="1" applyNumberFormat="1" applyFont="1" applyFill="1"/>
    <xf numFmtId="165" fontId="3" fillId="0" borderId="1" xfId="1" applyNumberFormat="1" applyFont="1" applyBorder="1" applyProtection="1"/>
    <xf numFmtId="0" fontId="22" fillId="0" borderId="0" xfId="6" applyFont="1" applyAlignment="1">
      <alignment horizontal="center"/>
    </xf>
    <xf numFmtId="0" fontId="18" fillId="0" borderId="0" xfId="6" applyFont="1" applyAlignment="1">
      <alignment horizontal="centerContinuous"/>
    </xf>
    <xf numFmtId="0" fontId="22" fillId="0" borderId="0" xfId="6" applyFont="1" applyAlignment="1">
      <alignment horizontal="centerContinuous"/>
    </xf>
    <xf numFmtId="0" fontId="22" fillId="0" borderId="0" xfId="6" applyFont="1" applyAlignment="1">
      <alignment horizontal="right"/>
    </xf>
    <xf numFmtId="0" fontId="22" fillId="0" borderId="0" xfId="6" applyFont="1"/>
    <xf numFmtId="0" fontId="23" fillId="0" borderId="0" xfId="6" applyFont="1"/>
    <xf numFmtId="0" fontId="23" fillId="0" borderId="0" xfId="6" applyFont="1" applyAlignment="1">
      <alignment horizontal="center"/>
    </xf>
    <xf numFmtId="2" fontId="22" fillId="0" borderId="0" xfId="6" applyNumberFormat="1" applyFont="1" applyAlignment="1">
      <alignment horizontal="center"/>
    </xf>
    <xf numFmtId="0" fontId="24" fillId="0" borderId="0" xfId="6" applyFont="1" applyAlignment="1">
      <alignment horizontal="centerContinuous"/>
    </xf>
    <xf numFmtId="0" fontId="22" fillId="0" borderId="1" xfId="6" applyFont="1" applyBorder="1" applyAlignment="1">
      <alignment horizontal="center" wrapText="1"/>
    </xf>
    <xf numFmtId="0" fontId="22" fillId="0" borderId="1" xfId="6" applyFont="1" applyBorder="1" applyAlignment="1">
      <alignment horizontal="right" vertical="center"/>
    </xf>
    <xf numFmtId="0" fontId="23" fillId="0" borderId="1" xfId="6" applyFont="1" applyBorder="1" applyAlignment="1">
      <alignment horizontal="center" wrapText="1"/>
    </xf>
    <xf numFmtId="37" fontId="22" fillId="0" borderId="0" xfId="6" applyNumberFormat="1" applyFont="1"/>
    <xf numFmtId="0" fontId="24" fillId="0" borderId="0" xfId="6" applyFont="1"/>
    <xf numFmtId="165" fontId="22" fillId="0" borderId="0" xfId="1" applyNumberFormat="1" applyFont="1" applyFill="1"/>
    <xf numFmtId="0" fontId="22" fillId="0" borderId="6" xfId="6" applyFont="1" applyBorder="1"/>
    <xf numFmtId="0" fontId="22" fillId="0" borderId="7" xfId="6" applyFont="1" applyBorder="1"/>
    <xf numFmtId="37" fontId="8" fillId="0" borderId="0" xfId="0" applyNumberFormat="1" applyFont="1"/>
    <xf numFmtId="0" fontId="8" fillId="0" borderId="0" xfId="4" applyFont="1" applyAlignment="1">
      <alignment horizontal="center"/>
    </xf>
    <xf numFmtId="44" fontId="8" fillId="0" borderId="2" xfId="2" applyFont="1" applyFill="1" applyBorder="1" applyAlignment="1" applyProtection="1">
      <protection locked="0"/>
    </xf>
    <xf numFmtId="0" fontId="8" fillId="0" borderId="5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44" fontId="8" fillId="0" borderId="13" xfId="2" applyFont="1" applyBorder="1" applyProtection="1">
      <protection locked="0"/>
    </xf>
    <xf numFmtId="44" fontId="8" fillId="0" borderId="14" xfId="2" applyFont="1" applyBorder="1" applyProtection="1">
      <protection locked="0"/>
    </xf>
    <xf numFmtId="44" fontId="8" fillId="0" borderId="11" xfId="2" applyFont="1" applyBorder="1" applyProtection="1">
      <protection locked="0"/>
    </xf>
    <xf numFmtId="44" fontId="8" fillId="0" borderId="12" xfId="2" applyFont="1" applyBorder="1" applyProtection="1">
      <protection locked="0"/>
    </xf>
    <xf numFmtId="0" fontId="8" fillId="0" borderId="15" xfId="0" applyFont="1" applyBorder="1" applyAlignment="1">
      <alignment horizontal="center" wrapText="1"/>
    </xf>
    <xf numFmtId="40" fontId="8" fillId="0" borderId="16" xfId="1" applyNumberFormat="1" applyFont="1" applyBorder="1" applyProtection="1">
      <protection locked="0"/>
    </xf>
    <xf numFmtId="44" fontId="8" fillId="0" borderId="15" xfId="2" applyFont="1" applyBorder="1" applyProtection="1">
      <protection locked="0"/>
    </xf>
    <xf numFmtId="0" fontId="0" fillId="4" borderId="0" xfId="0" applyFill="1"/>
    <xf numFmtId="165" fontId="0" fillId="4" borderId="0" xfId="0" applyNumberFormat="1" applyFill="1"/>
    <xf numFmtId="0" fontId="18" fillId="0" borderId="0" xfId="6" applyFont="1"/>
    <xf numFmtId="0" fontId="18" fillId="0" borderId="0" xfId="6" applyFont="1" applyAlignment="1">
      <alignment horizontal="left"/>
    </xf>
    <xf numFmtId="165" fontId="22" fillId="0" borderId="0" xfId="1" applyNumberFormat="1" applyFont="1"/>
    <xf numFmtId="165" fontId="22" fillId="0" borderId="1" xfId="1" applyNumberFormat="1" applyFont="1" applyBorder="1"/>
    <xf numFmtId="165" fontId="22" fillId="0" borderId="6" xfId="1" applyNumberFormat="1" applyFont="1" applyBorder="1"/>
    <xf numFmtId="165" fontId="22" fillId="0" borderId="0" xfId="1" applyNumberFormat="1" applyFont="1" applyAlignment="1">
      <alignment horizontal="right"/>
    </xf>
    <xf numFmtId="165" fontId="22" fillId="0" borderId="7" xfId="1" applyNumberFormat="1" applyFont="1" applyBorder="1"/>
    <xf numFmtId="166" fontId="8" fillId="0" borderId="0" xfId="2" quotePrefix="1" applyNumberFormat="1" applyFont="1" applyFill="1" applyBorder="1" applyAlignment="1">
      <alignment horizontal="center"/>
    </xf>
    <xf numFmtId="0" fontId="10" fillId="0" borderId="0" xfId="5" applyFont="1" applyFill="1"/>
    <xf numFmtId="166" fontId="8" fillId="0" borderId="3" xfId="2" applyNumberFormat="1" applyFont="1" applyBorder="1" applyProtection="1">
      <protection locked="0"/>
    </xf>
    <xf numFmtId="166" fontId="8" fillId="0" borderId="0" xfId="1" applyNumberFormat="1" applyFont="1" applyBorder="1" applyProtection="1">
      <protection locked="0"/>
    </xf>
    <xf numFmtId="166" fontId="8" fillId="0" borderId="0" xfId="2" applyNumberFormat="1" applyFont="1" applyFill="1" applyBorder="1" applyAlignment="1" applyProtection="1">
      <protection locked="0"/>
    </xf>
    <xf numFmtId="167" fontId="8" fillId="0" borderId="0" xfId="0" quotePrefix="1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5" fontId="8" fillId="0" borderId="0" xfId="0" applyNumberFormat="1" applyFont="1"/>
    <xf numFmtId="5" fontId="8" fillId="0" borderId="1" xfId="0" applyNumberFormat="1" applyFont="1" applyBorder="1"/>
    <xf numFmtId="14" fontId="8" fillId="0" borderId="0" xfId="0" applyNumberFormat="1" applyFont="1"/>
    <xf numFmtId="3" fontId="8" fillId="0" borderId="0" xfId="0" applyNumberFormat="1" applyFont="1"/>
    <xf numFmtId="9" fontId="8" fillId="0" borderId="0" xfId="0" applyNumberFormat="1" applyFont="1"/>
    <xf numFmtId="167" fontId="8" fillId="0" borderId="1" xfId="0" applyNumberFormat="1" applyFont="1" applyBorder="1"/>
    <xf numFmtId="10" fontId="8" fillId="0" borderId="0" xfId="0" applyNumberFormat="1" applyFont="1"/>
    <xf numFmtId="3" fontId="8" fillId="0" borderId="2" xfId="0" applyNumberFormat="1" applyFont="1" applyBorder="1"/>
    <xf numFmtId="3" fontId="8" fillId="0" borderId="0" xfId="0" applyNumberFormat="1" applyFont="1" applyAlignment="1">
      <alignment wrapText="1"/>
    </xf>
    <xf numFmtId="166" fontId="8" fillId="0" borderId="2" xfId="0" applyNumberFormat="1" applyFont="1" applyBorder="1"/>
    <xf numFmtId="44" fontId="8" fillId="0" borderId="0" xfId="2" applyFont="1" applyAlignment="1"/>
    <xf numFmtId="5" fontId="8" fillId="0" borderId="5" xfId="0" applyNumberFormat="1" applyFont="1" applyBorder="1"/>
    <xf numFmtId="0" fontId="25" fillId="0" borderId="0" xfId="0" applyFont="1" applyAlignment="1">
      <alignment horizontal="center" wrapText="1"/>
    </xf>
    <xf numFmtId="0" fontId="8" fillId="0" borderId="0" xfId="0" applyFont="1" applyAlignment="1">
      <alignment vertical="center" wrapText="1"/>
    </xf>
    <xf numFmtId="3" fontId="8" fillId="0" borderId="1" xfId="0" applyNumberFormat="1" applyFont="1" applyBorder="1"/>
    <xf numFmtId="165" fontId="8" fillId="0" borderId="1" xfId="0" applyNumberFormat="1" applyFont="1" applyBorder="1"/>
    <xf numFmtId="40" fontId="8" fillId="0" borderId="2" xfId="1" applyNumberFormat="1" applyFont="1" applyBorder="1" applyProtection="1">
      <protection locked="0"/>
    </xf>
    <xf numFmtId="44" fontId="8" fillId="0" borderId="0" xfId="1" applyNumberFormat="1" applyFont="1" applyBorder="1" applyProtection="1">
      <protection locked="0"/>
    </xf>
    <xf numFmtId="44" fontId="8" fillId="0" borderId="2" xfId="1" applyNumberFormat="1" applyFont="1" applyBorder="1" applyProtection="1">
      <protection locked="0"/>
    </xf>
    <xf numFmtId="43" fontId="3" fillId="0" borderId="5" xfId="1" applyFont="1" applyFill="1" applyBorder="1"/>
    <xf numFmtId="166" fontId="8" fillId="0" borderId="0" xfId="2" applyNumberFormat="1" applyFont="1" applyFill="1" applyAlignment="1">
      <alignment horizontal="right"/>
    </xf>
    <xf numFmtId="10" fontId="8" fillId="0" borderId="0" xfId="3" applyNumberFormat="1" applyFont="1" applyFill="1" applyAlignment="1">
      <alignment horizontal="right"/>
    </xf>
    <xf numFmtId="165" fontId="8" fillId="0" borderId="2" xfId="1" applyNumberFormat="1" applyFont="1" applyFill="1" applyBorder="1"/>
    <xf numFmtId="165" fontId="8" fillId="0" borderId="3" xfId="1" applyNumberFormat="1" applyFont="1" applyFill="1" applyBorder="1"/>
    <xf numFmtId="165" fontId="8" fillId="0" borderId="4" xfId="1" applyNumberFormat="1" applyFont="1" applyFill="1" applyBorder="1"/>
    <xf numFmtId="43" fontId="8" fillId="0" borderId="0" xfId="1" applyFont="1" applyFill="1"/>
    <xf numFmtId="10" fontId="8" fillId="0" borderId="0" xfId="3" applyNumberFormat="1" applyFont="1" applyFill="1"/>
    <xf numFmtId="164" fontId="6" fillId="0" borderId="1" xfId="0" quotePrefix="1" applyNumberFormat="1" applyFont="1" applyBorder="1" applyAlignment="1">
      <alignment horizontal="center"/>
    </xf>
    <xf numFmtId="166" fontId="8" fillId="0" borderId="5" xfId="2" applyNumberFormat="1" applyFont="1" applyFill="1" applyBorder="1" applyAlignment="1">
      <alignment horizontal="right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165" fontId="8" fillId="3" borderId="0" xfId="0" applyNumberFormat="1" applyFont="1" applyFill="1"/>
    <xf numFmtId="0" fontId="8" fillId="3" borderId="0" xfId="0" applyFont="1" applyFill="1"/>
    <xf numFmtId="0" fontId="8" fillId="0" borderId="2" xfId="0" applyFont="1" applyBorder="1" applyAlignment="1">
      <alignment horizontal="center"/>
    </xf>
    <xf numFmtId="165" fontId="8" fillId="0" borderId="2" xfId="1" applyNumberFormat="1" applyFont="1" applyBorder="1"/>
    <xf numFmtId="0" fontId="8" fillId="0" borderId="0" xfId="0" applyFont="1" applyAlignment="1">
      <alignment horizontal="left" vertical="center"/>
    </xf>
    <xf numFmtId="171" fontId="8" fillId="0" borderId="0" xfId="2" applyNumberFormat="1" applyFont="1" applyBorder="1"/>
    <xf numFmtId="172" fontId="8" fillId="0" borderId="0" xfId="1" applyNumberFormat="1" applyFont="1" applyBorder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166" fontId="8" fillId="0" borderId="8" xfId="2" applyNumberFormat="1" applyFont="1" applyBorder="1"/>
    <xf numFmtId="166" fontId="6" fillId="0" borderId="1" xfId="2" applyNumberFormat="1" applyFont="1" applyBorder="1" applyAlignment="1">
      <alignment horizontal="right"/>
    </xf>
    <xf numFmtId="166" fontId="8" fillId="0" borderId="4" xfId="0" applyNumberFormat="1" applyFont="1" applyBorder="1"/>
    <xf numFmtId="0" fontId="25" fillId="0" borderId="0" xfId="0" applyFont="1"/>
    <xf numFmtId="0" fontId="8" fillId="0" borderId="0" xfId="0" applyFont="1" applyAlignment="1">
      <alignment horizontal="left" vertical="top"/>
    </xf>
    <xf numFmtId="167" fontId="8" fillId="0" borderId="5" xfId="0" applyNumberFormat="1" applyFont="1" applyBorder="1"/>
    <xf numFmtId="10" fontId="3" fillId="0" borderId="0" xfId="3" applyNumberFormat="1" applyFont="1"/>
    <xf numFmtId="43" fontId="0" fillId="0" borderId="0" xfId="0" applyNumberFormat="1"/>
    <xf numFmtId="42" fontId="8" fillId="0" borderId="0" xfId="2" applyNumberFormat="1" applyFont="1" applyBorder="1" applyProtection="1">
      <protection locked="0"/>
    </xf>
    <xf numFmtId="42" fontId="8" fillId="0" borderId="0" xfId="1" applyNumberFormat="1" applyFont="1" applyBorder="1" applyProtection="1">
      <protection locked="0"/>
    </xf>
    <xf numFmtId="42" fontId="8" fillId="0" borderId="2" xfId="2" applyNumberFormat="1" applyFont="1" applyFill="1" applyBorder="1" applyAlignment="1" applyProtection="1">
      <protection locked="0"/>
    </xf>
    <xf numFmtId="42" fontId="8" fillId="0" borderId="0" xfId="0" applyNumberFormat="1" applyFont="1" applyProtection="1">
      <protection locked="0"/>
    </xf>
    <xf numFmtId="42" fontId="0" fillId="0" borderId="0" xfId="0" applyNumberFormat="1"/>
    <xf numFmtId="2" fontId="8" fillId="0" borderId="0" xfId="0" applyNumberFormat="1" applyFont="1" applyAlignment="1">
      <alignment horizontal="center"/>
    </xf>
    <xf numFmtId="166" fontId="8" fillId="0" borderId="1" xfId="2" applyNumberFormat="1" applyFont="1" applyFill="1" applyBorder="1"/>
    <xf numFmtId="165" fontId="8" fillId="0" borderId="1" xfId="1" applyNumberFormat="1" applyFont="1" applyFill="1" applyBorder="1" applyAlignment="1">
      <alignment horizontal="center"/>
    </xf>
    <xf numFmtId="169" fontId="8" fillId="0" borderId="1" xfId="3" applyNumberFormat="1" applyFont="1" applyFill="1" applyBorder="1" applyAlignment="1">
      <alignment horizontal="center"/>
    </xf>
    <xf numFmtId="44" fontId="8" fillId="0" borderId="1" xfId="0" applyNumberFormat="1" applyFont="1" applyBorder="1"/>
    <xf numFmtId="42" fontId="8" fillId="0" borderId="0" xfId="0" applyNumberFormat="1" applyFont="1"/>
    <xf numFmtId="42" fontId="8" fillId="0" borderId="1" xfId="0" applyNumberFormat="1" applyFont="1" applyBorder="1"/>
    <xf numFmtId="166" fontId="8" fillId="0" borderId="5" xfId="0" applyNumberFormat="1" applyFont="1" applyBorder="1"/>
    <xf numFmtId="0" fontId="8" fillId="0" borderId="2" xfId="0" applyFont="1" applyBorder="1" applyAlignment="1">
      <alignment horizontal="left"/>
    </xf>
    <xf numFmtId="37" fontId="8" fillId="0" borderId="4" xfId="0" applyNumberFormat="1" applyFont="1" applyBorder="1"/>
    <xf numFmtId="0" fontId="27" fillId="0" borderId="0" xfId="0" applyFont="1"/>
    <xf numFmtId="0" fontId="26" fillId="0" borderId="0" xfId="0" applyFont="1"/>
    <xf numFmtId="0" fontId="27" fillId="0" borderId="0" xfId="0" quotePrefix="1" applyFont="1"/>
    <xf numFmtId="174" fontId="11" fillId="0" borderId="0" xfId="0" applyNumberFormat="1" applyFont="1"/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173" fontId="27" fillId="0" borderId="0" xfId="1" applyNumberFormat="1" applyFont="1" applyBorder="1" applyAlignment="1">
      <alignment horizontal="center"/>
    </xf>
    <xf numFmtId="175" fontId="27" fillId="0" borderId="0" xfId="1" applyNumberFormat="1" applyFont="1" applyFill="1" applyBorder="1"/>
    <xf numFmtId="175" fontId="27" fillId="0" borderId="1" xfId="1" applyNumberFormat="1" applyFont="1" applyFill="1" applyBorder="1"/>
    <xf numFmtId="175" fontId="27" fillId="0" borderId="0" xfId="0" applyNumberFormat="1" applyFont="1"/>
    <xf numFmtId="175" fontId="27" fillId="0" borderId="8" xfId="0" applyNumberFormat="1" applyFont="1" applyBorder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5" fontId="5" fillId="0" borderId="0" xfId="0" applyNumberFormat="1" applyFont="1"/>
    <xf numFmtId="0" fontId="5" fillId="0" borderId="0" xfId="0" applyFont="1"/>
    <xf numFmtId="0" fontId="27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28" fillId="0" borderId="0" xfId="6" applyFont="1"/>
    <xf numFmtId="167" fontId="6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27" fillId="0" borderId="0" xfId="0" quotePrefix="1" applyFont="1" applyAlignment="1">
      <alignment horizontal="center"/>
    </xf>
    <xf numFmtId="166" fontId="8" fillId="0" borderId="4" xfId="0" quotePrefix="1" applyNumberFormat="1" applyFont="1" applyBorder="1" applyAlignment="1">
      <alignment horizontal="center"/>
    </xf>
    <xf numFmtId="42" fontId="8" fillId="0" borderId="4" xfId="2" applyNumberFormat="1" applyFont="1" applyFill="1" applyBorder="1" applyAlignment="1" applyProtection="1">
      <protection locked="0"/>
    </xf>
    <xf numFmtId="44" fontId="8" fillId="0" borderId="4" xfId="2" applyFont="1" applyFill="1" applyBorder="1" applyAlignment="1" applyProtection="1">
      <protection locked="0"/>
    </xf>
    <xf numFmtId="42" fontId="8" fillId="0" borderId="0" xfId="2" applyNumberFormat="1" applyFont="1" applyFill="1" applyBorder="1" applyAlignment="1" applyProtection="1">
      <protection locked="0"/>
    </xf>
    <xf numFmtId="0" fontId="2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4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0" xfId="4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6" fillId="0" borderId="0" xfId="0" applyFont="1" applyAlignment="1">
      <alignment horizontal="right"/>
    </xf>
  </cellXfs>
  <cellStyles count="7">
    <cellStyle name="Comma" xfId="1" builtinId="3"/>
    <cellStyle name="Currency" xfId="2" builtinId="4"/>
    <cellStyle name="Hyperlink" xfId="5" builtinId="8"/>
    <cellStyle name="Normal" xfId="0" builtinId="0"/>
    <cellStyle name="Normal 2" xfId="4" xr:uid="{00000000-0005-0000-0000-000004000000}"/>
    <cellStyle name="Normal 3" xfId="6" xr:uid="{00000000-0005-0000-0000-000005000000}"/>
    <cellStyle name="Percent" xfId="3" builtinId="5"/>
  </cellStyles>
  <dxfs count="16"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hnw\Documents\CATALYST%20Consulting\Clients\Taylor\2021%20COS%20&amp;%20Rates\COSS%20&amp;%20Rates\TCRECC-RevReq-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ac385686f0d07d2/Documents/CATALYST%20Consulting/Clients/Taylor/2021%20COS%20%5e0%20Rates%202023-00147/COSS%20%5e0%20Rates/TCRECC-RevReq-2022-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Req"/>
      <sheetName val="Adj List"/>
      <sheetName val="Adj BS"/>
      <sheetName val="Adj IS"/>
      <sheetName val="1.01 FAC"/>
      <sheetName val="1.02 ES"/>
      <sheetName val="1.03 MRSM"/>
      <sheetName val="1.04 NonFACPPA"/>
      <sheetName val="1.05 DonaAdsDues"/>
      <sheetName val="1.06 401k"/>
      <sheetName val="1.07 LifeInsur"/>
      <sheetName val="1.08 RC"/>
      <sheetName val="1.09 Int Exp"/>
      <sheetName val="1.10 Int Income"/>
      <sheetName val="1.11 YearEndCust"/>
      <sheetName val="1.12 Wages and Salaries"/>
      <sheetName val="1.13 Depr"/>
      <sheetName val="1.14 Dir"/>
      <sheetName val="1.15 FEMA Credit"/>
      <sheetName val="1.16 Capital Credits"/>
      <sheetName val="1.17 New HQ"/>
      <sheetName val="1.18 Right of Way"/>
      <sheetName val="1.19 Normalize 2019 Rate Increa"/>
      <sheetName val="1.20 Healthcare"/>
      <sheetName val="1.xx Wages"/>
      <sheetName val="1.xx Health"/>
    </sheetNames>
    <sheetDataSet>
      <sheetData sheetId="0"/>
      <sheetData sheetId="1"/>
      <sheetData sheetId="2"/>
      <sheetData sheetId="3">
        <row r="37">
          <cell r="W3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Req"/>
      <sheetName val="Adj List"/>
      <sheetName val="Adj BS"/>
      <sheetName val="Adj IS"/>
      <sheetName val="1.01 FAC"/>
      <sheetName val="1.02 ES"/>
      <sheetName val="1.03 Int Exp"/>
      <sheetName val="1.04 Depr"/>
      <sheetName val="1.05 ROW"/>
      <sheetName val="1.06 YearEndCust"/>
      <sheetName val="1.07 FEMA"/>
      <sheetName val="1.08 DonAdsDues"/>
      <sheetName val="1.09 Directors"/>
      <sheetName val="1.10 Wages &amp; Salaries"/>
      <sheetName val="1.11 401K"/>
      <sheetName val="1.12 Health"/>
      <sheetName val="1.13 RateCase"/>
    </sheetNames>
    <sheetDataSet>
      <sheetData sheetId="0">
        <row r="1">
          <cell r="A1" t="str">
            <v>TAYLOR COUNTY RECC</v>
          </cell>
        </row>
        <row r="3">
          <cell r="A3" t="str">
            <v>For the 12 Months Ended December 31,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B5AAE-45DF-49A2-B452-DF3E9D1CC321}">
  <sheetPr>
    <pageSetUpPr fitToPage="1"/>
  </sheetPr>
  <dimension ref="A1:G34"/>
  <sheetViews>
    <sheetView showGridLines="0" topLeftCell="A10" workbookViewId="0">
      <selection activeCell="A11" sqref="A11:D31"/>
    </sheetView>
  </sheetViews>
  <sheetFormatPr defaultRowHeight="14.5"/>
  <cols>
    <col min="1" max="1" width="2.81640625" customWidth="1"/>
    <col min="2" max="2" width="69.7265625" customWidth="1"/>
    <col min="3" max="3" width="11.54296875" customWidth="1"/>
    <col min="4" max="4" width="15" customWidth="1"/>
    <col min="5" max="5" width="15.7265625" customWidth="1"/>
  </cols>
  <sheetData>
    <row r="1" spans="1:7">
      <c r="A1" s="69"/>
      <c r="B1" s="69"/>
      <c r="C1" s="69"/>
      <c r="D1" s="336" t="s">
        <v>514</v>
      </c>
    </row>
    <row r="2" spans="1:7" ht="15.5">
      <c r="A2" s="342" t="s">
        <v>496</v>
      </c>
      <c r="B2" s="342"/>
      <c r="C2" s="342"/>
      <c r="D2" s="342"/>
      <c r="E2" s="69"/>
    </row>
    <row r="3" spans="1:7" ht="15.5">
      <c r="A3" s="342" t="s">
        <v>495</v>
      </c>
      <c r="B3" s="342"/>
      <c r="C3" s="342"/>
      <c r="D3" s="342"/>
      <c r="E3" s="69"/>
    </row>
    <row r="4" spans="1:7" ht="15.5">
      <c r="A4" s="342" t="s">
        <v>518</v>
      </c>
      <c r="B4" s="342"/>
      <c r="C4" s="342"/>
      <c r="D4" s="342"/>
      <c r="E4" s="69"/>
    </row>
    <row r="5" spans="1:7" ht="15.5">
      <c r="A5" s="342" t="s">
        <v>494</v>
      </c>
      <c r="B5" s="342"/>
      <c r="C5" s="342"/>
      <c r="D5" s="342"/>
      <c r="E5" s="69"/>
    </row>
    <row r="6" spans="1:7" ht="15.5">
      <c r="A6" s="342" t="s">
        <v>493</v>
      </c>
      <c r="B6" s="342"/>
      <c r="C6" s="342"/>
      <c r="D6" s="342"/>
      <c r="E6" s="69"/>
    </row>
    <row r="7" spans="1:7" ht="15.5">
      <c r="A7" s="317"/>
      <c r="B7" s="317"/>
      <c r="C7" s="317"/>
      <c r="D7" s="321"/>
      <c r="E7" s="328"/>
    </row>
    <row r="8" spans="1:7" ht="15.5">
      <c r="A8" s="317"/>
      <c r="B8" s="317"/>
      <c r="C8" s="317"/>
      <c r="D8" s="321" t="s">
        <v>492</v>
      </c>
      <c r="E8" s="321"/>
    </row>
    <row r="9" spans="1:7" ht="15.5">
      <c r="A9" s="317"/>
      <c r="B9" s="317"/>
      <c r="C9" s="317"/>
      <c r="D9" s="322" t="s">
        <v>154</v>
      </c>
      <c r="E9" s="321"/>
    </row>
    <row r="10" spans="1:7" ht="15.5">
      <c r="A10" s="318"/>
      <c r="B10" s="319"/>
      <c r="C10" s="317"/>
      <c r="D10" s="323"/>
      <c r="E10" s="329"/>
    </row>
    <row r="11" spans="1:7" ht="15.5">
      <c r="A11" s="332" t="s">
        <v>528</v>
      </c>
      <c r="B11" s="332"/>
      <c r="C11" s="317"/>
      <c r="D11" s="324">
        <f>6377383/1000000</f>
        <v>6.377383</v>
      </c>
      <c r="E11" s="330"/>
      <c r="G11" s="301"/>
    </row>
    <row r="12" spans="1:7" ht="15.5">
      <c r="A12" s="317"/>
      <c r="B12" s="317"/>
      <c r="C12" s="317"/>
      <c r="D12" s="324"/>
      <c r="E12" s="330"/>
    </row>
    <row r="13" spans="1:7" ht="15.5">
      <c r="A13" s="317" t="s">
        <v>516</v>
      </c>
      <c r="B13" s="317"/>
      <c r="C13" s="322" t="s">
        <v>503</v>
      </c>
      <c r="D13" s="324"/>
      <c r="E13" s="330"/>
    </row>
    <row r="14" spans="1:7" ht="15.5">
      <c r="A14" s="317"/>
      <c r="B14" s="317" t="s">
        <v>482</v>
      </c>
      <c r="C14" s="321">
        <v>1.1599999999999999</v>
      </c>
      <c r="D14" s="324">
        <f>-110351/1000000</f>
        <v>-0.110351</v>
      </c>
      <c r="E14" s="324"/>
    </row>
    <row r="15" spans="1:7" ht="15.5">
      <c r="A15" s="317"/>
      <c r="B15" s="317" t="s">
        <v>491</v>
      </c>
      <c r="C15" s="321">
        <v>1.05</v>
      </c>
      <c r="D15" s="324">
        <f>-1639829/1000000</f>
        <v>-1.639829</v>
      </c>
      <c r="E15" s="324"/>
    </row>
    <row r="16" spans="1:7" ht="15.5">
      <c r="A16" s="317"/>
      <c r="B16" s="317" t="s">
        <v>490</v>
      </c>
      <c r="C16" s="321">
        <v>1.17</v>
      </c>
      <c r="D16" s="324">
        <f>-10915/1000000</f>
        <v>-1.0914999999999999E-2</v>
      </c>
      <c r="E16" s="324"/>
    </row>
    <row r="17" spans="1:5" ht="15.5">
      <c r="A17" s="317"/>
      <c r="B17" s="317" t="s">
        <v>489</v>
      </c>
      <c r="C17" s="321">
        <v>1.0900000000000001</v>
      </c>
      <c r="D17" s="324">
        <f>-120400/1000000</f>
        <v>-0.12039999999999999</v>
      </c>
      <c r="E17" s="324"/>
    </row>
    <row r="18" spans="1:5" ht="15.5">
      <c r="A18" s="317"/>
      <c r="B18" s="317" t="s">
        <v>300</v>
      </c>
      <c r="C18" s="321">
        <v>1.1200000000000001</v>
      </c>
      <c r="D18" s="324">
        <f>(-262274+32758)/1000000</f>
        <v>-0.229516</v>
      </c>
      <c r="E18" s="324"/>
    </row>
    <row r="19" spans="1:5" ht="15.5">
      <c r="A19" s="317"/>
      <c r="B19" s="317" t="s">
        <v>488</v>
      </c>
      <c r="C19" s="321">
        <v>1.04</v>
      </c>
      <c r="D19" s="324">
        <f>(-461018+326283)/1000000</f>
        <v>-0.13473499999999999</v>
      </c>
      <c r="E19" s="324"/>
    </row>
    <row r="20" spans="1:5" ht="15.5">
      <c r="A20" s="69"/>
      <c r="B20" s="317" t="s">
        <v>510</v>
      </c>
      <c r="C20" s="321">
        <v>1.18</v>
      </c>
      <c r="D20" s="324">
        <f>-89613/1000000</f>
        <v>-8.9612999999999998E-2</v>
      </c>
      <c r="E20" s="330"/>
    </row>
    <row r="21" spans="1:5" ht="15.5">
      <c r="A21" s="69"/>
      <c r="B21" s="317" t="s">
        <v>500</v>
      </c>
      <c r="C21" s="321">
        <v>1.19</v>
      </c>
      <c r="D21" s="324">
        <f>-21948/1000000</f>
        <v>-2.1947999999999999E-2</v>
      </c>
      <c r="E21" s="324"/>
    </row>
    <row r="22" spans="1:5" ht="15.5">
      <c r="A22" s="69"/>
      <c r="B22" s="317" t="s">
        <v>508</v>
      </c>
      <c r="C22" s="337" t="s">
        <v>504</v>
      </c>
      <c r="D22" s="324">
        <f>-24600/1000000</f>
        <v>-2.46E-2</v>
      </c>
      <c r="E22" s="324"/>
    </row>
    <row r="23" spans="1:5" ht="15.5">
      <c r="A23" s="69"/>
      <c r="B23" s="317" t="s">
        <v>529</v>
      </c>
      <c r="C23" s="337">
        <v>1.1100000000000001</v>
      </c>
      <c r="D23" s="324">
        <f>-183588/1000000</f>
        <v>-0.183588</v>
      </c>
      <c r="E23" s="324"/>
    </row>
    <row r="24" spans="1:5" ht="15.5">
      <c r="A24" s="69"/>
      <c r="B24" s="317" t="s">
        <v>515</v>
      </c>
      <c r="C24" s="337">
        <v>1.1299999999999999</v>
      </c>
      <c r="D24" s="324">
        <f>-26666/1000000</f>
        <v>-2.6665999999999999E-2</v>
      </c>
      <c r="E24" s="324"/>
    </row>
    <row r="25" spans="1:5" ht="15.5">
      <c r="A25" s="69"/>
      <c r="B25" s="317"/>
      <c r="C25" s="317"/>
      <c r="D25" s="324"/>
      <c r="E25" s="330"/>
    </row>
    <row r="26" spans="1:5" ht="15.5">
      <c r="A26" s="69"/>
      <c r="B26" s="317"/>
      <c r="C26" s="317"/>
      <c r="D26" s="325"/>
      <c r="E26" s="324"/>
    </row>
    <row r="27" spans="1:5" ht="15.5">
      <c r="A27" s="317"/>
      <c r="B27" s="317"/>
      <c r="C27" s="317"/>
      <c r="D27" s="324"/>
      <c r="E27" s="324"/>
    </row>
    <row r="28" spans="1:5" ht="15.5">
      <c r="A28" s="317" t="s">
        <v>517</v>
      </c>
      <c r="B28" s="317"/>
      <c r="C28" s="317"/>
      <c r="D28" s="325">
        <f>SUM(D14:D26)</f>
        <v>-2.5921609999999999</v>
      </c>
      <c r="E28" s="324"/>
    </row>
    <row r="29" spans="1:5" ht="15.5">
      <c r="A29" s="317"/>
      <c r="B29" s="317"/>
      <c r="C29" s="317"/>
      <c r="D29" s="326"/>
      <c r="E29" s="326"/>
    </row>
    <row r="30" spans="1:5" ht="16" thickBot="1">
      <c r="A30" s="317" t="s">
        <v>519</v>
      </c>
      <c r="B30" s="317"/>
      <c r="C30" s="317"/>
      <c r="D30" s="327">
        <f>D11+D28</f>
        <v>3.7852220000000001</v>
      </c>
      <c r="E30" s="326"/>
    </row>
    <row r="31" spans="1:5" ht="16" thickTop="1">
      <c r="A31" s="318"/>
      <c r="B31" s="317"/>
      <c r="C31" s="317"/>
      <c r="D31" s="317"/>
      <c r="E31" s="331"/>
    </row>
    <row r="32" spans="1:5">
      <c r="A32" s="69"/>
      <c r="B32" s="69"/>
      <c r="C32" s="69"/>
      <c r="D32" s="320"/>
      <c r="E32" s="69"/>
    </row>
    <row r="33" spans="1:5">
      <c r="A33" s="69"/>
      <c r="B33" s="69"/>
      <c r="C33" s="69" t="s">
        <v>507</v>
      </c>
      <c r="D33" s="320">
        <f>RevReq!G60/1000000</f>
        <v>3.7852709380807159</v>
      </c>
      <c r="E33" s="320"/>
    </row>
    <row r="34" spans="1:5">
      <c r="A34" s="69"/>
      <c r="B34" s="69"/>
      <c r="C34" s="69" t="s">
        <v>466</v>
      </c>
      <c r="D34" s="320">
        <f>+D33-D30</f>
        <v>4.8938080715821286E-5</v>
      </c>
      <c r="E34" s="320"/>
    </row>
  </sheetData>
  <mergeCells count="5">
    <mergeCell ref="A2:D2"/>
    <mergeCell ref="A3:D3"/>
    <mergeCell ref="A4:D4"/>
    <mergeCell ref="A5:D5"/>
    <mergeCell ref="A6:D6"/>
  </mergeCells>
  <pageMargins left="0.7" right="0.7" top="0.75" bottom="0.75" header="0.3" footer="0.3"/>
  <pageSetup scale="91" orientation="portrait" r:id="rId1"/>
  <ignoredErrors>
    <ignoredError sqref="C2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27"/>
  <sheetViews>
    <sheetView view="pageBreakPreview" zoomScale="78" zoomScaleNormal="100" zoomScaleSheetLayoutView="78" workbookViewId="0">
      <selection activeCell="B18" sqref="B18"/>
    </sheetView>
  </sheetViews>
  <sheetFormatPr defaultColWidth="8.81640625" defaultRowHeight="12.5"/>
  <cols>
    <col min="1" max="1" width="8.81640625" style="66"/>
    <col min="2" max="2" width="52.7265625" style="66" customWidth="1"/>
    <col min="3" max="3" width="23.54296875" style="66" customWidth="1"/>
    <col min="4" max="12" width="18.1796875" style="66" customWidth="1"/>
    <col min="13" max="13" width="10.54296875" style="66" bestFit="1" customWidth="1"/>
    <col min="14" max="16384" width="8.81640625" style="66"/>
  </cols>
  <sheetData>
    <row r="1" spans="1:12" ht="13">
      <c r="C1" s="163" t="str">
        <f>+'1.04 Depr'!J2</f>
        <v>Exhibit JD-1</v>
      </c>
    </row>
    <row r="2" spans="1:12" ht="13">
      <c r="C2" s="26" t="s">
        <v>281</v>
      </c>
    </row>
    <row r="3" spans="1:12" ht="13">
      <c r="K3" s="26"/>
    </row>
    <row r="4" spans="1:12" ht="13">
      <c r="K4" s="26"/>
    </row>
    <row r="5" spans="1:12" ht="13">
      <c r="A5" s="347" t="str">
        <f>RevReq!A1</f>
        <v>TAYLOR COUNTY RECC</v>
      </c>
      <c r="B5" s="347"/>
      <c r="C5" s="347"/>
      <c r="D5" s="41"/>
      <c r="E5" s="41"/>
      <c r="F5" s="41"/>
      <c r="G5" s="41"/>
      <c r="H5" s="41"/>
      <c r="I5" s="41"/>
      <c r="J5" s="41"/>
      <c r="K5" s="41"/>
    </row>
    <row r="6" spans="1:12" ht="13">
      <c r="A6" s="347" t="str">
        <f>RevReq!A3</f>
        <v>For the 12 Months Ended December 31, 2021</v>
      </c>
      <c r="B6" s="347"/>
      <c r="C6" s="347"/>
      <c r="D6" s="41"/>
      <c r="E6" s="41"/>
      <c r="F6" s="41"/>
      <c r="G6" s="41"/>
      <c r="H6" s="41"/>
      <c r="I6" s="41"/>
      <c r="J6" s="41"/>
      <c r="K6" s="41"/>
      <c r="L6" s="41"/>
    </row>
    <row r="7" spans="1:12" ht="1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3">
      <c r="A8" s="345" t="s">
        <v>277</v>
      </c>
      <c r="B8" s="345"/>
      <c r="C8" s="345"/>
      <c r="D8" s="48"/>
      <c r="E8" s="48"/>
      <c r="F8" s="48"/>
      <c r="G8" s="48"/>
      <c r="H8" s="48"/>
      <c r="I8" s="48"/>
      <c r="J8" s="48"/>
      <c r="K8" s="48"/>
    </row>
    <row r="9" spans="1:12" ht="13">
      <c r="A9" s="67"/>
      <c r="B9" s="67"/>
      <c r="C9" s="67"/>
      <c r="D9" s="48"/>
      <c r="E9" s="48"/>
      <c r="F9" s="48"/>
      <c r="G9" s="48"/>
      <c r="H9" s="48"/>
      <c r="I9" s="48"/>
      <c r="J9" s="48"/>
      <c r="K9" s="48"/>
    </row>
    <row r="10" spans="1:12" ht="13">
      <c r="B10" s="68" t="s">
        <v>278</v>
      </c>
      <c r="C10" s="152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2" ht="13">
      <c r="A11" s="168" t="s">
        <v>12</v>
      </c>
      <c r="B11" s="132" t="s">
        <v>125</v>
      </c>
      <c r="C11" s="97" t="s">
        <v>279</v>
      </c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ht="13">
      <c r="A12" s="77"/>
      <c r="B12" s="93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ht="13">
      <c r="A13" s="77">
        <v>1</v>
      </c>
      <c r="B13" s="77" t="s">
        <v>280</v>
      </c>
      <c r="C13" s="245">
        <v>1050898</v>
      </c>
      <c r="D13" s="122"/>
      <c r="E13" s="121"/>
      <c r="F13" s="121"/>
      <c r="G13" s="121"/>
      <c r="H13" s="121"/>
      <c r="I13" s="121"/>
      <c r="J13" s="121"/>
      <c r="K13" s="121"/>
      <c r="L13" s="121"/>
    </row>
    <row r="14" spans="1:12" ht="13">
      <c r="A14" s="77">
        <f>A13+1</f>
        <v>2</v>
      </c>
      <c r="B14" s="77" t="s">
        <v>522</v>
      </c>
      <c r="C14" s="245">
        <f>+C15+C13</f>
        <v>2690727</v>
      </c>
      <c r="D14" s="122"/>
      <c r="E14" s="121"/>
      <c r="F14" s="121"/>
      <c r="G14" s="121"/>
      <c r="H14" s="121"/>
      <c r="I14" s="121"/>
      <c r="J14" s="121"/>
      <c r="K14" s="121"/>
      <c r="L14" s="121"/>
    </row>
    <row r="15" spans="1:12" ht="13.5" thickBot="1">
      <c r="A15" s="77">
        <f>A14+1</f>
        <v>3</v>
      </c>
      <c r="B15" s="315" t="s">
        <v>498</v>
      </c>
      <c r="C15" s="338">
        <v>1639829</v>
      </c>
      <c r="D15" s="122"/>
      <c r="E15" s="121"/>
      <c r="F15" s="121"/>
      <c r="G15" s="121"/>
      <c r="H15" s="121"/>
      <c r="I15" s="121"/>
      <c r="J15" s="121"/>
      <c r="K15" s="121"/>
      <c r="L15" s="121"/>
    </row>
    <row r="16" spans="1:12" ht="13.5" thickTop="1">
      <c r="B16" s="93"/>
      <c r="D16" s="122"/>
      <c r="E16" s="121"/>
      <c r="F16" s="121"/>
      <c r="G16" s="121"/>
      <c r="H16" s="121"/>
      <c r="I16" s="121"/>
      <c r="J16" s="121"/>
      <c r="K16" s="121"/>
      <c r="L16" s="121"/>
    </row>
    <row r="17" spans="2:12">
      <c r="B17" s="66" t="s">
        <v>523</v>
      </c>
      <c r="C17" s="126">
        <f>3279658*0.5</f>
        <v>1639829</v>
      </c>
      <c r="D17" s="126"/>
      <c r="E17" s="126"/>
      <c r="F17" s="126"/>
      <c r="G17" s="126"/>
      <c r="H17" s="126"/>
      <c r="I17" s="126"/>
      <c r="J17" s="126"/>
      <c r="K17" s="126"/>
      <c r="L17" s="126"/>
    </row>
    <row r="18" spans="2:12" ht="13">
      <c r="B18" s="169"/>
      <c r="C18" s="128"/>
      <c r="D18" s="128"/>
      <c r="E18" s="128"/>
      <c r="F18" s="128"/>
      <c r="G18" s="128"/>
      <c r="H18" s="128"/>
    </row>
    <row r="19" spans="2:12">
      <c r="C19" s="128"/>
      <c r="D19" s="128"/>
      <c r="E19" s="128"/>
      <c r="F19" s="128"/>
      <c r="G19" s="128"/>
      <c r="H19" s="128"/>
    </row>
    <row r="20" spans="2:12" ht="13">
      <c r="B20" s="92"/>
      <c r="C20" s="131"/>
      <c r="D20" s="131"/>
      <c r="E20" s="131"/>
      <c r="F20" s="131"/>
      <c r="G20" s="131"/>
      <c r="H20" s="131"/>
    </row>
    <row r="21" spans="2:12">
      <c r="C21" s="131"/>
      <c r="D21" s="131"/>
      <c r="E21" s="131"/>
      <c r="F21" s="131"/>
      <c r="G21" s="131"/>
      <c r="H21" s="131"/>
    </row>
    <row r="22" spans="2:12">
      <c r="C22" s="131"/>
      <c r="D22" s="131"/>
      <c r="E22" s="131"/>
      <c r="F22" s="131"/>
      <c r="G22" s="131"/>
      <c r="H22" s="131"/>
    </row>
    <row r="23" spans="2:12">
      <c r="C23" s="131"/>
      <c r="D23" s="131"/>
      <c r="E23" s="131"/>
      <c r="F23" s="131"/>
      <c r="G23" s="131"/>
      <c r="H23" s="80"/>
    </row>
    <row r="24" spans="2:12">
      <c r="C24" s="131"/>
      <c r="D24" s="131"/>
      <c r="E24" s="131"/>
      <c r="F24" s="131"/>
      <c r="G24" s="131"/>
      <c r="H24" s="131"/>
    </row>
    <row r="25" spans="2:12">
      <c r="C25" s="131"/>
      <c r="D25" s="131"/>
      <c r="E25" s="131"/>
      <c r="F25" s="131"/>
      <c r="G25" s="131"/>
      <c r="H25" s="131"/>
    </row>
    <row r="26" spans="2:12">
      <c r="C26" s="131"/>
      <c r="D26" s="131"/>
      <c r="E26" s="131"/>
      <c r="F26" s="131"/>
      <c r="G26" s="131"/>
      <c r="H26" s="131"/>
    </row>
    <row r="27" spans="2:12">
      <c r="C27" s="131"/>
      <c r="D27" s="131"/>
      <c r="E27" s="131"/>
      <c r="F27" s="131"/>
      <c r="G27" s="131"/>
      <c r="H27" s="131"/>
    </row>
  </sheetData>
  <mergeCells count="3">
    <mergeCell ref="A5:C5"/>
    <mergeCell ref="A6:C6"/>
    <mergeCell ref="A8:C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8"/>
  <sheetViews>
    <sheetView view="pageBreakPreview" zoomScale="60" zoomScaleNormal="100" workbookViewId="0">
      <selection activeCell="I1" sqref="I1"/>
    </sheetView>
  </sheetViews>
  <sheetFormatPr defaultColWidth="9.1796875" defaultRowHeight="12.5"/>
  <cols>
    <col min="1" max="1" width="5.81640625" style="66" customWidth="1"/>
    <col min="2" max="2" width="2.26953125" style="66" customWidth="1"/>
    <col min="3" max="3" width="13.26953125" style="66" customWidth="1"/>
    <col min="4" max="4" width="10.81640625" style="66" customWidth="1"/>
    <col min="5" max="5" width="4.1796875" style="66" customWidth="1"/>
    <col min="6" max="6" width="14.26953125" style="66" customWidth="1"/>
    <col min="7" max="7" width="14.7265625" style="66" customWidth="1"/>
    <col min="8" max="8" width="12.54296875" style="66" customWidth="1"/>
    <col min="9" max="9" width="14.81640625" style="66" customWidth="1"/>
    <col min="10" max="16384" width="9.1796875" style="66"/>
  </cols>
  <sheetData>
    <row r="1" spans="1:10" ht="13">
      <c r="I1" s="163" t="str">
        <f>+RevReq!G1</f>
        <v>Exhibit JD-1</v>
      </c>
    </row>
    <row r="2" spans="1:10" ht="13">
      <c r="I2" s="26" t="s">
        <v>429</v>
      </c>
    </row>
    <row r="4" spans="1:10" ht="13">
      <c r="I4" s="26"/>
    </row>
    <row r="5" spans="1:10" ht="13">
      <c r="A5" s="347" t="str">
        <f>[2]RevReq!A1</f>
        <v>TAYLOR COUNTY RECC</v>
      </c>
      <c r="B5" s="347"/>
      <c r="C5" s="347"/>
      <c r="D5" s="347"/>
      <c r="E5" s="347"/>
      <c r="F5" s="347"/>
      <c r="G5" s="347"/>
      <c r="H5" s="347"/>
      <c r="I5" s="347"/>
    </row>
    <row r="6" spans="1:10" ht="13">
      <c r="A6" s="347" t="str">
        <f>[2]RevReq!A3</f>
        <v>For the 12 Months Ended December 31, 2021</v>
      </c>
      <c r="B6" s="347"/>
      <c r="C6" s="347"/>
      <c r="D6" s="347"/>
      <c r="E6" s="347"/>
      <c r="F6" s="347"/>
      <c r="G6" s="347"/>
      <c r="H6" s="347"/>
      <c r="I6" s="347"/>
      <c r="J6" s="41"/>
    </row>
    <row r="7" spans="1:10" ht="13">
      <c r="A7" s="41"/>
      <c r="B7" s="41"/>
      <c r="C7" s="41"/>
      <c r="D7" s="41"/>
      <c r="E7" s="41"/>
      <c r="F7" s="41"/>
      <c r="G7" s="41"/>
      <c r="H7" s="41"/>
      <c r="I7" s="41"/>
      <c r="J7" s="41"/>
    </row>
    <row r="8" spans="1:10" ht="13">
      <c r="A8" s="349" t="s">
        <v>430</v>
      </c>
      <c r="B8" s="349"/>
      <c r="C8" s="349"/>
      <c r="D8" s="349"/>
      <c r="E8" s="349"/>
      <c r="F8" s="349"/>
      <c r="G8" s="349"/>
      <c r="H8" s="349"/>
      <c r="I8" s="349"/>
    </row>
    <row r="10" spans="1:10" ht="37.5">
      <c r="A10" s="68" t="s">
        <v>7</v>
      </c>
      <c r="C10" s="68" t="s">
        <v>195</v>
      </c>
      <c r="D10" s="68" t="s">
        <v>196</v>
      </c>
      <c r="E10" s="68"/>
      <c r="F10" s="152" t="s">
        <v>468</v>
      </c>
      <c r="G10" s="152" t="s">
        <v>469</v>
      </c>
      <c r="H10" s="152" t="s">
        <v>470</v>
      </c>
      <c r="I10" s="68" t="s">
        <v>66</v>
      </c>
    </row>
    <row r="11" spans="1:10">
      <c r="A11" s="132" t="s">
        <v>12</v>
      </c>
      <c r="C11" s="97" t="s">
        <v>88</v>
      </c>
      <c r="D11" s="97" t="s">
        <v>89</v>
      </c>
      <c r="E11" s="68"/>
      <c r="F11" s="97" t="s">
        <v>90</v>
      </c>
      <c r="G11" s="97" t="s">
        <v>13</v>
      </c>
      <c r="H11" s="97" t="s">
        <v>14</v>
      </c>
      <c r="I11" s="97" t="s">
        <v>100</v>
      </c>
    </row>
    <row r="12" spans="1:10">
      <c r="A12" s="68"/>
    </row>
    <row r="13" spans="1:10">
      <c r="A13" s="68">
        <v>1</v>
      </c>
      <c r="C13" s="68">
        <v>2022</v>
      </c>
      <c r="D13" s="68" t="s">
        <v>105</v>
      </c>
      <c r="E13" s="186"/>
      <c r="F13" s="131">
        <v>23744</v>
      </c>
      <c r="G13" s="131">
        <v>2880</v>
      </c>
      <c r="H13" s="131">
        <v>345</v>
      </c>
      <c r="I13" s="285"/>
    </row>
    <row r="14" spans="1:10">
      <c r="A14" s="68">
        <v>2</v>
      </c>
      <c r="C14" s="68">
        <v>2022</v>
      </c>
      <c r="D14" s="68" t="s">
        <v>106</v>
      </c>
      <c r="E14" s="186"/>
      <c r="F14" s="131">
        <v>23801</v>
      </c>
      <c r="G14" s="131">
        <v>2886</v>
      </c>
      <c r="H14" s="131">
        <v>348</v>
      </c>
      <c r="I14" s="286"/>
    </row>
    <row r="15" spans="1:10">
      <c r="A15" s="68">
        <v>3</v>
      </c>
      <c r="C15" s="68">
        <v>2022</v>
      </c>
      <c r="D15" s="68" t="s">
        <v>107</v>
      </c>
      <c r="E15" s="186"/>
      <c r="F15" s="131">
        <v>23926</v>
      </c>
      <c r="G15" s="131">
        <v>2923</v>
      </c>
      <c r="H15" s="131">
        <v>352</v>
      </c>
      <c r="I15" s="286"/>
    </row>
    <row r="16" spans="1:10">
      <c r="A16" s="68">
        <v>4</v>
      </c>
      <c r="C16" s="68">
        <v>2022</v>
      </c>
      <c r="D16" s="68" t="s">
        <v>108</v>
      </c>
      <c r="E16" s="186"/>
      <c r="F16" s="131">
        <v>23861</v>
      </c>
      <c r="G16" s="131">
        <v>2911</v>
      </c>
      <c r="H16" s="131">
        <v>352</v>
      </c>
      <c r="I16" s="286"/>
    </row>
    <row r="17" spans="1:9">
      <c r="A17" s="68">
        <v>5</v>
      </c>
      <c r="C17" s="68">
        <v>2022</v>
      </c>
      <c r="D17" s="68" t="s">
        <v>109</v>
      </c>
      <c r="E17" s="186"/>
      <c r="F17" s="131">
        <v>23866</v>
      </c>
      <c r="G17" s="131">
        <v>2927</v>
      </c>
      <c r="H17" s="131">
        <v>352</v>
      </c>
      <c r="I17" s="286"/>
    </row>
    <row r="18" spans="1:9">
      <c r="A18" s="68">
        <v>6</v>
      </c>
      <c r="C18" s="68">
        <v>2022</v>
      </c>
      <c r="D18" s="68" t="s">
        <v>110</v>
      </c>
      <c r="E18" s="186"/>
      <c r="F18" s="131">
        <v>23944</v>
      </c>
      <c r="G18" s="131">
        <v>2941</v>
      </c>
      <c r="H18" s="131">
        <v>353</v>
      </c>
      <c r="I18" s="286"/>
    </row>
    <row r="19" spans="1:9">
      <c r="A19" s="68">
        <v>7</v>
      </c>
      <c r="C19" s="68">
        <v>2022</v>
      </c>
      <c r="D19" s="68" t="s">
        <v>111</v>
      </c>
      <c r="E19" s="186"/>
      <c r="F19" s="131">
        <v>23853</v>
      </c>
      <c r="G19" s="131">
        <v>2946</v>
      </c>
      <c r="H19" s="131">
        <v>352</v>
      </c>
      <c r="I19" s="286"/>
    </row>
    <row r="20" spans="1:9">
      <c r="A20" s="68">
        <v>8</v>
      </c>
      <c r="C20" s="68">
        <v>2022</v>
      </c>
      <c r="D20" s="68" t="s">
        <v>112</v>
      </c>
      <c r="E20" s="186"/>
      <c r="F20" s="131">
        <v>23982</v>
      </c>
      <c r="G20" s="131">
        <v>2924</v>
      </c>
      <c r="H20" s="131">
        <v>355</v>
      </c>
      <c r="I20" s="286"/>
    </row>
    <row r="21" spans="1:9">
      <c r="A21" s="68">
        <v>9</v>
      </c>
      <c r="C21" s="68">
        <v>2022</v>
      </c>
      <c r="D21" s="68" t="s">
        <v>113</v>
      </c>
      <c r="E21" s="186"/>
      <c r="F21" s="131">
        <v>23953</v>
      </c>
      <c r="G21" s="131">
        <v>2936</v>
      </c>
      <c r="H21" s="131">
        <v>351</v>
      </c>
      <c r="I21" s="286"/>
    </row>
    <row r="22" spans="1:9">
      <c r="A22" s="68">
        <v>10</v>
      </c>
      <c r="C22" s="68">
        <v>2022</v>
      </c>
      <c r="D22" s="68" t="s">
        <v>114</v>
      </c>
      <c r="E22" s="186"/>
      <c r="F22" s="131">
        <v>24004</v>
      </c>
      <c r="G22" s="131">
        <v>2937</v>
      </c>
      <c r="H22" s="131">
        <v>353</v>
      </c>
      <c r="I22" s="286"/>
    </row>
    <row r="23" spans="1:9">
      <c r="A23" s="68">
        <v>11</v>
      </c>
      <c r="C23" s="68">
        <v>2022</v>
      </c>
      <c r="D23" s="68" t="s">
        <v>115</v>
      </c>
      <c r="E23" s="186"/>
      <c r="F23" s="131">
        <v>24015</v>
      </c>
      <c r="G23" s="131">
        <v>2943</v>
      </c>
      <c r="H23" s="131">
        <v>354</v>
      </c>
      <c r="I23" s="286"/>
    </row>
    <row r="24" spans="1:9">
      <c r="A24" s="68">
        <v>12</v>
      </c>
      <c r="C24" s="68">
        <v>2022</v>
      </c>
      <c r="D24" s="68" t="s">
        <v>116</v>
      </c>
      <c r="E24" s="186"/>
      <c r="F24" s="131">
        <v>24098</v>
      </c>
      <c r="G24" s="131">
        <v>2928</v>
      </c>
      <c r="H24" s="131">
        <v>354</v>
      </c>
      <c r="I24" s="286"/>
    </row>
    <row r="25" spans="1:9">
      <c r="A25" s="68">
        <v>13</v>
      </c>
      <c r="C25" s="287" t="s">
        <v>431</v>
      </c>
      <c r="D25" s="90"/>
      <c r="E25" s="160"/>
      <c r="F25" s="288">
        <f>ROUND(AVERAGE(F13:F24),0)</f>
        <v>23921</v>
      </c>
      <c r="G25" s="288">
        <f>ROUND(AVERAGE(G13:G24),0)</f>
        <v>2924</v>
      </c>
      <c r="H25" s="288">
        <f>ROUND(AVERAGE(H13:H24),0)</f>
        <v>352</v>
      </c>
      <c r="I25" s="286"/>
    </row>
    <row r="26" spans="1:9">
      <c r="A26" s="68">
        <v>14</v>
      </c>
    </row>
    <row r="27" spans="1:9">
      <c r="A27" s="68">
        <v>15</v>
      </c>
      <c r="C27" s="289" t="s">
        <v>432</v>
      </c>
      <c r="E27" s="160"/>
      <c r="F27" s="128">
        <f>F24-F25</f>
        <v>177</v>
      </c>
      <c r="G27" s="128">
        <f t="shared" ref="G27:H27" si="0">G24-G25</f>
        <v>4</v>
      </c>
      <c r="H27" s="128">
        <f t="shared" si="0"/>
        <v>2</v>
      </c>
      <c r="I27" s="286"/>
    </row>
    <row r="28" spans="1:9">
      <c r="A28" s="68">
        <v>16</v>
      </c>
      <c r="D28" s="68"/>
      <c r="E28" s="160"/>
      <c r="F28" s="160"/>
      <c r="G28" s="160"/>
    </row>
    <row r="29" spans="1:9">
      <c r="A29" s="68">
        <v>17</v>
      </c>
      <c r="C29" s="66" t="s">
        <v>433</v>
      </c>
      <c r="D29" s="68"/>
      <c r="E29" s="160"/>
      <c r="F29" s="128">
        <v>319448483</v>
      </c>
      <c r="G29" s="128">
        <v>41685653</v>
      </c>
      <c r="H29" s="128">
        <v>85495726</v>
      </c>
      <c r="I29" s="286"/>
    </row>
    <row r="30" spans="1:9">
      <c r="A30" s="68">
        <v>18</v>
      </c>
      <c r="C30" s="66" t="s">
        <v>434</v>
      </c>
      <c r="D30" s="68"/>
      <c r="E30" s="160"/>
      <c r="F30" s="128">
        <f>F29/F25</f>
        <v>13354.311400025083</v>
      </c>
      <c r="G30" s="128">
        <f t="shared" ref="G30:H30" si="1">G29/G25</f>
        <v>14256.379274965801</v>
      </c>
      <c r="H30" s="128">
        <f t="shared" si="1"/>
        <v>242885.58522727274</v>
      </c>
      <c r="I30" s="286"/>
    </row>
    <row r="31" spans="1:9">
      <c r="A31" s="68">
        <v>19</v>
      </c>
      <c r="C31" s="66" t="s">
        <v>435</v>
      </c>
      <c r="D31" s="68"/>
      <c r="E31" s="160"/>
      <c r="F31" s="128">
        <f>F30*F27</f>
        <v>2363713.1178044397</v>
      </c>
      <c r="G31" s="128">
        <f t="shared" ref="G31:H31" si="2">G30*G27</f>
        <v>57025.517099863202</v>
      </c>
      <c r="H31" s="128">
        <f t="shared" si="2"/>
        <v>485771.17045454547</v>
      </c>
      <c r="I31" s="180">
        <f>SUM(F31:H31)</f>
        <v>2906509.8053588485</v>
      </c>
    </row>
    <row r="32" spans="1:9">
      <c r="A32" s="68">
        <v>20</v>
      </c>
      <c r="D32" s="68"/>
      <c r="E32" s="160"/>
      <c r="F32" s="160"/>
      <c r="G32" s="160"/>
    </row>
    <row r="33" spans="1:9" ht="13">
      <c r="A33" s="68">
        <v>21</v>
      </c>
      <c r="C33" s="92" t="s">
        <v>437</v>
      </c>
      <c r="D33" s="68"/>
      <c r="E33" s="160"/>
      <c r="F33" s="160"/>
      <c r="G33" s="160"/>
    </row>
    <row r="34" spans="1:9">
      <c r="A34" s="68">
        <v>22</v>
      </c>
      <c r="C34" s="66" t="s">
        <v>438</v>
      </c>
      <c r="D34" s="68"/>
      <c r="E34" s="160"/>
      <c r="F34" s="185">
        <v>27997953.16581</v>
      </c>
      <c r="G34" s="185">
        <v>3644935.9879200002</v>
      </c>
      <c r="H34" s="137">
        <v>7006386.6338400003</v>
      </c>
      <c r="I34" s="286"/>
    </row>
    <row r="35" spans="1:9">
      <c r="A35" s="68">
        <v>23</v>
      </c>
      <c r="C35" s="66" t="s">
        <v>439</v>
      </c>
      <c r="D35" s="68"/>
      <c r="E35" s="160"/>
      <c r="F35" s="290">
        <f>F34/F29</f>
        <v>8.7644658390223132E-2</v>
      </c>
      <c r="G35" s="290">
        <f>G34/G29</f>
        <v>8.7438620379054643E-2</v>
      </c>
      <c r="H35" s="290">
        <f>H34/H29</f>
        <v>8.1950139049523946E-2</v>
      </c>
      <c r="I35" s="286"/>
    </row>
    <row r="36" spans="1:9">
      <c r="A36" s="68">
        <v>24</v>
      </c>
      <c r="C36" s="66" t="s">
        <v>440</v>
      </c>
      <c r="D36" s="68"/>
      <c r="E36" s="160"/>
      <c r="F36" s="160">
        <f>F35*F31</f>
        <v>207166.82874245936</v>
      </c>
      <c r="G36" s="160">
        <f>G35*G31</f>
        <v>4986.2325416142276</v>
      </c>
      <c r="H36" s="160">
        <f>H35*H31</f>
        <v>39809.014965000002</v>
      </c>
      <c r="I36" s="180">
        <f>SUM(F36:H36)</f>
        <v>251962.07624907361</v>
      </c>
    </row>
    <row r="37" spans="1:9">
      <c r="A37" s="68">
        <v>25</v>
      </c>
      <c r="D37" s="68"/>
      <c r="E37" s="160"/>
      <c r="F37" s="160"/>
      <c r="G37" s="160"/>
      <c r="H37" s="160"/>
    </row>
    <row r="38" spans="1:9" ht="13">
      <c r="A38" s="68">
        <v>26</v>
      </c>
      <c r="C38" s="92" t="s">
        <v>441</v>
      </c>
      <c r="D38" s="68"/>
      <c r="E38" s="160"/>
      <c r="F38" s="160"/>
      <c r="G38" s="160"/>
      <c r="H38" s="160"/>
    </row>
    <row r="39" spans="1:9">
      <c r="A39" s="68">
        <v>27</v>
      </c>
      <c r="C39" s="66" t="s">
        <v>442</v>
      </c>
      <c r="D39" s="68"/>
      <c r="E39" s="160"/>
      <c r="F39" s="291">
        <f>G55/G56</f>
        <v>6.9671299162422484E-2</v>
      </c>
      <c r="G39" s="291">
        <f>F39</f>
        <v>6.9671299162422484E-2</v>
      </c>
      <c r="H39" s="291">
        <f t="shared" ref="H39" si="3">G39</f>
        <v>6.9671299162422484E-2</v>
      </c>
      <c r="I39" s="286"/>
    </row>
    <row r="40" spans="1:9">
      <c r="A40" s="68">
        <v>28</v>
      </c>
      <c r="C40" s="66" t="s">
        <v>443</v>
      </c>
      <c r="D40" s="68"/>
      <c r="E40" s="160"/>
      <c r="F40" s="160">
        <f>F39*F31</f>
        <v>164682.96376469551</v>
      </c>
      <c r="G40" s="160">
        <f>G39*G31</f>
        <v>3973.0418617564083</v>
      </c>
      <c r="H40" s="160">
        <f>H39*H31</f>
        <v>33844.308541218765</v>
      </c>
      <c r="I40" s="180">
        <f>SUM(F40:H40)</f>
        <v>202500.31416767067</v>
      </c>
    </row>
    <row r="41" spans="1:9" ht="13" thickBot="1">
      <c r="A41" s="68">
        <v>29</v>
      </c>
      <c r="C41" s="292"/>
      <c r="D41" s="293"/>
      <c r="E41" s="294"/>
      <c r="F41" s="294"/>
      <c r="G41" s="294"/>
      <c r="H41" s="294"/>
      <c r="I41" s="292"/>
    </row>
    <row r="42" spans="1:9" ht="13" thickTop="1">
      <c r="A42" s="68">
        <v>30</v>
      </c>
      <c r="D42" s="68"/>
      <c r="E42" s="160"/>
    </row>
    <row r="43" spans="1:9" ht="13">
      <c r="A43" s="68">
        <v>31</v>
      </c>
      <c r="E43" s="160"/>
      <c r="F43" s="295" t="s">
        <v>444</v>
      </c>
      <c r="G43" s="295" t="s">
        <v>198</v>
      </c>
    </row>
    <row r="44" spans="1:9">
      <c r="A44" s="68">
        <v>32</v>
      </c>
      <c r="C44" s="66" t="s">
        <v>200</v>
      </c>
      <c r="E44" s="160"/>
      <c r="F44" s="185">
        <v>0</v>
      </c>
      <c r="G44" s="185">
        <v>0</v>
      </c>
    </row>
    <row r="45" spans="1:9">
      <c r="A45" s="68">
        <v>33</v>
      </c>
      <c r="E45" s="160"/>
      <c r="F45" s="160"/>
    </row>
    <row r="46" spans="1:9">
      <c r="A46" s="68">
        <v>34</v>
      </c>
      <c r="C46" s="66" t="s">
        <v>201</v>
      </c>
      <c r="E46" s="186"/>
      <c r="F46" s="186">
        <f>I36</f>
        <v>251962.07624907361</v>
      </c>
      <c r="G46" s="186">
        <f>I40</f>
        <v>202500.31416767067</v>
      </c>
    </row>
    <row r="47" spans="1:9">
      <c r="A47" s="68">
        <v>35</v>
      </c>
    </row>
    <row r="48" spans="1:9" ht="13" thickBot="1">
      <c r="A48" s="68">
        <v>36</v>
      </c>
      <c r="C48" s="82" t="s">
        <v>10</v>
      </c>
      <c r="D48" s="82"/>
      <c r="E48" s="296"/>
      <c r="F48" s="188">
        <f>ROUND(F46-F44,2)</f>
        <v>251962.08</v>
      </c>
      <c r="G48" s="188">
        <f>ROUND(G46-G44,2)</f>
        <v>202500.31</v>
      </c>
    </row>
    <row r="49" spans="1:9" ht="13" thickTop="1">
      <c r="A49" s="68">
        <v>37</v>
      </c>
      <c r="C49" s="66" t="s">
        <v>436</v>
      </c>
    </row>
    <row r="50" spans="1:9">
      <c r="A50" s="68">
        <v>38</v>
      </c>
    </row>
    <row r="51" spans="1:9" ht="13">
      <c r="A51" s="68">
        <v>39</v>
      </c>
      <c r="C51" s="297" t="s">
        <v>445</v>
      </c>
      <c r="G51" s="89" t="s">
        <v>446</v>
      </c>
    </row>
    <row r="52" spans="1:9">
      <c r="A52" s="68">
        <v>40</v>
      </c>
      <c r="C52" s="66" t="s">
        <v>447</v>
      </c>
      <c r="D52" s="68"/>
      <c r="E52" s="160"/>
      <c r="G52" s="160">
        <v>38800021</v>
      </c>
    </row>
    <row r="53" spans="1:9">
      <c r="A53" s="68">
        <v>41</v>
      </c>
      <c r="C53" s="66" t="s">
        <v>448</v>
      </c>
      <c r="D53" s="68"/>
      <c r="E53" s="160"/>
      <c r="G53" s="160">
        <f>-'1.01 FAC'!F26</f>
        <v>1856811.3599999999</v>
      </c>
    </row>
    <row r="54" spans="1:9">
      <c r="A54" s="68">
        <v>42</v>
      </c>
      <c r="C54" s="66" t="s">
        <v>449</v>
      </c>
      <c r="D54" s="68"/>
      <c r="E54" s="160"/>
      <c r="G54" s="160">
        <f>-'1.02 ES'!F26</f>
        <v>-5909709.5700000003</v>
      </c>
    </row>
    <row r="55" spans="1:9">
      <c r="A55" s="68">
        <v>44</v>
      </c>
      <c r="C55" s="66" t="s">
        <v>450</v>
      </c>
      <c r="D55" s="68"/>
      <c r="E55" s="160"/>
      <c r="G55" s="160">
        <f>SUM(G52:G54)</f>
        <v>34747122.789999999</v>
      </c>
    </row>
    <row r="56" spans="1:9">
      <c r="A56" s="68">
        <v>45</v>
      </c>
      <c r="C56" s="66" t="s">
        <v>451</v>
      </c>
      <c r="D56" s="68"/>
      <c r="E56" s="160"/>
      <c r="G56" s="128">
        <v>498729365</v>
      </c>
    </row>
    <row r="58" spans="1:9" ht="27.65" customHeight="1">
      <c r="C58" s="348" t="s">
        <v>452</v>
      </c>
      <c r="D58" s="348"/>
      <c r="E58" s="348"/>
      <c r="F58" s="348"/>
      <c r="G58" s="348"/>
      <c r="H58" s="348"/>
      <c r="I58" s="348"/>
    </row>
  </sheetData>
  <mergeCells count="4">
    <mergeCell ref="A5:I5"/>
    <mergeCell ref="A6:I6"/>
    <mergeCell ref="A8:I8"/>
    <mergeCell ref="C58:I58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portrait" r:id="rId1"/>
  <rowBreaks count="1" manualBreakCount="1">
    <brk id="48" max="16383" man="1"/>
  </rowBreaks>
  <ignoredErrors>
    <ignoredError sqref="C11:I1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1"/>
  <sheetViews>
    <sheetView view="pageBreakPreview" zoomScale="60" zoomScaleNormal="100" workbookViewId="0">
      <selection activeCell="D1" sqref="D1"/>
    </sheetView>
  </sheetViews>
  <sheetFormatPr defaultColWidth="8.81640625" defaultRowHeight="12.5"/>
  <cols>
    <col min="1" max="1" width="5.453125" style="66" customWidth="1"/>
    <col min="2" max="2" width="23.453125" style="66" customWidth="1"/>
    <col min="3" max="3" width="7.7265625" style="66" customWidth="1"/>
    <col min="4" max="4" width="19.7265625" style="66" customWidth="1"/>
    <col min="5" max="10" width="18.1796875" style="66" customWidth="1"/>
    <col min="11" max="11" width="10.54296875" style="66" bestFit="1" customWidth="1"/>
    <col min="12" max="16384" width="8.81640625" style="66"/>
  </cols>
  <sheetData>
    <row r="1" spans="1:11" ht="13">
      <c r="D1" s="163" t="str">
        <f>+'Adj List'!G1</f>
        <v>Exhibit JD-1</v>
      </c>
    </row>
    <row r="2" spans="1:11" ht="13">
      <c r="D2" s="26" t="s">
        <v>284</v>
      </c>
    </row>
    <row r="3" spans="1:11" ht="13">
      <c r="J3" s="26"/>
    </row>
    <row r="4" spans="1:11" ht="13">
      <c r="J4" s="26"/>
    </row>
    <row r="5" spans="1:11" ht="13">
      <c r="A5" s="347" t="str">
        <f>RevReq!A1</f>
        <v>TAYLOR COUNTY RECC</v>
      </c>
      <c r="B5" s="347"/>
      <c r="C5" s="347"/>
      <c r="D5" s="347"/>
      <c r="E5" s="41"/>
      <c r="F5" s="41"/>
      <c r="G5" s="41"/>
      <c r="H5" s="41"/>
      <c r="I5" s="41"/>
      <c r="J5" s="41"/>
    </row>
    <row r="6" spans="1:11" ht="13">
      <c r="A6" s="347" t="str">
        <f>RevReq!A3</f>
        <v>For the 12 Months Ended December 31, 2021</v>
      </c>
      <c r="B6" s="347"/>
      <c r="C6" s="347"/>
      <c r="D6" s="347"/>
      <c r="E6" s="41"/>
      <c r="F6" s="41"/>
      <c r="G6" s="41"/>
      <c r="H6" s="41"/>
      <c r="I6" s="41"/>
      <c r="J6" s="41"/>
      <c r="K6" s="41"/>
    </row>
    <row r="7" spans="1:11" ht="1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3">
      <c r="A8" s="345" t="s">
        <v>287</v>
      </c>
      <c r="B8" s="345"/>
      <c r="C8" s="345"/>
      <c r="D8" s="345"/>
      <c r="E8" s="48"/>
      <c r="F8" s="48"/>
      <c r="G8" s="48"/>
      <c r="H8" s="48"/>
      <c r="I8" s="48"/>
      <c r="J8" s="48"/>
    </row>
    <row r="10" spans="1:11" ht="13">
      <c r="A10" s="77"/>
      <c r="B10" s="68"/>
      <c r="C10" s="68"/>
      <c r="D10" s="250" t="s">
        <v>170</v>
      </c>
      <c r="E10" s="120"/>
      <c r="F10" s="120"/>
      <c r="G10" s="120"/>
      <c r="H10" s="120"/>
      <c r="I10" s="120"/>
      <c r="J10" s="120"/>
    </row>
    <row r="11" spans="1:11" ht="13">
      <c r="A11" s="170" t="s">
        <v>12</v>
      </c>
      <c r="B11" s="132" t="s">
        <v>125</v>
      </c>
      <c r="C11" s="132" t="s">
        <v>169</v>
      </c>
      <c r="D11" s="173" t="s">
        <v>245</v>
      </c>
      <c r="E11" s="121"/>
      <c r="F11" s="121"/>
      <c r="G11" s="121"/>
      <c r="H11" s="121"/>
      <c r="I11" s="121"/>
      <c r="J11" s="121"/>
    </row>
    <row r="12" spans="1:11">
      <c r="A12" s="77">
        <v>1</v>
      </c>
      <c r="B12" s="66" t="s">
        <v>285</v>
      </c>
      <c r="C12" s="68">
        <v>593</v>
      </c>
      <c r="D12" s="171">
        <v>-60699.95</v>
      </c>
      <c r="E12" s="116"/>
      <c r="F12" s="116"/>
      <c r="G12" s="116"/>
      <c r="H12" s="116"/>
      <c r="I12" s="116"/>
      <c r="J12" s="116"/>
      <c r="K12" s="116"/>
    </row>
    <row r="13" spans="1:11">
      <c r="A13" s="77">
        <f>+A12+1</f>
        <v>2</v>
      </c>
      <c r="B13" s="66" t="s">
        <v>286</v>
      </c>
      <c r="C13" s="68">
        <v>930</v>
      </c>
      <c r="D13" s="171">
        <v>-5496.42</v>
      </c>
      <c r="E13" s="116"/>
      <c r="F13" s="116"/>
      <c r="G13" s="116"/>
      <c r="H13" s="116"/>
      <c r="I13" s="116"/>
      <c r="J13" s="116"/>
      <c r="K13" s="116"/>
    </row>
    <row r="14" spans="1:11">
      <c r="A14" s="77">
        <f t="shared" ref="A14:A18" si="0">+A13+1</f>
        <v>3</v>
      </c>
      <c r="D14" s="171"/>
      <c r="E14" s="116"/>
      <c r="F14" s="116"/>
      <c r="G14" s="116"/>
      <c r="H14" s="116"/>
      <c r="I14" s="116"/>
      <c r="J14" s="116"/>
    </row>
    <row r="15" spans="1:11">
      <c r="A15" s="77">
        <f t="shared" si="0"/>
        <v>4</v>
      </c>
      <c r="B15" s="66" t="s">
        <v>66</v>
      </c>
      <c r="D15" s="247">
        <f>SUM(D12:D14)</f>
        <v>-66196.37</v>
      </c>
      <c r="E15" s="116"/>
      <c r="F15" s="116"/>
      <c r="G15" s="116"/>
      <c r="H15" s="116"/>
      <c r="I15" s="116"/>
      <c r="J15" s="116"/>
    </row>
    <row r="16" spans="1:11">
      <c r="A16" s="77">
        <f t="shared" si="0"/>
        <v>5</v>
      </c>
      <c r="D16" s="248"/>
      <c r="E16" s="116"/>
      <c r="F16" s="116"/>
      <c r="G16" s="116"/>
      <c r="H16" s="116"/>
      <c r="I16" s="116"/>
      <c r="J16" s="116"/>
    </row>
    <row r="17" spans="1:11">
      <c r="A17" s="77">
        <f t="shared" si="0"/>
        <v>6</v>
      </c>
      <c r="D17" s="171"/>
      <c r="E17" s="116"/>
      <c r="F17" s="116"/>
      <c r="G17" s="116"/>
      <c r="H17" s="116"/>
      <c r="I17" s="116"/>
      <c r="J17" s="116"/>
    </row>
    <row r="18" spans="1:11">
      <c r="A18" s="77">
        <f t="shared" si="0"/>
        <v>7</v>
      </c>
      <c r="B18" s="66" t="s">
        <v>283</v>
      </c>
      <c r="D18" s="249">
        <f>+D15</f>
        <v>-66196.37</v>
      </c>
      <c r="E18" s="124"/>
      <c r="F18" s="124"/>
      <c r="G18" s="124"/>
      <c r="H18" s="116"/>
      <c r="I18" s="116"/>
      <c r="J18" s="116"/>
      <c r="K18" s="116"/>
    </row>
    <row r="19" spans="1:11">
      <c r="B19" s="124"/>
      <c r="C19" s="124"/>
      <c r="D19" s="124"/>
      <c r="E19" s="124"/>
      <c r="F19" s="124"/>
      <c r="G19" s="124"/>
      <c r="H19" s="116"/>
      <c r="I19" s="116"/>
      <c r="J19" s="116"/>
    </row>
    <row r="20" spans="1:11">
      <c r="B20" s="124"/>
      <c r="C20" s="124"/>
      <c r="D20" s="124"/>
      <c r="E20" s="124"/>
      <c r="F20" s="124"/>
      <c r="G20" s="124"/>
      <c r="H20" s="116"/>
      <c r="I20" s="116"/>
      <c r="J20" s="116"/>
    </row>
    <row r="21" spans="1:11">
      <c r="A21" s="66" t="s">
        <v>303</v>
      </c>
      <c r="B21" s="126"/>
      <c r="C21" s="126"/>
      <c r="D21" s="126"/>
      <c r="E21" s="126"/>
      <c r="F21" s="126"/>
      <c r="G21" s="126"/>
      <c r="H21" s="126"/>
      <c r="I21" s="126"/>
      <c r="J21" s="126"/>
    </row>
    <row r="22" spans="1:11">
      <c r="A22" s="66" t="s">
        <v>288</v>
      </c>
      <c r="B22" s="128"/>
      <c r="C22" s="128"/>
      <c r="D22" s="128"/>
      <c r="E22" s="128"/>
      <c r="F22" s="128"/>
    </row>
    <row r="23" spans="1:11">
      <c r="B23" s="128"/>
      <c r="C23" s="128"/>
      <c r="D23" s="128"/>
      <c r="E23" s="128"/>
      <c r="F23" s="128"/>
    </row>
    <row r="24" spans="1:11" ht="13">
      <c r="A24" s="92"/>
      <c r="B24" s="131"/>
      <c r="C24" s="131"/>
      <c r="D24" s="131"/>
      <c r="E24" s="131"/>
      <c r="F24" s="131"/>
    </row>
    <row r="25" spans="1:11">
      <c r="B25" s="131"/>
      <c r="C25" s="131"/>
      <c r="D25" s="131"/>
      <c r="E25" s="131"/>
      <c r="F25" s="131"/>
    </row>
    <row r="26" spans="1:11">
      <c r="B26" s="131"/>
      <c r="C26" s="131"/>
      <c r="D26" s="131"/>
      <c r="E26" s="131"/>
      <c r="F26" s="131"/>
    </row>
    <row r="27" spans="1:11">
      <c r="B27" s="131"/>
      <c r="C27" s="131"/>
      <c r="D27" s="131"/>
      <c r="E27" s="131"/>
      <c r="F27" s="80"/>
    </row>
    <row r="28" spans="1:11">
      <c r="B28" s="131"/>
      <c r="C28" s="131"/>
      <c r="D28" s="131"/>
      <c r="E28" s="131"/>
      <c r="F28" s="131"/>
    </row>
    <row r="29" spans="1:11">
      <c r="B29" s="131"/>
      <c r="C29" s="131"/>
      <c r="D29" s="131"/>
      <c r="E29" s="131"/>
      <c r="F29" s="131"/>
    </row>
    <row r="30" spans="1:11">
      <c r="B30" s="131"/>
      <c r="C30" s="131"/>
      <c r="D30" s="131"/>
      <c r="E30" s="131"/>
      <c r="F30" s="131"/>
    </row>
    <row r="31" spans="1:11">
      <c r="B31" s="131"/>
      <c r="C31" s="131"/>
      <c r="D31" s="131"/>
      <c r="E31" s="131"/>
      <c r="F31" s="131"/>
    </row>
  </sheetData>
  <mergeCells count="3">
    <mergeCell ref="A5:D5"/>
    <mergeCell ref="A6:D6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D15:D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9"/>
  <sheetViews>
    <sheetView view="pageBreakPreview" zoomScale="60" zoomScaleNormal="100" workbookViewId="0">
      <selection activeCell="E1" sqref="E1"/>
    </sheetView>
  </sheetViews>
  <sheetFormatPr defaultColWidth="8.81640625" defaultRowHeight="12.5"/>
  <cols>
    <col min="1" max="1" width="7.81640625" style="66" customWidth="1"/>
    <col min="2" max="2" width="28.81640625" style="66" customWidth="1"/>
    <col min="3" max="3" width="14.7265625" style="66" customWidth="1"/>
    <col min="4" max="4" width="16.54296875" style="68" customWidth="1"/>
    <col min="5" max="5" width="16.54296875" style="98" customWidth="1"/>
    <col min="6" max="16384" width="8.81640625" style="66"/>
  </cols>
  <sheetData>
    <row r="1" spans="1:16" ht="13">
      <c r="E1" s="335" t="str">
        <f>+'Adj BS'!F1</f>
        <v>Exhibit JD-1</v>
      </c>
    </row>
    <row r="2" spans="1:16" ht="15" customHeight="1">
      <c r="A2" s="68"/>
      <c r="E2" s="26" t="s">
        <v>140</v>
      </c>
      <c r="F2" s="98" t="s">
        <v>68</v>
      </c>
      <c r="H2" s="26"/>
      <c r="M2" s="68"/>
      <c r="O2" s="26"/>
    </row>
    <row r="3" spans="1:16" ht="20.25" customHeight="1">
      <c r="G3" s="26"/>
      <c r="H3" s="26"/>
    </row>
    <row r="4" spans="1:16" ht="13">
      <c r="G4" s="26"/>
      <c r="H4" s="26"/>
    </row>
    <row r="5" spans="1:16" ht="13">
      <c r="A5" s="347" t="str">
        <f>RevReq!A1</f>
        <v>TAYLOR COUNTY RECC</v>
      </c>
      <c r="B5" s="347"/>
      <c r="C5" s="347"/>
      <c r="D5" s="347"/>
      <c r="E5" s="347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13">
      <c r="A6" s="347" t="str">
        <f>RevReq!A3</f>
        <v>For the 12 Months Ended December 31, 2021</v>
      </c>
      <c r="B6" s="347"/>
      <c r="C6" s="347"/>
      <c r="D6" s="347"/>
      <c r="E6" s="347"/>
      <c r="F6" s="41"/>
      <c r="G6" s="41"/>
      <c r="H6" s="41"/>
      <c r="I6" s="41"/>
      <c r="J6" s="41"/>
      <c r="K6" s="41"/>
      <c r="L6" s="41"/>
      <c r="M6" s="41"/>
      <c r="N6" s="41"/>
      <c r="O6" s="41"/>
    </row>
    <row r="8" spans="1:16" s="42" customFormat="1" ht="15" customHeight="1">
      <c r="A8" s="345" t="s">
        <v>141</v>
      </c>
      <c r="B8" s="345"/>
      <c r="C8" s="345"/>
      <c r="D8" s="345"/>
      <c r="E8" s="345"/>
      <c r="F8" s="48"/>
      <c r="G8" s="48"/>
      <c r="H8" s="48"/>
      <c r="I8" s="48"/>
      <c r="J8" s="48"/>
      <c r="K8" s="48"/>
      <c r="L8" s="48"/>
      <c r="M8" s="48"/>
      <c r="N8" s="48"/>
      <c r="O8" s="48"/>
    </row>
    <row r="11" spans="1:16" ht="13">
      <c r="B11" s="122"/>
      <c r="C11" s="122"/>
      <c r="D11" s="122"/>
      <c r="E11" s="250" t="s">
        <v>170</v>
      </c>
      <c r="F11" s="120"/>
      <c r="G11" s="120"/>
      <c r="H11" s="120"/>
      <c r="I11" s="120"/>
      <c r="J11" s="120"/>
      <c r="K11" s="120"/>
      <c r="L11" s="120"/>
      <c r="M11" s="120"/>
    </row>
    <row r="12" spans="1:16" s="93" customFormat="1" ht="13">
      <c r="A12" s="68" t="s">
        <v>7</v>
      </c>
      <c r="B12" s="68" t="s">
        <v>125</v>
      </c>
      <c r="C12" s="68" t="s">
        <v>169</v>
      </c>
      <c r="D12" s="68" t="s">
        <v>172</v>
      </c>
      <c r="E12" s="251" t="s">
        <v>154</v>
      </c>
      <c r="F12" s="120"/>
      <c r="G12" s="120"/>
      <c r="H12" s="120"/>
      <c r="I12" s="120"/>
      <c r="J12" s="120"/>
      <c r="K12" s="120"/>
      <c r="L12" s="120"/>
      <c r="M12" s="120"/>
    </row>
    <row r="13" spans="1:16" s="93" customFormat="1" ht="13">
      <c r="A13" s="132" t="s">
        <v>12</v>
      </c>
      <c r="B13" s="97" t="s">
        <v>88</v>
      </c>
      <c r="C13" s="97" t="s">
        <v>89</v>
      </c>
      <c r="D13" s="97" t="s">
        <v>90</v>
      </c>
      <c r="E13" s="100" t="s">
        <v>13</v>
      </c>
      <c r="F13" s="120"/>
      <c r="G13" s="120"/>
      <c r="H13" s="120"/>
      <c r="I13" s="120"/>
      <c r="J13" s="120"/>
      <c r="K13" s="120"/>
      <c r="L13" s="120"/>
      <c r="M13" s="120"/>
    </row>
    <row r="15" spans="1:16">
      <c r="A15" s="68">
        <v>1</v>
      </c>
      <c r="B15" s="66" t="s">
        <v>182</v>
      </c>
      <c r="C15" s="66">
        <v>909</v>
      </c>
      <c r="D15" s="68" t="s">
        <v>183</v>
      </c>
      <c r="E15" s="252">
        <v>0</v>
      </c>
    </row>
    <row r="16" spans="1:16">
      <c r="A16" s="68">
        <f>A15+1</f>
        <v>2</v>
      </c>
      <c r="B16" s="66" t="s">
        <v>192</v>
      </c>
      <c r="C16" s="66">
        <v>930.4</v>
      </c>
      <c r="D16" s="68" t="s">
        <v>189</v>
      </c>
      <c r="E16" s="252">
        <v>-733.86</v>
      </c>
    </row>
    <row r="17" spans="1:11">
      <c r="A17" s="68">
        <f t="shared" ref="A17:A26" si="0">A16+1</f>
        <v>3</v>
      </c>
      <c r="B17" s="66" t="s">
        <v>187</v>
      </c>
      <c r="C17" s="66">
        <v>930.4</v>
      </c>
      <c r="D17" s="68" t="s">
        <v>188</v>
      </c>
      <c r="E17" s="252">
        <v>-1078.82</v>
      </c>
    </row>
    <row r="18" spans="1:11">
      <c r="A18" s="68">
        <f t="shared" si="0"/>
        <v>4</v>
      </c>
      <c r="B18" s="66" t="s">
        <v>190</v>
      </c>
      <c r="C18" s="66">
        <v>930.4</v>
      </c>
      <c r="D18" s="68" t="s">
        <v>186</v>
      </c>
      <c r="E18" s="252">
        <v>-2.75</v>
      </c>
    </row>
    <row r="19" spans="1:11">
      <c r="A19" s="68">
        <f t="shared" si="0"/>
        <v>5</v>
      </c>
      <c r="B19" s="66" t="s">
        <v>179</v>
      </c>
      <c r="C19" s="66">
        <v>930.4</v>
      </c>
      <c r="D19" s="68" t="s">
        <v>180</v>
      </c>
      <c r="E19" s="252">
        <v>-341.02</v>
      </c>
    </row>
    <row r="20" spans="1:11">
      <c r="A20" s="68">
        <f t="shared" si="0"/>
        <v>6</v>
      </c>
      <c r="B20" s="66" t="s">
        <v>185</v>
      </c>
      <c r="C20" s="66">
        <v>930.4</v>
      </c>
      <c r="D20" s="68" t="s">
        <v>184</v>
      </c>
      <c r="E20" s="252">
        <f>-(50+50+50+50+50+100+47.7+53+53)</f>
        <v>-503.7</v>
      </c>
    </row>
    <row r="21" spans="1:11">
      <c r="A21" s="68">
        <f t="shared" si="0"/>
        <v>7</v>
      </c>
      <c r="B21" s="66" t="s">
        <v>174</v>
      </c>
      <c r="C21" s="66">
        <v>930.2</v>
      </c>
      <c r="D21" s="68" t="s">
        <v>175</v>
      </c>
      <c r="E21" s="252">
        <v>-56302.559999999998</v>
      </c>
    </row>
    <row r="22" spans="1:11">
      <c r="A22" s="68">
        <f t="shared" si="0"/>
        <v>8</v>
      </c>
      <c r="B22" s="66" t="s">
        <v>178</v>
      </c>
      <c r="C22" s="66">
        <v>930.4</v>
      </c>
      <c r="D22" s="68" t="s">
        <v>177</v>
      </c>
      <c r="E22" s="252">
        <v>-119154.12</v>
      </c>
    </row>
    <row r="23" spans="1:11">
      <c r="A23" s="68">
        <f t="shared" si="0"/>
        <v>9</v>
      </c>
      <c r="B23" s="66" t="s">
        <v>171</v>
      </c>
      <c r="C23" s="66">
        <v>930.2</v>
      </c>
      <c r="D23" s="68" t="s">
        <v>173</v>
      </c>
      <c r="E23" s="252">
        <v>-29434</v>
      </c>
    </row>
    <row r="24" spans="1:11">
      <c r="A24" s="68">
        <f t="shared" si="0"/>
        <v>10</v>
      </c>
      <c r="B24" s="66" t="s">
        <v>176</v>
      </c>
      <c r="C24" s="66">
        <v>908</v>
      </c>
      <c r="D24" s="68" t="s">
        <v>181</v>
      </c>
      <c r="E24" s="253">
        <v>0</v>
      </c>
    </row>
    <row r="25" spans="1:11">
      <c r="A25" s="68">
        <f t="shared" si="0"/>
        <v>11</v>
      </c>
      <c r="E25" s="252"/>
    </row>
    <row r="26" spans="1:11">
      <c r="A26" s="68">
        <f t="shared" si="0"/>
        <v>12</v>
      </c>
      <c r="B26" s="66" t="s">
        <v>66</v>
      </c>
      <c r="E26" s="252">
        <f>SUM(E15:E25)</f>
        <v>-207550.83</v>
      </c>
    </row>
    <row r="29" spans="1:11" ht="46.15" customHeight="1">
      <c r="B29" s="348" t="s">
        <v>191</v>
      </c>
      <c r="C29" s="348"/>
      <c r="D29" s="348"/>
      <c r="E29" s="348"/>
      <c r="F29" s="131"/>
      <c r="G29" s="131"/>
      <c r="H29" s="131"/>
      <c r="I29" s="131"/>
      <c r="J29" s="131"/>
      <c r="K29" s="131"/>
    </row>
  </sheetData>
  <sortState xmlns:xlrd2="http://schemas.microsoft.com/office/spreadsheetml/2017/richdata2" ref="A15:S24">
    <sortCondition ref="B15:B24"/>
  </sortState>
  <mergeCells count="4">
    <mergeCell ref="A5:E5"/>
    <mergeCell ref="A6:E6"/>
    <mergeCell ref="A8:E8"/>
    <mergeCell ref="B29:E29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3:E1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8"/>
  <sheetViews>
    <sheetView view="pageBreakPreview" zoomScale="60" zoomScaleNormal="100" workbookViewId="0">
      <selection activeCell="K1" sqref="K1"/>
    </sheetView>
  </sheetViews>
  <sheetFormatPr defaultColWidth="9.1796875" defaultRowHeight="14"/>
  <cols>
    <col min="1" max="1" width="5.26953125" style="69" customWidth="1"/>
    <col min="2" max="2" width="30.7265625" style="69" bestFit="1" customWidth="1"/>
    <col min="3" max="3" width="13.7265625" style="69" customWidth="1"/>
    <col min="4" max="4" width="12" style="69" bestFit="1" customWidth="1"/>
    <col min="5" max="7" width="11.26953125" style="69" bestFit="1" customWidth="1"/>
    <col min="8" max="8" width="12" style="69" bestFit="1" customWidth="1"/>
    <col min="9" max="9" width="11.26953125" style="69" customWidth="1"/>
    <col min="10" max="10" width="12" style="69" bestFit="1" customWidth="1"/>
    <col min="11" max="11" width="13.7265625" style="69" customWidth="1"/>
    <col min="12" max="12" width="14" style="69" bestFit="1" customWidth="1"/>
    <col min="13" max="16384" width="9.1796875" style="69"/>
  </cols>
  <sheetData>
    <row r="1" spans="1:13">
      <c r="K1" s="336" t="str">
        <f>+'Adj List'!G1</f>
        <v>Exhibit JD-1</v>
      </c>
    </row>
    <row r="2" spans="1:13" s="66" customFormat="1" ht="13">
      <c r="K2" s="26" t="s">
        <v>124</v>
      </c>
    </row>
    <row r="3" spans="1:13" s="66" customFormat="1" ht="12.5"/>
    <row r="4" spans="1:13" s="66" customFormat="1" ht="12.5"/>
    <row r="5" spans="1:13" s="66" customFormat="1" ht="13">
      <c r="A5" s="347" t="str">
        <f>RevReq!A1</f>
        <v>TAYLOR COUNTY RECC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</row>
    <row r="6" spans="1:13" s="66" customFormat="1" ht="13">
      <c r="A6" s="347" t="str">
        <f>RevReq!A3</f>
        <v>For the 12 Months Ended December 31, 2021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</row>
    <row r="7" spans="1:13" s="66" customFormat="1" ht="1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3" s="66" customFormat="1" ht="13">
      <c r="A8" s="345" t="s">
        <v>138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</row>
    <row r="9" spans="1:13" s="66" customFormat="1" ht="12.5"/>
    <row r="10" spans="1:13">
      <c r="A10" s="76" t="s">
        <v>12</v>
      </c>
      <c r="B10" s="74" t="s">
        <v>125</v>
      </c>
      <c r="C10" s="74" t="s">
        <v>127</v>
      </c>
      <c r="D10" s="74" t="s">
        <v>128</v>
      </c>
      <c r="E10" s="74" t="s">
        <v>129</v>
      </c>
      <c r="F10" s="74" t="s">
        <v>132</v>
      </c>
      <c r="G10" s="74" t="s">
        <v>133</v>
      </c>
      <c r="H10" s="74" t="s">
        <v>134</v>
      </c>
      <c r="I10" s="74" t="s">
        <v>135</v>
      </c>
      <c r="J10" s="74" t="s">
        <v>136</v>
      </c>
      <c r="K10" s="74" t="s">
        <v>66</v>
      </c>
    </row>
    <row r="11" spans="1:13">
      <c r="A11" s="77">
        <v>1</v>
      </c>
      <c r="B11" s="68" t="s">
        <v>164</v>
      </c>
      <c r="C11" s="85">
        <v>6300</v>
      </c>
      <c r="D11" s="85">
        <v>6300</v>
      </c>
      <c r="E11" s="85">
        <v>4200</v>
      </c>
      <c r="F11" s="85">
        <v>4200</v>
      </c>
      <c r="G11" s="85">
        <v>2700</v>
      </c>
      <c r="H11" s="85">
        <v>3900</v>
      </c>
      <c r="I11" s="85">
        <v>1800</v>
      </c>
      <c r="J11" s="85">
        <v>4200</v>
      </c>
      <c r="K11" s="75">
        <f>SUM(C11:J11)</f>
        <v>33600</v>
      </c>
      <c r="L11" s="78"/>
      <c r="M11" s="78"/>
    </row>
    <row r="12" spans="1:13">
      <c r="A12" s="77">
        <f>1+A11</f>
        <v>2</v>
      </c>
      <c r="B12" s="68" t="s">
        <v>152</v>
      </c>
      <c r="C12" s="85">
        <f>619</f>
        <v>619</v>
      </c>
      <c r="D12" s="85">
        <v>1238</v>
      </c>
      <c r="E12" s="85">
        <v>619</v>
      </c>
      <c r="F12" s="85"/>
      <c r="G12" s="85"/>
      <c r="H12" s="85">
        <v>619</v>
      </c>
      <c r="I12" s="85">
        <v>619</v>
      </c>
      <c r="J12" s="85"/>
      <c r="K12" s="75">
        <f t="shared" ref="K12:K18" si="0">SUM(C12:J12)</f>
        <v>3714</v>
      </c>
      <c r="L12" s="78"/>
      <c r="M12" s="78"/>
    </row>
    <row r="13" spans="1:13">
      <c r="A13" s="77">
        <f t="shared" ref="A13:A46" si="1">1+A12</f>
        <v>3</v>
      </c>
      <c r="B13" s="68" t="s">
        <v>131</v>
      </c>
      <c r="C13" s="85"/>
      <c r="D13" s="85">
        <v>307.27999999999997</v>
      </c>
      <c r="E13" s="85"/>
      <c r="F13" s="85"/>
      <c r="G13" s="85"/>
      <c r="H13" s="85"/>
      <c r="I13" s="85"/>
      <c r="J13" s="85"/>
      <c r="K13" s="75">
        <f t="shared" ref="K13" si="2">SUM(C13:J13)</f>
        <v>307.27999999999997</v>
      </c>
      <c r="L13" s="78"/>
      <c r="M13" s="78"/>
    </row>
    <row r="14" spans="1:13">
      <c r="A14" s="77">
        <f t="shared" si="1"/>
        <v>4</v>
      </c>
      <c r="B14" s="68"/>
      <c r="C14" s="85"/>
      <c r="D14" s="85"/>
      <c r="E14" s="85"/>
      <c r="F14" s="85"/>
      <c r="G14" s="85"/>
      <c r="H14" s="85"/>
      <c r="I14" s="85"/>
      <c r="J14" s="85"/>
      <c r="K14" s="75">
        <f>SUM(C14:J14)</f>
        <v>0</v>
      </c>
      <c r="L14" s="78"/>
      <c r="M14" s="78"/>
    </row>
    <row r="15" spans="1:13">
      <c r="A15" s="77">
        <f t="shared" si="1"/>
        <v>5</v>
      </c>
      <c r="B15" s="68" t="s">
        <v>126</v>
      </c>
      <c r="C15" s="85">
        <f>600+19.04+193.84</f>
        <v>812.88</v>
      </c>
      <c r="D15" s="85">
        <f>600+109.2+230.8</f>
        <v>940</v>
      </c>
      <c r="E15" s="85"/>
      <c r="F15" s="85"/>
      <c r="G15" s="85"/>
      <c r="H15" s="85"/>
      <c r="I15" s="85"/>
      <c r="J15" s="85">
        <f>698.56+208.84</f>
        <v>907.4</v>
      </c>
      <c r="K15" s="75">
        <f t="shared" si="0"/>
        <v>2660.28</v>
      </c>
      <c r="L15" s="78"/>
      <c r="M15" s="78"/>
    </row>
    <row r="16" spans="1:13">
      <c r="A16" s="77">
        <f t="shared" si="1"/>
        <v>6</v>
      </c>
      <c r="B16" s="68"/>
      <c r="C16" s="85"/>
      <c r="D16" s="85"/>
      <c r="E16" s="85"/>
      <c r="F16" s="85"/>
      <c r="G16" s="85"/>
      <c r="H16" s="85"/>
      <c r="I16" s="85"/>
      <c r="J16" s="85"/>
      <c r="K16" s="75">
        <f t="shared" si="0"/>
        <v>0</v>
      </c>
      <c r="L16" s="78"/>
      <c r="M16" s="78"/>
    </row>
    <row r="17" spans="1:14">
      <c r="A17" s="77">
        <f t="shared" si="1"/>
        <v>7</v>
      </c>
      <c r="B17" s="68" t="s">
        <v>130</v>
      </c>
      <c r="C17" s="85">
        <f>309.52+34</f>
        <v>343.52</v>
      </c>
      <c r="D17" s="85"/>
      <c r="E17" s="85"/>
      <c r="F17" s="85"/>
      <c r="G17" s="85"/>
      <c r="H17" s="85"/>
      <c r="I17" s="85"/>
      <c r="J17" s="85"/>
      <c r="K17" s="75">
        <f t="shared" si="0"/>
        <v>343.52</v>
      </c>
      <c r="L17" s="78"/>
      <c r="M17" s="78"/>
    </row>
    <row r="18" spans="1:14">
      <c r="A18" s="77">
        <f t="shared" si="1"/>
        <v>8</v>
      </c>
      <c r="B18" s="68" t="s">
        <v>137</v>
      </c>
      <c r="C18" s="85">
        <f>27580.86+6600</f>
        <v>34180.86</v>
      </c>
      <c r="D18" s="85">
        <f>9172.17+3300</f>
        <v>12472.17</v>
      </c>
      <c r="E18" s="85">
        <f>10001.48+3300</f>
        <v>13301.48</v>
      </c>
      <c r="F18" s="85">
        <f>10001.48+3300</f>
        <v>13301.48</v>
      </c>
      <c r="G18" s="85">
        <v>0</v>
      </c>
      <c r="H18" s="85">
        <f>10001.48+3300</f>
        <v>13301.48</v>
      </c>
      <c r="I18" s="85">
        <f>2178.32+3300</f>
        <v>5478.32</v>
      </c>
      <c r="J18" s="85">
        <f>10001.48+3300</f>
        <v>13301.48</v>
      </c>
      <c r="K18" s="75">
        <f t="shared" si="0"/>
        <v>105337.26999999997</v>
      </c>
      <c r="L18" s="78"/>
      <c r="M18" s="78"/>
    </row>
    <row r="19" spans="1:14">
      <c r="A19" s="77">
        <f t="shared" si="1"/>
        <v>9</v>
      </c>
      <c r="B19" s="66"/>
      <c r="C19" s="91">
        <f t="shared" ref="C19:J19" si="3">SUM(C11:C18)</f>
        <v>42256.26</v>
      </c>
      <c r="D19" s="91">
        <f t="shared" si="3"/>
        <v>21257.449999999997</v>
      </c>
      <c r="E19" s="91">
        <f t="shared" si="3"/>
        <v>18120.48</v>
      </c>
      <c r="F19" s="91">
        <f t="shared" si="3"/>
        <v>17501.48</v>
      </c>
      <c r="G19" s="91">
        <f t="shared" si="3"/>
        <v>2700</v>
      </c>
      <c r="H19" s="91">
        <f t="shared" si="3"/>
        <v>17820.48</v>
      </c>
      <c r="I19" s="91">
        <f t="shared" si="3"/>
        <v>7897.32</v>
      </c>
      <c r="J19" s="91">
        <f t="shared" si="3"/>
        <v>18408.879999999997</v>
      </c>
      <c r="K19" s="79">
        <f>SUM(C19:J19)</f>
        <v>145962.35</v>
      </c>
      <c r="L19" s="78"/>
      <c r="M19" s="78"/>
    </row>
    <row r="20" spans="1:14">
      <c r="A20" s="77">
        <f t="shared" si="1"/>
        <v>10</v>
      </c>
      <c r="B20" s="66"/>
      <c r="C20" s="80"/>
      <c r="D20" s="80"/>
      <c r="E20" s="80"/>
      <c r="F20" s="80"/>
      <c r="G20" s="80"/>
      <c r="H20" s="80"/>
      <c r="I20" s="80"/>
      <c r="J20" s="80"/>
      <c r="K20" s="66"/>
      <c r="L20" s="78"/>
      <c r="M20" s="78"/>
    </row>
    <row r="21" spans="1:14">
      <c r="A21" s="77">
        <f t="shared" si="1"/>
        <v>11</v>
      </c>
      <c r="B21" s="92"/>
      <c r="C21" s="93"/>
      <c r="D21" s="80"/>
      <c r="E21" s="80"/>
      <c r="F21" s="80"/>
      <c r="G21" s="80"/>
      <c r="H21" s="80"/>
      <c r="I21" s="80"/>
      <c r="J21" s="80"/>
      <c r="K21" s="66"/>
      <c r="L21" s="78"/>
      <c r="M21" s="78"/>
    </row>
    <row r="22" spans="1:14">
      <c r="A22" s="77">
        <f t="shared" si="1"/>
        <v>12</v>
      </c>
      <c r="B22" s="66"/>
      <c r="C22" s="94"/>
      <c r="D22" s="80"/>
      <c r="E22" s="80"/>
      <c r="F22" s="80"/>
      <c r="G22" s="80"/>
      <c r="H22" s="80"/>
      <c r="I22" s="66" t="s">
        <v>139</v>
      </c>
      <c r="J22" s="66"/>
      <c r="K22" s="75">
        <f>K19</f>
        <v>145962.35</v>
      </c>
      <c r="L22" s="78"/>
      <c r="M22" s="78"/>
    </row>
    <row r="23" spans="1:14">
      <c r="A23" s="77">
        <f t="shared" si="1"/>
        <v>13</v>
      </c>
      <c r="B23" s="66"/>
      <c r="C23" s="94"/>
      <c r="D23" s="80"/>
      <c r="E23" s="80"/>
      <c r="F23" s="80"/>
      <c r="G23" s="80"/>
      <c r="H23" s="80"/>
      <c r="I23" s="66"/>
      <c r="J23" s="66"/>
      <c r="K23" s="75"/>
      <c r="L23" s="78"/>
      <c r="M23" s="78"/>
    </row>
    <row r="24" spans="1:14">
      <c r="A24" s="77">
        <f t="shared" si="1"/>
        <v>14</v>
      </c>
      <c r="B24" s="66"/>
      <c r="C24" s="94"/>
      <c r="D24" s="80"/>
      <c r="E24" s="80"/>
      <c r="F24" s="66"/>
      <c r="G24" s="66"/>
      <c r="H24" s="66"/>
      <c r="I24" s="66" t="s">
        <v>122</v>
      </c>
      <c r="J24" s="66"/>
      <c r="K24" s="81">
        <f>K22+K26</f>
        <v>2082.6800000000221</v>
      </c>
      <c r="L24" s="78"/>
      <c r="M24" s="78"/>
    </row>
    <row r="25" spans="1:14">
      <c r="A25" s="77">
        <f t="shared" si="1"/>
        <v>15</v>
      </c>
      <c r="B25" s="66"/>
      <c r="C25" s="95"/>
      <c r="D25" s="80"/>
      <c r="E25" s="80"/>
      <c r="F25" s="66"/>
      <c r="G25" s="66"/>
      <c r="H25" s="66"/>
      <c r="I25" s="66"/>
      <c r="J25" s="66"/>
      <c r="K25" s="81"/>
    </row>
    <row r="26" spans="1:14" ht="14.5" thickBot="1">
      <c r="A26" s="77">
        <f t="shared" si="1"/>
        <v>16</v>
      </c>
      <c r="B26" s="66"/>
      <c r="C26" s="80"/>
      <c r="D26" s="80"/>
      <c r="E26" s="80"/>
      <c r="F26" s="66"/>
      <c r="G26" s="66"/>
      <c r="H26" s="140" t="s">
        <v>481</v>
      </c>
      <c r="I26" s="82" t="s">
        <v>10</v>
      </c>
      <c r="J26" s="82"/>
      <c r="K26" s="83">
        <f>C40+C46</f>
        <v>-143879.66999999998</v>
      </c>
    </row>
    <row r="27" spans="1:14" ht="14.5" thickTop="1">
      <c r="A27" s="77">
        <f t="shared" si="1"/>
        <v>17</v>
      </c>
      <c r="D27" s="84"/>
      <c r="E27" s="84"/>
      <c r="F27" s="84"/>
      <c r="G27" s="84"/>
      <c r="H27" s="71"/>
      <c r="I27" s="71"/>
      <c r="J27" s="71"/>
    </row>
    <row r="28" spans="1:14">
      <c r="A28" s="298">
        <f t="shared" si="1"/>
        <v>18</v>
      </c>
      <c r="B28" s="348" t="s">
        <v>480</v>
      </c>
      <c r="C28" s="348"/>
      <c r="D28" s="348"/>
      <c r="E28" s="348"/>
      <c r="F28" s="348"/>
      <c r="G28" s="348"/>
      <c r="H28" s="348"/>
      <c r="I28" s="348"/>
      <c r="J28" s="348"/>
    </row>
    <row r="29" spans="1:14">
      <c r="A29" s="77">
        <f t="shared" si="1"/>
        <v>19</v>
      </c>
      <c r="D29" s="84"/>
      <c r="E29" s="84"/>
      <c r="F29" s="84"/>
      <c r="G29" s="84"/>
      <c r="H29" s="84"/>
      <c r="I29" s="84"/>
      <c r="J29" s="84"/>
    </row>
    <row r="30" spans="1:14" ht="14.25" customHeight="1">
      <c r="A30" s="77">
        <f t="shared" si="1"/>
        <v>20</v>
      </c>
      <c r="B30" s="66"/>
      <c r="C30" s="66"/>
      <c r="D30" s="71"/>
      <c r="E30" s="71"/>
      <c r="F30" s="71"/>
      <c r="G30" s="71"/>
      <c r="H30" s="84"/>
      <c r="I30" s="84"/>
      <c r="J30" s="84"/>
      <c r="K30" s="71"/>
      <c r="L30" s="71"/>
      <c r="M30" s="71"/>
      <c r="N30" s="71"/>
    </row>
    <row r="31" spans="1:14">
      <c r="A31" s="77">
        <f t="shared" si="1"/>
        <v>21</v>
      </c>
      <c r="B31" s="89" t="s">
        <v>153</v>
      </c>
      <c r="C31" s="74" t="s">
        <v>154</v>
      </c>
      <c r="D31" s="74" t="s">
        <v>169</v>
      </c>
      <c r="E31" s="84"/>
      <c r="F31" s="84"/>
      <c r="G31" s="84"/>
      <c r="H31" s="84"/>
      <c r="I31" s="84"/>
      <c r="J31" s="84"/>
    </row>
    <row r="32" spans="1:14">
      <c r="A32" s="77">
        <f t="shared" si="1"/>
        <v>22</v>
      </c>
      <c r="B32" s="66" t="s">
        <v>157</v>
      </c>
      <c r="C32" s="80">
        <f>-D12</f>
        <v>-1238</v>
      </c>
      <c r="D32" s="80">
        <v>930.4</v>
      </c>
      <c r="E32" s="84"/>
      <c r="F32" s="84"/>
      <c r="G32" s="84"/>
      <c r="H32" s="84"/>
      <c r="I32" s="84"/>
      <c r="J32" s="84"/>
    </row>
    <row r="33" spans="1:10">
      <c r="A33" s="77">
        <f t="shared" si="1"/>
        <v>23</v>
      </c>
      <c r="B33" s="66" t="s">
        <v>158</v>
      </c>
      <c r="C33" s="80">
        <f>-E12</f>
        <v>-619</v>
      </c>
      <c r="D33" s="80">
        <v>930.4</v>
      </c>
      <c r="E33" s="84"/>
      <c r="F33" s="84"/>
      <c r="G33" s="84"/>
      <c r="H33" s="84"/>
      <c r="I33" s="84"/>
      <c r="J33" s="84"/>
    </row>
    <row r="34" spans="1:10">
      <c r="A34" s="77">
        <f t="shared" si="1"/>
        <v>24</v>
      </c>
      <c r="B34" s="66" t="s">
        <v>159</v>
      </c>
      <c r="C34" s="80">
        <f>-H12</f>
        <v>-619</v>
      </c>
      <c r="D34" s="80">
        <v>930.4</v>
      </c>
      <c r="E34" s="84"/>
      <c r="F34" s="84"/>
      <c r="G34" s="84"/>
      <c r="H34" s="84"/>
      <c r="I34" s="84"/>
      <c r="J34" s="84"/>
    </row>
    <row r="35" spans="1:10">
      <c r="A35" s="77">
        <f t="shared" si="1"/>
        <v>25</v>
      </c>
      <c r="B35" s="66" t="s">
        <v>160</v>
      </c>
      <c r="C35" s="80">
        <f>-I12</f>
        <v>-619</v>
      </c>
      <c r="D35" s="80">
        <v>930.4</v>
      </c>
      <c r="E35" s="84"/>
      <c r="F35" s="84"/>
      <c r="G35" s="84"/>
      <c r="H35" s="84"/>
      <c r="I35" s="84"/>
      <c r="J35" s="84"/>
    </row>
    <row r="36" spans="1:10">
      <c r="A36" s="77">
        <f t="shared" si="1"/>
        <v>26</v>
      </c>
      <c r="B36" s="66" t="s">
        <v>162</v>
      </c>
      <c r="C36" s="80">
        <f>-D15</f>
        <v>-940</v>
      </c>
      <c r="D36" s="80">
        <v>930.4</v>
      </c>
      <c r="E36" s="84"/>
      <c r="F36" s="84"/>
      <c r="G36" s="84"/>
      <c r="H36" s="84"/>
      <c r="I36" s="84"/>
      <c r="J36" s="84"/>
    </row>
    <row r="37" spans="1:10">
      <c r="A37" s="77">
        <f t="shared" si="1"/>
        <v>27</v>
      </c>
      <c r="B37" s="66" t="s">
        <v>161</v>
      </c>
      <c r="C37" s="80">
        <f>-J15</f>
        <v>-907.4</v>
      </c>
      <c r="D37" s="80">
        <v>930.4</v>
      </c>
      <c r="E37" s="84"/>
      <c r="F37" s="84"/>
      <c r="G37" s="84"/>
      <c r="H37" s="84"/>
      <c r="I37" s="84"/>
      <c r="J37" s="84"/>
    </row>
    <row r="38" spans="1:10">
      <c r="A38" s="77">
        <f t="shared" si="1"/>
        <v>28</v>
      </c>
      <c r="B38" s="66" t="s">
        <v>166</v>
      </c>
      <c r="C38" s="80">
        <f>-K11</f>
        <v>-33600</v>
      </c>
      <c r="D38" s="80">
        <v>930.1</v>
      </c>
      <c r="E38" s="84"/>
      <c r="F38" s="84"/>
      <c r="G38" s="84"/>
      <c r="H38" s="84"/>
      <c r="I38" s="84"/>
      <c r="J38" s="84"/>
    </row>
    <row r="39" spans="1:10">
      <c r="A39" s="77">
        <f t="shared" si="1"/>
        <v>29</v>
      </c>
      <c r="B39" s="66" t="s">
        <v>163</v>
      </c>
      <c r="C39" s="80">
        <f>-K18</f>
        <v>-105337.26999999997</v>
      </c>
      <c r="D39" s="80">
        <v>930.1</v>
      </c>
      <c r="E39" s="84"/>
      <c r="F39" s="84"/>
      <c r="G39" s="84"/>
      <c r="H39" s="84"/>
      <c r="I39" s="84"/>
      <c r="J39" s="84"/>
    </row>
    <row r="40" spans="1:10">
      <c r="A40" s="77">
        <f t="shared" si="1"/>
        <v>30</v>
      </c>
      <c r="B40" s="90" t="s">
        <v>155</v>
      </c>
      <c r="C40" s="79">
        <f>SUM(C32:C39)</f>
        <v>-143879.66999999998</v>
      </c>
      <c r="D40" s="80"/>
      <c r="E40" s="84" t="s">
        <v>70</v>
      </c>
      <c r="F40" s="84"/>
      <c r="G40" s="84"/>
    </row>
    <row r="41" spans="1:10">
      <c r="A41" s="77">
        <f t="shared" si="1"/>
        <v>31</v>
      </c>
      <c r="B41" s="66"/>
      <c r="C41" s="66"/>
      <c r="D41" s="80"/>
      <c r="E41" s="84"/>
      <c r="F41" s="84"/>
      <c r="G41" s="84"/>
    </row>
    <row r="42" spans="1:10">
      <c r="A42" s="77">
        <f t="shared" si="1"/>
        <v>32</v>
      </c>
      <c r="B42" s="89" t="s">
        <v>156</v>
      </c>
      <c r="C42" s="74" t="s">
        <v>154</v>
      </c>
      <c r="D42" s="74" t="s">
        <v>169</v>
      </c>
      <c r="E42" s="84"/>
      <c r="F42" s="84"/>
      <c r="G42" s="84"/>
    </row>
    <row r="43" spans="1:10">
      <c r="A43" s="77">
        <f t="shared" si="1"/>
        <v>33</v>
      </c>
      <c r="B43" s="66" t="s">
        <v>165</v>
      </c>
      <c r="C43" s="277"/>
      <c r="D43" s="66">
        <v>930.1</v>
      </c>
    </row>
    <row r="44" spans="1:10">
      <c r="A44" s="77">
        <f t="shared" si="1"/>
        <v>34</v>
      </c>
      <c r="B44" s="66" t="s">
        <v>167</v>
      </c>
      <c r="C44" s="277"/>
      <c r="D44" s="66">
        <v>930.1</v>
      </c>
    </row>
    <row r="45" spans="1:10">
      <c r="A45" s="77">
        <f t="shared" si="1"/>
        <v>35</v>
      </c>
      <c r="B45" s="66"/>
      <c r="C45" s="277">
        <f>-C29</f>
        <v>0</v>
      </c>
      <c r="D45" s="66"/>
    </row>
    <row r="46" spans="1:10">
      <c r="A46" s="77">
        <f t="shared" si="1"/>
        <v>36</v>
      </c>
      <c r="B46" s="90" t="s">
        <v>168</v>
      </c>
      <c r="C46" s="91">
        <f>SUM(C43:C45)</f>
        <v>0</v>
      </c>
      <c r="D46" s="66"/>
      <c r="E46" s="69" t="s">
        <v>72</v>
      </c>
    </row>
    <row r="47" spans="1:10">
      <c r="B47" s="66"/>
      <c r="C47" s="66"/>
      <c r="D47" s="66"/>
    </row>
    <row r="48" spans="1:10">
      <c r="B48" s="66"/>
      <c r="C48" s="66"/>
      <c r="D48" s="66"/>
    </row>
  </sheetData>
  <mergeCells count="4">
    <mergeCell ref="A5:K5"/>
    <mergeCell ref="A6:K6"/>
    <mergeCell ref="A8:K8"/>
    <mergeCell ref="B28:J28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I1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130"/>
  <sheetViews>
    <sheetView view="pageBreakPreview" zoomScaleNormal="100" zoomScaleSheetLayoutView="100" workbookViewId="0">
      <selection activeCell="S1" sqref="S1"/>
    </sheetView>
  </sheetViews>
  <sheetFormatPr defaultColWidth="8.81640625" defaultRowHeight="12.5"/>
  <cols>
    <col min="1" max="1" width="8.7265625" style="66" customWidth="1"/>
    <col min="2" max="2" width="2.453125" style="66" customWidth="1"/>
    <col min="3" max="3" width="8.81640625" style="66" customWidth="1"/>
    <col min="4" max="4" width="2.54296875" style="66" customWidth="1"/>
    <col min="5" max="5" width="11.26953125" style="66" bestFit="1" customWidth="1"/>
    <col min="6" max="6" width="9" style="66" bestFit="1" customWidth="1"/>
    <col min="7" max="7" width="1.81640625" style="66" customWidth="1"/>
    <col min="8" max="8" width="11" style="66" bestFit="1" customWidth="1"/>
    <col min="9" max="9" width="9" style="66" bestFit="1" customWidth="1"/>
    <col min="10" max="10" width="9.81640625" style="66" bestFit="1" customWidth="1"/>
    <col min="11" max="11" width="2.453125" style="66" customWidth="1"/>
    <col min="12" max="12" width="9" style="66" bestFit="1" customWidth="1"/>
    <col min="13" max="13" width="2" style="66" customWidth="1"/>
    <col min="14" max="14" width="11.1796875" style="66" customWidth="1"/>
    <col min="15" max="16" width="11" style="66" customWidth="1"/>
    <col min="17" max="17" width="3.1796875" style="66" customWidth="1"/>
    <col min="18" max="18" width="11.54296875" style="66" customWidth="1"/>
    <col min="19" max="19" width="4.7265625" style="68" bestFit="1" customWidth="1"/>
    <col min="20" max="16384" width="8.81640625" style="66"/>
  </cols>
  <sheetData>
    <row r="1" spans="1:20" ht="13">
      <c r="S1" s="163" t="str">
        <f>+'AG Summary'!D1</f>
        <v>Exhibit JD-1</v>
      </c>
    </row>
    <row r="2" spans="1:20" s="2" customFormat="1" ht="13">
      <c r="A2" s="5"/>
      <c r="C2" s="5"/>
      <c r="E2" s="5"/>
      <c r="R2" s="40"/>
      <c r="S2" s="26" t="s">
        <v>289</v>
      </c>
    </row>
    <row r="3" spans="1:20" s="2" customFormat="1" ht="9.75" customHeight="1">
      <c r="A3" s="5"/>
      <c r="C3" s="5"/>
      <c r="E3" s="5"/>
      <c r="I3" s="27"/>
      <c r="S3" s="5"/>
      <c r="T3" s="5"/>
    </row>
    <row r="4" spans="1:20" s="2" customFormat="1" ht="13">
      <c r="A4" s="344" t="str">
        <f>RevReq!A1</f>
        <v>TAYLOR COUNTY RECC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101"/>
    </row>
    <row r="5" spans="1:20" s="2" customFormat="1" ht="13">
      <c r="A5" s="347" t="str">
        <f>RevReq!A3</f>
        <v>For the 12 Months Ended December 31, 2021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41"/>
    </row>
    <row r="6" spans="1:20" s="2" customFormat="1">
      <c r="A6" s="5"/>
      <c r="C6" s="5"/>
      <c r="E6" s="5"/>
      <c r="S6" s="5"/>
      <c r="T6" s="5"/>
    </row>
    <row r="7" spans="1:20" s="28" customFormat="1" ht="15" customHeight="1">
      <c r="A7" s="345" t="s">
        <v>56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48"/>
    </row>
    <row r="8" spans="1:20" s="2" customFormat="1" ht="7.5" customHeight="1">
      <c r="A8" s="5"/>
      <c r="C8" s="5"/>
      <c r="E8" s="5"/>
      <c r="R8" s="28"/>
      <c r="S8" s="5"/>
      <c r="T8" s="5"/>
    </row>
    <row r="10" spans="1:20">
      <c r="A10" s="350" t="s">
        <v>7</v>
      </c>
      <c r="B10" s="2"/>
      <c r="C10" s="350" t="s">
        <v>57</v>
      </c>
      <c r="E10" s="351" t="s">
        <v>58</v>
      </c>
      <c r="F10" s="351"/>
      <c r="G10" s="5"/>
      <c r="H10" s="351" t="s">
        <v>59</v>
      </c>
      <c r="I10" s="351"/>
      <c r="J10" s="351"/>
      <c r="L10" s="352" t="s">
        <v>60</v>
      </c>
      <c r="M10" s="2"/>
      <c r="N10" s="351" t="s">
        <v>61</v>
      </c>
      <c r="O10" s="351"/>
      <c r="P10" s="351"/>
      <c r="Q10" s="28"/>
      <c r="R10" s="352" t="s">
        <v>62</v>
      </c>
      <c r="S10" s="350" t="s">
        <v>63</v>
      </c>
    </row>
    <row r="11" spans="1:20" ht="25.5" customHeight="1">
      <c r="A11" s="350"/>
      <c r="B11" s="2"/>
      <c r="C11" s="350"/>
      <c r="E11" s="29" t="s">
        <v>64</v>
      </c>
      <c r="F11" s="29" t="s">
        <v>65</v>
      </c>
      <c r="H11" s="29" t="s">
        <v>64</v>
      </c>
      <c r="I11" s="29" t="s">
        <v>65</v>
      </c>
      <c r="J11" s="29" t="s">
        <v>66</v>
      </c>
      <c r="L11" s="352"/>
      <c r="M11" s="30"/>
      <c r="N11" s="29" t="s">
        <v>64</v>
      </c>
      <c r="O11" s="29" t="s">
        <v>65</v>
      </c>
      <c r="P11" s="29" t="s">
        <v>66</v>
      </c>
      <c r="Q11" s="31"/>
      <c r="R11" s="352"/>
      <c r="S11" s="350"/>
    </row>
    <row r="12" spans="1:20" ht="15" customHeight="1">
      <c r="A12" s="32" t="s">
        <v>12</v>
      </c>
      <c r="B12" s="2"/>
      <c r="C12" s="33">
        <v>1</v>
      </c>
      <c r="E12" s="33">
        <f>C12+1</f>
        <v>2</v>
      </c>
      <c r="F12" s="33">
        <f>E12+1</f>
        <v>3</v>
      </c>
      <c r="H12" s="33">
        <f>F12+1</f>
        <v>4</v>
      </c>
      <c r="I12" s="33">
        <f>H12+1</f>
        <v>5</v>
      </c>
      <c r="J12" s="33">
        <f>I12+1</f>
        <v>6</v>
      </c>
      <c r="L12" s="33">
        <f>J12+1</f>
        <v>7</v>
      </c>
      <c r="M12" s="30"/>
      <c r="N12" s="33">
        <f>L12+1</f>
        <v>8</v>
      </c>
      <c r="O12" s="33">
        <f>N12+1</f>
        <v>9</v>
      </c>
      <c r="P12" s="33">
        <f>O12+1</f>
        <v>10</v>
      </c>
      <c r="Q12" s="31"/>
      <c r="R12" s="33">
        <f>P12+1</f>
        <v>11</v>
      </c>
      <c r="S12" s="33">
        <f>R12+1</f>
        <v>12</v>
      </c>
    </row>
    <row r="13" spans="1:20">
      <c r="M13" s="30"/>
      <c r="Q13" s="31"/>
    </row>
    <row r="14" spans="1:20">
      <c r="A14" s="68">
        <v>1</v>
      </c>
      <c r="C14" s="68">
        <v>1</v>
      </c>
      <c r="D14" s="254"/>
      <c r="L14" s="66">
        <v>22.26</v>
      </c>
      <c r="M14" s="30"/>
      <c r="N14" s="34">
        <f t="shared" ref="N14:N77" si="0">2080*L14</f>
        <v>46300.800000000003</v>
      </c>
      <c r="O14" s="255">
        <f>(F14*L14)*1.5</f>
        <v>0</v>
      </c>
      <c r="P14" s="34">
        <f>SUM(N14:O14)</f>
        <v>46300.800000000003</v>
      </c>
      <c r="Q14" s="31"/>
      <c r="R14" s="35">
        <f>P14-J14</f>
        <v>46300.800000000003</v>
      </c>
      <c r="S14" s="68" t="s">
        <v>67</v>
      </c>
    </row>
    <row r="15" spans="1:20">
      <c r="A15" s="68">
        <f>A14+1</f>
        <v>2</v>
      </c>
      <c r="C15" s="68">
        <f>C14+1</f>
        <v>2</v>
      </c>
      <c r="D15" s="254"/>
      <c r="E15" s="66">
        <v>2088</v>
      </c>
      <c r="F15" s="66">
        <v>0</v>
      </c>
      <c r="H15" s="255">
        <v>63895.839999999997</v>
      </c>
      <c r="I15" s="255">
        <v>0</v>
      </c>
      <c r="J15" s="255">
        <v>63895.839999999997</v>
      </c>
      <c r="L15" s="66">
        <v>35.659999999999997</v>
      </c>
      <c r="M15" s="30"/>
      <c r="N15" s="34">
        <f t="shared" si="0"/>
        <v>74172.799999999988</v>
      </c>
      <c r="O15" s="255">
        <f t="shared" ref="O15:O78" si="1">(F15*L15)*1.5</f>
        <v>0</v>
      </c>
      <c r="P15" s="34">
        <f t="shared" ref="P15:P78" si="2">SUM(N15:O15)</f>
        <v>74172.799999999988</v>
      </c>
      <c r="Q15" s="31"/>
      <c r="R15" s="35">
        <f t="shared" ref="R15:R78" si="3">P15-J15</f>
        <v>10276.959999999992</v>
      </c>
    </row>
    <row r="16" spans="1:20">
      <c r="A16" s="68">
        <f t="shared" ref="A16:C78" si="4">A15+1</f>
        <v>3</v>
      </c>
      <c r="C16" s="68">
        <f t="shared" si="4"/>
        <v>3</v>
      </c>
      <c r="D16" s="254"/>
      <c r="E16" s="66">
        <v>2088</v>
      </c>
      <c r="F16" s="66">
        <v>0</v>
      </c>
      <c r="H16" s="255">
        <v>79264.759999999995</v>
      </c>
      <c r="I16" s="255">
        <v>0</v>
      </c>
      <c r="J16" s="255">
        <v>79264.759999999995</v>
      </c>
      <c r="L16" s="66">
        <v>40.15</v>
      </c>
      <c r="M16" s="30"/>
      <c r="N16" s="34">
        <f t="shared" si="0"/>
        <v>83512</v>
      </c>
      <c r="O16" s="255">
        <f t="shared" si="1"/>
        <v>0</v>
      </c>
      <c r="P16" s="34">
        <f t="shared" si="2"/>
        <v>83512</v>
      </c>
      <c r="Q16" s="31"/>
      <c r="R16" s="35">
        <f t="shared" si="3"/>
        <v>4247.2400000000052</v>
      </c>
    </row>
    <row r="17" spans="1:19">
      <c r="A17" s="68">
        <f t="shared" si="4"/>
        <v>4</v>
      </c>
      <c r="C17" s="68">
        <f t="shared" si="4"/>
        <v>4</v>
      </c>
      <c r="D17" s="254"/>
      <c r="E17" s="66">
        <v>2170</v>
      </c>
      <c r="F17" s="66">
        <v>74.5</v>
      </c>
      <c r="H17" s="255">
        <v>65222.7</v>
      </c>
      <c r="I17" s="255">
        <v>3416.27</v>
      </c>
      <c r="J17" s="255">
        <v>68638.97</v>
      </c>
      <c r="M17" s="30"/>
      <c r="N17" s="255"/>
      <c r="O17" s="255" t="s">
        <v>68</v>
      </c>
      <c r="P17" s="34">
        <f t="shared" si="2"/>
        <v>0</v>
      </c>
      <c r="Q17" s="31"/>
      <c r="R17" s="35">
        <f t="shared" si="3"/>
        <v>-68638.97</v>
      </c>
      <c r="S17" s="68" t="s">
        <v>69</v>
      </c>
    </row>
    <row r="18" spans="1:19">
      <c r="A18" s="68">
        <f t="shared" si="4"/>
        <v>5</v>
      </c>
      <c r="C18" s="68">
        <f t="shared" si="4"/>
        <v>5</v>
      </c>
      <c r="D18" s="254"/>
      <c r="E18" s="66">
        <v>2080</v>
      </c>
      <c r="F18" s="66">
        <v>261</v>
      </c>
      <c r="H18" s="255">
        <v>43919.9</v>
      </c>
      <c r="I18" s="255">
        <v>7674.94</v>
      </c>
      <c r="J18" s="255">
        <v>51594.84</v>
      </c>
      <c r="L18" s="66">
        <v>35.33</v>
      </c>
      <c r="M18" s="30"/>
      <c r="N18" s="34">
        <f t="shared" si="0"/>
        <v>73486.399999999994</v>
      </c>
      <c r="O18" s="255">
        <f t="shared" si="1"/>
        <v>13831.695</v>
      </c>
      <c r="P18" s="34">
        <f t="shared" si="2"/>
        <v>87318.095000000001</v>
      </c>
      <c r="Q18" s="31"/>
      <c r="R18" s="35">
        <f t="shared" si="3"/>
        <v>35723.255000000005</v>
      </c>
    </row>
    <row r="19" spans="1:19">
      <c r="A19" s="68">
        <f t="shared" si="4"/>
        <v>6</v>
      </c>
      <c r="C19" s="68">
        <f t="shared" si="4"/>
        <v>6</v>
      </c>
      <c r="D19" s="254"/>
      <c r="E19" s="66">
        <v>2080</v>
      </c>
      <c r="F19" s="66">
        <v>323.5</v>
      </c>
      <c r="H19" s="255">
        <v>62483.17</v>
      </c>
      <c r="I19" s="255">
        <v>14601.33</v>
      </c>
      <c r="J19" s="255">
        <v>77084.5</v>
      </c>
      <c r="L19" s="66">
        <v>38.11</v>
      </c>
      <c r="M19" s="30"/>
      <c r="N19" s="34">
        <f t="shared" si="0"/>
        <v>79268.800000000003</v>
      </c>
      <c r="O19" s="255">
        <f t="shared" si="1"/>
        <v>18492.877499999999</v>
      </c>
      <c r="P19" s="34">
        <f t="shared" si="2"/>
        <v>97761.677500000005</v>
      </c>
      <c r="Q19" s="31"/>
      <c r="R19" s="35">
        <f t="shared" si="3"/>
        <v>20677.177500000005</v>
      </c>
    </row>
    <row r="20" spans="1:19">
      <c r="A20" s="68">
        <f t="shared" si="4"/>
        <v>7</v>
      </c>
      <c r="C20" s="68">
        <f t="shared" si="4"/>
        <v>7</v>
      </c>
      <c r="D20" s="254"/>
      <c r="E20" s="66">
        <v>2080</v>
      </c>
      <c r="F20" s="66">
        <v>303</v>
      </c>
      <c r="H20" s="255">
        <v>63804.84</v>
      </c>
      <c r="I20" s="255">
        <v>13854.3</v>
      </c>
      <c r="J20" s="255">
        <v>77659.14</v>
      </c>
      <c r="L20" s="66">
        <v>40.380000000000003</v>
      </c>
      <c r="M20" s="30"/>
      <c r="N20" s="34">
        <f t="shared" si="0"/>
        <v>83990.400000000009</v>
      </c>
      <c r="O20" s="255">
        <f t="shared" si="1"/>
        <v>18352.710000000003</v>
      </c>
      <c r="P20" s="34">
        <f t="shared" si="2"/>
        <v>102343.11000000002</v>
      </c>
      <c r="Q20" s="31"/>
      <c r="R20" s="35">
        <f t="shared" si="3"/>
        <v>24683.970000000016</v>
      </c>
    </row>
    <row r="21" spans="1:19">
      <c r="A21" s="68">
        <f t="shared" si="4"/>
        <v>8</v>
      </c>
      <c r="C21" s="68">
        <f t="shared" si="4"/>
        <v>8</v>
      </c>
      <c r="D21" s="254"/>
      <c r="E21" s="66">
        <v>1520</v>
      </c>
      <c r="F21" s="66">
        <v>297</v>
      </c>
      <c r="H21" s="255">
        <v>46780.61</v>
      </c>
      <c r="I21" s="255">
        <v>13487.94</v>
      </c>
      <c r="J21" s="255">
        <v>60268.55</v>
      </c>
      <c r="L21" s="66">
        <v>29.61</v>
      </c>
      <c r="M21" s="30"/>
      <c r="N21" s="34">
        <f t="shared" si="0"/>
        <v>61588.799999999996</v>
      </c>
      <c r="O21" s="255">
        <f t="shared" si="1"/>
        <v>13191.255000000001</v>
      </c>
      <c r="P21" s="34">
        <f t="shared" si="2"/>
        <v>74780.054999999993</v>
      </c>
      <c r="Q21" s="31"/>
      <c r="R21" s="35">
        <f t="shared" si="3"/>
        <v>14511.50499999999</v>
      </c>
    </row>
    <row r="22" spans="1:19">
      <c r="A22" s="68">
        <f t="shared" si="4"/>
        <v>9</v>
      </c>
      <c r="C22" s="68">
        <f t="shared" si="4"/>
        <v>9</v>
      </c>
      <c r="D22" s="254"/>
      <c r="H22" s="255"/>
      <c r="I22" s="255"/>
      <c r="J22" s="255"/>
      <c r="L22" s="66">
        <v>23.69</v>
      </c>
      <c r="M22" s="30"/>
      <c r="N22" s="34">
        <f t="shared" si="0"/>
        <v>49275.200000000004</v>
      </c>
      <c r="O22" s="255">
        <f t="shared" si="1"/>
        <v>0</v>
      </c>
      <c r="P22" s="34">
        <f t="shared" si="2"/>
        <v>49275.200000000004</v>
      </c>
      <c r="Q22" s="31"/>
      <c r="R22" s="35">
        <f t="shared" si="3"/>
        <v>49275.200000000004</v>
      </c>
      <c r="S22" s="68" t="s">
        <v>67</v>
      </c>
    </row>
    <row r="23" spans="1:19">
      <c r="A23" s="68">
        <f t="shared" si="4"/>
        <v>10</v>
      </c>
      <c r="C23" s="68">
        <f t="shared" si="4"/>
        <v>10</v>
      </c>
      <c r="D23" s="254"/>
      <c r="E23" s="66">
        <v>2088</v>
      </c>
      <c r="F23" s="66">
        <v>0</v>
      </c>
      <c r="H23" s="255">
        <v>87582.16</v>
      </c>
      <c r="I23" s="255">
        <v>0</v>
      </c>
      <c r="J23" s="255">
        <v>87582.16</v>
      </c>
      <c r="M23" s="30"/>
      <c r="N23" s="255" t="s">
        <v>68</v>
      </c>
      <c r="O23" s="255" t="s">
        <v>68</v>
      </c>
      <c r="P23" s="34">
        <f t="shared" si="2"/>
        <v>0</v>
      </c>
      <c r="Q23" s="31"/>
      <c r="R23" s="35">
        <f t="shared" si="3"/>
        <v>-87582.16</v>
      </c>
      <c r="S23" s="68" t="s">
        <v>70</v>
      </c>
    </row>
    <row r="24" spans="1:19">
      <c r="A24" s="68">
        <f t="shared" si="4"/>
        <v>11</v>
      </c>
      <c r="C24" s="68">
        <f t="shared" si="4"/>
        <v>11</v>
      </c>
      <c r="D24" s="254"/>
      <c r="E24" s="66">
        <v>2080</v>
      </c>
      <c r="F24" s="66">
        <v>8</v>
      </c>
      <c r="H24" s="255">
        <v>53903.65</v>
      </c>
      <c r="I24" s="255">
        <v>303.83999999999997</v>
      </c>
      <c r="J24" s="255">
        <v>54207.49</v>
      </c>
      <c r="L24" s="66">
        <v>28.68</v>
      </c>
      <c r="M24" s="30"/>
      <c r="N24" s="255">
        <f t="shared" si="0"/>
        <v>59654.400000000001</v>
      </c>
      <c r="O24" s="255">
        <f t="shared" si="1"/>
        <v>344.15999999999997</v>
      </c>
      <c r="P24" s="34">
        <f t="shared" si="2"/>
        <v>59998.560000000005</v>
      </c>
      <c r="Q24" s="31"/>
      <c r="R24" s="35">
        <f t="shared" si="3"/>
        <v>5791.070000000007</v>
      </c>
    </row>
    <row r="25" spans="1:19">
      <c r="A25" s="68">
        <f t="shared" si="4"/>
        <v>12</v>
      </c>
      <c r="C25" s="68">
        <f t="shared" si="4"/>
        <v>12</v>
      </c>
      <c r="D25" s="254"/>
      <c r="H25" s="255"/>
      <c r="I25" s="255"/>
      <c r="J25" s="255"/>
      <c r="L25" s="66">
        <v>20.5</v>
      </c>
      <c r="M25" s="30"/>
      <c r="N25" s="255">
        <f t="shared" si="0"/>
        <v>42640</v>
      </c>
      <c r="O25" s="255">
        <f t="shared" si="1"/>
        <v>0</v>
      </c>
      <c r="P25" s="34">
        <f t="shared" si="2"/>
        <v>42640</v>
      </c>
      <c r="Q25" s="31"/>
      <c r="R25" s="35">
        <f t="shared" si="3"/>
        <v>42640</v>
      </c>
      <c r="S25" s="68" t="s">
        <v>67</v>
      </c>
    </row>
    <row r="26" spans="1:19">
      <c r="A26" s="68">
        <f t="shared" si="4"/>
        <v>13</v>
      </c>
      <c r="C26" s="68">
        <f t="shared" si="4"/>
        <v>13</v>
      </c>
      <c r="D26" s="254"/>
      <c r="E26" s="66">
        <v>2080</v>
      </c>
      <c r="F26" s="66">
        <v>30.5</v>
      </c>
      <c r="H26" s="255">
        <v>49086.83</v>
      </c>
      <c r="I26" s="255">
        <v>1079.5</v>
      </c>
      <c r="J26" s="255">
        <v>50166.33</v>
      </c>
      <c r="L26" s="66">
        <v>25.32</v>
      </c>
      <c r="M26" s="30"/>
      <c r="N26" s="255">
        <f t="shared" si="0"/>
        <v>52665.599999999999</v>
      </c>
      <c r="O26" s="255">
        <f t="shared" si="1"/>
        <v>1158.3899999999999</v>
      </c>
      <c r="P26" s="34">
        <f t="shared" si="2"/>
        <v>53823.99</v>
      </c>
      <c r="Q26" s="31"/>
      <c r="R26" s="35">
        <f t="shared" si="3"/>
        <v>3657.6599999999962</v>
      </c>
    </row>
    <row r="27" spans="1:19">
      <c r="A27" s="68">
        <f t="shared" si="4"/>
        <v>14</v>
      </c>
      <c r="C27" s="68">
        <f t="shared" si="4"/>
        <v>14</v>
      </c>
      <c r="D27" s="254"/>
      <c r="E27" s="66">
        <v>2088</v>
      </c>
      <c r="F27" s="66">
        <v>0</v>
      </c>
      <c r="H27" s="255">
        <v>64218.82</v>
      </c>
      <c r="I27" s="255">
        <v>0</v>
      </c>
      <c r="J27" s="255">
        <v>64218.82</v>
      </c>
      <c r="L27" s="66">
        <v>36</v>
      </c>
      <c r="M27" s="30"/>
      <c r="N27" s="255">
        <f t="shared" si="0"/>
        <v>74880</v>
      </c>
      <c r="O27" s="255">
        <f t="shared" si="1"/>
        <v>0</v>
      </c>
      <c r="P27" s="34">
        <f t="shared" si="2"/>
        <v>74880</v>
      </c>
      <c r="Q27" s="31"/>
      <c r="R27" s="35">
        <f t="shared" si="3"/>
        <v>10661.18</v>
      </c>
    </row>
    <row r="28" spans="1:19">
      <c r="A28" s="68">
        <f t="shared" si="4"/>
        <v>15</v>
      </c>
      <c r="C28" s="68">
        <f t="shared" si="4"/>
        <v>15</v>
      </c>
      <c r="D28" s="254"/>
      <c r="E28" s="66">
        <v>2080</v>
      </c>
      <c r="F28" s="66">
        <v>163</v>
      </c>
      <c r="H28" s="255">
        <v>48779.28</v>
      </c>
      <c r="I28" s="255">
        <v>4886.43</v>
      </c>
      <c r="J28" s="255">
        <v>53665.71</v>
      </c>
      <c r="L28" s="66">
        <v>31.48</v>
      </c>
      <c r="M28" s="30"/>
      <c r="N28" s="255">
        <f t="shared" si="0"/>
        <v>65478.400000000001</v>
      </c>
      <c r="O28" s="255">
        <f t="shared" si="1"/>
        <v>7696.86</v>
      </c>
      <c r="P28" s="34">
        <f t="shared" si="2"/>
        <v>73175.259999999995</v>
      </c>
      <c r="Q28" s="31"/>
      <c r="R28" s="35">
        <f t="shared" si="3"/>
        <v>19509.549999999996</v>
      </c>
    </row>
    <row r="29" spans="1:19">
      <c r="A29" s="68">
        <f t="shared" si="4"/>
        <v>16</v>
      </c>
      <c r="C29" s="68">
        <f t="shared" si="4"/>
        <v>16</v>
      </c>
      <c r="D29" s="254"/>
      <c r="E29" s="66">
        <v>2080</v>
      </c>
      <c r="F29" s="66">
        <v>0.5</v>
      </c>
      <c r="H29" s="255">
        <v>52832.7</v>
      </c>
      <c r="I29" s="255">
        <v>18.62</v>
      </c>
      <c r="J29" s="255">
        <v>52851.32</v>
      </c>
      <c r="M29" s="30"/>
      <c r="N29" s="255" t="s">
        <v>68</v>
      </c>
      <c r="O29" s="255" t="s">
        <v>68</v>
      </c>
      <c r="P29" s="34">
        <f t="shared" si="2"/>
        <v>0</v>
      </c>
      <c r="Q29" s="31"/>
      <c r="R29" s="35">
        <f t="shared" si="3"/>
        <v>-52851.32</v>
      </c>
      <c r="S29" s="68" t="s">
        <v>70</v>
      </c>
    </row>
    <row r="30" spans="1:19">
      <c r="A30" s="68">
        <f t="shared" si="4"/>
        <v>17</v>
      </c>
      <c r="C30" s="68">
        <f t="shared" si="4"/>
        <v>17</v>
      </c>
      <c r="D30" s="254"/>
      <c r="E30" s="66">
        <v>2078</v>
      </c>
      <c r="F30" s="66">
        <v>15</v>
      </c>
      <c r="H30" s="255">
        <v>49624.29</v>
      </c>
      <c r="I30" s="255">
        <v>525.53</v>
      </c>
      <c r="J30" s="255">
        <v>50149.82</v>
      </c>
      <c r="L30" s="66">
        <v>25.62</v>
      </c>
      <c r="M30" s="30"/>
      <c r="N30" s="255">
        <f t="shared" si="0"/>
        <v>53289.599999999999</v>
      </c>
      <c r="O30" s="255">
        <f t="shared" si="1"/>
        <v>576.45000000000005</v>
      </c>
      <c r="P30" s="34">
        <f t="shared" si="2"/>
        <v>53866.049999999996</v>
      </c>
      <c r="Q30" s="31"/>
      <c r="R30" s="35">
        <f t="shared" si="3"/>
        <v>3716.2299999999959</v>
      </c>
    </row>
    <row r="31" spans="1:19">
      <c r="A31" s="68">
        <f t="shared" si="4"/>
        <v>18</v>
      </c>
      <c r="C31" s="68">
        <f t="shared" si="4"/>
        <v>18</v>
      </c>
      <c r="D31" s="254"/>
      <c r="E31" s="66">
        <v>2080</v>
      </c>
      <c r="F31" s="66">
        <v>516</v>
      </c>
      <c r="H31" s="255">
        <v>63887.14</v>
      </c>
      <c r="I31" s="255">
        <v>23731.06</v>
      </c>
      <c r="J31" s="255">
        <v>87618.2</v>
      </c>
      <c r="L31" s="66">
        <v>40.380000000000003</v>
      </c>
      <c r="M31" s="30"/>
      <c r="N31" s="255">
        <f t="shared" si="0"/>
        <v>83990.400000000009</v>
      </c>
      <c r="O31" s="255">
        <f t="shared" si="1"/>
        <v>31254.120000000003</v>
      </c>
      <c r="P31" s="34">
        <f t="shared" si="2"/>
        <v>115244.52000000002</v>
      </c>
      <c r="Q31" s="31"/>
      <c r="R31" s="35">
        <f t="shared" si="3"/>
        <v>27626.320000000022</v>
      </c>
    </row>
    <row r="32" spans="1:19">
      <c r="A32" s="68">
        <f t="shared" si="4"/>
        <v>19</v>
      </c>
      <c r="C32" s="68">
        <f t="shared" si="4"/>
        <v>19</v>
      </c>
      <c r="D32" s="254"/>
      <c r="E32" s="66">
        <v>2080</v>
      </c>
      <c r="F32" s="66">
        <v>584.5</v>
      </c>
      <c r="H32" s="255">
        <v>63903.12</v>
      </c>
      <c r="I32" s="255">
        <v>27071.5</v>
      </c>
      <c r="J32" s="255">
        <v>90974.62</v>
      </c>
      <c r="L32" s="66">
        <v>40.380000000000003</v>
      </c>
      <c r="M32" s="30"/>
      <c r="N32" s="255">
        <f t="shared" si="0"/>
        <v>83990.400000000009</v>
      </c>
      <c r="O32" s="255">
        <f t="shared" si="1"/>
        <v>35403.165000000001</v>
      </c>
      <c r="P32" s="34">
        <f t="shared" si="2"/>
        <v>119393.565</v>
      </c>
      <c r="Q32" s="31"/>
      <c r="R32" s="35">
        <f t="shared" si="3"/>
        <v>28418.945000000007</v>
      </c>
    </row>
    <row r="33" spans="1:19">
      <c r="A33" s="68">
        <f t="shared" si="4"/>
        <v>20</v>
      </c>
      <c r="C33" s="68">
        <f t="shared" si="4"/>
        <v>20</v>
      </c>
      <c r="D33" s="254"/>
      <c r="E33" s="66">
        <v>344</v>
      </c>
      <c r="F33" s="66">
        <v>11.5</v>
      </c>
      <c r="H33" s="255">
        <v>9711.09</v>
      </c>
      <c r="I33" s="255">
        <v>478.1</v>
      </c>
      <c r="J33" s="255">
        <v>10189.19</v>
      </c>
      <c r="L33" s="66">
        <v>35.33</v>
      </c>
      <c r="M33" s="30"/>
      <c r="N33" s="255">
        <f t="shared" si="0"/>
        <v>73486.399999999994</v>
      </c>
      <c r="O33" s="255">
        <f t="shared" si="1"/>
        <v>609.44249999999988</v>
      </c>
      <c r="P33" s="34">
        <f t="shared" si="2"/>
        <v>74095.842499999999</v>
      </c>
      <c r="Q33" s="31"/>
      <c r="R33" s="35">
        <f t="shared" si="3"/>
        <v>63906.652499999997</v>
      </c>
      <c r="S33" s="68" t="s">
        <v>71</v>
      </c>
    </row>
    <row r="34" spans="1:19">
      <c r="A34" s="68">
        <f t="shared" si="4"/>
        <v>21</v>
      </c>
      <c r="C34" s="68">
        <f t="shared" si="4"/>
        <v>21</v>
      </c>
      <c r="D34" s="254"/>
      <c r="E34" s="66">
        <v>2080</v>
      </c>
      <c r="F34" s="66">
        <v>0</v>
      </c>
      <c r="H34" s="255">
        <v>44776.12</v>
      </c>
      <c r="I34" s="255">
        <v>0</v>
      </c>
      <c r="J34" s="255">
        <v>44776.12</v>
      </c>
      <c r="L34" s="66">
        <v>25.48</v>
      </c>
      <c r="M34" s="30"/>
      <c r="N34" s="255">
        <f t="shared" si="0"/>
        <v>52998.400000000001</v>
      </c>
      <c r="O34" s="255">
        <f t="shared" si="1"/>
        <v>0</v>
      </c>
      <c r="P34" s="34">
        <f t="shared" si="2"/>
        <v>52998.400000000001</v>
      </c>
      <c r="Q34" s="31"/>
      <c r="R34" s="35">
        <f t="shared" si="3"/>
        <v>8222.2799999999988</v>
      </c>
    </row>
    <row r="35" spans="1:19">
      <c r="A35" s="68">
        <f t="shared" si="4"/>
        <v>22</v>
      </c>
      <c r="C35" s="68">
        <f t="shared" si="4"/>
        <v>22</v>
      </c>
      <c r="D35" s="254"/>
      <c r="E35" s="66">
        <v>1960</v>
      </c>
      <c r="F35" s="66">
        <v>278.5</v>
      </c>
      <c r="H35" s="255">
        <v>49308.47</v>
      </c>
      <c r="I35" s="255">
        <v>9425.73</v>
      </c>
      <c r="J35" s="255">
        <v>58734.2</v>
      </c>
      <c r="L35" s="66">
        <v>35.33</v>
      </c>
      <c r="M35" s="30"/>
      <c r="N35" s="255">
        <f t="shared" si="0"/>
        <v>73486.399999999994</v>
      </c>
      <c r="O35" s="255">
        <f t="shared" si="1"/>
        <v>14759.107499999998</v>
      </c>
      <c r="P35" s="34">
        <f t="shared" si="2"/>
        <v>88245.507499999992</v>
      </c>
      <c r="Q35" s="31"/>
      <c r="R35" s="35">
        <f t="shared" si="3"/>
        <v>29511.307499999995</v>
      </c>
    </row>
    <row r="36" spans="1:19">
      <c r="A36" s="68">
        <f t="shared" si="4"/>
        <v>23</v>
      </c>
      <c r="C36" s="68">
        <f t="shared" si="4"/>
        <v>23</v>
      </c>
      <c r="D36" s="254"/>
      <c r="E36" s="66">
        <v>2080</v>
      </c>
      <c r="F36" s="66">
        <v>315</v>
      </c>
      <c r="H36" s="255">
        <v>62563.65</v>
      </c>
      <c r="I36" s="255">
        <v>14260.13</v>
      </c>
      <c r="J36" s="255">
        <v>76823.78</v>
      </c>
      <c r="L36" s="66">
        <v>40.380000000000003</v>
      </c>
      <c r="M36" s="30"/>
      <c r="N36" s="255">
        <f t="shared" si="0"/>
        <v>83990.400000000009</v>
      </c>
      <c r="O36" s="255">
        <f t="shared" si="1"/>
        <v>19079.550000000003</v>
      </c>
      <c r="P36" s="34">
        <f t="shared" si="2"/>
        <v>103069.95000000001</v>
      </c>
      <c r="Q36" s="31"/>
      <c r="R36" s="35">
        <f t="shared" si="3"/>
        <v>26246.170000000013</v>
      </c>
    </row>
    <row r="37" spans="1:19">
      <c r="A37" s="68">
        <f t="shared" si="4"/>
        <v>24</v>
      </c>
      <c r="C37" s="68">
        <f t="shared" si="4"/>
        <v>24</v>
      </c>
      <c r="D37" s="254"/>
      <c r="E37" s="66">
        <v>2080</v>
      </c>
      <c r="F37" s="66">
        <v>217</v>
      </c>
      <c r="H37" s="255">
        <v>60010.21</v>
      </c>
      <c r="I37" s="255">
        <v>9303.85</v>
      </c>
      <c r="J37" s="255">
        <v>69314.06</v>
      </c>
      <c r="L37" s="66">
        <v>36.06</v>
      </c>
      <c r="M37" s="30"/>
      <c r="N37" s="255">
        <f t="shared" si="0"/>
        <v>75004.800000000003</v>
      </c>
      <c r="O37" s="255">
        <f t="shared" si="1"/>
        <v>11737.53</v>
      </c>
      <c r="P37" s="34">
        <f t="shared" si="2"/>
        <v>86742.33</v>
      </c>
      <c r="Q37" s="31"/>
      <c r="R37" s="35">
        <f t="shared" si="3"/>
        <v>17428.270000000004</v>
      </c>
    </row>
    <row r="38" spans="1:19">
      <c r="A38" s="68">
        <f t="shared" si="4"/>
        <v>25</v>
      </c>
      <c r="C38" s="68">
        <f t="shared" si="4"/>
        <v>25</v>
      </c>
      <c r="D38" s="254"/>
      <c r="E38" s="66">
        <v>2080</v>
      </c>
      <c r="F38" s="66">
        <v>360</v>
      </c>
      <c r="H38" s="255">
        <v>60116.49</v>
      </c>
      <c r="I38" s="255">
        <v>15373.33</v>
      </c>
      <c r="J38" s="255">
        <v>75489.820000000007</v>
      </c>
      <c r="L38" s="66">
        <v>35.07</v>
      </c>
      <c r="M38" s="30"/>
      <c r="N38" s="255">
        <f t="shared" si="0"/>
        <v>72945.600000000006</v>
      </c>
      <c r="O38" s="255">
        <f t="shared" si="1"/>
        <v>18937.800000000003</v>
      </c>
      <c r="P38" s="34">
        <f t="shared" si="2"/>
        <v>91883.400000000009</v>
      </c>
      <c r="Q38" s="31"/>
      <c r="R38" s="35">
        <f t="shared" si="3"/>
        <v>16393.580000000002</v>
      </c>
    </row>
    <row r="39" spans="1:19">
      <c r="A39" s="68">
        <f t="shared" si="4"/>
        <v>26</v>
      </c>
      <c r="C39" s="68">
        <f t="shared" si="4"/>
        <v>26</v>
      </c>
      <c r="D39" s="254"/>
      <c r="E39" s="66">
        <v>2080</v>
      </c>
      <c r="F39" s="66">
        <v>48</v>
      </c>
      <c r="H39" s="255">
        <v>49673.61</v>
      </c>
      <c r="I39" s="255">
        <v>1727.7</v>
      </c>
      <c r="J39" s="255">
        <v>51401.31</v>
      </c>
      <c r="L39" s="66">
        <v>27.25</v>
      </c>
      <c r="M39" s="30"/>
      <c r="N39" s="255">
        <f t="shared" si="0"/>
        <v>56680</v>
      </c>
      <c r="O39" s="255">
        <f t="shared" si="1"/>
        <v>1962</v>
      </c>
      <c r="P39" s="34">
        <f t="shared" si="2"/>
        <v>58642</v>
      </c>
      <c r="Q39" s="31"/>
      <c r="R39" s="35">
        <f t="shared" si="3"/>
        <v>7240.6900000000023</v>
      </c>
    </row>
    <row r="40" spans="1:19">
      <c r="A40" s="68">
        <f t="shared" si="4"/>
        <v>27</v>
      </c>
      <c r="C40" s="68">
        <f t="shared" si="4"/>
        <v>27</v>
      </c>
      <c r="D40" s="254"/>
      <c r="E40" s="66">
        <v>2072</v>
      </c>
      <c r="F40" s="66">
        <v>552</v>
      </c>
      <c r="H40" s="255">
        <v>63666.15</v>
      </c>
      <c r="I40" s="255">
        <v>25560.400000000001</v>
      </c>
      <c r="J40" s="255">
        <v>89226.55</v>
      </c>
      <c r="L40" s="66">
        <v>45.67</v>
      </c>
      <c r="M40" s="30"/>
      <c r="N40" s="255">
        <f t="shared" si="0"/>
        <v>94993.600000000006</v>
      </c>
      <c r="O40" s="255">
        <f t="shared" si="1"/>
        <v>37814.76</v>
      </c>
      <c r="P40" s="34">
        <f t="shared" si="2"/>
        <v>132808.36000000002</v>
      </c>
      <c r="Q40" s="31"/>
      <c r="R40" s="35">
        <f t="shared" si="3"/>
        <v>43581.810000000012</v>
      </c>
    </row>
    <row r="41" spans="1:19">
      <c r="A41" s="68">
        <f t="shared" si="4"/>
        <v>28</v>
      </c>
      <c r="C41" s="68">
        <f t="shared" si="4"/>
        <v>28</v>
      </c>
      <c r="D41" s="254"/>
      <c r="E41" s="66">
        <v>2088</v>
      </c>
      <c r="F41" s="66">
        <v>0</v>
      </c>
      <c r="H41" s="255">
        <v>75928.94</v>
      </c>
      <c r="I41" s="255">
        <v>0</v>
      </c>
      <c r="J41" s="255">
        <v>75928.94</v>
      </c>
      <c r="L41" s="66">
        <v>42.76</v>
      </c>
      <c r="M41" s="30"/>
      <c r="N41" s="255">
        <f t="shared" si="0"/>
        <v>88940.800000000003</v>
      </c>
      <c r="O41" s="255">
        <f t="shared" si="1"/>
        <v>0</v>
      </c>
      <c r="P41" s="34">
        <f t="shared" si="2"/>
        <v>88940.800000000003</v>
      </c>
      <c r="Q41" s="31"/>
      <c r="R41" s="35">
        <f t="shared" si="3"/>
        <v>13011.86</v>
      </c>
    </row>
    <row r="42" spans="1:19">
      <c r="A42" s="68">
        <f t="shared" si="4"/>
        <v>29</v>
      </c>
      <c r="C42" s="68">
        <f t="shared" si="4"/>
        <v>29</v>
      </c>
      <c r="D42" s="254"/>
      <c r="E42" s="66">
        <v>2080</v>
      </c>
      <c r="F42" s="66">
        <v>42.5</v>
      </c>
      <c r="H42" s="255">
        <v>49674.74</v>
      </c>
      <c r="I42" s="255">
        <v>1517.3</v>
      </c>
      <c r="J42" s="255">
        <v>51192.04</v>
      </c>
      <c r="M42" s="30"/>
      <c r="N42" s="255" t="s">
        <v>68</v>
      </c>
      <c r="O42" s="255" t="s">
        <v>68</v>
      </c>
      <c r="P42" s="34">
        <f t="shared" si="2"/>
        <v>0</v>
      </c>
      <c r="Q42" s="31"/>
      <c r="R42" s="35">
        <f t="shared" si="3"/>
        <v>-51192.04</v>
      </c>
      <c r="S42" s="68" t="s">
        <v>70</v>
      </c>
    </row>
    <row r="43" spans="1:19">
      <c r="A43" s="68">
        <f t="shared" si="4"/>
        <v>30</v>
      </c>
      <c r="C43" s="68">
        <f t="shared" si="4"/>
        <v>30</v>
      </c>
      <c r="D43" s="254"/>
      <c r="E43" s="66">
        <v>120</v>
      </c>
      <c r="F43" s="66">
        <v>56.5</v>
      </c>
      <c r="H43" s="255">
        <v>2314.87</v>
      </c>
      <c r="I43" s="255">
        <v>1635.11</v>
      </c>
      <c r="J43" s="255">
        <v>3949.98</v>
      </c>
      <c r="L43" s="66">
        <v>28.33</v>
      </c>
      <c r="M43" s="30"/>
      <c r="N43" s="255">
        <f t="shared" si="0"/>
        <v>58926.399999999994</v>
      </c>
      <c r="O43" s="255">
        <f t="shared" si="1"/>
        <v>2400.9674999999997</v>
      </c>
      <c r="P43" s="34">
        <f t="shared" si="2"/>
        <v>61327.367499999993</v>
      </c>
      <c r="Q43" s="31"/>
      <c r="R43" s="35">
        <f t="shared" si="3"/>
        <v>57377.38749999999</v>
      </c>
      <c r="S43" s="68" t="s">
        <v>72</v>
      </c>
    </row>
    <row r="44" spans="1:19">
      <c r="A44" s="68">
        <f t="shared" si="4"/>
        <v>31</v>
      </c>
      <c r="C44" s="68">
        <f t="shared" si="4"/>
        <v>31</v>
      </c>
      <c r="D44" s="254"/>
      <c r="E44" s="66">
        <v>1752</v>
      </c>
      <c r="F44" s="66">
        <v>139.5</v>
      </c>
      <c r="H44" s="255">
        <v>37791.97</v>
      </c>
      <c r="I44" s="255">
        <v>3780.55</v>
      </c>
      <c r="J44" s="255">
        <v>41572.519999999997</v>
      </c>
      <c r="M44" s="30"/>
      <c r="N44" s="255" t="s">
        <v>68</v>
      </c>
      <c r="O44" s="255" t="s">
        <v>68</v>
      </c>
      <c r="P44" s="34">
        <f t="shared" si="2"/>
        <v>0</v>
      </c>
      <c r="Q44" s="31"/>
      <c r="R44" s="35">
        <f t="shared" si="3"/>
        <v>-41572.519999999997</v>
      </c>
      <c r="S44" s="68" t="s">
        <v>69</v>
      </c>
    </row>
    <row r="45" spans="1:19">
      <c r="A45" s="68">
        <f t="shared" si="4"/>
        <v>32</v>
      </c>
      <c r="C45" s="68">
        <f t="shared" si="4"/>
        <v>32</v>
      </c>
      <c r="D45" s="254"/>
      <c r="E45" s="66">
        <v>2080</v>
      </c>
      <c r="F45" s="66">
        <v>802</v>
      </c>
      <c r="H45" s="255">
        <v>63990.99</v>
      </c>
      <c r="I45" s="255">
        <v>37023.86</v>
      </c>
      <c r="J45" s="255">
        <v>101014.85</v>
      </c>
      <c r="L45" s="66">
        <v>40.380000000000003</v>
      </c>
      <c r="M45" s="30"/>
      <c r="N45" s="255">
        <f t="shared" si="0"/>
        <v>83990.400000000009</v>
      </c>
      <c r="O45" s="255">
        <f t="shared" si="1"/>
        <v>48577.14</v>
      </c>
      <c r="P45" s="34">
        <f t="shared" si="2"/>
        <v>132567.54</v>
      </c>
      <c r="Q45" s="31"/>
      <c r="R45" s="35">
        <f t="shared" si="3"/>
        <v>31552.690000000002</v>
      </c>
    </row>
    <row r="46" spans="1:19">
      <c r="A46" s="68">
        <f t="shared" si="4"/>
        <v>33</v>
      </c>
      <c r="C46" s="68">
        <f t="shared" si="4"/>
        <v>33</v>
      </c>
      <c r="D46" s="254"/>
      <c r="E46" s="66">
        <v>2080</v>
      </c>
      <c r="F46" s="66">
        <v>13.67</v>
      </c>
      <c r="H46" s="255">
        <v>49671.13</v>
      </c>
      <c r="I46" s="255">
        <v>478.8</v>
      </c>
      <c r="J46" s="255">
        <v>50149.93</v>
      </c>
      <c r="L46" s="66">
        <v>26.93</v>
      </c>
      <c r="M46" s="30"/>
      <c r="N46" s="255">
        <f t="shared" si="0"/>
        <v>56014.400000000001</v>
      </c>
      <c r="O46" s="255">
        <f t="shared" si="1"/>
        <v>552.19965000000002</v>
      </c>
      <c r="P46" s="34">
        <f t="shared" si="2"/>
        <v>56566.599650000004</v>
      </c>
      <c r="Q46" s="31"/>
      <c r="R46" s="35">
        <f t="shared" si="3"/>
        <v>6416.6696500000035</v>
      </c>
    </row>
    <row r="47" spans="1:19">
      <c r="A47" s="68">
        <f t="shared" si="4"/>
        <v>34</v>
      </c>
      <c r="C47" s="68">
        <f t="shared" si="4"/>
        <v>34</v>
      </c>
      <c r="D47" s="254"/>
      <c r="E47" s="66">
        <v>40</v>
      </c>
      <c r="F47" s="66">
        <v>28</v>
      </c>
      <c r="H47" s="255">
        <v>1104</v>
      </c>
      <c r="I47" s="255">
        <v>1159.2</v>
      </c>
      <c r="J47" s="255">
        <v>2263.1999999999998</v>
      </c>
      <c r="L47" s="66">
        <v>31.8</v>
      </c>
      <c r="M47" s="30"/>
      <c r="N47" s="255">
        <f t="shared" si="0"/>
        <v>66144</v>
      </c>
      <c r="O47" s="255">
        <f t="shared" si="1"/>
        <v>1335.6</v>
      </c>
      <c r="P47" s="34">
        <f t="shared" si="2"/>
        <v>67479.600000000006</v>
      </c>
      <c r="Q47" s="31"/>
      <c r="R47" s="35">
        <f t="shared" si="3"/>
        <v>65216.400000000009</v>
      </c>
      <c r="S47" s="68" t="s">
        <v>72</v>
      </c>
    </row>
    <row r="48" spans="1:19">
      <c r="A48" s="68">
        <f t="shared" si="4"/>
        <v>35</v>
      </c>
      <c r="C48" s="68">
        <f t="shared" si="4"/>
        <v>35</v>
      </c>
      <c r="D48" s="254"/>
      <c r="E48" s="66">
        <v>2080</v>
      </c>
      <c r="F48" s="66">
        <v>41</v>
      </c>
      <c r="H48" s="255">
        <v>46427.519999999997</v>
      </c>
      <c r="I48" s="255">
        <v>1368.58</v>
      </c>
      <c r="J48" s="255">
        <v>47796.1</v>
      </c>
      <c r="L48" s="66">
        <v>23.95</v>
      </c>
      <c r="M48" s="30"/>
      <c r="N48" s="255">
        <f t="shared" si="0"/>
        <v>49816</v>
      </c>
      <c r="O48" s="255">
        <f t="shared" si="1"/>
        <v>1472.925</v>
      </c>
      <c r="P48" s="34">
        <f t="shared" si="2"/>
        <v>51288.925000000003</v>
      </c>
      <c r="Q48" s="31"/>
      <c r="R48" s="35">
        <f t="shared" si="3"/>
        <v>3492.8250000000044</v>
      </c>
    </row>
    <row r="49" spans="1:19">
      <c r="A49" s="68">
        <f t="shared" si="4"/>
        <v>36</v>
      </c>
      <c r="C49" s="68">
        <f t="shared" si="4"/>
        <v>36</v>
      </c>
      <c r="D49" s="254"/>
      <c r="E49" s="66">
        <v>1720</v>
      </c>
      <c r="F49" s="66">
        <v>333</v>
      </c>
      <c r="H49" s="255">
        <v>51738.3</v>
      </c>
      <c r="I49" s="255">
        <v>14885.76</v>
      </c>
      <c r="J49" s="255">
        <v>66624.06</v>
      </c>
      <c r="L49" s="66">
        <v>40.380000000000003</v>
      </c>
      <c r="M49" s="30"/>
      <c r="N49" s="255">
        <f t="shared" si="0"/>
        <v>83990.400000000009</v>
      </c>
      <c r="O49" s="255">
        <f t="shared" si="1"/>
        <v>20169.810000000001</v>
      </c>
      <c r="P49" s="34">
        <f t="shared" si="2"/>
        <v>104160.21</v>
      </c>
      <c r="Q49" s="31"/>
      <c r="R49" s="35">
        <f t="shared" si="3"/>
        <v>37536.150000000009</v>
      </c>
      <c r="S49" s="68" t="s">
        <v>71</v>
      </c>
    </row>
    <row r="50" spans="1:19">
      <c r="A50" s="68">
        <f t="shared" si="4"/>
        <v>37</v>
      </c>
      <c r="C50" s="68">
        <f t="shared" si="4"/>
        <v>37</v>
      </c>
      <c r="D50" s="254"/>
      <c r="E50" s="66">
        <v>2088</v>
      </c>
      <c r="F50" s="66">
        <v>0</v>
      </c>
      <c r="H50" s="255">
        <v>140378.13</v>
      </c>
      <c r="I50" s="255">
        <v>0</v>
      </c>
      <c r="J50" s="255">
        <v>140378.13</v>
      </c>
      <c r="M50" s="30"/>
      <c r="N50" s="255" t="s">
        <v>68</v>
      </c>
      <c r="O50" s="255" t="s">
        <v>68</v>
      </c>
      <c r="P50" s="34">
        <f t="shared" si="2"/>
        <v>0</v>
      </c>
      <c r="Q50" s="31"/>
      <c r="R50" s="35">
        <f t="shared" si="3"/>
        <v>-140378.13</v>
      </c>
      <c r="S50" s="68" t="s">
        <v>70</v>
      </c>
    </row>
    <row r="51" spans="1:19">
      <c r="A51" s="68">
        <f t="shared" si="4"/>
        <v>38</v>
      </c>
      <c r="C51" s="68">
        <f t="shared" si="4"/>
        <v>38</v>
      </c>
      <c r="D51" s="254"/>
      <c r="E51" s="66">
        <v>2080</v>
      </c>
      <c r="F51" s="66">
        <v>13.08</v>
      </c>
      <c r="H51" s="255">
        <v>49665.03</v>
      </c>
      <c r="I51" s="255">
        <v>464.36</v>
      </c>
      <c r="J51" s="255">
        <v>50129.39</v>
      </c>
      <c r="L51" s="66">
        <v>25.62</v>
      </c>
      <c r="M51" s="30"/>
      <c r="N51" s="255">
        <f t="shared" si="0"/>
        <v>53289.599999999999</v>
      </c>
      <c r="O51" s="255">
        <f t="shared" si="1"/>
        <v>502.6644</v>
      </c>
      <c r="P51" s="34">
        <f t="shared" si="2"/>
        <v>53792.2644</v>
      </c>
      <c r="Q51" s="31"/>
      <c r="R51" s="35">
        <f t="shared" si="3"/>
        <v>3662.8744000000006</v>
      </c>
    </row>
    <row r="52" spans="1:19">
      <c r="A52" s="68">
        <f t="shared" si="4"/>
        <v>39</v>
      </c>
      <c r="C52" s="68">
        <f t="shared" si="4"/>
        <v>39</v>
      </c>
      <c r="D52" s="254"/>
      <c r="H52" s="255"/>
      <c r="I52" s="255"/>
      <c r="J52" s="255"/>
      <c r="L52" s="66">
        <v>20.5</v>
      </c>
      <c r="M52" s="30"/>
      <c r="N52" s="255">
        <f t="shared" si="0"/>
        <v>42640</v>
      </c>
      <c r="O52" s="255">
        <f t="shared" si="1"/>
        <v>0</v>
      </c>
      <c r="P52" s="34">
        <f t="shared" si="2"/>
        <v>42640</v>
      </c>
      <c r="Q52" s="31"/>
      <c r="R52" s="35">
        <f t="shared" si="3"/>
        <v>42640</v>
      </c>
      <c r="S52" s="68" t="s">
        <v>67</v>
      </c>
    </row>
    <row r="53" spans="1:19">
      <c r="A53" s="68">
        <f t="shared" si="4"/>
        <v>40</v>
      </c>
      <c r="C53" s="68">
        <f t="shared" si="4"/>
        <v>40</v>
      </c>
      <c r="D53" s="254"/>
      <c r="E53" s="66">
        <v>2078</v>
      </c>
      <c r="F53" s="66">
        <v>24.5</v>
      </c>
      <c r="H53" s="255">
        <v>62389.41</v>
      </c>
      <c r="I53" s="255">
        <v>1080.2</v>
      </c>
      <c r="J53" s="255">
        <v>63469.61</v>
      </c>
      <c r="L53" s="66">
        <v>32.5</v>
      </c>
      <c r="M53" s="30"/>
      <c r="N53" s="255">
        <f t="shared" si="0"/>
        <v>67600</v>
      </c>
      <c r="O53" s="255">
        <f t="shared" si="1"/>
        <v>1194.375</v>
      </c>
      <c r="P53" s="34">
        <f t="shared" si="2"/>
        <v>68794.375</v>
      </c>
      <c r="Q53" s="31"/>
      <c r="R53" s="35">
        <f t="shared" si="3"/>
        <v>5324.7649999999994</v>
      </c>
    </row>
    <row r="54" spans="1:19">
      <c r="A54" s="68">
        <f t="shared" si="4"/>
        <v>41</v>
      </c>
      <c r="C54" s="68">
        <f t="shared" si="4"/>
        <v>41</v>
      </c>
      <c r="D54" s="254"/>
      <c r="E54" s="66">
        <v>1338</v>
      </c>
      <c r="F54" s="66">
        <v>20</v>
      </c>
      <c r="H54" s="255">
        <v>32479.32</v>
      </c>
      <c r="I54" s="255">
        <v>726.6</v>
      </c>
      <c r="J54" s="255">
        <v>33205.919999999998</v>
      </c>
      <c r="M54" s="30"/>
      <c r="N54" s="255" t="s">
        <v>68</v>
      </c>
      <c r="O54" s="255" t="s">
        <v>68</v>
      </c>
      <c r="P54" s="34">
        <f t="shared" si="2"/>
        <v>0</v>
      </c>
      <c r="Q54" s="31"/>
      <c r="R54" s="35">
        <f t="shared" si="3"/>
        <v>-33205.919999999998</v>
      </c>
      <c r="S54" s="68" t="s">
        <v>70</v>
      </c>
    </row>
    <row r="55" spans="1:19">
      <c r="A55" s="68">
        <f t="shared" si="4"/>
        <v>42</v>
      </c>
      <c r="C55" s="68">
        <f t="shared" si="4"/>
        <v>42</v>
      </c>
      <c r="D55" s="254"/>
      <c r="E55" s="66">
        <v>2080</v>
      </c>
      <c r="F55" s="66">
        <v>30</v>
      </c>
      <c r="H55" s="255">
        <v>49645.8</v>
      </c>
      <c r="I55" s="255">
        <v>1069.8900000000001</v>
      </c>
      <c r="J55" s="255">
        <v>50715.69</v>
      </c>
      <c r="L55" s="66">
        <v>25.62</v>
      </c>
      <c r="M55" s="30"/>
      <c r="N55" s="255">
        <f t="shared" si="0"/>
        <v>53289.599999999999</v>
      </c>
      <c r="O55" s="255">
        <f t="shared" si="1"/>
        <v>1152.9000000000001</v>
      </c>
      <c r="P55" s="34">
        <f t="shared" si="2"/>
        <v>54442.5</v>
      </c>
      <c r="Q55" s="31"/>
      <c r="R55" s="35">
        <f t="shared" si="3"/>
        <v>3726.8099999999977</v>
      </c>
    </row>
    <row r="56" spans="1:19">
      <c r="A56" s="68">
        <f t="shared" si="4"/>
        <v>43</v>
      </c>
      <c r="C56" s="68">
        <f t="shared" si="4"/>
        <v>43</v>
      </c>
      <c r="D56" s="254"/>
      <c r="E56" s="66">
        <v>1260</v>
      </c>
      <c r="F56" s="66">
        <v>0</v>
      </c>
      <c r="H56" s="255">
        <v>37792.089999999997</v>
      </c>
      <c r="I56" s="255">
        <v>0</v>
      </c>
      <c r="J56" s="255">
        <v>37792.089999999997</v>
      </c>
      <c r="L56" s="66">
        <v>33.17</v>
      </c>
      <c r="M56" s="30"/>
      <c r="N56" s="255">
        <f t="shared" si="0"/>
        <v>68993.600000000006</v>
      </c>
      <c r="O56" s="255">
        <f t="shared" si="1"/>
        <v>0</v>
      </c>
      <c r="P56" s="34">
        <f t="shared" si="2"/>
        <v>68993.600000000006</v>
      </c>
      <c r="Q56" s="31"/>
      <c r="R56" s="35">
        <f t="shared" si="3"/>
        <v>31201.510000000009</v>
      </c>
    </row>
    <row r="57" spans="1:19">
      <c r="A57" s="68">
        <f t="shared" si="4"/>
        <v>44</v>
      </c>
      <c r="C57" s="68">
        <f t="shared" si="4"/>
        <v>44</v>
      </c>
      <c r="D57" s="254"/>
      <c r="E57" s="66">
        <v>1840</v>
      </c>
      <c r="F57" s="66">
        <v>143</v>
      </c>
      <c r="H57" s="255">
        <v>52656.09</v>
      </c>
      <c r="I57" s="255">
        <v>5634.94</v>
      </c>
      <c r="J57" s="255">
        <v>58291.03</v>
      </c>
      <c r="L57" s="66">
        <v>38.11</v>
      </c>
      <c r="M57" s="30"/>
      <c r="N57" s="255">
        <f t="shared" si="0"/>
        <v>79268.800000000003</v>
      </c>
      <c r="O57" s="255">
        <f t="shared" si="1"/>
        <v>8174.5949999999993</v>
      </c>
      <c r="P57" s="34">
        <f t="shared" si="2"/>
        <v>87443.395000000004</v>
      </c>
      <c r="Q57" s="31"/>
      <c r="R57" s="35">
        <f t="shared" si="3"/>
        <v>29152.365000000005</v>
      </c>
    </row>
    <row r="58" spans="1:19">
      <c r="A58" s="68">
        <f t="shared" si="4"/>
        <v>45</v>
      </c>
      <c r="C58" s="68">
        <f t="shared" si="4"/>
        <v>45</v>
      </c>
      <c r="D58" s="254"/>
      <c r="E58" s="66">
        <v>2080</v>
      </c>
      <c r="F58" s="66">
        <v>130.5</v>
      </c>
      <c r="H58" s="255">
        <v>56830.71</v>
      </c>
      <c r="I58" s="255">
        <v>5345.17</v>
      </c>
      <c r="J58" s="255">
        <v>62175.88</v>
      </c>
      <c r="L58" s="66">
        <v>29.3</v>
      </c>
      <c r="M58" s="30"/>
      <c r="N58" s="255">
        <f t="shared" si="0"/>
        <v>60944</v>
      </c>
      <c r="O58" s="255">
        <f t="shared" si="1"/>
        <v>5735.4750000000004</v>
      </c>
      <c r="P58" s="34">
        <f t="shared" si="2"/>
        <v>66679.475000000006</v>
      </c>
      <c r="Q58" s="31"/>
      <c r="R58" s="35">
        <f t="shared" si="3"/>
        <v>4503.5950000000084</v>
      </c>
    </row>
    <row r="59" spans="1:19">
      <c r="A59" s="68">
        <f t="shared" si="4"/>
        <v>46</v>
      </c>
      <c r="C59" s="68">
        <f t="shared" si="4"/>
        <v>46</v>
      </c>
      <c r="D59" s="254"/>
      <c r="E59" s="66">
        <v>1873</v>
      </c>
      <c r="F59" s="66">
        <v>241</v>
      </c>
      <c r="H59" s="255">
        <v>56272.02</v>
      </c>
      <c r="I59" s="255">
        <v>10695.52</v>
      </c>
      <c r="J59" s="255">
        <v>66967.539999999994</v>
      </c>
      <c r="L59" s="66">
        <v>42.76</v>
      </c>
      <c r="M59" s="30"/>
      <c r="N59" s="255">
        <f t="shared" si="0"/>
        <v>88940.800000000003</v>
      </c>
      <c r="O59" s="255">
        <f t="shared" si="1"/>
        <v>15457.74</v>
      </c>
      <c r="P59" s="34">
        <f t="shared" si="2"/>
        <v>104398.54000000001</v>
      </c>
      <c r="Q59" s="31"/>
      <c r="R59" s="35">
        <f t="shared" si="3"/>
        <v>37431.000000000015</v>
      </c>
    </row>
    <row r="60" spans="1:19">
      <c r="A60" s="68">
        <f t="shared" si="4"/>
        <v>47</v>
      </c>
      <c r="C60" s="68">
        <f t="shared" si="4"/>
        <v>47</v>
      </c>
      <c r="D60" s="254"/>
      <c r="H60" s="255"/>
      <c r="I60" s="255"/>
      <c r="J60" s="255"/>
      <c r="L60" s="66">
        <v>22.26</v>
      </c>
      <c r="M60" s="30"/>
      <c r="N60" s="255">
        <f t="shared" si="0"/>
        <v>46300.800000000003</v>
      </c>
      <c r="O60" s="255">
        <f t="shared" si="1"/>
        <v>0</v>
      </c>
      <c r="P60" s="34">
        <f t="shared" si="2"/>
        <v>46300.800000000003</v>
      </c>
      <c r="Q60" s="31"/>
      <c r="R60" s="35">
        <f t="shared" si="3"/>
        <v>46300.800000000003</v>
      </c>
      <c r="S60" s="68" t="s">
        <v>67</v>
      </c>
    </row>
    <row r="61" spans="1:19">
      <c r="A61" s="68">
        <f t="shared" si="4"/>
        <v>48</v>
      </c>
      <c r="C61" s="68">
        <f t="shared" si="4"/>
        <v>48</v>
      </c>
      <c r="D61" s="254"/>
      <c r="E61" s="66">
        <v>2088</v>
      </c>
      <c r="F61" s="66">
        <v>0</v>
      </c>
      <c r="H61" s="255">
        <v>112516.66</v>
      </c>
      <c r="I61" s="255">
        <v>0</v>
      </c>
      <c r="J61" s="255">
        <v>112516.66</v>
      </c>
      <c r="L61" s="66">
        <v>57.69</v>
      </c>
      <c r="M61" s="30"/>
      <c r="N61" s="255">
        <f t="shared" si="0"/>
        <v>119995.2</v>
      </c>
      <c r="O61" s="255">
        <f t="shared" si="1"/>
        <v>0</v>
      </c>
      <c r="P61" s="34">
        <f t="shared" si="2"/>
        <v>119995.2</v>
      </c>
      <c r="Q61" s="31"/>
      <c r="R61" s="35">
        <f t="shared" si="3"/>
        <v>7478.5399999999936</v>
      </c>
    </row>
    <row r="62" spans="1:19">
      <c r="A62" s="68">
        <f t="shared" si="4"/>
        <v>49</v>
      </c>
      <c r="C62" s="68">
        <f t="shared" si="4"/>
        <v>49</v>
      </c>
      <c r="D62" s="254"/>
      <c r="E62" s="66">
        <v>2080</v>
      </c>
      <c r="F62" s="66">
        <v>84</v>
      </c>
      <c r="H62" s="255">
        <v>62237.98</v>
      </c>
      <c r="I62" s="255">
        <v>3773.9</v>
      </c>
      <c r="J62" s="255">
        <v>66011.88</v>
      </c>
      <c r="L62" s="66">
        <v>38.11</v>
      </c>
      <c r="M62" s="30"/>
      <c r="N62" s="255">
        <f t="shared" si="0"/>
        <v>79268.800000000003</v>
      </c>
      <c r="O62" s="255">
        <f t="shared" si="1"/>
        <v>4801.8599999999997</v>
      </c>
      <c r="P62" s="34">
        <f t="shared" si="2"/>
        <v>84070.66</v>
      </c>
      <c r="Q62" s="31"/>
      <c r="R62" s="35">
        <f t="shared" si="3"/>
        <v>18058.78</v>
      </c>
    </row>
    <row r="63" spans="1:19">
      <c r="A63" s="68">
        <f t="shared" si="4"/>
        <v>50</v>
      </c>
      <c r="C63" s="68">
        <f t="shared" si="4"/>
        <v>50</v>
      </c>
      <c r="D63" s="254"/>
      <c r="H63" s="255"/>
      <c r="I63" s="255"/>
      <c r="J63" s="255"/>
      <c r="L63" s="66">
        <v>28.33</v>
      </c>
      <c r="M63" s="30"/>
      <c r="N63" s="255">
        <f t="shared" si="0"/>
        <v>58926.399999999994</v>
      </c>
      <c r="O63" s="255">
        <f t="shared" si="1"/>
        <v>0</v>
      </c>
      <c r="P63" s="34">
        <f t="shared" si="2"/>
        <v>58926.399999999994</v>
      </c>
      <c r="Q63" s="31"/>
      <c r="R63" s="35">
        <f t="shared" si="3"/>
        <v>58926.399999999994</v>
      </c>
      <c r="S63" s="68" t="s">
        <v>67</v>
      </c>
    </row>
    <row r="64" spans="1:19">
      <c r="A64" s="68">
        <f t="shared" si="4"/>
        <v>51</v>
      </c>
      <c r="C64" s="68">
        <f t="shared" si="4"/>
        <v>51</v>
      </c>
      <c r="D64" s="254"/>
      <c r="E64" s="66">
        <v>2080</v>
      </c>
      <c r="F64" s="66">
        <v>44.42</v>
      </c>
      <c r="H64" s="255">
        <v>44834.67</v>
      </c>
      <c r="I64" s="255">
        <v>1405.01</v>
      </c>
      <c r="J64" s="255">
        <v>46239.68</v>
      </c>
      <c r="L64" s="66">
        <v>26.66</v>
      </c>
      <c r="M64" s="30"/>
      <c r="N64" s="255">
        <f t="shared" si="0"/>
        <v>55452.800000000003</v>
      </c>
      <c r="O64" s="255">
        <f t="shared" si="1"/>
        <v>1776.3558</v>
      </c>
      <c r="P64" s="34">
        <f t="shared" si="2"/>
        <v>57229.1558</v>
      </c>
      <c r="Q64" s="31"/>
      <c r="R64" s="35">
        <f t="shared" si="3"/>
        <v>10989.4758</v>
      </c>
    </row>
    <row r="65" spans="1:19">
      <c r="A65" s="68">
        <f t="shared" si="4"/>
        <v>52</v>
      </c>
      <c r="C65" s="68">
        <f t="shared" si="4"/>
        <v>52</v>
      </c>
      <c r="D65" s="254"/>
      <c r="E65" s="66">
        <v>2080</v>
      </c>
      <c r="F65" s="66">
        <v>1</v>
      </c>
      <c r="H65" s="255">
        <v>55553.58</v>
      </c>
      <c r="I65" s="255">
        <v>39.18</v>
      </c>
      <c r="J65" s="255">
        <v>55592.76</v>
      </c>
      <c r="L65" s="66">
        <v>28.68</v>
      </c>
      <c r="M65" s="30"/>
      <c r="N65" s="255">
        <f t="shared" si="0"/>
        <v>59654.400000000001</v>
      </c>
      <c r="O65" s="255">
        <f t="shared" si="1"/>
        <v>43.019999999999996</v>
      </c>
      <c r="P65" s="34">
        <f t="shared" si="2"/>
        <v>59697.42</v>
      </c>
      <c r="Q65" s="31"/>
      <c r="R65" s="35">
        <f t="shared" si="3"/>
        <v>4104.6599999999962</v>
      </c>
    </row>
    <row r="66" spans="1:19">
      <c r="A66" s="68">
        <f t="shared" si="4"/>
        <v>53</v>
      </c>
      <c r="C66" s="68">
        <f t="shared" si="4"/>
        <v>53</v>
      </c>
      <c r="D66" s="254"/>
      <c r="E66" s="66">
        <v>2088</v>
      </c>
      <c r="F66" s="66">
        <v>0</v>
      </c>
      <c r="H66" s="255">
        <v>75928.94</v>
      </c>
      <c r="I66" s="255">
        <v>0</v>
      </c>
      <c r="J66" s="255">
        <v>75928.94</v>
      </c>
      <c r="L66" s="66">
        <v>42.76</v>
      </c>
      <c r="M66" s="30"/>
      <c r="N66" s="255">
        <f t="shared" si="0"/>
        <v>88940.800000000003</v>
      </c>
      <c r="O66" s="255">
        <f t="shared" si="1"/>
        <v>0</v>
      </c>
      <c r="P66" s="34">
        <f t="shared" si="2"/>
        <v>88940.800000000003</v>
      </c>
      <c r="Q66" s="31"/>
      <c r="R66" s="35">
        <f t="shared" si="3"/>
        <v>13011.86</v>
      </c>
    </row>
    <row r="67" spans="1:19">
      <c r="A67" s="68">
        <f t="shared" si="4"/>
        <v>54</v>
      </c>
      <c r="C67" s="68">
        <f t="shared" si="4"/>
        <v>54</v>
      </c>
      <c r="D67" s="254"/>
      <c r="E67" s="66">
        <v>2088</v>
      </c>
      <c r="F67" s="66">
        <v>0</v>
      </c>
      <c r="H67" s="255">
        <v>75928.94</v>
      </c>
      <c r="I67" s="255">
        <v>0</v>
      </c>
      <c r="J67" s="255">
        <v>75928.94</v>
      </c>
      <c r="L67" s="66">
        <v>48.08</v>
      </c>
      <c r="M67" s="30"/>
      <c r="N67" s="255">
        <f t="shared" si="0"/>
        <v>100006.39999999999</v>
      </c>
      <c r="O67" s="255">
        <f t="shared" si="1"/>
        <v>0</v>
      </c>
      <c r="P67" s="34">
        <f t="shared" si="2"/>
        <v>100006.39999999999</v>
      </c>
      <c r="Q67" s="31"/>
      <c r="R67" s="35">
        <f t="shared" si="3"/>
        <v>24077.459999999992</v>
      </c>
    </row>
    <row r="68" spans="1:19">
      <c r="A68" s="68">
        <f t="shared" si="4"/>
        <v>55</v>
      </c>
      <c r="C68" s="68">
        <f t="shared" si="4"/>
        <v>55</v>
      </c>
      <c r="D68" s="254"/>
      <c r="E68" s="66">
        <v>2080</v>
      </c>
      <c r="F68" s="66">
        <v>8.08</v>
      </c>
      <c r="H68" s="255">
        <v>44809.17</v>
      </c>
      <c r="I68" s="255">
        <v>216.94</v>
      </c>
      <c r="J68" s="255">
        <v>45026.11</v>
      </c>
      <c r="L68" s="66">
        <v>27.25</v>
      </c>
      <c r="M68" s="30"/>
      <c r="N68" s="255">
        <f t="shared" si="0"/>
        <v>56680</v>
      </c>
      <c r="O68" s="255">
        <f t="shared" si="1"/>
        <v>330.27</v>
      </c>
      <c r="P68" s="34">
        <f t="shared" si="2"/>
        <v>57010.27</v>
      </c>
      <c r="Q68" s="31"/>
      <c r="R68" s="35">
        <f t="shared" si="3"/>
        <v>11984.159999999996</v>
      </c>
    </row>
    <row r="69" spans="1:19">
      <c r="A69" s="68">
        <f t="shared" si="4"/>
        <v>56</v>
      </c>
      <c r="C69" s="68">
        <f t="shared" si="4"/>
        <v>56</v>
      </c>
      <c r="D69" s="254"/>
      <c r="E69" s="66">
        <v>2088</v>
      </c>
      <c r="F69" s="66">
        <v>0</v>
      </c>
      <c r="H69" s="255">
        <v>75928.94</v>
      </c>
      <c r="I69" s="255">
        <v>0</v>
      </c>
      <c r="J69" s="255">
        <v>75928.94</v>
      </c>
      <c r="L69" s="66">
        <v>42.76</v>
      </c>
      <c r="M69" s="30"/>
      <c r="N69" s="255">
        <f t="shared" si="0"/>
        <v>88940.800000000003</v>
      </c>
      <c r="O69" s="255">
        <f t="shared" si="1"/>
        <v>0</v>
      </c>
      <c r="P69" s="34">
        <f t="shared" si="2"/>
        <v>88940.800000000003</v>
      </c>
      <c r="Q69" s="31"/>
      <c r="R69" s="35">
        <f t="shared" si="3"/>
        <v>13011.86</v>
      </c>
    </row>
    <row r="70" spans="1:19">
      <c r="A70" s="68">
        <f t="shared" si="4"/>
        <v>57</v>
      </c>
      <c r="C70" s="68">
        <f t="shared" si="4"/>
        <v>57</v>
      </c>
      <c r="D70" s="254"/>
      <c r="E70" s="66">
        <v>2088</v>
      </c>
      <c r="F70" s="66">
        <v>0</v>
      </c>
      <c r="H70" s="255">
        <v>70166.740000000005</v>
      </c>
      <c r="I70" s="255">
        <v>0</v>
      </c>
      <c r="J70" s="255">
        <v>70166.740000000005</v>
      </c>
      <c r="L70" s="66">
        <v>40.869999999999997</v>
      </c>
      <c r="M70" s="30"/>
      <c r="N70" s="255">
        <f t="shared" si="0"/>
        <v>85009.599999999991</v>
      </c>
      <c r="O70" s="255">
        <f t="shared" si="1"/>
        <v>0</v>
      </c>
      <c r="P70" s="34">
        <f t="shared" si="2"/>
        <v>85009.599999999991</v>
      </c>
      <c r="Q70" s="31"/>
      <c r="R70" s="35">
        <f t="shared" si="3"/>
        <v>14842.859999999986</v>
      </c>
    </row>
    <row r="71" spans="1:19">
      <c r="A71" s="68">
        <f t="shared" si="4"/>
        <v>58</v>
      </c>
      <c r="C71" s="68">
        <f t="shared" si="4"/>
        <v>58</v>
      </c>
      <c r="D71" s="254"/>
      <c r="E71" s="66">
        <v>928</v>
      </c>
      <c r="F71" s="66">
        <v>0</v>
      </c>
      <c r="H71" s="255">
        <v>34048.949999999997</v>
      </c>
      <c r="I71" s="255">
        <v>0</v>
      </c>
      <c r="J71" s="255">
        <v>34048.949999999997</v>
      </c>
      <c r="M71" s="30"/>
      <c r="N71" s="255" t="s">
        <v>68</v>
      </c>
      <c r="O71" s="255" t="s">
        <v>68</v>
      </c>
      <c r="P71" s="34">
        <f t="shared" si="2"/>
        <v>0</v>
      </c>
      <c r="Q71" s="31"/>
      <c r="R71" s="35">
        <f t="shared" si="3"/>
        <v>-34048.949999999997</v>
      </c>
      <c r="S71" s="68" t="s">
        <v>70</v>
      </c>
    </row>
    <row r="72" spans="1:19">
      <c r="A72" s="68">
        <f t="shared" si="4"/>
        <v>59</v>
      </c>
      <c r="C72" s="68">
        <f t="shared" si="4"/>
        <v>59</v>
      </c>
      <c r="D72" s="254"/>
      <c r="E72" s="66">
        <v>2088</v>
      </c>
      <c r="F72" s="66">
        <v>0</v>
      </c>
      <c r="H72" s="255">
        <v>61708.34</v>
      </c>
      <c r="I72" s="255">
        <v>0</v>
      </c>
      <c r="J72" s="255">
        <v>61708.34</v>
      </c>
      <c r="L72" s="66">
        <v>34.619999999999997</v>
      </c>
      <c r="M72" s="30"/>
      <c r="N72" s="255">
        <f t="shared" si="0"/>
        <v>72009.599999999991</v>
      </c>
      <c r="O72" s="255">
        <f t="shared" si="1"/>
        <v>0</v>
      </c>
      <c r="P72" s="34">
        <f t="shared" si="2"/>
        <v>72009.599999999991</v>
      </c>
      <c r="Q72" s="31"/>
      <c r="R72" s="35">
        <f t="shared" si="3"/>
        <v>10301.259999999995</v>
      </c>
    </row>
    <row r="73" spans="1:19">
      <c r="A73" s="68">
        <f t="shared" si="4"/>
        <v>60</v>
      </c>
      <c r="C73" s="68">
        <f t="shared" si="4"/>
        <v>60</v>
      </c>
      <c r="H73" s="255"/>
      <c r="I73" s="255"/>
      <c r="J73" s="255"/>
      <c r="L73" s="66">
        <v>102.4</v>
      </c>
      <c r="M73" s="30"/>
      <c r="N73" s="255">
        <f t="shared" si="0"/>
        <v>212992</v>
      </c>
      <c r="O73" s="255">
        <f t="shared" si="1"/>
        <v>0</v>
      </c>
      <c r="P73" s="34">
        <f t="shared" si="2"/>
        <v>212992</v>
      </c>
      <c r="Q73" s="31"/>
      <c r="R73" s="35">
        <f t="shared" si="3"/>
        <v>212992</v>
      </c>
      <c r="S73" s="68" t="s">
        <v>67</v>
      </c>
    </row>
    <row r="74" spans="1:19">
      <c r="A74" s="68">
        <f t="shared" si="4"/>
        <v>61</v>
      </c>
      <c r="C74" s="68">
        <f t="shared" si="4"/>
        <v>61</v>
      </c>
      <c r="D74" s="254"/>
      <c r="E74" s="66">
        <v>2080</v>
      </c>
      <c r="F74" s="66">
        <v>6.91</v>
      </c>
      <c r="H74" s="255">
        <v>46430.07</v>
      </c>
      <c r="I74" s="255">
        <v>228.31</v>
      </c>
      <c r="J74" s="255">
        <v>46658.38</v>
      </c>
      <c r="L74" s="66">
        <v>25.62</v>
      </c>
      <c r="M74" s="30"/>
      <c r="N74" s="255">
        <f t="shared" si="0"/>
        <v>53289.599999999999</v>
      </c>
      <c r="O74" s="255">
        <f t="shared" si="1"/>
        <v>265.55129999999997</v>
      </c>
      <c r="P74" s="34">
        <f t="shared" si="2"/>
        <v>53555.151299999998</v>
      </c>
      <c r="Q74" s="31"/>
      <c r="R74" s="35">
        <f t="shared" si="3"/>
        <v>6896.7713000000003</v>
      </c>
    </row>
    <row r="75" spans="1:19">
      <c r="A75" s="68">
        <f t="shared" si="4"/>
        <v>62</v>
      </c>
      <c r="C75" s="68">
        <f t="shared" si="4"/>
        <v>62</v>
      </c>
      <c r="D75" s="254"/>
      <c r="E75" s="66">
        <v>2080</v>
      </c>
      <c r="F75" s="66">
        <v>124</v>
      </c>
      <c r="H75" s="255">
        <v>52407.360000000001</v>
      </c>
      <c r="I75" s="255">
        <v>4575.83</v>
      </c>
      <c r="J75" s="255">
        <v>56983.19</v>
      </c>
      <c r="L75" s="66">
        <v>35.33</v>
      </c>
      <c r="M75" s="30"/>
      <c r="N75" s="255">
        <f t="shared" si="0"/>
        <v>73486.399999999994</v>
      </c>
      <c r="O75" s="255">
        <f t="shared" si="1"/>
        <v>6571.38</v>
      </c>
      <c r="P75" s="34">
        <f t="shared" si="2"/>
        <v>80057.78</v>
      </c>
      <c r="Q75" s="31"/>
      <c r="R75" s="35">
        <f t="shared" si="3"/>
        <v>23074.589999999997</v>
      </c>
    </row>
    <row r="76" spans="1:19">
      <c r="A76" s="68">
        <f t="shared" si="4"/>
        <v>63</v>
      </c>
      <c r="C76" s="68">
        <f t="shared" si="4"/>
        <v>63</v>
      </c>
      <c r="D76" s="254"/>
      <c r="E76" s="66">
        <v>2080</v>
      </c>
      <c r="F76" s="66">
        <v>28</v>
      </c>
      <c r="H76" s="255">
        <v>52839.09</v>
      </c>
      <c r="I76" s="255">
        <v>1074.74</v>
      </c>
      <c r="J76" s="255">
        <v>53913.83</v>
      </c>
      <c r="L76" s="66">
        <v>27.25</v>
      </c>
      <c r="M76" s="30"/>
      <c r="N76" s="255">
        <f t="shared" si="0"/>
        <v>56680</v>
      </c>
      <c r="O76" s="255">
        <f t="shared" si="1"/>
        <v>1144.5</v>
      </c>
      <c r="P76" s="34">
        <f t="shared" si="2"/>
        <v>57824.5</v>
      </c>
      <c r="Q76" s="31"/>
      <c r="R76" s="35">
        <f t="shared" si="3"/>
        <v>3910.6699999999983</v>
      </c>
    </row>
    <row r="77" spans="1:19">
      <c r="A77" s="68">
        <f t="shared" si="4"/>
        <v>64</v>
      </c>
      <c r="C77" s="68">
        <f t="shared" si="4"/>
        <v>64</v>
      </c>
      <c r="D77" s="254"/>
      <c r="E77" s="66">
        <v>2078.25</v>
      </c>
      <c r="F77" s="66">
        <v>8</v>
      </c>
      <c r="H77" s="255">
        <v>52793.64</v>
      </c>
      <c r="I77" s="255">
        <v>298.7</v>
      </c>
      <c r="J77" s="255">
        <v>53092.34</v>
      </c>
      <c r="L77" s="66">
        <v>27.25</v>
      </c>
      <c r="M77" s="30"/>
      <c r="N77" s="255">
        <f t="shared" si="0"/>
        <v>56680</v>
      </c>
      <c r="O77" s="255">
        <f t="shared" si="1"/>
        <v>327</v>
      </c>
      <c r="P77" s="34">
        <f t="shared" si="2"/>
        <v>57007</v>
      </c>
      <c r="Q77" s="31"/>
      <c r="R77" s="35">
        <f t="shared" si="3"/>
        <v>3914.6600000000035</v>
      </c>
    </row>
    <row r="78" spans="1:19">
      <c r="A78" s="68">
        <f t="shared" si="4"/>
        <v>65</v>
      </c>
      <c r="C78" s="68">
        <f t="shared" si="4"/>
        <v>65</v>
      </c>
      <c r="D78" s="254"/>
      <c r="E78" s="66">
        <v>2080</v>
      </c>
      <c r="F78" s="66">
        <v>397</v>
      </c>
      <c r="H78" s="255">
        <v>63834.85</v>
      </c>
      <c r="I78" s="255">
        <v>18199.46</v>
      </c>
      <c r="J78" s="255">
        <v>82034.31</v>
      </c>
      <c r="L78" s="66">
        <v>40.380000000000003</v>
      </c>
      <c r="M78" s="30"/>
      <c r="N78" s="255">
        <f t="shared" ref="N78" si="5">2080*L78</f>
        <v>83990.400000000009</v>
      </c>
      <c r="O78" s="255">
        <f t="shared" si="1"/>
        <v>24046.29</v>
      </c>
      <c r="P78" s="34">
        <f t="shared" si="2"/>
        <v>108036.69</v>
      </c>
      <c r="Q78" s="31"/>
      <c r="R78" s="35">
        <f t="shared" si="3"/>
        <v>26002.380000000005</v>
      </c>
    </row>
    <row r="79" spans="1:19">
      <c r="M79" s="30"/>
      <c r="N79" s="255"/>
      <c r="O79" s="255"/>
      <c r="P79" s="255"/>
      <c r="Q79" s="31"/>
    </row>
    <row r="80" spans="1:19">
      <c r="A80" s="90" t="s">
        <v>73</v>
      </c>
      <c r="B80" s="90"/>
      <c r="C80" s="90"/>
      <c r="D80" s="90"/>
      <c r="E80" s="90">
        <f t="shared" ref="E80:F80" si="6">SUM(E14:E79)</f>
        <v>110547.25</v>
      </c>
      <c r="F80" s="90">
        <f t="shared" si="6"/>
        <v>7118.16</v>
      </c>
      <c r="G80" s="90"/>
      <c r="H80" s="259">
        <f>SUM(H14:H79)</f>
        <v>3257734.5799999996</v>
      </c>
      <c r="I80" s="259">
        <f t="shared" ref="I80:J80" si="7">SUM(I14:I79)</f>
        <v>303458.41000000003</v>
      </c>
      <c r="J80" s="259">
        <f t="shared" si="7"/>
        <v>3561192.9899999993</v>
      </c>
      <c r="K80" s="90"/>
      <c r="L80" s="90"/>
      <c r="M80" s="30"/>
      <c r="N80" s="259">
        <f t="shared" ref="N80:P80" si="8">SUM(N14:N79)</f>
        <v>4102862.3999999985</v>
      </c>
      <c r="O80" s="259">
        <f t="shared" si="8"/>
        <v>391234.49115000002</v>
      </c>
      <c r="P80" s="259">
        <f t="shared" si="8"/>
        <v>4494096.8911500005</v>
      </c>
      <c r="Q80" s="31"/>
      <c r="R80" s="299">
        <f>SUM(R14:R79)</f>
        <v>932903.90115000028</v>
      </c>
    </row>
    <row r="82" spans="1:20">
      <c r="C82" s="66" t="s">
        <v>146</v>
      </c>
      <c r="H82" s="98">
        <v>2230366</v>
      </c>
      <c r="J82" s="256">
        <f>H82/$H$85</f>
        <v>0.62629742336346272</v>
      </c>
      <c r="R82" s="98">
        <f>J82*$R$80</f>
        <v>584275.30953596765</v>
      </c>
    </row>
    <row r="83" spans="1:20">
      <c r="C83" s="66" t="s">
        <v>147</v>
      </c>
      <c r="H83" s="98">
        <v>1143040</v>
      </c>
      <c r="J83" s="256">
        <f t="shared" ref="J83:J84" si="9">H83/$H$85</f>
        <v>0.32097109030597332</v>
      </c>
      <c r="R83" s="98">
        <f t="shared" ref="R83:R84" si="10">J83*$R$80</f>
        <v>299435.18230281153</v>
      </c>
    </row>
    <row r="84" spans="1:20">
      <c r="C84" s="66" t="s">
        <v>148</v>
      </c>
      <c r="H84" s="257">
        <v>187787</v>
      </c>
      <c r="J84" s="256">
        <f t="shared" si="9"/>
        <v>5.2731486330563945E-2</v>
      </c>
      <c r="R84" s="257">
        <f t="shared" si="10"/>
        <v>49193.409311221018</v>
      </c>
    </row>
    <row r="85" spans="1:20">
      <c r="C85" s="66" t="s">
        <v>149</v>
      </c>
      <c r="H85" s="98">
        <f>SUM(H82:H84)</f>
        <v>3561193</v>
      </c>
      <c r="R85" s="98">
        <f>SUM(R82:R84)</f>
        <v>932903.90115000017</v>
      </c>
    </row>
    <row r="89" spans="1:20" s="2" customFormat="1">
      <c r="A89" s="5"/>
      <c r="C89" s="36" t="s">
        <v>74</v>
      </c>
      <c r="E89" s="5"/>
      <c r="F89" s="24"/>
      <c r="G89" s="24"/>
      <c r="H89" s="66"/>
      <c r="I89" s="37"/>
      <c r="J89" s="37"/>
      <c r="K89" s="37"/>
      <c r="L89" s="66"/>
      <c r="M89" s="66"/>
      <c r="N89" s="66"/>
      <c r="O89" s="38"/>
      <c r="P89" s="38"/>
      <c r="Q89" s="38"/>
      <c r="R89" s="38"/>
      <c r="S89" s="5"/>
      <c r="T89" s="5"/>
    </row>
    <row r="90" spans="1:20" s="2" customFormat="1">
      <c r="A90" s="5"/>
      <c r="C90" s="5" t="s">
        <v>70</v>
      </c>
      <c r="E90" s="5"/>
      <c r="F90" s="2" t="s">
        <v>75</v>
      </c>
      <c r="L90" s="66"/>
      <c r="M90" s="66"/>
      <c r="N90" s="66"/>
      <c r="S90" s="5"/>
      <c r="T90" s="5"/>
    </row>
    <row r="91" spans="1:20" s="2" customFormat="1">
      <c r="A91" s="5"/>
      <c r="C91" s="5" t="s">
        <v>72</v>
      </c>
      <c r="E91" s="5"/>
      <c r="F91" s="2" t="s">
        <v>76</v>
      </c>
      <c r="S91" s="5"/>
      <c r="T91" s="5"/>
    </row>
    <row r="92" spans="1:20" s="2" customFormat="1">
      <c r="A92" s="5"/>
      <c r="C92" s="5" t="s">
        <v>69</v>
      </c>
      <c r="E92" s="5"/>
      <c r="F92" s="2" t="s">
        <v>77</v>
      </c>
      <c r="J92" s="2" t="s">
        <v>80</v>
      </c>
      <c r="S92" s="5"/>
      <c r="T92" s="5"/>
    </row>
    <row r="93" spans="1:20">
      <c r="C93" s="5" t="s">
        <v>71</v>
      </c>
      <c r="F93" s="2" t="s">
        <v>78</v>
      </c>
    </row>
    <row r="94" spans="1:20">
      <c r="C94" s="5" t="s">
        <v>67</v>
      </c>
      <c r="F94" s="2" t="s">
        <v>79</v>
      </c>
    </row>
    <row r="97" spans="1:5">
      <c r="A97" s="68" t="s">
        <v>142</v>
      </c>
      <c r="C97" s="66" t="s">
        <v>144</v>
      </c>
    </row>
    <row r="98" spans="1:5">
      <c r="A98" s="36" t="s">
        <v>143</v>
      </c>
      <c r="C98" s="76" t="s">
        <v>145</v>
      </c>
    </row>
    <row r="99" spans="1:5">
      <c r="A99" s="166">
        <v>10720</v>
      </c>
      <c r="C99" s="258">
        <v>0.27140472817115968</v>
      </c>
      <c r="E99" s="98">
        <f>C99*$R$80</f>
        <v>253194.52970143023</v>
      </c>
    </row>
    <row r="100" spans="1:5">
      <c r="A100" s="166">
        <v>10880</v>
      </c>
      <c r="C100" s="258">
        <v>4.3902550700088971E-2</v>
      </c>
      <c r="E100" s="98">
        <f t="shared" ref="E100:E128" si="11">C100*$R$80</f>
        <v>40956.860818548681</v>
      </c>
    </row>
    <row r="101" spans="1:5">
      <c r="A101" s="66">
        <v>16300</v>
      </c>
      <c r="C101" s="258">
        <v>3.4999946969816516E-2</v>
      </c>
      <c r="E101" s="98">
        <f t="shared" si="11"/>
        <v>32651.587068184959</v>
      </c>
    </row>
    <row r="102" spans="1:5">
      <c r="A102" s="66">
        <v>184.1</v>
      </c>
      <c r="C102" s="258">
        <v>4.0144392135701396E-2</v>
      </c>
      <c r="E102" s="98">
        <f t="shared" si="11"/>
        <v>37450.86003269122</v>
      </c>
    </row>
    <row r="103" spans="1:5">
      <c r="A103" s="66">
        <v>242.2</v>
      </c>
      <c r="C103" s="258">
        <v>0</v>
      </c>
      <c r="E103" s="98">
        <f t="shared" si="11"/>
        <v>0</v>
      </c>
    </row>
    <row r="104" spans="1:5">
      <c r="A104" s="66">
        <v>390.1</v>
      </c>
      <c r="C104" s="258">
        <v>0</v>
      </c>
      <c r="E104" s="98">
        <f t="shared" si="11"/>
        <v>0</v>
      </c>
    </row>
    <row r="105" spans="1:5">
      <c r="A105" s="66">
        <v>390.4</v>
      </c>
      <c r="C105" s="258">
        <v>0</v>
      </c>
      <c r="E105" s="98">
        <f t="shared" si="11"/>
        <v>0</v>
      </c>
    </row>
    <row r="106" spans="1:5">
      <c r="A106" s="66">
        <v>580</v>
      </c>
      <c r="C106" s="258">
        <v>1.7852080969070986E-2</v>
      </c>
      <c r="E106" s="98">
        <f t="shared" si="11"/>
        <v>16654.275979692</v>
      </c>
    </row>
    <row r="107" spans="1:5">
      <c r="A107" s="66">
        <v>582</v>
      </c>
      <c r="C107" s="258">
        <v>0</v>
      </c>
      <c r="E107" s="98">
        <f t="shared" si="11"/>
        <v>0</v>
      </c>
    </row>
    <row r="108" spans="1:5">
      <c r="A108" s="66">
        <v>583</v>
      </c>
      <c r="C108" s="258">
        <v>9.8114350148730267E-2</v>
      </c>
      <c r="E108" s="98">
        <f t="shared" si="11"/>
        <v>91531.260012547573</v>
      </c>
    </row>
    <row r="109" spans="1:5">
      <c r="A109" s="166">
        <v>584</v>
      </c>
      <c r="C109" s="258">
        <v>0</v>
      </c>
      <c r="E109" s="98">
        <f t="shared" si="11"/>
        <v>0</v>
      </c>
    </row>
    <row r="110" spans="1:5">
      <c r="A110" s="66">
        <v>586</v>
      </c>
      <c r="C110" s="258">
        <v>4.8392241244393348E-2</v>
      </c>
      <c r="E110" s="98">
        <f t="shared" si="11"/>
        <v>45145.310642286502</v>
      </c>
    </row>
    <row r="111" spans="1:5">
      <c r="A111" s="66">
        <v>587</v>
      </c>
      <c r="C111" s="258">
        <v>2.0891305455667675E-4</v>
      </c>
      <c r="E111" s="98">
        <f t="shared" si="11"/>
        <v>194.89580359708657</v>
      </c>
    </row>
    <row r="112" spans="1:5">
      <c r="A112" s="66">
        <v>588</v>
      </c>
      <c r="C112" s="258">
        <v>9.3009509475976415E-3</v>
      </c>
      <c r="E112" s="98">
        <f t="shared" si="11"/>
        <v>8676.8934234186308</v>
      </c>
    </row>
    <row r="113" spans="1:5">
      <c r="A113" s="66">
        <v>590</v>
      </c>
      <c r="C113" s="258">
        <v>1.7690429448773231E-2</v>
      </c>
      <c r="E113" s="98">
        <f t="shared" si="11"/>
        <v>16503.470645779395</v>
      </c>
    </row>
    <row r="114" spans="1:5">
      <c r="A114" s="66">
        <v>593</v>
      </c>
      <c r="C114" s="258">
        <v>0.14853795784126284</v>
      </c>
      <c r="E114" s="98">
        <f t="shared" si="11"/>
        <v>138571.64033896837</v>
      </c>
    </row>
    <row r="115" spans="1:5">
      <c r="A115" s="166">
        <v>594</v>
      </c>
      <c r="C115" s="258">
        <v>3.4208348606457322E-4</v>
      </c>
      <c r="E115" s="98">
        <f t="shared" si="11"/>
        <v>319.13101866863212</v>
      </c>
    </row>
    <row r="116" spans="1:5">
      <c r="A116" s="66">
        <v>595</v>
      </c>
      <c r="C116" s="258">
        <v>7.9868630007892444E-4</v>
      </c>
      <c r="E116" s="98">
        <f t="shared" si="11"/>
        <v>745.09756513868842</v>
      </c>
    </row>
    <row r="117" spans="1:5">
      <c r="A117" s="66">
        <v>597</v>
      </c>
      <c r="C117" s="258">
        <v>0</v>
      </c>
      <c r="E117" s="98">
        <f t="shared" si="11"/>
        <v>0</v>
      </c>
    </row>
    <row r="118" spans="1:5">
      <c r="A118" s="66">
        <v>598</v>
      </c>
      <c r="C118" s="258">
        <v>0</v>
      </c>
      <c r="E118" s="98">
        <f t="shared" si="11"/>
        <v>0</v>
      </c>
    </row>
    <row r="119" spans="1:5">
      <c r="A119" s="66">
        <v>598</v>
      </c>
      <c r="C119" s="258">
        <v>5.2228263639169184E-4</v>
      </c>
      <c r="E119" s="98">
        <f t="shared" si="11"/>
        <v>487.23950899271642</v>
      </c>
    </row>
    <row r="120" spans="1:5">
      <c r="A120" s="66">
        <v>902</v>
      </c>
      <c r="C120" s="258">
        <v>1.4897834117964481E-2</v>
      </c>
      <c r="E120" s="98">
        <f t="shared" si="11"/>
        <v>13898.247567334638</v>
      </c>
    </row>
    <row r="121" spans="1:5">
      <c r="A121" s="66">
        <v>903</v>
      </c>
      <c r="C121" s="258">
        <v>9.182251289086156E-2</v>
      </c>
      <c r="E121" s="98">
        <f t="shared" si="11"/>
        <v>85661.580489280939</v>
      </c>
    </row>
    <row r="122" spans="1:5">
      <c r="A122" s="66">
        <v>907</v>
      </c>
      <c r="C122" s="258">
        <v>1.8002221059294731E-2</v>
      </c>
      <c r="E122" s="98">
        <f t="shared" si="11"/>
        <v>16794.342255580745</v>
      </c>
    </row>
    <row r="123" spans="1:5">
      <c r="A123" s="66">
        <v>908</v>
      </c>
      <c r="C123" s="258">
        <v>0</v>
      </c>
      <c r="E123" s="98">
        <f t="shared" si="11"/>
        <v>0</v>
      </c>
    </row>
    <row r="124" spans="1:5">
      <c r="A124" s="66">
        <v>920</v>
      </c>
      <c r="C124" s="258">
        <v>0.114342284742078</v>
      </c>
      <c r="E124" s="98">
        <f t="shared" si="11"/>
        <v>106670.36350228872</v>
      </c>
    </row>
    <row r="125" spans="1:5">
      <c r="A125" s="66">
        <v>925</v>
      </c>
      <c r="C125" s="258">
        <v>1.1178167706273834E-2</v>
      </c>
      <c r="E125" s="98">
        <f t="shared" si="11"/>
        <v>10428.15626089181</v>
      </c>
    </row>
    <row r="126" spans="1:5">
      <c r="A126" s="66">
        <v>926</v>
      </c>
      <c r="C126" s="258">
        <v>1.3192874916283448E-4</v>
      </c>
      <c r="E126" s="98">
        <f t="shared" si="11"/>
        <v>123.07684476784813</v>
      </c>
    </row>
    <row r="127" spans="1:5">
      <c r="A127" s="66">
        <v>930.4</v>
      </c>
      <c r="C127" s="258">
        <v>0</v>
      </c>
      <c r="E127" s="98">
        <f t="shared" si="11"/>
        <v>0</v>
      </c>
    </row>
    <row r="128" spans="1:5">
      <c r="A128" s="66">
        <v>935</v>
      </c>
      <c r="C128" s="258">
        <v>1.7413456680677845E-2</v>
      </c>
      <c r="E128" s="98">
        <f t="shared" si="11"/>
        <v>16245.081669910896</v>
      </c>
    </row>
    <row r="129" spans="3:5">
      <c r="C129" s="258"/>
    </row>
    <row r="130" spans="3:5">
      <c r="C130" s="258">
        <v>0.99999999999999978</v>
      </c>
      <c r="E130" s="98">
        <f>SUM(E99:E129)</f>
        <v>932903.90115000051</v>
      </c>
    </row>
  </sheetData>
  <mergeCells count="11">
    <mergeCell ref="A4:S4"/>
    <mergeCell ref="A5:S5"/>
    <mergeCell ref="A7:S7"/>
    <mergeCell ref="S10:S11"/>
    <mergeCell ref="A10:A11"/>
    <mergeCell ref="C10:C11"/>
    <mergeCell ref="E10:F10"/>
    <mergeCell ref="H10:J10"/>
    <mergeCell ref="L10:L11"/>
    <mergeCell ref="N10:P10"/>
    <mergeCell ref="R10:R11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1" manualBreakCount="1">
    <brk id="7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134"/>
  <sheetViews>
    <sheetView view="pageBreakPreview" zoomScale="60" zoomScaleNormal="100" workbookViewId="0">
      <selection activeCell="U1" sqref="U1"/>
    </sheetView>
  </sheetViews>
  <sheetFormatPr defaultColWidth="9.1796875" defaultRowHeight="12.5"/>
  <cols>
    <col min="1" max="1" width="9.7265625" style="68" customWidth="1"/>
    <col min="2" max="2" width="9.7265625" style="66" customWidth="1"/>
    <col min="3" max="3" width="12.54296875" style="66" customWidth="1"/>
    <col min="4" max="13" width="8.26953125" style="66" customWidth="1"/>
    <col min="14" max="14" width="12.26953125" style="66" customWidth="1"/>
    <col min="15" max="15" width="2.81640625" style="66" customWidth="1"/>
    <col min="16" max="16" width="9.1796875" style="66" customWidth="1"/>
    <col min="17" max="17" width="11.26953125" style="66" customWidth="1"/>
    <col min="18" max="18" width="9.453125" style="66" customWidth="1"/>
    <col min="19" max="19" width="2.453125" style="66" customWidth="1"/>
    <col min="20" max="20" width="12.1796875" style="66" customWidth="1"/>
    <col min="21" max="21" width="4.7265625" style="68" bestFit="1" customWidth="1"/>
    <col min="22" max="16384" width="9.1796875" style="66"/>
  </cols>
  <sheetData>
    <row r="1" spans="1:21" ht="13">
      <c r="U1" s="163" t="str">
        <f>+'AG Summary'!D1</f>
        <v>Exhibit JD-1</v>
      </c>
    </row>
    <row r="2" spans="1:21" ht="13">
      <c r="G2" s="26"/>
      <c r="M2" s="26"/>
      <c r="U2" s="26" t="s">
        <v>102</v>
      </c>
    </row>
    <row r="3" spans="1:21" ht="13">
      <c r="G3" s="26"/>
      <c r="H3" s="26"/>
    </row>
    <row r="4" spans="1:21" ht="13">
      <c r="G4" s="26"/>
      <c r="H4" s="26"/>
    </row>
    <row r="5" spans="1:21" ht="13">
      <c r="A5" s="347" t="str">
        <f>RevReq!A1</f>
        <v>TAYLOR COUNTY RECC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</row>
    <row r="6" spans="1:21" ht="13">
      <c r="A6" s="347" t="str">
        <f>RevReq!A3</f>
        <v>For the 12 Months Ended December 31, 2021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</row>
    <row r="8" spans="1:21" s="42" customFormat="1" ht="13">
      <c r="A8" s="345" t="s">
        <v>103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</row>
    <row r="9" spans="1:21" s="42" customFormat="1" ht="1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U9" s="224"/>
    </row>
    <row r="10" spans="1:21" ht="14.25" customHeight="1">
      <c r="P10" s="72"/>
      <c r="Q10" s="255"/>
      <c r="R10" s="260"/>
      <c r="S10" s="260"/>
      <c r="T10" s="72"/>
      <c r="U10" s="5"/>
    </row>
    <row r="11" spans="1:21" ht="14.25" customHeight="1">
      <c r="P11" s="351" t="s">
        <v>121</v>
      </c>
      <c r="Q11" s="351"/>
      <c r="R11" s="351"/>
      <c r="S11" s="5"/>
      <c r="T11" s="72"/>
      <c r="U11" s="5"/>
    </row>
    <row r="12" spans="1:21" ht="14.25" customHeight="1">
      <c r="A12" s="49"/>
      <c r="B12" s="353" t="s">
        <v>119</v>
      </c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P12" s="352" t="s">
        <v>60</v>
      </c>
      <c r="Q12" s="29"/>
      <c r="R12" s="352" t="s">
        <v>120</v>
      </c>
      <c r="S12" s="29"/>
      <c r="T12" s="352" t="s">
        <v>62</v>
      </c>
      <c r="U12" s="350" t="s">
        <v>63</v>
      </c>
    </row>
    <row r="13" spans="1:21" ht="29.25" customHeight="1">
      <c r="A13" s="132" t="s">
        <v>104</v>
      </c>
      <c r="B13" s="132" t="s">
        <v>105</v>
      </c>
      <c r="C13" s="132" t="s">
        <v>106</v>
      </c>
      <c r="D13" s="132" t="s">
        <v>107</v>
      </c>
      <c r="E13" s="132" t="s">
        <v>108</v>
      </c>
      <c r="F13" s="132" t="s">
        <v>109</v>
      </c>
      <c r="G13" s="132" t="s">
        <v>110</v>
      </c>
      <c r="H13" s="132" t="s">
        <v>111</v>
      </c>
      <c r="I13" s="132" t="s">
        <v>112</v>
      </c>
      <c r="J13" s="132" t="s">
        <v>113</v>
      </c>
      <c r="K13" s="132" t="s">
        <v>114</v>
      </c>
      <c r="L13" s="132" t="s">
        <v>115</v>
      </c>
      <c r="M13" s="132" t="s">
        <v>116</v>
      </c>
      <c r="N13" s="132" t="s">
        <v>66</v>
      </c>
      <c r="P13" s="354"/>
      <c r="Q13" s="73" t="s">
        <v>471</v>
      </c>
      <c r="R13" s="354"/>
      <c r="S13" s="73"/>
      <c r="T13" s="354"/>
      <c r="U13" s="351"/>
    </row>
    <row r="14" spans="1:21" ht="18" customHeight="1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P14" s="29"/>
      <c r="Q14" s="29"/>
      <c r="R14" s="29"/>
      <c r="S14" s="29"/>
      <c r="T14" s="29"/>
      <c r="U14" s="5"/>
    </row>
    <row r="15" spans="1:21">
      <c r="A15" s="66">
        <v>1</v>
      </c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P15" s="66">
        <v>22.26</v>
      </c>
      <c r="Q15" s="34">
        <f>2080*P15</f>
        <v>46300.800000000003</v>
      </c>
      <c r="R15" s="34">
        <f>Q15*16%</f>
        <v>7408.1280000000006</v>
      </c>
      <c r="S15" s="34"/>
      <c r="T15" s="35">
        <f>R15-N15</f>
        <v>7408.1280000000006</v>
      </c>
      <c r="U15" s="68" t="s">
        <v>67</v>
      </c>
    </row>
    <row r="16" spans="1:21">
      <c r="A16" s="66">
        <f>1+A15</f>
        <v>2</v>
      </c>
      <c r="B16" s="255">
        <v>531.26</v>
      </c>
      <c r="C16" s="255">
        <v>531.26</v>
      </c>
      <c r="D16" s="255">
        <v>531.26</v>
      </c>
      <c r="E16" s="255">
        <v>531.26</v>
      </c>
      <c r="F16" s="255">
        <v>531.26</v>
      </c>
      <c r="G16" s="255">
        <v>531.26</v>
      </c>
      <c r="H16" s="255">
        <v>531.26</v>
      </c>
      <c r="I16" s="255">
        <v>531.26</v>
      </c>
      <c r="J16" s="255">
        <v>531.26</v>
      </c>
      <c r="K16" s="255">
        <v>531.26</v>
      </c>
      <c r="L16" s="255">
        <v>531.26</v>
      </c>
      <c r="M16" s="255">
        <v>545.84</v>
      </c>
      <c r="N16" s="255">
        <f>SUM(B16:M16)</f>
        <v>6389.7000000000016</v>
      </c>
      <c r="P16" s="66">
        <v>35.659999999999997</v>
      </c>
      <c r="Q16" s="34">
        <f>2080*P16</f>
        <v>74172.799999999988</v>
      </c>
      <c r="R16" s="34">
        <f>Q16*16%</f>
        <v>11867.647999999999</v>
      </c>
      <c r="S16" s="34"/>
      <c r="T16" s="35">
        <f t="shared" ref="T16:T79" si="0">R16-N16</f>
        <v>5477.9479999999976</v>
      </c>
    </row>
    <row r="17" spans="1:21">
      <c r="A17" s="66">
        <f t="shared" ref="A17:A79" si="1">1+A16</f>
        <v>3</v>
      </c>
      <c r="B17" s="255">
        <v>659.16</v>
      </c>
      <c r="C17" s="255">
        <v>659.16</v>
      </c>
      <c r="D17" s="255">
        <v>659.16</v>
      </c>
      <c r="E17" s="255">
        <v>659.16</v>
      </c>
      <c r="F17" s="255">
        <v>659.16</v>
      </c>
      <c r="G17" s="255">
        <v>659.16</v>
      </c>
      <c r="H17" s="255">
        <v>659.16</v>
      </c>
      <c r="I17" s="255">
        <v>659.16</v>
      </c>
      <c r="J17" s="255">
        <v>659.16</v>
      </c>
      <c r="K17" s="255">
        <v>659.16</v>
      </c>
      <c r="L17" s="255">
        <v>659.16</v>
      </c>
      <c r="M17" s="255">
        <v>675.66</v>
      </c>
      <c r="N17" s="255">
        <f t="shared" ref="N17:N79" si="2">SUM(B17:M17)</f>
        <v>7926.4199999999992</v>
      </c>
      <c r="P17" s="66">
        <v>40.15</v>
      </c>
      <c r="Q17" s="34">
        <f>2080*P17</f>
        <v>83512</v>
      </c>
      <c r="R17" s="34">
        <f>Q17*16%</f>
        <v>13361.92</v>
      </c>
      <c r="S17" s="34"/>
      <c r="T17" s="35">
        <f t="shared" si="0"/>
        <v>5435.5000000000009</v>
      </c>
    </row>
    <row r="18" spans="1:21">
      <c r="A18" s="66">
        <f t="shared" si="1"/>
        <v>4</v>
      </c>
      <c r="B18" s="255">
        <v>473.68</v>
      </c>
      <c r="C18" s="255">
        <v>456.09</v>
      </c>
      <c r="D18" s="255">
        <v>526.48</v>
      </c>
      <c r="E18" s="255">
        <v>608.6</v>
      </c>
      <c r="F18" s="255">
        <v>473.68</v>
      </c>
      <c r="G18" s="255">
        <v>539.54999999999995</v>
      </c>
      <c r="H18" s="255">
        <v>598.4</v>
      </c>
      <c r="I18" s="255">
        <v>487.7</v>
      </c>
      <c r="J18" s="255">
        <v>616.35</v>
      </c>
      <c r="K18" s="255">
        <v>487.7</v>
      </c>
      <c r="L18" s="255">
        <v>498.92</v>
      </c>
      <c r="M18" s="255">
        <v>1096.77</v>
      </c>
      <c r="N18" s="255">
        <f t="shared" si="2"/>
        <v>6863.92</v>
      </c>
      <c r="O18" s="131"/>
      <c r="Q18" s="34" t="s">
        <v>68</v>
      </c>
      <c r="R18" s="34"/>
      <c r="S18" s="34"/>
      <c r="T18" s="35">
        <f t="shared" si="0"/>
        <v>-6863.92</v>
      </c>
      <c r="U18" s="68" t="s">
        <v>69</v>
      </c>
    </row>
    <row r="19" spans="1:21">
      <c r="A19" s="66">
        <f t="shared" si="1"/>
        <v>5</v>
      </c>
      <c r="B19" s="255">
        <v>300.2</v>
      </c>
      <c r="C19" s="255">
        <v>386.56</v>
      </c>
      <c r="D19" s="255">
        <v>311.51</v>
      </c>
      <c r="E19" s="255">
        <v>345.79</v>
      </c>
      <c r="F19" s="255">
        <v>284.87</v>
      </c>
      <c r="G19" s="255">
        <v>781.3</v>
      </c>
      <c r="H19" s="255">
        <v>455.17</v>
      </c>
      <c r="I19" s="255">
        <v>459.41</v>
      </c>
      <c r="J19" s="255">
        <v>451.99</v>
      </c>
      <c r="K19" s="255">
        <v>364.13</v>
      </c>
      <c r="L19" s="255">
        <v>360.95</v>
      </c>
      <c r="M19" s="255">
        <v>657.6</v>
      </c>
      <c r="N19" s="255">
        <f t="shared" si="2"/>
        <v>5159.4799999999996</v>
      </c>
      <c r="O19" s="131"/>
      <c r="P19" s="66">
        <v>35.33</v>
      </c>
      <c r="Q19" s="34">
        <f>2080*P19</f>
        <v>73486.399999999994</v>
      </c>
      <c r="R19" s="34">
        <f>Q19*16%</f>
        <v>11757.823999999999</v>
      </c>
      <c r="S19" s="34"/>
      <c r="T19" s="35">
        <f t="shared" si="0"/>
        <v>6598.3439999999991</v>
      </c>
    </row>
    <row r="20" spans="1:21">
      <c r="A20" s="66">
        <f t="shared" si="1"/>
        <v>6</v>
      </c>
      <c r="B20" s="255">
        <v>469.28</v>
      </c>
      <c r="C20" s="255">
        <v>469.28</v>
      </c>
      <c r="D20" s="255">
        <v>469.28</v>
      </c>
      <c r="E20" s="255">
        <v>606.4</v>
      </c>
      <c r="F20" s="255">
        <v>623.28</v>
      </c>
      <c r="G20" s="255">
        <v>985.07</v>
      </c>
      <c r="H20" s="255">
        <v>715.08</v>
      </c>
      <c r="I20" s="255">
        <v>539.29999999999995</v>
      </c>
      <c r="J20" s="255">
        <v>672.45</v>
      </c>
      <c r="K20" s="255">
        <v>568.48</v>
      </c>
      <c r="L20" s="255">
        <v>617.84</v>
      </c>
      <c r="M20" s="255">
        <v>972.68</v>
      </c>
      <c r="N20" s="255">
        <f t="shared" si="2"/>
        <v>7708.42</v>
      </c>
      <c r="O20" s="131"/>
      <c r="P20" s="66">
        <v>38.11</v>
      </c>
      <c r="Q20" s="34">
        <f>2080*P20</f>
        <v>79268.800000000003</v>
      </c>
      <c r="R20" s="34">
        <f>Q20*16%</f>
        <v>12683.008000000002</v>
      </c>
      <c r="S20" s="34"/>
      <c r="T20" s="35">
        <f t="shared" si="0"/>
        <v>4974.5880000000016</v>
      </c>
    </row>
    <row r="21" spans="1:21">
      <c r="A21" s="66">
        <f t="shared" si="1"/>
        <v>7</v>
      </c>
      <c r="B21" s="255">
        <v>546.23</v>
      </c>
      <c r="C21" s="255">
        <v>631.54</v>
      </c>
      <c r="D21" s="255">
        <v>595.63</v>
      </c>
      <c r="E21" s="255">
        <v>647.99</v>
      </c>
      <c r="F21" s="255">
        <v>577.66</v>
      </c>
      <c r="G21" s="255">
        <v>709.22</v>
      </c>
      <c r="H21" s="255">
        <v>660.99</v>
      </c>
      <c r="I21" s="255">
        <v>703.76</v>
      </c>
      <c r="J21" s="255">
        <v>720.52</v>
      </c>
      <c r="K21" s="255">
        <v>515.96</v>
      </c>
      <c r="L21" s="255">
        <v>520.54999999999995</v>
      </c>
      <c r="M21" s="255">
        <v>935.83</v>
      </c>
      <c r="N21" s="255">
        <f t="shared" si="2"/>
        <v>7765.880000000001</v>
      </c>
      <c r="O21" s="131"/>
      <c r="P21" s="66">
        <v>40.380000000000003</v>
      </c>
      <c r="Q21" s="34">
        <f>2080*P21</f>
        <v>83990.400000000009</v>
      </c>
      <c r="R21" s="34">
        <f>Q21*16%</f>
        <v>13438.464000000002</v>
      </c>
      <c r="S21" s="34"/>
      <c r="T21" s="35">
        <f t="shared" si="0"/>
        <v>5672.5840000000007</v>
      </c>
    </row>
    <row r="22" spans="1:21">
      <c r="A22" s="66">
        <f t="shared" si="1"/>
        <v>8</v>
      </c>
      <c r="B22" s="255">
        <v>510.31</v>
      </c>
      <c r="C22" s="255">
        <v>752.78</v>
      </c>
      <c r="D22" s="255">
        <v>550.73</v>
      </c>
      <c r="E22" s="255">
        <v>769.25</v>
      </c>
      <c r="F22" s="255">
        <v>667.47</v>
      </c>
      <c r="G22" s="255">
        <v>697.38</v>
      </c>
      <c r="H22" s="255">
        <v>799.92</v>
      </c>
      <c r="I22" s="255"/>
      <c r="J22" s="255"/>
      <c r="K22" s="255"/>
      <c r="L22" s="255">
        <v>488.48</v>
      </c>
      <c r="M22" s="255">
        <v>790.52</v>
      </c>
      <c r="N22" s="255">
        <f t="shared" si="2"/>
        <v>6026.84</v>
      </c>
      <c r="O22" s="131"/>
      <c r="P22" s="66">
        <v>29.61</v>
      </c>
      <c r="Q22" s="34">
        <f>2080*P22</f>
        <v>61588.799999999996</v>
      </c>
      <c r="R22" s="34">
        <f>Q22*16%</f>
        <v>9854.2079999999987</v>
      </c>
      <c r="S22" s="34"/>
      <c r="T22" s="35">
        <f t="shared" si="0"/>
        <v>3827.3679999999986</v>
      </c>
    </row>
    <row r="23" spans="1:21">
      <c r="A23" s="66">
        <f t="shared" si="1"/>
        <v>9</v>
      </c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131"/>
      <c r="P23" s="66">
        <v>23.69</v>
      </c>
      <c r="Q23" s="34">
        <f>2080*P23</f>
        <v>49275.200000000004</v>
      </c>
      <c r="R23" s="34">
        <f>Q23*16%</f>
        <v>7884.0320000000011</v>
      </c>
      <c r="S23" s="34"/>
      <c r="T23" s="35">
        <f t="shared" si="0"/>
        <v>7884.0320000000011</v>
      </c>
      <c r="U23" s="68" t="s">
        <v>67</v>
      </c>
    </row>
    <row r="24" spans="1:21">
      <c r="A24" s="66">
        <f t="shared" si="1"/>
        <v>10</v>
      </c>
      <c r="B24" s="255">
        <v>728.34</v>
      </c>
      <c r="C24" s="255">
        <v>728.34</v>
      </c>
      <c r="D24" s="255">
        <v>728.34</v>
      </c>
      <c r="E24" s="255">
        <v>728.34</v>
      </c>
      <c r="F24" s="255">
        <v>728.34</v>
      </c>
      <c r="G24" s="255">
        <v>728.34</v>
      </c>
      <c r="H24" s="255">
        <v>728.34</v>
      </c>
      <c r="I24" s="255">
        <v>728.34</v>
      </c>
      <c r="J24" s="255">
        <v>728.34</v>
      </c>
      <c r="K24" s="255">
        <v>728.34</v>
      </c>
      <c r="L24" s="255">
        <v>728.34</v>
      </c>
      <c r="M24" s="255">
        <v>746.54</v>
      </c>
      <c r="N24" s="255">
        <f t="shared" si="2"/>
        <v>8758.2800000000007</v>
      </c>
      <c r="O24" s="131"/>
      <c r="Q24" s="34" t="s">
        <v>68</v>
      </c>
      <c r="R24" s="34"/>
      <c r="S24" s="34"/>
      <c r="T24" s="35">
        <f t="shared" si="0"/>
        <v>-8758.2800000000007</v>
      </c>
      <c r="U24" s="68" t="s">
        <v>70</v>
      </c>
    </row>
    <row r="25" spans="1:21">
      <c r="A25" s="66">
        <f t="shared" si="1"/>
        <v>11</v>
      </c>
      <c r="B25" s="255">
        <v>405.12</v>
      </c>
      <c r="C25" s="255">
        <v>435.5</v>
      </c>
      <c r="D25" s="255">
        <v>405.12</v>
      </c>
      <c r="E25" s="255">
        <v>506.4</v>
      </c>
      <c r="F25" s="255">
        <v>405.12</v>
      </c>
      <c r="G25" s="255">
        <v>464.48</v>
      </c>
      <c r="H25" s="255">
        <v>516.6</v>
      </c>
      <c r="I25" s="255">
        <v>413.28</v>
      </c>
      <c r="J25" s="255">
        <v>516.6</v>
      </c>
      <c r="K25" s="255">
        <v>413.28</v>
      </c>
      <c r="L25" s="255">
        <v>413.28</v>
      </c>
      <c r="M25" s="255">
        <v>525.96</v>
      </c>
      <c r="N25" s="255">
        <f t="shared" si="2"/>
        <v>5420.74</v>
      </c>
      <c r="O25" s="131"/>
      <c r="P25" s="66">
        <v>28.68</v>
      </c>
      <c r="Q25" s="34">
        <f>2080*P25</f>
        <v>59654.400000000001</v>
      </c>
      <c r="R25" s="34">
        <f>Q25*16%</f>
        <v>9544.7039999999997</v>
      </c>
      <c r="S25" s="34"/>
      <c r="T25" s="35">
        <f t="shared" si="0"/>
        <v>4123.9639999999999</v>
      </c>
    </row>
    <row r="26" spans="1:21">
      <c r="A26" s="66">
        <f t="shared" si="1"/>
        <v>12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131"/>
      <c r="P26" s="66">
        <v>20.5</v>
      </c>
      <c r="Q26" s="34">
        <f>2080*P26</f>
        <v>42640</v>
      </c>
      <c r="R26" s="34">
        <f>Q26*16%</f>
        <v>6822.4000000000005</v>
      </c>
      <c r="S26" s="34"/>
      <c r="T26" s="35">
        <f t="shared" si="0"/>
        <v>6822.4000000000005</v>
      </c>
      <c r="U26" s="68" t="s">
        <v>67</v>
      </c>
    </row>
    <row r="27" spans="1:21">
      <c r="A27" s="66">
        <f t="shared" si="1"/>
        <v>13</v>
      </c>
      <c r="B27" s="255">
        <v>368.96</v>
      </c>
      <c r="C27" s="255">
        <v>420.85</v>
      </c>
      <c r="D27" s="255">
        <v>368.96</v>
      </c>
      <c r="E27" s="255">
        <v>461.2</v>
      </c>
      <c r="F27" s="255">
        <v>368.96</v>
      </c>
      <c r="G27" s="255">
        <v>422.99</v>
      </c>
      <c r="H27" s="255">
        <v>470.4</v>
      </c>
      <c r="I27" s="255">
        <v>376.32</v>
      </c>
      <c r="J27" s="255">
        <v>470.4</v>
      </c>
      <c r="K27" s="255">
        <v>376.32</v>
      </c>
      <c r="L27" s="255">
        <v>376.32</v>
      </c>
      <c r="M27" s="255">
        <v>534.97</v>
      </c>
      <c r="N27" s="255">
        <f t="shared" si="2"/>
        <v>5016.6500000000005</v>
      </c>
      <c r="O27" s="131"/>
      <c r="P27" s="66">
        <v>25.32</v>
      </c>
      <c r="Q27" s="34">
        <f>2080*P27</f>
        <v>52665.599999999999</v>
      </c>
      <c r="R27" s="34">
        <f>Q27*16%</f>
        <v>8426.4959999999992</v>
      </c>
      <c r="S27" s="34"/>
      <c r="T27" s="35">
        <f t="shared" si="0"/>
        <v>3409.8459999999986</v>
      </c>
    </row>
    <row r="28" spans="1:21">
      <c r="A28" s="66">
        <f t="shared" si="1"/>
        <v>14</v>
      </c>
      <c r="B28" s="255">
        <v>533.34</v>
      </c>
      <c r="C28" s="255">
        <v>533.34</v>
      </c>
      <c r="D28" s="255">
        <v>533.34</v>
      </c>
      <c r="E28" s="255">
        <v>533.34</v>
      </c>
      <c r="F28" s="255">
        <v>533.34</v>
      </c>
      <c r="G28" s="255">
        <v>533.34</v>
      </c>
      <c r="H28" s="255">
        <v>533.34</v>
      </c>
      <c r="I28" s="255">
        <v>533.34</v>
      </c>
      <c r="J28" s="255">
        <v>533.34</v>
      </c>
      <c r="K28" s="255">
        <v>533.34</v>
      </c>
      <c r="L28" s="255">
        <v>533.34</v>
      </c>
      <c r="M28" s="255">
        <v>555.20000000000005</v>
      </c>
      <c r="N28" s="255">
        <f t="shared" si="2"/>
        <v>6421.9400000000005</v>
      </c>
      <c r="O28" s="131"/>
      <c r="P28" s="66">
        <v>36</v>
      </c>
      <c r="Q28" s="34">
        <f>2080*P28</f>
        <v>74880</v>
      </c>
      <c r="R28" s="34">
        <f>Q28*16%</f>
        <v>11980.800000000001</v>
      </c>
      <c r="S28" s="34"/>
      <c r="T28" s="35">
        <f t="shared" si="0"/>
        <v>5558.8600000000006</v>
      </c>
    </row>
    <row r="29" spans="1:21">
      <c r="A29" s="66">
        <f t="shared" si="1"/>
        <v>15</v>
      </c>
      <c r="B29" s="255">
        <v>356.54</v>
      </c>
      <c r="C29" s="255">
        <v>372.43</v>
      </c>
      <c r="D29" s="255">
        <v>308.89</v>
      </c>
      <c r="E29" s="255">
        <v>382.14</v>
      </c>
      <c r="F29" s="255">
        <v>314.17</v>
      </c>
      <c r="G29" s="255">
        <v>909.68</v>
      </c>
      <c r="H29" s="255">
        <v>502.71</v>
      </c>
      <c r="I29" s="255">
        <v>387.59</v>
      </c>
      <c r="J29" s="255">
        <v>469.74</v>
      </c>
      <c r="K29" s="255">
        <v>370.24</v>
      </c>
      <c r="L29" s="255">
        <v>370.24</v>
      </c>
      <c r="M29" s="255">
        <v>622.19000000000005</v>
      </c>
      <c r="N29" s="255">
        <f t="shared" si="2"/>
        <v>5366.5599999999995</v>
      </c>
      <c r="O29" s="131"/>
      <c r="P29" s="66">
        <v>31.48</v>
      </c>
      <c r="Q29" s="34">
        <f>2080*P29</f>
        <v>65478.400000000001</v>
      </c>
      <c r="R29" s="34">
        <f>Q29*16%</f>
        <v>10476.544</v>
      </c>
      <c r="S29" s="34"/>
      <c r="T29" s="35">
        <f t="shared" si="0"/>
        <v>5109.9840000000004</v>
      </c>
    </row>
    <row r="30" spans="1:21">
      <c r="A30" s="66">
        <f t="shared" si="1"/>
        <v>16</v>
      </c>
      <c r="B30" s="255">
        <v>398.98</v>
      </c>
      <c r="C30" s="255">
        <v>397.12</v>
      </c>
      <c r="D30" s="255">
        <v>397.12</v>
      </c>
      <c r="E30" s="255">
        <v>496.4</v>
      </c>
      <c r="F30" s="255">
        <v>397.12</v>
      </c>
      <c r="G30" s="255">
        <v>454.76</v>
      </c>
      <c r="H30" s="255">
        <v>506.4</v>
      </c>
      <c r="I30" s="255">
        <v>405.12</v>
      </c>
      <c r="J30" s="255">
        <v>506.4</v>
      </c>
      <c r="K30" s="255">
        <v>405.12</v>
      </c>
      <c r="L30" s="255">
        <v>405.12</v>
      </c>
      <c r="M30" s="255">
        <v>515.47</v>
      </c>
      <c r="N30" s="255">
        <f t="shared" si="2"/>
        <v>5285.13</v>
      </c>
      <c r="O30" s="131"/>
      <c r="Q30" s="34" t="s">
        <v>68</v>
      </c>
      <c r="R30" s="34"/>
      <c r="S30" s="34"/>
      <c r="T30" s="35">
        <f t="shared" si="0"/>
        <v>-5285.13</v>
      </c>
      <c r="U30" s="68" t="s">
        <v>70</v>
      </c>
    </row>
    <row r="31" spans="1:21">
      <c r="A31" s="66">
        <f t="shared" si="1"/>
        <v>17</v>
      </c>
      <c r="B31" s="255">
        <v>373.28</v>
      </c>
      <c r="C31" s="255">
        <v>422.28</v>
      </c>
      <c r="D31" s="255">
        <v>373.28</v>
      </c>
      <c r="E31" s="255">
        <v>461.93</v>
      </c>
      <c r="F31" s="255">
        <v>373.28</v>
      </c>
      <c r="G31" s="255">
        <v>429.22</v>
      </c>
      <c r="H31" s="255">
        <v>476</v>
      </c>
      <c r="I31" s="255">
        <v>380.8</v>
      </c>
      <c r="J31" s="255">
        <v>477.79</v>
      </c>
      <c r="K31" s="255">
        <v>381.69</v>
      </c>
      <c r="L31" s="255">
        <v>380.8</v>
      </c>
      <c r="M31" s="255">
        <v>484.64</v>
      </c>
      <c r="N31" s="255">
        <f t="shared" si="2"/>
        <v>5014.9900000000007</v>
      </c>
      <c r="O31" s="131"/>
      <c r="P31" s="66">
        <v>25.62</v>
      </c>
      <c r="Q31" s="34">
        <f t="shared" ref="Q31:Q42" si="3">2080*P31</f>
        <v>53289.599999999999</v>
      </c>
      <c r="R31" s="34">
        <f t="shared" ref="R31:R42" si="4">Q31*16%</f>
        <v>8526.3359999999993</v>
      </c>
      <c r="S31" s="34"/>
      <c r="T31" s="35">
        <f t="shared" si="0"/>
        <v>3511.3459999999986</v>
      </c>
    </row>
    <row r="32" spans="1:21">
      <c r="A32" s="66">
        <f t="shared" si="1"/>
        <v>18</v>
      </c>
      <c r="B32" s="255">
        <v>546.25</v>
      </c>
      <c r="C32" s="255">
        <v>698.89</v>
      </c>
      <c r="D32" s="255">
        <v>600.12</v>
      </c>
      <c r="E32" s="255">
        <v>724.32</v>
      </c>
      <c r="F32" s="255">
        <v>662.97</v>
      </c>
      <c r="G32" s="255">
        <v>734.77</v>
      </c>
      <c r="H32" s="255">
        <v>917.47</v>
      </c>
      <c r="I32" s="255">
        <v>731.22</v>
      </c>
      <c r="J32" s="255">
        <v>775.48</v>
      </c>
      <c r="K32" s="255">
        <v>644.21</v>
      </c>
      <c r="L32" s="255">
        <v>625.88</v>
      </c>
      <c r="M32" s="255">
        <v>1100.19</v>
      </c>
      <c r="N32" s="255">
        <f t="shared" si="2"/>
        <v>8761.77</v>
      </c>
      <c r="O32" s="131"/>
      <c r="P32" s="66">
        <v>40.380000000000003</v>
      </c>
      <c r="Q32" s="34">
        <f t="shared" si="3"/>
        <v>83990.400000000009</v>
      </c>
      <c r="R32" s="34">
        <f t="shared" si="4"/>
        <v>13438.464000000002</v>
      </c>
      <c r="S32" s="34"/>
      <c r="T32" s="35">
        <f t="shared" si="0"/>
        <v>4676.6940000000013</v>
      </c>
    </row>
    <row r="33" spans="1:21">
      <c r="A33" s="66">
        <f t="shared" si="1"/>
        <v>19</v>
      </c>
      <c r="B33" s="255">
        <v>568.67999999999995</v>
      </c>
      <c r="C33" s="255">
        <v>620.32000000000005</v>
      </c>
      <c r="D33" s="255">
        <v>645.02</v>
      </c>
      <c r="E33" s="255">
        <v>807.38</v>
      </c>
      <c r="F33" s="255">
        <v>613.58000000000004</v>
      </c>
      <c r="G33" s="255">
        <v>905.91</v>
      </c>
      <c r="H33" s="255">
        <v>1059.44</v>
      </c>
      <c r="I33" s="255">
        <v>754.13</v>
      </c>
      <c r="J33" s="255">
        <v>734.27</v>
      </c>
      <c r="K33" s="255">
        <v>660.24</v>
      </c>
      <c r="L33" s="255">
        <v>625.88</v>
      </c>
      <c r="M33" s="255">
        <v>1102.57</v>
      </c>
      <c r="N33" s="255">
        <f t="shared" si="2"/>
        <v>9097.42</v>
      </c>
      <c r="O33" s="131"/>
      <c r="P33" s="66">
        <v>40.380000000000003</v>
      </c>
      <c r="Q33" s="34">
        <f t="shared" si="3"/>
        <v>83990.400000000009</v>
      </c>
      <c r="R33" s="34">
        <f t="shared" si="4"/>
        <v>13438.464000000002</v>
      </c>
      <c r="S33" s="34"/>
      <c r="T33" s="35">
        <f t="shared" si="0"/>
        <v>4341.0440000000017</v>
      </c>
    </row>
    <row r="34" spans="1:21">
      <c r="A34" s="66">
        <f t="shared" si="1"/>
        <v>20</v>
      </c>
      <c r="B34" s="255"/>
      <c r="C34" s="255">
        <v>366</v>
      </c>
      <c r="D34" s="255"/>
      <c r="E34" s="255"/>
      <c r="F34" s="255"/>
      <c r="G34" s="255">
        <v>10.38</v>
      </c>
      <c r="H34" s="255"/>
      <c r="I34" s="255"/>
      <c r="J34" s="255">
        <v>134.97999999999999</v>
      </c>
      <c r="K34" s="255">
        <v>462.57</v>
      </c>
      <c r="L34" s="255">
        <v>44.99</v>
      </c>
      <c r="M34" s="255"/>
      <c r="N34" s="255">
        <f t="shared" si="2"/>
        <v>1018.9200000000001</v>
      </c>
      <c r="P34" s="66">
        <v>35.33</v>
      </c>
      <c r="Q34" s="34">
        <f t="shared" si="3"/>
        <v>73486.399999999994</v>
      </c>
      <c r="R34" s="34">
        <f t="shared" si="4"/>
        <v>11757.823999999999</v>
      </c>
      <c r="S34" s="34"/>
      <c r="T34" s="35">
        <f t="shared" si="0"/>
        <v>10738.903999999999</v>
      </c>
      <c r="U34" s="68" t="s">
        <v>71</v>
      </c>
    </row>
    <row r="35" spans="1:21">
      <c r="A35" s="66">
        <f t="shared" si="1"/>
        <v>21</v>
      </c>
      <c r="B35" s="255">
        <v>375</v>
      </c>
      <c r="C35" s="255">
        <v>375</v>
      </c>
      <c r="D35" s="255">
        <v>375</v>
      </c>
      <c r="E35" s="255">
        <v>375</v>
      </c>
      <c r="F35" s="255">
        <v>375</v>
      </c>
      <c r="G35" s="255">
        <v>375</v>
      </c>
      <c r="H35" s="255">
        <v>375</v>
      </c>
      <c r="I35" s="255">
        <v>375</v>
      </c>
      <c r="J35" s="255">
        <v>375</v>
      </c>
      <c r="K35" s="255">
        <v>343.24</v>
      </c>
      <c r="L35" s="255">
        <v>375</v>
      </c>
      <c r="M35" s="255">
        <v>384.38</v>
      </c>
      <c r="N35" s="255">
        <f t="shared" si="2"/>
        <v>4477.62</v>
      </c>
      <c r="P35" s="66">
        <v>25.48</v>
      </c>
      <c r="Q35" s="34">
        <f t="shared" si="3"/>
        <v>52998.400000000001</v>
      </c>
      <c r="R35" s="34">
        <f t="shared" si="4"/>
        <v>8479.7440000000006</v>
      </c>
      <c r="S35" s="34"/>
      <c r="T35" s="35">
        <f t="shared" si="0"/>
        <v>4002.1240000000007</v>
      </c>
    </row>
    <row r="36" spans="1:21">
      <c r="A36" s="66">
        <f t="shared" si="1"/>
        <v>22</v>
      </c>
      <c r="B36" s="255">
        <v>355.12</v>
      </c>
      <c r="C36" s="255">
        <v>427.5</v>
      </c>
      <c r="D36" s="255">
        <v>360.92</v>
      </c>
      <c r="E36" s="255">
        <v>472.86</v>
      </c>
      <c r="F36" s="255">
        <v>392.76</v>
      </c>
      <c r="G36" s="255">
        <v>922.3</v>
      </c>
      <c r="H36" s="255">
        <v>666.31</v>
      </c>
      <c r="I36" s="255">
        <v>530.26</v>
      </c>
      <c r="J36" s="255">
        <v>583.4</v>
      </c>
      <c r="K36" s="255">
        <v>416.35</v>
      </c>
      <c r="L36" s="255">
        <v>496.1</v>
      </c>
      <c r="M36" s="255">
        <v>249.56</v>
      </c>
      <c r="N36" s="255">
        <f t="shared" si="2"/>
        <v>5873.4400000000005</v>
      </c>
      <c r="P36" s="66">
        <v>35.33</v>
      </c>
      <c r="Q36" s="34">
        <f t="shared" si="3"/>
        <v>73486.399999999994</v>
      </c>
      <c r="R36" s="34">
        <f t="shared" si="4"/>
        <v>11757.823999999999</v>
      </c>
      <c r="S36" s="34"/>
      <c r="T36" s="35">
        <f t="shared" si="0"/>
        <v>5884.3839999999982</v>
      </c>
    </row>
    <row r="37" spans="1:21">
      <c r="A37" s="66">
        <f t="shared" si="1"/>
        <v>23</v>
      </c>
      <c r="B37" s="255">
        <v>607.14</v>
      </c>
      <c r="C37" s="255">
        <v>693.68</v>
      </c>
      <c r="D37" s="255">
        <v>500.08</v>
      </c>
      <c r="E37" s="255">
        <v>694.4</v>
      </c>
      <c r="F37" s="255">
        <v>522.08000000000004</v>
      </c>
      <c r="G37" s="255">
        <v>630.89</v>
      </c>
      <c r="H37" s="255">
        <v>786.9</v>
      </c>
      <c r="I37" s="255">
        <v>561.74</v>
      </c>
      <c r="J37" s="255">
        <v>688.16</v>
      </c>
      <c r="K37" s="255">
        <v>577.45000000000005</v>
      </c>
      <c r="L37" s="255">
        <v>501.16</v>
      </c>
      <c r="M37" s="255">
        <v>918.66</v>
      </c>
      <c r="N37" s="255">
        <f t="shared" si="2"/>
        <v>7682.3399999999983</v>
      </c>
      <c r="P37" s="66">
        <v>40.380000000000003</v>
      </c>
      <c r="Q37" s="34">
        <f t="shared" si="3"/>
        <v>83990.400000000009</v>
      </c>
      <c r="R37" s="34">
        <f t="shared" si="4"/>
        <v>13438.464000000002</v>
      </c>
      <c r="S37" s="34"/>
      <c r="T37" s="35">
        <f t="shared" si="0"/>
        <v>5756.1240000000034</v>
      </c>
    </row>
    <row r="38" spans="1:21">
      <c r="A38" s="66">
        <f t="shared" si="1"/>
        <v>24</v>
      </c>
      <c r="B38" s="255">
        <v>581.30999999999995</v>
      </c>
      <c r="C38" s="255">
        <v>596.09</v>
      </c>
      <c r="D38" s="255">
        <v>488.41</v>
      </c>
      <c r="E38" s="255">
        <v>613.67999999999995</v>
      </c>
      <c r="F38" s="255">
        <v>505.31</v>
      </c>
      <c r="G38" s="255">
        <v>555.26</v>
      </c>
      <c r="H38" s="255">
        <v>619.42999999999995</v>
      </c>
      <c r="I38" s="255">
        <v>517.52</v>
      </c>
      <c r="J38" s="255">
        <v>686.19</v>
      </c>
      <c r="K38" s="255">
        <v>502.43</v>
      </c>
      <c r="L38" s="255">
        <v>493.81</v>
      </c>
      <c r="M38" s="255">
        <v>771.99</v>
      </c>
      <c r="N38" s="255">
        <f t="shared" si="2"/>
        <v>6931.4300000000012</v>
      </c>
      <c r="P38" s="66">
        <v>36.06</v>
      </c>
      <c r="Q38" s="34">
        <f t="shared" si="3"/>
        <v>75004.800000000003</v>
      </c>
      <c r="R38" s="34">
        <f t="shared" si="4"/>
        <v>12000.768</v>
      </c>
      <c r="S38" s="34"/>
      <c r="T38" s="35">
        <f t="shared" si="0"/>
        <v>5069.3379999999988</v>
      </c>
    </row>
    <row r="39" spans="1:21">
      <c r="A39" s="66">
        <f t="shared" si="1"/>
        <v>25</v>
      </c>
      <c r="B39" s="255">
        <v>579.20000000000005</v>
      </c>
      <c r="C39" s="255">
        <v>623.54999999999995</v>
      </c>
      <c r="D39" s="255">
        <v>602.42999999999995</v>
      </c>
      <c r="E39" s="255">
        <v>795.27</v>
      </c>
      <c r="F39" s="255">
        <v>627.77</v>
      </c>
      <c r="G39" s="255">
        <v>713.85</v>
      </c>
      <c r="H39" s="255">
        <v>727.09</v>
      </c>
      <c r="I39" s="255">
        <v>603.64</v>
      </c>
      <c r="J39" s="255">
        <v>574.20000000000005</v>
      </c>
      <c r="K39" s="255">
        <v>459.36</v>
      </c>
      <c r="L39" s="255">
        <v>459.36</v>
      </c>
      <c r="M39" s="255">
        <v>783.25</v>
      </c>
      <c r="N39" s="255">
        <f t="shared" si="2"/>
        <v>7548.9699999999993</v>
      </c>
      <c r="P39" s="66">
        <v>35.07</v>
      </c>
      <c r="Q39" s="34">
        <f t="shared" si="3"/>
        <v>72945.600000000006</v>
      </c>
      <c r="R39" s="34">
        <f t="shared" si="4"/>
        <v>11671.296</v>
      </c>
      <c r="S39" s="34"/>
      <c r="T39" s="35">
        <f t="shared" si="0"/>
        <v>4122.3260000000009</v>
      </c>
    </row>
    <row r="40" spans="1:21">
      <c r="A40" s="66">
        <f t="shared" si="1"/>
        <v>26</v>
      </c>
      <c r="B40" s="255">
        <v>373.28</v>
      </c>
      <c r="C40" s="255">
        <v>431.03</v>
      </c>
      <c r="D40" s="255">
        <v>373.28</v>
      </c>
      <c r="E40" s="255">
        <v>466.6</v>
      </c>
      <c r="F40" s="255">
        <v>373.28</v>
      </c>
      <c r="G40" s="255">
        <v>439.31</v>
      </c>
      <c r="H40" s="255">
        <v>476</v>
      </c>
      <c r="I40" s="255">
        <v>380.8</v>
      </c>
      <c r="J40" s="255">
        <v>476</v>
      </c>
      <c r="K40" s="255">
        <v>380.8</v>
      </c>
      <c r="L40" s="255">
        <v>380.8</v>
      </c>
      <c r="M40" s="255">
        <v>588.95000000000005</v>
      </c>
      <c r="N40" s="255">
        <f t="shared" si="2"/>
        <v>5140.13</v>
      </c>
      <c r="P40" s="66">
        <v>27.25</v>
      </c>
      <c r="Q40" s="34">
        <f t="shared" si="3"/>
        <v>56680</v>
      </c>
      <c r="R40" s="34">
        <f t="shared" si="4"/>
        <v>9068.8000000000011</v>
      </c>
      <c r="S40" s="34"/>
      <c r="T40" s="35">
        <f t="shared" si="0"/>
        <v>3928.670000000001</v>
      </c>
    </row>
    <row r="41" spans="1:21">
      <c r="A41" s="66">
        <f t="shared" si="1"/>
        <v>27</v>
      </c>
      <c r="B41" s="255">
        <v>640.52</v>
      </c>
      <c r="C41" s="255">
        <v>640.52</v>
      </c>
      <c r="D41" s="255">
        <v>698.89</v>
      </c>
      <c r="E41" s="255">
        <v>830.58</v>
      </c>
      <c r="F41" s="255">
        <v>555.21</v>
      </c>
      <c r="G41" s="255">
        <v>859.54</v>
      </c>
      <c r="H41" s="255">
        <v>958.68</v>
      </c>
      <c r="I41" s="255">
        <v>612.14</v>
      </c>
      <c r="J41" s="255">
        <v>755.66</v>
      </c>
      <c r="K41" s="255">
        <v>635.04</v>
      </c>
      <c r="L41" s="255">
        <v>593.82000000000005</v>
      </c>
      <c r="M41" s="255">
        <v>1142.02</v>
      </c>
      <c r="N41" s="255">
        <f t="shared" si="2"/>
        <v>8922.6200000000008</v>
      </c>
      <c r="P41" s="66">
        <v>45.67</v>
      </c>
      <c r="Q41" s="34">
        <f t="shared" si="3"/>
        <v>94993.600000000006</v>
      </c>
      <c r="R41" s="34">
        <f t="shared" si="4"/>
        <v>15198.976000000001</v>
      </c>
      <c r="S41" s="34"/>
      <c r="T41" s="35">
        <f t="shared" si="0"/>
        <v>6276.3559999999998</v>
      </c>
    </row>
    <row r="42" spans="1:21">
      <c r="A42" s="66">
        <f t="shared" si="1"/>
        <v>28</v>
      </c>
      <c r="B42" s="255">
        <v>631.41999999999996</v>
      </c>
      <c r="C42" s="255">
        <v>631.41999999999996</v>
      </c>
      <c r="D42" s="255">
        <v>631.41999999999996</v>
      </c>
      <c r="E42" s="255">
        <v>631.41999999999996</v>
      </c>
      <c r="F42" s="255">
        <v>631.41999999999996</v>
      </c>
      <c r="G42" s="255">
        <v>631.41999999999996</v>
      </c>
      <c r="H42" s="255">
        <v>631.41999999999996</v>
      </c>
      <c r="I42" s="255">
        <v>631.41999999999996</v>
      </c>
      <c r="J42" s="255">
        <v>631.41999999999996</v>
      </c>
      <c r="K42" s="255">
        <v>631.41999999999996</v>
      </c>
      <c r="L42" s="255">
        <v>631.41999999999996</v>
      </c>
      <c r="M42" s="255">
        <v>647.20000000000005</v>
      </c>
      <c r="N42" s="255">
        <f t="shared" si="2"/>
        <v>7592.82</v>
      </c>
      <c r="P42" s="66">
        <v>42.76</v>
      </c>
      <c r="Q42" s="34">
        <f t="shared" si="3"/>
        <v>88940.800000000003</v>
      </c>
      <c r="R42" s="34">
        <f t="shared" si="4"/>
        <v>14230.528</v>
      </c>
      <c r="S42" s="34"/>
      <c r="T42" s="35">
        <f t="shared" si="0"/>
        <v>6637.7080000000005</v>
      </c>
    </row>
    <row r="43" spans="1:21">
      <c r="A43" s="66">
        <f t="shared" si="1"/>
        <v>29</v>
      </c>
      <c r="B43" s="255">
        <v>373.28</v>
      </c>
      <c r="C43" s="255">
        <v>429.28</v>
      </c>
      <c r="D43" s="255">
        <v>377.66</v>
      </c>
      <c r="E43" s="255">
        <v>470.1</v>
      </c>
      <c r="F43" s="255">
        <v>373.28</v>
      </c>
      <c r="G43" s="255">
        <v>441.21</v>
      </c>
      <c r="H43" s="255">
        <v>483.14</v>
      </c>
      <c r="I43" s="255">
        <v>386.16</v>
      </c>
      <c r="J43" s="255">
        <v>476</v>
      </c>
      <c r="K43" s="255">
        <v>391.51</v>
      </c>
      <c r="L43" s="255">
        <v>380.8</v>
      </c>
      <c r="M43" s="255">
        <v>536.79999999999995</v>
      </c>
      <c r="N43" s="255">
        <f t="shared" si="2"/>
        <v>5119.22</v>
      </c>
      <c r="Q43" s="34" t="s">
        <v>68</v>
      </c>
      <c r="R43" s="34"/>
      <c r="S43" s="34"/>
      <c r="T43" s="35">
        <f t="shared" si="0"/>
        <v>-5119.22</v>
      </c>
      <c r="U43" s="68" t="s">
        <v>70</v>
      </c>
    </row>
    <row r="44" spans="1:21">
      <c r="A44" s="66">
        <f t="shared" si="1"/>
        <v>30</v>
      </c>
      <c r="B44" s="255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>
        <f t="shared" si="2"/>
        <v>0</v>
      </c>
      <c r="P44" s="66">
        <v>28.33</v>
      </c>
      <c r="Q44" s="34">
        <f>2080*P44</f>
        <v>58926.399999999994</v>
      </c>
      <c r="R44" s="34">
        <f>Q44*16%</f>
        <v>9428.2240000000002</v>
      </c>
      <c r="S44" s="34"/>
      <c r="T44" s="35">
        <f t="shared" si="0"/>
        <v>9428.2240000000002</v>
      </c>
      <c r="U44" s="68" t="s">
        <v>72</v>
      </c>
    </row>
    <row r="45" spans="1:21">
      <c r="A45" s="66">
        <f t="shared" si="1"/>
        <v>31</v>
      </c>
      <c r="B45" s="255">
        <v>292.14</v>
      </c>
      <c r="C45" s="255">
        <v>367.19</v>
      </c>
      <c r="D45" s="255">
        <v>282.45</v>
      </c>
      <c r="E45" s="255">
        <v>377.27</v>
      </c>
      <c r="F45" s="255">
        <v>258.24</v>
      </c>
      <c r="G45" s="255">
        <v>838.7</v>
      </c>
      <c r="H45" s="255">
        <v>483.75</v>
      </c>
      <c r="I45" s="255">
        <v>362.55</v>
      </c>
      <c r="J45" s="255">
        <v>472.63</v>
      </c>
      <c r="K45" s="255">
        <v>354.6</v>
      </c>
      <c r="L45" s="255">
        <v>67.739999999999995</v>
      </c>
      <c r="M45" s="255"/>
      <c r="N45" s="255">
        <f t="shared" si="2"/>
        <v>4157.26</v>
      </c>
      <c r="Q45" s="34" t="s">
        <v>68</v>
      </c>
      <c r="R45" s="34"/>
      <c r="S45" s="34"/>
      <c r="T45" s="35">
        <f t="shared" si="0"/>
        <v>-4157.26</v>
      </c>
      <c r="U45" s="68" t="s">
        <v>69</v>
      </c>
    </row>
    <row r="46" spans="1:21">
      <c r="A46" s="66">
        <f t="shared" si="1"/>
        <v>32</v>
      </c>
      <c r="B46" s="255">
        <v>686.92</v>
      </c>
      <c r="C46" s="255">
        <v>806.65</v>
      </c>
      <c r="D46" s="255">
        <v>654</v>
      </c>
      <c r="E46" s="255">
        <v>872.5</v>
      </c>
      <c r="F46" s="255">
        <v>622.55999999999995</v>
      </c>
      <c r="G46" s="255">
        <v>982.41</v>
      </c>
      <c r="H46" s="255">
        <v>998.37</v>
      </c>
      <c r="I46" s="255">
        <v>749.54</v>
      </c>
      <c r="J46" s="255">
        <v>1079.29</v>
      </c>
      <c r="K46" s="255">
        <v>612.15</v>
      </c>
      <c r="L46" s="255">
        <v>722.07</v>
      </c>
      <c r="M46" s="255">
        <v>1314.98</v>
      </c>
      <c r="N46" s="255">
        <f t="shared" si="2"/>
        <v>10101.439999999999</v>
      </c>
      <c r="P46" s="66">
        <v>40.380000000000003</v>
      </c>
      <c r="Q46" s="34">
        <f>2080*P46</f>
        <v>83990.400000000009</v>
      </c>
      <c r="R46" s="34">
        <f>Q46*16%</f>
        <v>13438.464000000002</v>
      </c>
      <c r="S46" s="34"/>
      <c r="T46" s="35">
        <f t="shared" si="0"/>
        <v>3337.0240000000031</v>
      </c>
    </row>
    <row r="47" spans="1:21">
      <c r="A47" s="66">
        <f t="shared" si="1"/>
        <v>33</v>
      </c>
      <c r="B47" s="255">
        <v>373.28</v>
      </c>
      <c r="C47" s="255">
        <v>415.28</v>
      </c>
      <c r="D47" s="255">
        <v>373.28</v>
      </c>
      <c r="E47" s="255">
        <v>466.6</v>
      </c>
      <c r="F47" s="255">
        <v>377.38</v>
      </c>
      <c r="G47" s="255">
        <v>430.14</v>
      </c>
      <c r="H47" s="255">
        <v>476</v>
      </c>
      <c r="I47" s="255">
        <v>380.8</v>
      </c>
      <c r="J47" s="255">
        <v>476</v>
      </c>
      <c r="K47" s="255">
        <v>380.8</v>
      </c>
      <c r="L47" s="255">
        <v>380.8</v>
      </c>
      <c r="M47" s="255">
        <v>484.64</v>
      </c>
      <c r="N47" s="255">
        <f t="shared" si="2"/>
        <v>5015.0000000000009</v>
      </c>
      <c r="P47" s="66">
        <v>26.93</v>
      </c>
      <c r="Q47" s="34">
        <f>2080*P47</f>
        <v>56014.400000000001</v>
      </c>
      <c r="R47" s="34">
        <f>Q47*16%</f>
        <v>8962.3040000000001</v>
      </c>
      <c r="S47" s="34"/>
      <c r="T47" s="35">
        <f t="shared" si="0"/>
        <v>3947.3039999999992</v>
      </c>
    </row>
    <row r="48" spans="1:21">
      <c r="A48" s="66">
        <f t="shared" si="1"/>
        <v>34</v>
      </c>
      <c r="B48" s="255"/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>
        <f t="shared" si="2"/>
        <v>0</v>
      </c>
      <c r="P48" s="66">
        <v>31.8</v>
      </c>
      <c r="Q48" s="34">
        <f>2080*P48</f>
        <v>66144</v>
      </c>
      <c r="R48" s="34">
        <f>Q48*16%</f>
        <v>10583.04</v>
      </c>
      <c r="S48" s="34"/>
      <c r="T48" s="35">
        <f t="shared" si="0"/>
        <v>10583.04</v>
      </c>
      <c r="U48" s="68" t="s">
        <v>72</v>
      </c>
    </row>
    <row r="49" spans="1:21">
      <c r="A49" s="66">
        <f t="shared" si="1"/>
        <v>35</v>
      </c>
      <c r="B49" s="255">
        <v>348.96</v>
      </c>
      <c r="C49" s="255">
        <v>348.96</v>
      </c>
      <c r="D49" s="255">
        <v>348.96</v>
      </c>
      <c r="E49" s="255">
        <v>436.2</v>
      </c>
      <c r="F49" s="255">
        <v>348.96</v>
      </c>
      <c r="G49" s="255">
        <v>413</v>
      </c>
      <c r="H49" s="255">
        <v>488.39</v>
      </c>
      <c r="I49" s="255">
        <v>382.7</v>
      </c>
      <c r="J49" s="255">
        <v>498.4</v>
      </c>
      <c r="K49" s="255">
        <v>356</v>
      </c>
      <c r="L49" s="255">
        <v>356</v>
      </c>
      <c r="M49" s="255">
        <v>453.06</v>
      </c>
      <c r="N49" s="255">
        <f t="shared" si="2"/>
        <v>4779.59</v>
      </c>
      <c r="P49" s="66">
        <v>23.95</v>
      </c>
      <c r="Q49" s="34">
        <f>2080*P49</f>
        <v>49816</v>
      </c>
      <c r="R49" s="34">
        <f>Q49*16%</f>
        <v>7970.56</v>
      </c>
      <c r="S49" s="34"/>
      <c r="T49" s="35">
        <f t="shared" si="0"/>
        <v>3190.9700000000003</v>
      </c>
    </row>
    <row r="50" spans="1:21">
      <c r="A50" s="66">
        <f t="shared" si="1"/>
        <v>36</v>
      </c>
      <c r="B50" s="255">
        <v>611.54999999999995</v>
      </c>
      <c r="C50" s="255">
        <v>794.88</v>
      </c>
      <c r="D50" s="255">
        <v>557.28</v>
      </c>
      <c r="E50" s="255">
        <v>727.4</v>
      </c>
      <c r="F50" s="255">
        <v>552.88</v>
      </c>
      <c r="G50" s="255">
        <v>671.75</v>
      </c>
      <c r="H50" s="255">
        <v>786.89</v>
      </c>
      <c r="I50" s="255">
        <v>568.48</v>
      </c>
      <c r="J50" s="255">
        <v>885.63</v>
      </c>
      <c r="K50" s="255">
        <v>505.65</v>
      </c>
      <c r="L50" s="255"/>
      <c r="M50" s="255"/>
      <c r="N50" s="255">
        <f t="shared" si="2"/>
        <v>6662.39</v>
      </c>
      <c r="P50" s="66">
        <v>40.380000000000003</v>
      </c>
      <c r="Q50" s="34">
        <f>2080*P50</f>
        <v>83990.400000000009</v>
      </c>
      <c r="R50" s="34">
        <f>Q50*16%</f>
        <v>13438.464000000002</v>
      </c>
      <c r="S50" s="34"/>
      <c r="T50" s="35">
        <f t="shared" si="0"/>
        <v>6776.0740000000014</v>
      </c>
      <c r="U50" s="68" t="s">
        <v>71</v>
      </c>
    </row>
    <row r="51" spans="1:21">
      <c r="A51" s="66">
        <f t="shared" si="1"/>
        <v>37</v>
      </c>
      <c r="B51" s="255">
        <v>1167.78</v>
      </c>
      <c r="C51" s="255">
        <v>1167.6300000000001</v>
      </c>
      <c r="D51" s="255">
        <v>1168.68</v>
      </c>
      <c r="E51" s="255">
        <v>1167.48</v>
      </c>
      <c r="F51" s="255">
        <v>1166.28</v>
      </c>
      <c r="G51" s="255">
        <v>1167.74</v>
      </c>
      <c r="H51" s="255">
        <v>1167.6300000000001</v>
      </c>
      <c r="I51" s="255">
        <v>1168.08</v>
      </c>
      <c r="J51" s="255">
        <v>1166.8800000000001</v>
      </c>
      <c r="K51" s="255">
        <v>1167.78</v>
      </c>
      <c r="L51" s="255">
        <v>1166.58</v>
      </c>
      <c r="M51" s="255">
        <v>1195.32</v>
      </c>
      <c r="N51" s="255">
        <f t="shared" si="2"/>
        <v>14037.86</v>
      </c>
      <c r="Q51" s="34" t="s">
        <v>68</v>
      </c>
      <c r="R51" s="34"/>
      <c r="S51" s="34"/>
      <c r="T51" s="35">
        <f t="shared" si="0"/>
        <v>-14037.86</v>
      </c>
      <c r="U51" s="68" t="s">
        <v>70</v>
      </c>
    </row>
    <row r="52" spans="1:21">
      <c r="A52" s="66">
        <f t="shared" si="1"/>
        <v>38</v>
      </c>
      <c r="B52" s="255">
        <v>375.63</v>
      </c>
      <c r="C52" s="255">
        <v>375.03</v>
      </c>
      <c r="D52" s="255">
        <v>379.1</v>
      </c>
      <c r="E52" s="255">
        <v>468.63</v>
      </c>
      <c r="F52" s="255">
        <v>375.35</v>
      </c>
      <c r="G52" s="255">
        <v>430.1</v>
      </c>
      <c r="H52" s="255">
        <v>479.57</v>
      </c>
      <c r="I52" s="255">
        <v>384.37</v>
      </c>
      <c r="J52" s="255">
        <v>481.64</v>
      </c>
      <c r="K52" s="255">
        <v>384.65</v>
      </c>
      <c r="L52" s="255">
        <v>384.37</v>
      </c>
      <c r="M52" s="255">
        <v>494.52</v>
      </c>
      <c r="N52" s="255">
        <f t="shared" si="2"/>
        <v>5012.9599999999991</v>
      </c>
      <c r="P52" s="66">
        <v>25.62</v>
      </c>
      <c r="Q52" s="34">
        <f>2080*P52</f>
        <v>53289.599999999999</v>
      </c>
      <c r="R52" s="34">
        <f>Q52*16%</f>
        <v>8526.3359999999993</v>
      </c>
      <c r="S52" s="34"/>
      <c r="T52" s="35">
        <f t="shared" si="0"/>
        <v>3513.3760000000002</v>
      </c>
    </row>
    <row r="53" spans="1:21">
      <c r="A53" s="66">
        <f t="shared" si="1"/>
        <v>39</v>
      </c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P53" s="66">
        <v>20.5</v>
      </c>
      <c r="Q53" s="34">
        <f>2080*P53</f>
        <v>42640</v>
      </c>
      <c r="R53" s="34">
        <f>Q53*16%</f>
        <v>6822.4000000000005</v>
      </c>
      <c r="S53" s="34"/>
      <c r="T53" s="35">
        <f t="shared" si="0"/>
        <v>6822.4000000000005</v>
      </c>
      <c r="U53" s="68" t="s">
        <v>67</v>
      </c>
    </row>
    <row r="54" spans="1:21">
      <c r="A54" s="66">
        <f t="shared" si="1"/>
        <v>40</v>
      </c>
      <c r="B54" s="255">
        <v>469.28</v>
      </c>
      <c r="C54" s="255">
        <v>566.08000000000004</v>
      </c>
      <c r="D54" s="255">
        <v>469.28</v>
      </c>
      <c r="E54" s="255">
        <v>586.6</v>
      </c>
      <c r="F54" s="255">
        <v>469.28</v>
      </c>
      <c r="G54" s="255">
        <v>539.20000000000005</v>
      </c>
      <c r="H54" s="255">
        <v>598.4</v>
      </c>
      <c r="I54" s="255">
        <v>478.72</v>
      </c>
      <c r="J54" s="255">
        <v>598.4</v>
      </c>
      <c r="K54" s="255">
        <v>478.72</v>
      </c>
      <c r="L54" s="255">
        <v>489.94</v>
      </c>
      <c r="M54" s="255">
        <v>603.07000000000005</v>
      </c>
      <c r="N54" s="255">
        <f t="shared" si="2"/>
        <v>6346.9699999999993</v>
      </c>
      <c r="P54" s="66">
        <v>32.5</v>
      </c>
      <c r="Q54" s="34">
        <f>2080*P54</f>
        <v>67600</v>
      </c>
      <c r="R54" s="34">
        <f>Q54*16%</f>
        <v>10816</v>
      </c>
      <c r="S54" s="34"/>
      <c r="T54" s="35">
        <f t="shared" si="0"/>
        <v>4469.0300000000007</v>
      </c>
    </row>
    <row r="55" spans="1:21">
      <c r="A55" s="66">
        <f t="shared" si="1"/>
        <v>41</v>
      </c>
      <c r="B55" s="255">
        <v>379.84</v>
      </c>
      <c r="C55" s="255">
        <v>379.84</v>
      </c>
      <c r="D55" s="255">
        <v>379.84</v>
      </c>
      <c r="E55" s="255">
        <v>474.8</v>
      </c>
      <c r="F55" s="255">
        <v>379.84</v>
      </c>
      <c r="G55" s="255">
        <v>435.14</v>
      </c>
      <c r="H55" s="255">
        <v>484.4</v>
      </c>
      <c r="I55" s="255">
        <v>406.9</v>
      </c>
      <c r="J55" s="255"/>
      <c r="K55" s="255"/>
      <c r="L55" s="255"/>
      <c r="M55" s="255"/>
      <c r="N55" s="255">
        <f t="shared" si="2"/>
        <v>3320.6</v>
      </c>
      <c r="Q55" s="34" t="s">
        <v>68</v>
      </c>
      <c r="R55" s="34"/>
      <c r="S55" s="34"/>
      <c r="T55" s="35">
        <f t="shared" si="0"/>
        <v>-3320.6</v>
      </c>
      <c r="U55" s="68" t="s">
        <v>70</v>
      </c>
    </row>
    <row r="56" spans="1:21">
      <c r="A56" s="66">
        <f t="shared" si="1"/>
        <v>42</v>
      </c>
      <c r="B56" s="255">
        <v>380.56</v>
      </c>
      <c r="C56" s="255">
        <v>422.28</v>
      </c>
      <c r="D56" s="255">
        <v>375.32</v>
      </c>
      <c r="E56" s="255">
        <v>467.48</v>
      </c>
      <c r="F56" s="255">
        <v>373.28</v>
      </c>
      <c r="G56" s="255">
        <v>426.98</v>
      </c>
      <c r="H56" s="255">
        <v>476.89</v>
      </c>
      <c r="I56" s="255">
        <v>381.41</v>
      </c>
      <c r="J56" s="255">
        <v>476</v>
      </c>
      <c r="K56" s="255">
        <v>381.41</v>
      </c>
      <c r="L56" s="255">
        <v>380.8</v>
      </c>
      <c r="M56" s="255">
        <v>529.17999999999995</v>
      </c>
      <c r="N56" s="255">
        <f t="shared" si="2"/>
        <v>5071.59</v>
      </c>
      <c r="P56" s="66">
        <v>25.62</v>
      </c>
      <c r="Q56" s="34">
        <f t="shared" ref="Q56:Q71" si="5">2080*P56</f>
        <v>53289.599999999999</v>
      </c>
      <c r="R56" s="34">
        <f t="shared" ref="R56:R71" si="6">Q56*16%</f>
        <v>8526.3359999999993</v>
      </c>
      <c r="S56" s="34"/>
      <c r="T56" s="35">
        <f t="shared" si="0"/>
        <v>3454.7459999999992</v>
      </c>
    </row>
    <row r="57" spans="1:21">
      <c r="A57" s="66">
        <f t="shared" si="1"/>
        <v>43</v>
      </c>
      <c r="B57" s="255"/>
      <c r="C57" s="255"/>
      <c r="D57" s="255"/>
      <c r="E57" s="255"/>
      <c r="F57" s="255"/>
      <c r="G57" s="255">
        <v>528.88</v>
      </c>
      <c r="H57" s="255">
        <v>480.8</v>
      </c>
      <c r="I57" s="255">
        <v>528.88</v>
      </c>
      <c r="J57" s="255">
        <v>516.86</v>
      </c>
      <c r="K57" s="255">
        <v>524.86</v>
      </c>
      <c r="L57" s="255">
        <v>520.84</v>
      </c>
      <c r="M57" s="255">
        <v>533.86</v>
      </c>
      <c r="N57" s="255">
        <f t="shared" si="2"/>
        <v>3634.9800000000005</v>
      </c>
      <c r="P57" s="66">
        <v>33.17</v>
      </c>
      <c r="Q57" s="34">
        <f t="shared" si="5"/>
        <v>68993.600000000006</v>
      </c>
      <c r="R57" s="34">
        <f t="shared" si="6"/>
        <v>11038.976000000001</v>
      </c>
      <c r="S57" s="34"/>
      <c r="T57" s="35">
        <f t="shared" si="0"/>
        <v>7403.9960000000001</v>
      </c>
    </row>
    <row r="58" spans="1:21">
      <c r="A58" s="66">
        <f t="shared" si="1"/>
        <v>44</v>
      </c>
      <c r="B58" s="255">
        <v>460.24</v>
      </c>
      <c r="C58" s="255">
        <v>549.57000000000005</v>
      </c>
      <c r="D58" s="255">
        <v>404.4</v>
      </c>
      <c r="E58" s="255">
        <v>566.91</v>
      </c>
      <c r="F58" s="255">
        <v>400.68</v>
      </c>
      <c r="G58" s="255">
        <v>819.48</v>
      </c>
      <c r="H58" s="255">
        <v>701.6</v>
      </c>
      <c r="I58" s="255">
        <v>475.23</v>
      </c>
      <c r="J58" s="255">
        <v>575.04999999999995</v>
      </c>
      <c r="K58" s="255">
        <v>538.5</v>
      </c>
      <c r="L58" s="255">
        <v>337.44</v>
      </c>
      <c r="M58" s="255"/>
      <c r="N58" s="255">
        <f t="shared" si="2"/>
        <v>5829.0999999999995</v>
      </c>
      <c r="P58" s="66">
        <v>38.11</v>
      </c>
      <c r="Q58" s="34">
        <f t="shared" si="5"/>
        <v>79268.800000000003</v>
      </c>
      <c r="R58" s="34">
        <f t="shared" si="6"/>
        <v>12683.008000000002</v>
      </c>
      <c r="S58" s="34"/>
      <c r="T58" s="35">
        <f t="shared" si="0"/>
        <v>6853.9080000000022</v>
      </c>
    </row>
    <row r="59" spans="1:21">
      <c r="A59" s="66">
        <f t="shared" si="1"/>
        <v>45</v>
      </c>
      <c r="B59" s="255">
        <v>449.06</v>
      </c>
      <c r="C59" s="255">
        <v>499.11</v>
      </c>
      <c r="D59" s="255">
        <v>445.05</v>
      </c>
      <c r="E59" s="255">
        <v>571.85</v>
      </c>
      <c r="F59" s="255">
        <v>435.04</v>
      </c>
      <c r="G59" s="255">
        <v>556.88</v>
      </c>
      <c r="H59" s="255">
        <v>568.89</v>
      </c>
      <c r="I59" s="255">
        <v>453.89</v>
      </c>
      <c r="J59" s="255">
        <v>560.73</v>
      </c>
      <c r="K59" s="255">
        <v>455.93</v>
      </c>
      <c r="L59" s="255">
        <v>457.98</v>
      </c>
      <c r="M59" s="255">
        <v>763.15</v>
      </c>
      <c r="N59" s="255">
        <f t="shared" si="2"/>
        <v>6217.5599999999995</v>
      </c>
      <c r="P59" s="66">
        <v>29.3</v>
      </c>
      <c r="Q59" s="34">
        <f t="shared" si="5"/>
        <v>60944</v>
      </c>
      <c r="R59" s="34">
        <f t="shared" si="6"/>
        <v>9751.0400000000009</v>
      </c>
      <c r="S59" s="34"/>
      <c r="T59" s="35">
        <f t="shared" si="0"/>
        <v>3533.4800000000014</v>
      </c>
    </row>
    <row r="60" spans="1:21">
      <c r="A60" s="66">
        <f t="shared" si="1"/>
        <v>46</v>
      </c>
      <c r="B60" s="255">
        <v>548.48</v>
      </c>
      <c r="C60" s="255">
        <v>667.28</v>
      </c>
      <c r="D60" s="255">
        <v>500.08</v>
      </c>
      <c r="E60" s="255">
        <v>740.6</v>
      </c>
      <c r="F60" s="255">
        <v>583.67999999999995</v>
      </c>
      <c r="G60" s="255">
        <v>618.23</v>
      </c>
      <c r="H60" s="255">
        <v>710.6</v>
      </c>
      <c r="I60" s="255">
        <v>635.79</v>
      </c>
      <c r="J60" s="255">
        <v>715.09</v>
      </c>
      <c r="K60" s="255">
        <v>501.16</v>
      </c>
      <c r="L60" s="255">
        <v>475.73</v>
      </c>
      <c r="M60" s="255"/>
      <c r="N60" s="255">
        <f t="shared" si="2"/>
        <v>6696.7199999999993</v>
      </c>
      <c r="P60" s="66">
        <v>42.76</v>
      </c>
      <c r="Q60" s="34">
        <f t="shared" si="5"/>
        <v>88940.800000000003</v>
      </c>
      <c r="R60" s="34">
        <f t="shared" si="6"/>
        <v>14230.528</v>
      </c>
      <c r="S60" s="34"/>
      <c r="T60" s="35">
        <f t="shared" si="0"/>
        <v>7533.8080000000009</v>
      </c>
    </row>
    <row r="61" spans="1:21">
      <c r="A61" s="66">
        <f t="shared" si="1"/>
        <v>47</v>
      </c>
      <c r="B61" s="255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P61" s="66">
        <v>22.26</v>
      </c>
      <c r="Q61" s="34">
        <f t="shared" si="5"/>
        <v>46300.800000000003</v>
      </c>
      <c r="R61" s="34">
        <f t="shared" si="6"/>
        <v>7408.1280000000006</v>
      </c>
      <c r="S61" s="34"/>
      <c r="T61" s="35">
        <f t="shared" si="0"/>
        <v>7408.1280000000006</v>
      </c>
      <c r="U61" s="68" t="s">
        <v>67</v>
      </c>
    </row>
    <row r="62" spans="1:21">
      <c r="A62" s="66">
        <f t="shared" si="1"/>
        <v>48</v>
      </c>
      <c r="B62" s="255">
        <v>935</v>
      </c>
      <c r="C62" s="255">
        <v>935</v>
      </c>
      <c r="D62" s="255">
        <v>935</v>
      </c>
      <c r="E62" s="255">
        <v>935</v>
      </c>
      <c r="F62" s="255">
        <v>935</v>
      </c>
      <c r="G62" s="255">
        <v>935</v>
      </c>
      <c r="H62" s="255">
        <v>935</v>
      </c>
      <c r="I62" s="255">
        <v>935</v>
      </c>
      <c r="J62" s="255">
        <v>935</v>
      </c>
      <c r="K62" s="255">
        <v>935</v>
      </c>
      <c r="L62" s="255">
        <v>935</v>
      </c>
      <c r="M62" s="255">
        <v>966.66</v>
      </c>
      <c r="N62" s="255">
        <f t="shared" si="2"/>
        <v>11251.66</v>
      </c>
      <c r="P62" s="66">
        <v>57.69</v>
      </c>
      <c r="Q62" s="34">
        <f t="shared" si="5"/>
        <v>119995.2</v>
      </c>
      <c r="R62" s="34">
        <f t="shared" si="6"/>
        <v>19199.232</v>
      </c>
      <c r="S62" s="34"/>
      <c r="T62" s="35">
        <f t="shared" si="0"/>
        <v>7947.5720000000001</v>
      </c>
    </row>
    <row r="63" spans="1:21">
      <c r="A63" s="66">
        <f t="shared" si="1"/>
        <v>49</v>
      </c>
      <c r="B63" s="255">
        <v>469.28</v>
      </c>
      <c r="C63" s="255">
        <v>526.48</v>
      </c>
      <c r="D63" s="255">
        <v>512.04999999999995</v>
      </c>
      <c r="E63" s="255">
        <v>608.6</v>
      </c>
      <c r="F63" s="255">
        <v>473.68</v>
      </c>
      <c r="G63" s="255">
        <v>541.14</v>
      </c>
      <c r="H63" s="255">
        <v>598.4</v>
      </c>
      <c r="I63" s="255">
        <v>489.94</v>
      </c>
      <c r="J63" s="255">
        <v>632.05999999999995</v>
      </c>
      <c r="K63" s="255">
        <v>492.18</v>
      </c>
      <c r="L63" s="255">
        <v>510.14</v>
      </c>
      <c r="M63" s="255">
        <v>747.23</v>
      </c>
      <c r="N63" s="255">
        <f t="shared" si="2"/>
        <v>6601.18</v>
      </c>
      <c r="P63" s="66">
        <v>38.11</v>
      </c>
      <c r="Q63" s="34">
        <f t="shared" si="5"/>
        <v>79268.800000000003</v>
      </c>
      <c r="R63" s="34">
        <f t="shared" si="6"/>
        <v>12683.008000000002</v>
      </c>
      <c r="S63" s="34"/>
      <c r="T63" s="35">
        <f t="shared" si="0"/>
        <v>6081.8280000000013</v>
      </c>
    </row>
    <row r="64" spans="1:21">
      <c r="A64" s="66">
        <f t="shared" si="1"/>
        <v>50</v>
      </c>
      <c r="B64" s="255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P64" s="66">
        <v>28.33</v>
      </c>
      <c r="Q64" s="34">
        <f t="shared" si="5"/>
        <v>58926.399999999994</v>
      </c>
      <c r="R64" s="34">
        <f t="shared" si="6"/>
        <v>9428.2240000000002</v>
      </c>
      <c r="S64" s="34"/>
      <c r="T64" s="35">
        <f t="shared" si="0"/>
        <v>9428.2240000000002</v>
      </c>
      <c r="U64" s="68" t="s">
        <v>67</v>
      </c>
    </row>
    <row r="65" spans="1:21">
      <c r="A65" s="66">
        <f t="shared" si="1"/>
        <v>51</v>
      </c>
      <c r="B65" s="255">
        <v>279.2</v>
      </c>
      <c r="C65" s="255">
        <v>313.23</v>
      </c>
      <c r="D65" s="255">
        <v>280.95999999999998</v>
      </c>
      <c r="E65" s="255">
        <v>349</v>
      </c>
      <c r="F65" s="255">
        <v>279.2</v>
      </c>
      <c r="G65" s="255">
        <v>614.77</v>
      </c>
      <c r="H65" s="255">
        <v>448.34</v>
      </c>
      <c r="I65" s="255">
        <v>356</v>
      </c>
      <c r="J65" s="255">
        <v>446.67</v>
      </c>
      <c r="K65" s="255">
        <v>356</v>
      </c>
      <c r="L65" s="255">
        <v>356</v>
      </c>
      <c r="M65" s="255">
        <v>544.6</v>
      </c>
      <c r="N65" s="255">
        <f t="shared" si="2"/>
        <v>4623.97</v>
      </c>
      <c r="P65" s="66">
        <v>26.66</v>
      </c>
      <c r="Q65" s="34">
        <f t="shared" si="5"/>
        <v>55452.800000000003</v>
      </c>
      <c r="R65" s="34">
        <f t="shared" si="6"/>
        <v>8872.4480000000003</v>
      </c>
      <c r="S65" s="34"/>
      <c r="T65" s="35">
        <f t="shared" si="0"/>
        <v>4248.4780000000001</v>
      </c>
    </row>
    <row r="66" spans="1:21">
      <c r="A66" s="66">
        <f t="shared" si="1"/>
        <v>52</v>
      </c>
      <c r="B66" s="255">
        <v>414.72</v>
      </c>
      <c r="C66" s="255">
        <v>417.92</v>
      </c>
      <c r="D66" s="255">
        <v>421.84</v>
      </c>
      <c r="E66" s="255">
        <v>522.4</v>
      </c>
      <c r="F66" s="255">
        <v>417.92</v>
      </c>
      <c r="G66" s="255">
        <v>477.71</v>
      </c>
      <c r="H66" s="255">
        <v>532.79999999999995</v>
      </c>
      <c r="I66" s="255">
        <v>426.24</v>
      </c>
      <c r="J66" s="255">
        <v>532.79999999999995</v>
      </c>
      <c r="K66" s="255">
        <v>426.24</v>
      </c>
      <c r="L66" s="255">
        <v>426.24</v>
      </c>
      <c r="M66" s="255">
        <v>542.45000000000005</v>
      </c>
      <c r="N66" s="255">
        <f t="shared" si="2"/>
        <v>5559.28</v>
      </c>
      <c r="P66" s="66">
        <v>28.68</v>
      </c>
      <c r="Q66" s="34">
        <f t="shared" si="5"/>
        <v>59654.400000000001</v>
      </c>
      <c r="R66" s="34">
        <f t="shared" si="6"/>
        <v>9544.7039999999997</v>
      </c>
      <c r="S66" s="34"/>
      <c r="T66" s="35">
        <f t="shared" si="0"/>
        <v>3985.424</v>
      </c>
    </row>
    <row r="67" spans="1:21">
      <c r="A67" s="66">
        <f t="shared" si="1"/>
        <v>53</v>
      </c>
      <c r="B67" s="255">
        <v>631.41999999999996</v>
      </c>
      <c r="C67" s="255">
        <v>631.41999999999996</v>
      </c>
      <c r="D67" s="255">
        <v>631.41999999999996</v>
      </c>
      <c r="E67" s="255">
        <v>631.41999999999996</v>
      </c>
      <c r="F67" s="255">
        <v>631.41999999999996</v>
      </c>
      <c r="G67" s="255">
        <v>631.41999999999996</v>
      </c>
      <c r="H67" s="255">
        <v>631.41999999999996</v>
      </c>
      <c r="I67" s="255">
        <v>631.41999999999996</v>
      </c>
      <c r="J67" s="255">
        <v>631.41999999999996</v>
      </c>
      <c r="K67" s="255">
        <v>631.41999999999996</v>
      </c>
      <c r="L67" s="255">
        <v>631.41999999999996</v>
      </c>
      <c r="M67" s="255">
        <v>647.20000000000005</v>
      </c>
      <c r="N67" s="255">
        <f t="shared" si="2"/>
        <v>7592.82</v>
      </c>
      <c r="P67" s="66">
        <v>42.76</v>
      </c>
      <c r="Q67" s="34">
        <f t="shared" si="5"/>
        <v>88940.800000000003</v>
      </c>
      <c r="R67" s="34">
        <f t="shared" si="6"/>
        <v>14230.528</v>
      </c>
      <c r="S67" s="34"/>
      <c r="T67" s="35">
        <f t="shared" si="0"/>
        <v>6637.7080000000005</v>
      </c>
    </row>
    <row r="68" spans="1:21">
      <c r="A68" s="66">
        <f t="shared" si="1"/>
        <v>54</v>
      </c>
      <c r="B68" s="255">
        <v>631.41999999999996</v>
      </c>
      <c r="C68" s="255">
        <v>631.41999999999996</v>
      </c>
      <c r="D68" s="255">
        <v>631.41999999999996</v>
      </c>
      <c r="E68" s="255">
        <v>631.41999999999996</v>
      </c>
      <c r="F68" s="255">
        <v>631.41999999999996</v>
      </c>
      <c r="G68" s="255">
        <v>631.41999999999996</v>
      </c>
      <c r="H68" s="255">
        <v>631.41999999999996</v>
      </c>
      <c r="I68" s="255">
        <v>631.41999999999996</v>
      </c>
      <c r="J68" s="255">
        <v>631.41999999999996</v>
      </c>
      <c r="K68" s="255">
        <v>631.41999999999996</v>
      </c>
      <c r="L68" s="255">
        <v>631.41999999999996</v>
      </c>
      <c r="M68" s="255">
        <v>647.20000000000005</v>
      </c>
      <c r="N68" s="255">
        <f t="shared" si="2"/>
        <v>7592.82</v>
      </c>
      <c r="P68" s="66">
        <v>48.08</v>
      </c>
      <c r="Q68" s="34">
        <f t="shared" si="5"/>
        <v>100006.39999999999</v>
      </c>
      <c r="R68" s="34">
        <f t="shared" si="6"/>
        <v>16001.023999999999</v>
      </c>
      <c r="S68" s="34"/>
      <c r="T68" s="35">
        <f t="shared" si="0"/>
        <v>8408.2039999999997</v>
      </c>
    </row>
    <row r="69" spans="1:21">
      <c r="A69" s="66">
        <f t="shared" si="1"/>
        <v>55</v>
      </c>
      <c r="B69" s="255">
        <v>279.2</v>
      </c>
      <c r="C69" s="255">
        <v>297.52999999999997</v>
      </c>
      <c r="D69" s="255">
        <v>279.2</v>
      </c>
      <c r="E69" s="255">
        <v>349.21</v>
      </c>
      <c r="F69" s="255">
        <v>279.2</v>
      </c>
      <c r="G69" s="255">
        <v>604.71</v>
      </c>
      <c r="H69" s="255">
        <v>445</v>
      </c>
      <c r="I69" s="255">
        <v>356.84</v>
      </c>
      <c r="J69" s="255">
        <v>446.67</v>
      </c>
      <c r="K69" s="255">
        <v>356</v>
      </c>
      <c r="L69" s="255">
        <v>356</v>
      </c>
      <c r="M69" s="255">
        <v>453.06</v>
      </c>
      <c r="N69" s="255">
        <f t="shared" si="2"/>
        <v>4502.6200000000008</v>
      </c>
      <c r="P69" s="66">
        <v>27.25</v>
      </c>
      <c r="Q69" s="34">
        <f t="shared" si="5"/>
        <v>56680</v>
      </c>
      <c r="R69" s="34">
        <f t="shared" si="6"/>
        <v>9068.8000000000011</v>
      </c>
      <c r="S69" s="34"/>
      <c r="T69" s="35">
        <f t="shared" si="0"/>
        <v>4566.18</v>
      </c>
    </row>
    <row r="70" spans="1:21">
      <c r="A70" s="66">
        <f t="shared" si="1"/>
        <v>56</v>
      </c>
      <c r="B70" s="255">
        <v>631.41999999999996</v>
      </c>
      <c r="C70" s="255">
        <v>631.41999999999996</v>
      </c>
      <c r="D70" s="255">
        <v>631.41999999999996</v>
      </c>
      <c r="E70" s="255">
        <v>631.41999999999996</v>
      </c>
      <c r="F70" s="255">
        <v>631.41999999999996</v>
      </c>
      <c r="G70" s="255">
        <v>631.41999999999996</v>
      </c>
      <c r="H70" s="255">
        <v>631.41999999999996</v>
      </c>
      <c r="I70" s="255">
        <v>631.41999999999996</v>
      </c>
      <c r="J70" s="255">
        <v>631.41999999999996</v>
      </c>
      <c r="K70" s="255">
        <v>631.41999999999996</v>
      </c>
      <c r="L70" s="255">
        <v>631.41999999999996</v>
      </c>
      <c r="M70" s="255">
        <v>647.20000000000005</v>
      </c>
      <c r="N70" s="255">
        <f t="shared" si="2"/>
        <v>7592.82</v>
      </c>
      <c r="P70" s="66">
        <v>42.76</v>
      </c>
      <c r="Q70" s="34">
        <f t="shared" si="5"/>
        <v>88940.800000000003</v>
      </c>
      <c r="R70" s="34">
        <f t="shared" si="6"/>
        <v>14230.528</v>
      </c>
      <c r="S70" s="34"/>
      <c r="T70" s="35">
        <f t="shared" si="0"/>
        <v>6637.7080000000005</v>
      </c>
    </row>
    <row r="71" spans="1:21">
      <c r="A71" s="66">
        <f t="shared" si="1"/>
        <v>57</v>
      </c>
      <c r="B71" s="255">
        <v>583.34</v>
      </c>
      <c r="C71" s="255">
        <v>583.34</v>
      </c>
      <c r="D71" s="255">
        <v>583.34</v>
      </c>
      <c r="E71" s="255">
        <v>583.34</v>
      </c>
      <c r="F71" s="255">
        <v>583.34</v>
      </c>
      <c r="G71" s="255">
        <v>583.34</v>
      </c>
      <c r="H71" s="255">
        <v>583.34</v>
      </c>
      <c r="I71" s="255">
        <v>583.34</v>
      </c>
      <c r="J71" s="255">
        <v>583.34</v>
      </c>
      <c r="K71" s="255">
        <v>583.34</v>
      </c>
      <c r="L71" s="255">
        <v>583.34</v>
      </c>
      <c r="M71" s="255">
        <v>600</v>
      </c>
      <c r="N71" s="255">
        <f t="shared" si="2"/>
        <v>7016.7400000000007</v>
      </c>
      <c r="P71" s="66">
        <v>40.869999999999997</v>
      </c>
      <c r="Q71" s="34">
        <f t="shared" si="5"/>
        <v>85009.599999999991</v>
      </c>
      <c r="R71" s="34">
        <f t="shared" si="6"/>
        <v>13601.535999999998</v>
      </c>
      <c r="S71" s="34"/>
      <c r="T71" s="35">
        <f t="shared" si="0"/>
        <v>6584.7959999999975</v>
      </c>
    </row>
    <row r="72" spans="1:21">
      <c r="A72" s="66">
        <f t="shared" si="1"/>
        <v>58</v>
      </c>
      <c r="B72" s="255">
        <v>631.41999999999996</v>
      </c>
      <c r="C72" s="255">
        <v>631.41999999999996</v>
      </c>
      <c r="D72" s="255">
        <v>631.41999999999996</v>
      </c>
      <c r="E72" s="255">
        <v>1510.61</v>
      </c>
      <c r="F72" s="255"/>
      <c r="G72" s="255"/>
      <c r="H72" s="255"/>
      <c r="I72" s="255"/>
      <c r="J72" s="255"/>
      <c r="K72" s="255"/>
      <c r="L72" s="255"/>
      <c r="M72" s="255"/>
      <c r="N72" s="255">
        <f t="shared" si="2"/>
        <v>3404.87</v>
      </c>
      <c r="Q72" s="34" t="s">
        <v>68</v>
      </c>
      <c r="R72" s="34"/>
      <c r="S72" s="34"/>
      <c r="T72" s="35">
        <f t="shared" si="0"/>
        <v>-3404.87</v>
      </c>
      <c r="U72" s="68" t="s">
        <v>70</v>
      </c>
    </row>
    <row r="73" spans="1:21">
      <c r="A73" s="66">
        <f t="shared" si="1"/>
        <v>59</v>
      </c>
      <c r="B73" s="255">
        <v>512.5</v>
      </c>
      <c r="C73" s="255">
        <v>512.5</v>
      </c>
      <c r="D73" s="255">
        <v>512.5</v>
      </c>
      <c r="E73" s="255">
        <v>512.5</v>
      </c>
      <c r="F73" s="255">
        <v>512.5</v>
      </c>
      <c r="G73" s="255">
        <v>512.5</v>
      </c>
      <c r="H73" s="255">
        <v>512.5</v>
      </c>
      <c r="I73" s="255">
        <v>512.5</v>
      </c>
      <c r="J73" s="255">
        <v>512.5</v>
      </c>
      <c r="K73" s="255">
        <v>512.5</v>
      </c>
      <c r="L73" s="255">
        <v>512.5</v>
      </c>
      <c r="M73" s="255">
        <v>533.34</v>
      </c>
      <c r="N73" s="255">
        <f t="shared" si="2"/>
        <v>6170.84</v>
      </c>
      <c r="P73" s="66">
        <v>34.619999999999997</v>
      </c>
      <c r="Q73" s="34">
        <f t="shared" ref="Q73:Q79" si="7">2080*P73</f>
        <v>72009.599999999991</v>
      </c>
      <c r="R73" s="34">
        <f t="shared" ref="R73:R79" si="8">Q73*16%</f>
        <v>11521.535999999998</v>
      </c>
      <c r="S73" s="34"/>
      <c r="T73" s="35">
        <f t="shared" si="0"/>
        <v>5350.6959999999981</v>
      </c>
    </row>
    <row r="74" spans="1:21">
      <c r="A74" s="66">
        <f t="shared" si="1"/>
        <v>60</v>
      </c>
      <c r="B74" s="255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P74" s="66">
        <v>102.4</v>
      </c>
      <c r="Q74" s="34">
        <f t="shared" si="7"/>
        <v>212992</v>
      </c>
      <c r="R74" s="34">
        <f t="shared" si="8"/>
        <v>34078.720000000001</v>
      </c>
      <c r="S74" s="34"/>
      <c r="T74" s="35">
        <f t="shared" si="0"/>
        <v>34078.720000000001</v>
      </c>
      <c r="U74" s="68" t="s">
        <v>67</v>
      </c>
    </row>
    <row r="75" spans="1:21">
      <c r="A75" s="66">
        <f t="shared" si="1"/>
        <v>61</v>
      </c>
      <c r="B75" s="255">
        <v>350.6</v>
      </c>
      <c r="C75" s="255">
        <v>351.41</v>
      </c>
      <c r="D75" s="255">
        <v>348.96</v>
      </c>
      <c r="E75" s="255">
        <v>441.11</v>
      </c>
      <c r="F75" s="255">
        <v>350.04</v>
      </c>
      <c r="G75" s="255">
        <v>401.54</v>
      </c>
      <c r="H75" s="255">
        <v>448.34</v>
      </c>
      <c r="I75" s="255">
        <v>357.67</v>
      </c>
      <c r="J75" s="255">
        <v>446.1</v>
      </c>
      <c r="K75" s="255">
        <v>357.1</v>
      </c>
      <c r="L75" s="255">
        <v>356.57</v>
      </c>
      <c r="M75" s="255">
        <v>456.4</v>
      </c>
      <c r="N75" s="255">
        <f t="shared" si="2"/>
        <v>4665.8399999999992</v>
      </c>
      <c r="P75" s="66">
        <v>25.62</v>
      </c>
      <c r="Q75" s="34">
        <f t="shared" si="7"/>
        <v>53289.599999999999</v>
      </c>
      <c r="R75" s="34">
        <f t="shared" si="8"/>
        <v>8526.3359999999993</v>
      </c>
      <c r="S75" s="34"/>
      <c r="T75" s="35">
        <f t="shared" si="0"/>
        <v>3860.4960000000001</v>
      </c>
    </row>
    <row r="76" spans="1:21">
      <c r="A76" s="66">
        <f t="shared" si="1"/>
        <v>62</v>
      </c>
      <c r="B76" s="255">
        <v>350.88</v>
      </c>
      <c r="C76" s="255">
        <v>405.17</v>
      </c>
      <c r="D76" s="255">
        <v>357.46</v>
      </c>
      <c r="E76" s="255">
        <v>441.89</v>
      </c>
      <c r="F76" s="255">
        <v>354.17</v>
      </c>
      <c r="G76" s="255">
        <v>708.51</v>
      </c>
      <c r="H76" s="255">
        <v>584.83000000000004</v>
      </c>
      <c r="I76" s="255">
        <v>464.89</v>
      </c>
      <c r="J76" s="255">
        <v>504.66</v>
      </c>
      <c r="K76" s="255">
        <v>423.86</v>
      </c>
      <c r="L76" s="255">
        <v>401.49</v>
      </c>
      <c r="M76" s="255">
        <v>700.49</v>
      </c>
      <c r="N76" s="255">
        <f t="shared" si="2"/>
        <v>5698.2999999999993</v>
      </c>
      <c r="P76" s="66">
        <v>35.33</v>
      </c>
      <c r="Q76" s="34">
        <f t="shared" si="7"/>
        <v>73486.399999999994</v>
      </c>
      <c r="R76" s="34">
        <f t="shared" si="8"/>
        <v>11757.823999999999</v>
      </c>
      <c r="S76" s="34"/>
      <c r="T76" s="35">
        <f t="shared" si="0"/>
        <v>6059.5239999999994</v>
      </c>
    </row>
    <row r="77" spans="1:21">
      <c r="A77" s="66">
        <f t="shared" si="1"/>
        <v>63</v>
      </c>
      <c r="B77" s="255">
        <v>397.12</v>
      </c>
      <c r="C77" s="255">
        <v>430.63</v>
      </c>
      <c r="D77" s="255">
        <v>397.12</v>
      </c>
      <c r="E77" s="255">
        <v>496.4</v>
      </c>
      <c r="F77" s="255">
        <v>397.12</v>
      </c>
      <c r="G77" s="255">
        <v>455.4</v>
      </c>
      <c r="H77" s="255">
        <v>506.4</v>
      </c>
      <c r="I77" s="255">
        <v>405.12</v>
      </c>
      <c r="J77" s="255">
        <v>506.4</v>
      </c>
      <c r="K77" s="255">
        <v>405.12</v>
      </c>
      <c r="L77" s="255">
        <v>405.12</v>
      </c>
      <c r="M77" s="255">
        <v>589.44000000000005</v>
      </c>
      <c r="N77" s="255">
        <f t="shared" si="2"/>
        <v>5391.3899999999994</v>
      </c>
      <c r="P77" s="66">
        <v>27.25</v>
      </c>
      <c r="Q77" s="34">
        <f t="shared" si="7"/>
        <v>56680</v>
      </c>
      <c r="R77" s="34">
        <f t="shared" si="8"/>
        <v>9068.8000000000011</v>
      </c>
      <c r="S77" s="34"/>
      <c r="T77" s="35">
        <f t="shared" si="0"/>
        <v>3677.4100000000017</v>
      </c>
    </row>
    <row r="78" spans="1:21">
      <c r="A78" s="66">
        <f t="shared" si="1"/>
        <v>64</v>
      </c>
      <c r="B78" s="255">
        <v>398.98</v>
      </c>
      <c r="C78" s="255">
        <v>423.18</v>
      </c>
      <c r="D78" s="255">
        <v>397.12</v>
      </c>
      <c r="E78" s="255">
        <v>492.06</v>
      </c>
      <c r="F78" s="255">
        <v>397.12</v>
      </c>
      <c r="G78" s="255">
        <v>455.2</v>
      </c>
      <c r="H78" s="255">
        <v>506.4</v>
      </c>
      <c r="I78" s="255">
        <v>405.12</v>
      </c>
      <c r="J78" s="255">
        <v>506.4</v>
      </c>
      <c r="K78" s="255">
        <v>405.12</v>
      </c>
      <c r="L78" s="255">
        <v>405.12</v>
      </c>
      <c r="M78" s="255">
        <v>517.41999999999996</v>
      </c>
      <c r="N78" s="255">
        <f t="shared" si="2"/>
        <v>5309.24</v>
      </c>
      <c r="P78" s="66">
        <v>27.25</v>
      </c>
      <c r="Q78" s="34">
        <f t="shared" si="7"/>
        <v>56680</v>
      </c>
      <c r="R78" s="34">
        <f t="shared" si="8"/>
        <v>9068.8000000000011</v>
      </c>
      <c r="S78" s="34"/>
      <c r="T78" s="35">
        <f t="shared" si="0"/>
        <v>3759.5600000000013</v>
      </c>
    </row>
    <row r="79" spans="1:21">
      <c r="A79" s="66">
        <f t="shared" si="1"/>
        <v>65</v>
      </c>
      <c r="B79" s="255">
        <v>586.65</v>
      </c>
      <c r="C79" s="255">
        <v>707.87</v>
      </c>
      <c r="D79" s="255">
        <v>564.19000000000005</v>
      </c>
      <c r="E79" s="255">
        <v>715.34</v>
      </c>
      <c r="F79" s="255">
        <v>523.78</v>
      </c>
      <c r="G79" s="255">
        <v>725.42</v>
      </c>
      <c r="H79" s="255">
        <v>748.01</v>
      </c>
      <c r="I79" s="255">
        <v>712.9</v>
      </c>
      <c r="J79" s="255">
        <v>702.21</v>
      </c>
      <c r="K79" s="255">
        <v>538.86</v>
      </c>
      <c r="L79" s="255">
        <v>607.55999999999995</v>
      </c>
      <c r="M79" s="255">
        <v>1070.58</v>
      </c>
      <c r="N79" s="255">
        <f t="shared" si="2"/>
        <v>8203.369999999999</v>
      </c>
      <c r="P79" s="66">
        <v>40.380000000000003</v>
      </c>
      <c r="Q79" s="34">
        <f t="shared" si="7"/>
        <v>83990.400000000009</v>
      </c>
      <c r="R79" s="34">
        <f t="shared" si="8"/>
        <v>13438.464000000002</v>
      </c>
      <c r="S79" s="34"/>
      <c r="T79" s="35">
        <f t="shared" si="0"/>
        <v>5235.0940000000028</v>
      </c>
    </row>
    <row r="80" spans="1:21">
      <c r="B80" s="255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</row>
    <row r="81" spans="1:21">
      <c r="B81" s="255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Q81" s="255"/>
      <c r="R81" s="255"/>
      <c r="S81" s="255"/>
    </row>
    <row r="82" spans="1:21">
      <c r="A82" s="68" t="s">
        <v>66</v>
      </c>
      <c r="B82" s="98">
        <f t="shared" ref="B82:M82" si="9">SUM(B16:B81)</f>
        <v>26912.749999999996</v>
      </c>
      <c r="C82" s="98">
        <f t="shared" si="9"/>
        <v>29519.529999999992</v>
      </c>
      <c r="D82" s="98">
        <f t="shared" si="9"/>
        <v>26865.46999999999</v>
      </c>
      <c r="E82" s="98">
        <f t="shared" si="9"/>
        <v>32395.849999999995</v>
      </c>
      <c r="F82" s="98">
        <f t="shared" si="9"/>
        <v>26311.149999999991</v>
      </c>
      <c r="G82" s="98">
        <f t="shared" si="9"/>
        <v>33833.719999999987</v>
      </c>
      <c r="H82" s="98">
        <f t="shared" si="9"/>
        <v>33500.449999999997</v>
      </c>
      <c r="I82" s="98">
        <f t="shared" si="9"/>
        <v>27946.569999999992</v>
      </c>
      <c r="J82" s="98">
        <f t="shared" si="9"/>
        <v>31396.769999999997</v>
      </c>
      <c r="K82" s="98">
        <f t="shared" si="9"/>
        <v>26767.429999999993</v>
      </c>
      <c r="L82" s="98">
        <f t="shared" si="9"/>
        <v>25983.249999999993</v>
      </c>
      <c r="M82" s="98">
        <f t="shared" si="9"/>
        <v>33920.490000000005</v>
      </c>
      <c r="N82" s="98">
        <f>SUM(N16:N79)</f>
        <v>355353.43000000011</v>
      </c>
      <c r="Q82" s="98">
        <f>SUM(Q15:Q81)</f>
        <v>4102862.3999999985</v>
      </c>
      <c r="R82" s="98">
        <f>SUM(R15:R81)</f>
        <v>656457.98400000017</v>
      </c>
      <c r="S82" s="98"/>
      <c r="T82" s="98">
        <f>SUM(T15:T80)</f>
        <v>301104.55399999995</v>
      </c>
    </row>
    <row r="83" spans="1:21">
      <c r="B83" s="255"/>
      <c r="C83" s="255"/>
      <c r="D83" s="255"/>
      <c r="E83" s="255"/>
      <c r="F83" s="255"/>
      <c r="G83" s="255"/>
      <c r="H83" s="255"/>
      <c r="I83" s="255"/>
      <c r="J83" s="255"/>
      <c r="K83" s="255"/>
      <c r="L83" s="255"/>
      <c r="M83" s="255"/>
      <c r="N83" s="255"/>
    </row>
    <row r="84" spans="1:21">
      <c r="B84" s="255"/>
      <c r="F84" s="255"/>
      <c r="G84" s="255"/>
      <c r="H84" s="255"/>
      <c r="I84" s="255"/>
      <c r="J84" s="255"/>
      <c r="K84" s="255"/>
      <c r="L84" s="255"/>
      <c r="M84" s="255"/>
      <c r="N84" s="255"/>
    </row>
    <row r="85" spans="1:21">
      <c r="B85" s="165"/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</row>
    <row r="86" spans="1:21">
      <c r="B86" s="165"/>
      <c r="C86" s="165"/>
      <c r="D86" s="165"/>
      <c r="E86" s="165"/>
      <c r="F86" s="165"/>
      <c r="G86" s="165"/>
      <c r="H86" s="165"/>
      <c r="I86" s="165"/>
      <c r="J86" s="165" t="s">
        <v>117</v>
      </c>
      <c r="L86" s="165"/>
      <c r="M86" s="165"/>
      <c r="N86" s="165">
        <f>N82</f>
        <v>355353.43000000011</v>
      </c>
    </row>
    <row r="87" spans="1:21">
      <c r="B87" s="165"/>
      <c r="C87" s="165"/>
      <c r="D87" s="165"/>
      <c r="E87" s="165"/>
      <c r="F87" s="165"/>
      <c r="G87" s="165"/>
      <c r="H87" s="165"/>
      <c r="I87" s="165"/>
      <c r="J87" s="165" t="s">
        <v>118</v>
      </c>
      <c r="L87" s="165"/>
      <c r="M87" s="165"/>
      <c r="N87" s="186">
        <f>R82</f>
        <v>656457.98400000017</v>
      </c>
    </row>
    <row r="88" spans="1:21">
      <c r="B88" s="165"/>
      <c r="C88" s="165"/>
      <c r="D88" s="165"/>
      <c r="E88" s="165"/>
      <c r="F88" s="165"/>
      <c r="G88" s="165"/>
      <c r="H88" s="165"/>
      <c r="I88" s="165"/>
      <c r="J88" s="261" t="s">
        <v>10</v>
      </c>
      <c r="K88" s="90"/>
      <c r="L88" s="261"/>
      <c r="M88" s="261"/>
      <c r="N88" s="261">
        <f>N87-N86</f>
        <v>301104.55400000006</v>
      </c>
    </row>
    <row r="90" spans="1:21" ht="28.5" customHeight="1">
      <c r="A90" s="348" t="s">
        <v>123</v>
      </c>
      <c r="B90" s="348"/>
      <c r="C90" s="348"/>
      <c r="D90" s="348"/>
      <c r="E90" s="348"/>
      <c r="F90" s="348"/>
      <c r="G90" s="348"/>
      <c r="H90" s="348"/>
      <c r="I90" s="348"/>
      <c r="J90" s="348"/>
      <c r="K90" s="348"/>
      <c r="L90" s="348"/>
      <c r="M90" s="348"/>
      <c r="N90" s="348"/>
    </row>
    <row r="91" spans="1:21" s="2" customFormat="1">
      <c r="A91" s="5"/>
      <c r="C91" s="36" t="s">
        <v>74</v>
      </c>
      <c r="E91" s="5"/>
      <c r="F91" s="24"/>
      <c r="G91" s="24"/>
      <c r="H91" s="24"/>
      <c r="I91" s="24"/>
      <c r="J91" s="24"/>
      <c r="K91" s="24"/>
      <c r="L91" s="24"/>
      <c r="M91" s="24"/>
      <c r="N91" s="24"/>
      <c r="O91" s="38"/>
      <c r="P91" s="38"/>
      <c r="Q91" s="38"/>
      <c r="R91" s="38"/>
      <c r="S91" s="38"/>
      <c r="U91" s="5"/>
    </row>
    <row r="92" spans="1:21" s="2" customFormat="1">
      <c r="A92" s="5"/>
      <c r="C92" s="5" t="s">
        <v>70</v>
      </c>
      <c r="E92" s="5"/>
      <c r="F92" s="2" t="s">
        <v>75</v>
      </c>
      <c r="U92" s="5"/>
    </row>
    <row r="93" spans="1:21" s="2" customFormat="1">
      <c r="A93" s="5"/>
      <c r="C93" s="5" t="s">
        <v>72</v>
      </c>
      <c r="E93" s="5"/>
      <c r="F93" s="2" t="s">
        <v>76</v>
      </c>
      <c r="U93" s="5"/>
    </row>
    <row r="94" spans="1:21" s="2" customFormat="1">
      <c r="A94" s="5"/>
      <c r="C94" s="5" t="s">
        <v>69</v>
      </c>
      <c r="E94" s="5"/>
      <c r="F94" s="2" t="s">
        <v>77</v>
      </c>
      <c r="U94" s="5"/>
    </row>
    <row r="95" spans="1:21">
      <c r="A95" s="66"/>
      <c r="C95" s="5" t="s">
        <v>71</v>
      </c>
      <c r="F95" s="2" t="s">
        <v>78</v>
      </c>
    </row>
    <row r="96" spans="1:21">
      <c r="A96" s="66"/>
      <c r="C96" s="5" t="s">
        <v>67</v>
      </c>
      <c r="F96" s="2" t="s">
        <v>79</v>
      </c>
    </row>
    <row r="99" spans="1:3">
      <c r="A99" s="68" t="s">
        <v>142</v>
      </c>
      <c r="B99" s="66" t="s">
        <v>144</v>
      </c>
    </row>
    <row r="100" spans="1:3">
      <c r="A100" s="36" t="s">
        <v>143</v>
      </c>
      <c r="B100" s="76" t="s">
        <v>145</v>
      </c>
    </row>
    <row r="101" spans="1:3">
      <c r="A101" s="166">
        <v>10720</v>
      </c>
      <c r="B101" s="258">
        <v>0.27140472817115968</v>
      </c>
      <c r="C101" s="252">
        <f>B101*$N$88</f>
        <v>81721.19962946829</v>
      </c>
    </row>
    <row r="102" spans="1:3">
      <c r="A102" s="166">
        <v>10880</v>
      </c>
      <c r="B102" s="258">
        <v>4.3902550700088971E-2</v>
      </c>
      <c r="C102" s="252">
        <f t="shared" ref="C102:C130" si="10">B102*$N$88</f>
        <v>13219.257948012681</v>
      </c>
    </row>
    <row r="103" spans="1:3">
      <c r="A103" s="66">
        <v>16300</v>
      </c>
      <c r="B103" s="258">
        <v>3.4999946969816516E-2</v>
      </c>
      <c r="C103" s="252">
        <f t="shared" si="10"/>
        <v>10538.643422370256</v>
      </c>
    </row>
    <row r="104" spans="1:3">
      <c r="A104" s="66">
        <v>184.1</v>
      </c>
      <c r="B104" s="258">
        <v>4.0144392135701396E-2</v>
      </c>
      <c r="C104" s="252">
        <f t="shared" si="10"/>
        <v>12087.659289621479</v>
      </c>
    </row>
    <row r="105" spans="1:3">
      <c r="A105" s="66">
        <v>242.2</v>
      </c>
      <c r="B105" s="258">
        <v>0</v>
      </c>
      <c r="C105" s="252">
        <f t="shared" si="10"/>
        <v>0</v>
      </c>
    </row>
    <row r="106" spans="1:3">
      <c r="A106" s="66">
        <v>390.1</v>
      </c>
      <c r="B106" s="258">
        <v>0</v>
      </c>
      <c r="C106" s="252">
        <f t="shared" si="10"/>
        <v>0</v>
      </c>
    </row>
    <row r="107" spans="1:3">
      <c r="A107" s="66">
        <v>390.4</v>
      </c>
      <c r="B107" s="258">
        <v>0</v>
      </c>
      <c r="C107" s="252">
        <f t="shared" si="10"/>
        <v>0</v>
      </c>
    </row>
    <row r="108" spans="1:3">
      <c r="A108" s="66">
        <v>580</v>
      </c>
      <c r="B108" s="258">
        <v>1.7852080969070986E-2</v>
      </c>
      <c r="C108" s="252">
        <f t="shared" si="10"/>
        <v>5375.3428781640077</v>
      </c>
    </row>
    <row r="109" spans="1:3">
      <c r="A109" s="66">
        <v>582</v>
      </c>
      <c r="B109" s="258">
        <v>0</v>
      </c>
      <c r="C109" s="252">
        <f t="shared" si="10"/>
        <v>0</v>
      </c>
    </row>
    <row r="110" spans="1:3">
      <c r="A110" s="66">
        <v>583</v>
      </c>
      <c r="B110" s="258">
        <v>9.8114350148730267E-2</v>
      </c>
      <c r="C110" s="252">
        <f t="shared" si="10"/>
        <v>29542.677642533268</v>
      </c>
    </row>
    <row r="111" spans="1:3">
      <c r="A111" s="166">
        <v>584</v>
      </c>
      <c r="B111" s="258">
        <v>0</v>
      </c>
      <c r="C111" s="252">
        <f t="shared" si="10"/>
        <v>0</v>
      </c>
    </row>
    <row r="112" spans="1:3">
      <c r="A112" s="66">
        <v>586</v>
      </c>
      <c r="B112" s="258">
        <v>4.8392241244393348E-2</v>
      </c>
      <c r="C112" s="252">
        <f t="shared" si="10"/>
        <v>14571.124216953467</v>
      </c>
    </row>
    <row r="113" spans="1:8">
      <c r="A113" s="66">
        <v>587</v>
      </c>
      <c r="B113" s="258">
        <v>2.0891305455667675E-4</v>
      </c>
      <c r="C113" s="252">
        <f t="shared" si="10"/>
        <v>62.904672117065829</v>
      </c>
    </row>
    <row r="114" spans="1:8">
      <c r="A114" s="66">
        <v>588</v>
      </c>
      <c r="B114" s="258">
        <v>9.3009509475976415E-3</v>
      </c>
      <c r="C114" s="252">
        <f t="shared" si="10"/>
        <v>2800.558686852266</v>
      </c>
    </row>
    <row r="115" spans="1:8">
      <c r="A115" s="66">
        <v>590</v>
      </c>
      <c r="B115" s="258">
        <v>1.7690429448773231E-2</v>
      </c>
      <c r="C115" s="252">
        <f t="shared" si="10"/>
        <v>5326.6688692413309</v>
      </c>
      <c r="H115" s="262"/>
    </row>
    <row r="116" spans="1:8">
      <c r="A116" s="66">
        <v>593</v>
      </c>
      <c r="B116" s="258">
        <v>0.14853795784126284</v>
      </c>
      <c r="C116" s="252">
        <f t="shared" si="10"/>
        <v>44725.455547864258</v>
      </c>
    </row>
    <row r="117" spans="1:8">
      <c r="A117" s="166">
        <v>594</v>
      </c>
      <c r="B117" s="258">
        <v>3.4208348606457322E-4</v>
      </c>
      <c r="C117" s="252">
        <f t="shared" si="10"/>
        <v>103.00289550223856</v>
      </c>
    </row>
    <row r="118" spans="1:8">
      <c r="A118" s="66">
        <v>595</v>
      </c>
      <c r="B118" s="258">
        <v>7.9868630007892444E-4</v>
      </c>
      <c r="C118" s="252">
        <f t="shared" si="10"/>
        <v>240.48808217117477</v>
      </c>
    </row>
    <row r="119" spans="1:8">
      <c r="A119" s="66">
        <v>597</v>
      </c>
      <c r="B119" s="258">
        <v>0</v>
      </c>
      <c r="C119" s="252">
        <f t="shared" si="10"/>
        <v>0</v>
      </c>
    </row>
    <row r="120" spans="1:8">
      <c r="A120" s="66">
        <v>598</v>
      </c>
      <c r="B120" s="258">
        <v>0</v>
      </c>
      <c r="C120" s="252">
        <f t="shared" si="10"/>
        <v>0</v>
      </c>
    </row>
    <row r="121" spans="1:8">
      <c r="A121" s="66">
        <v>598</v>
      </c>
      <c r="B121" s="258">
        <v>5.2228263639169184E-4</v>
      </c>
      <c r="C121" s="252">
        <f t="shared" si="10"/>
        <v>157.26168029266458</v>
      </c>
    </row>
    <row r="122" spans="1:8">
      <c r="A122" s="66">
        <v>902</v>
      </c>
      <c r="B122" s="258">
        <v>1.4897834117964481E-2</v>
      </c>
      <c r="C122" s="252">
        <f t="shared" si="10"/>
        <v>4485.8056976556791</v>
      </c>
    </row>
    <row r="123" spans="1:8">
      <c r="A123" s="66">
        <v>903</v>
      </c>
      <c r="B123" s="258">
        <v>9.182251289086156E-2</v>
      </c>
      <c r="C123" s="252">
        <f t="shared" si="10"/>
        <v>27648.176791162128</v>
      </c>
    </row>
    <row r="124" spans="1:8">
      <c r="A124" s="66">
        <v>907</v>
      </c>
      <c r="B124" s="258">
        <v>1.8002221059294731E-2</v>
      </c>
      <c r="C124" s="252">
        <f t="shared" si="10"/>
        <v>5420.5507430683483</v>
      </c>
    </row>
    <row r="125" spans="1:8">
      <c r="A125" s="66">
        <v>908</v>
      </c>
      <c r="B125" s="258">
        <v>0</v>
      </c>
      <c r="C125" s="252">
        <f t="shared" si="10"/>
        <v>0</v>
      </c>
    </row>
    <row r="126" spans="1:8">
      <c r="A126" s="66">
        <v>920</v>
      </c>
      <c r="B126" s="258">
        <v>0.114342284742078</v>
      </c>
      <c r="C126" s="252">
        <f t="shared" si="10"/>
        <v>34428.982650604405</v>
      </c>
    </row>
    <row r="127" spans="1:8">
      <c r="A127" s="66">
        <v>925</v>
      </c>
      <c r="B127" s="258">
        <v>1.1178167706273834E-2</v>
      </c>
      <c r="C127" s="252">
        <f t="shared" si="10"/>
        <v>3365.7972017347865</v>
      </c>
    </row>
    <row r="128" spans="1:8">
      <c r="A128" s="66">
        <v>926</v>
      </c>
      <c r="B128" s="258">
        <v>1.3192874916283448E-4</v>
      </c>
      <c r="C128" s="252">
        <f t="shared" si="10"/>
        <v>39.724347176453158</v>
      </c>
    </row>
    <row r="129" spans="1:7">
      <c r="A129" s="66">
        <v>930.4</v>
      </c>
      <c r="B129" s="258">
        <v>0</v>
      </c>
      <c r="C129" s="252">
        <f t="shared" si="10"/>
        <v>0</v>
      </c>
    </row>
    <row r="130" spans="1:7">
      <c r="A130" s="66">
        <v>935</v>
      </c>
      <c r="B130" s="258">
        <v>1.7413456680677845E-2</v>
      </c>
      <c r="C130" s="252">
        <f t="shared" si="10"/>
        <v>5243.271107433824</v>
      </c>
    </row>
    <row r="131" spans="1:7">
      <c r="B131" s="258"/>
    </row>
    <row r="132" spans="1:7">
      <c r="B132" s="258">
        <v>0.99999999999999978</v>
      </c>
      <c r="C132" s="252">
        <f>SUM(C101:C130)</f>
        <v>301104.55400000006</v>
      </c>
      <c r="E132" s="66" t="s">
        <v>453</v>
      </c>
    </row>
    <row r="133" spans="1:7">
      <c r="C133" s="263"/>
      <c r="E133" s="353" t="s">
        <v>304</v>
      </c>
      <c r="F133" s="353"/>
      <c r="G133" s="353"/>
    </row>
    <row r="134" spans="1:7">
      <c r="C134" s="252">
        <f>SUM(C101:C107)</f>
        <v>117566.7602894727</v>
      </c>
      <c r="E134" s="353" t="s">
        <v>454</v>
      </c>
      <c r="F134" s="353"/>
      <c r="G134" s="353"/>
    </row>
  </sheetData>
  <mergeCells count="12">
    <mergeCell ref="E134:G134"/>
    <mergeCell ref="E133:G133"/>
    <mergeCell ref="T12:T13"/>
    <mergeCell ref="U12:U13"/>
    <mergeCell ref="A90:N90"/>
    <mergeCell ref="P11:R11"/>
    <mergeCell ref="B12:N12"/>
    <mergeCell ref="P12:P13"/>
    <mergeCell ref="R12:R13"/>
    <mergeCell ref="A5:U5"/>
    <mergeCell ref="A6:U6"/>
    <mergeCell ref="A8:U8"/>
  </mergeCell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  <rowBreaks count="1" manualBreakCount="1">
    <brk id="9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93"/>
  <sheetViews>
    <sheetView view="pageBreakPreview" topLeftCell="A8" zoomScale="60" zoomScaleNormal="100" workbookViewId="0">
      <selection activeCell="B54" sqref="B54"/>
    </sheetView>
  </sheetViews>
  <sheetFormatPr defaultColWidth="8.81640625" defaultRowHeight="12.5"/>
  <cols>
    <col min="1" max="1" width="4.453125" style="77" customWidth="1"/>
    <col min="2" max="2" width="22.1796875" style="66" customWidth="1"/>
    <col min="3" max="3" width="15.7265625" style="166" customWidth="1"/>
    <col min="4" max="7" width="15.7265625" style="66" customWidth="1"/>
    <col min="8" max="8" width="3" style="66" customWidth="1"/>
    <col min="9" max="9" width="15.453125" style="66" customWidth="1"/>
    <col min="10" max="10" width="14.54296875" style="66" customWidth="1"/>
    <col min="11" max="11" width="8.453125" style="66" bestFit="1" customWidth="1"/>
    <col min="12" max="12" width="15.81640625" style="66" customWidth="1"/>
    <col min="13" max="13" width="10.54296875" style="66" bestFit="1" customWidth="1"/>
    <col min="14" max="16384" width="8.81640625" style="66"/>
  </cols>
  <sheetData>
    <row r="1" spans="1:12" ht="13">
      <c r="J1" s="163" t="str">
        <f>+'AG Summary'!D1</f>
        <v>Exhibit JD-1</v>
      </c>
    </row>
    <row r="2" spans="1:12" ht="13">
      <c r="D2" s="26"/>
      <c r="J2" s="26" t="s">
        <v>81</v>
      </c>
    </row>
    <row r="3" spans="1:12" ht="13">
      <c r="E3" s="26"/>
    </row>
    <row r="4" spans="1:12" ht="13">
      <c r="B4" s="347" t="str">
        <f>RevReq!A1</f>
        <v>TAYLOR COUNTY RECC</v>
      </c>
      <c r="C4" s="347"/>
      <c r="D4" s="347"/>
      <c r="E4" s="347"/>
      <c r="F4" s="347"/>
      <c r="G4" s="347"/>
      <c r="H4" s="347"/>
      <c r="I4" s="347"/>
      <c r="J4" s="347"/>
    </row>
    <row r="5" spans="1:12" ht="13">
      <c r="B5" s="347" t="str">
        <f>RevReq!A3</f>
        <v>For the 12 Months Ended December 31, 2021</v>
      </c>
      <c r="C5" s="347"/>
      <c r="D5" s="347"/>
      <c r="E5" s="347"/>
      <c r="F5" s="347"/>
      <c r="G5" s="347"/>
      <c r="H5" s="347"/>
      <c r="I5" s="347"/>
      <c r="J5" s="347"/>
    </row>
    <row r="7" spans="1:12" ht="13">
      <c r="B7" s="345" t="s">
        <v>98</v>
      </c>
      <c r="C7" s="345"/>
      <c r="D7" s="345"/>
      <c r="E7" s="345"/>
      <c r="F7" s="345"/>
      <c r="G7" s="345"/>
      <c r="H7" s="345"/>
      <c r="I7" s="345"/>
      <c r="J7" s="345"/>
    </row>
    <row r="8" spans="1:12" ht="26">
      <c r="C8" s="48"/>
      <c r="D8" s="48"/>
      <c r="E8" s="48"/>
      <c r="F8" s="48"/>
      <c r="G8" s="48"/>
      <c r="H8" s="42"/>
      <c r="I8" s="264" t="s">
        <v>97</v>
      </c>
    </row>
    <row r="10" spans="1:12" ht="15" customHeight="1">
      <c r="B10" s="43" t="s">
        <v>82</v>
      </c>
      <c r="C10" s="44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2"/>
      <c r="I10" s="3" t="s">
        <v>87</v>
      </c>
      <c r="J10" s="3" t="s">
        <v>99</v>
      </c>
    </row>
    <row r="11" spans="1:12" ht="13">
      <c r="A11" s="45" t="s">
        <v>12</v>
      </c>
      <c r="B11" s="46" t="s">
        <v>88</v>
      </c>
      <c r="C11" s="46" t="s">
        <v>89</v>
      </c>
      <c r="D11" s="46" t="s">
        <v>90</v>
      </c>
      <c r="E11" s="46" t="s">
        <v>13</v>
      </c>
      <c r="F11" s="46" t="s">
        <v>14</v>
      </c>
      <c r="G11" s="46" t="s">
        <v>48</v>
      </c>
      <c r="H11" s="2"/>
      <c r="I11" s="46" t="s">
        <v>100</v>
      </c>
      <c r="J11" s="46" t="s">
        <v>101</v>
      </c>
    </row>
    <row r="12" spans="1:12" ht="15" customHeight="1">
      <c r="B12" s="2"/>
      <c r="C12" s="47"/>
      <c r="D12" s="2"/>
      <c r="E12" s="2"/>
      <c r="F12" s="2"/>
      <c r="G12" s="48"/>
      <c r="H12" s="2"/>
      <c r="K12" s="265"/>
      <c r="L12" s="265"/>
    </row>
    <row r="13" spans="1:12" ht="13">
      <c r="B13" s="49" t="s">
        <v>91</v>
      </c>
      <c r="C13" s="50"/>
      <c r="D13" s="5"/>
      <c r="E13" s="51"/>
      <c r="F13" s="52"/>
      <c r="G13" s="48"/>
      <c r="H13" s="2"/>
      <c r="K13" s="265"/>
      <c r="L13" s="265"/>
    </row>
    <row r="14" spans="1:12">
      <c r="A14" s="77">
        <v>1</v>
      </c>
      <c r="B14" s="2" t="s">
        <v>92</v>
      </c>
      <c r="C14" s="53">
        <v>312281.15999999997</v>
      </c>
      <c r="D14" s="54">
        <v>0</v>
      </c>
      <c r="E14" s="55">
        <f>C14*D14</f>
        <v>0</v>
      </c>
      <c r="F14" s="54">
        <v>1</v>
      </c>
      <c r="G14" s="55">
        <f>C14*F14</f>
        <v>312281.15999999997</v>
      </c>
      <c r="H14" s="2"/>
      <c r="I14" s="255">
        <f>99000+6600</f>
        <v>105600</v>
      </c>
      <c r="J14" s="180">
        <f>G14+I14</f>
        <v>417881.16</v>
      </c>
      <c r="K14" s="265"/>
      <c r="L14" s="265"/>
    </row>
    <row r="15" spans="1:12">
      <c r="A15" s="77">
        <v>2</v>
      </c>
      <c r="B15" s="2" t="s">
        <v>93</v>
      </c>
      <c r="C15" s="53">
        <v>0</v>
      </c>
      <c r="D15" s="54"/>
      <c r="E15" s="55">
        <f>C15*D15</f>
        <v>0</v>
      </c>
      <c r="F15" s="54"/>
      <c r="G15" s="55">
        <f>C15*F15</f>
        <v>0</v>
      </c>
      <c r="H15" s="2"/>
      <c r="J15" s="180">
        <f t="shared" ref="J15:J17" si="0">G15+I15</f>
        <v>0</v>
      </c>
      <c r="K15" s="265"/>
      <c r="L15" s="265"/>
    </row>
    <row r="16" spans="1:12">
      <c r="A16" s="77">
        <v>3</v>
      </c>
      <c r="B16" s="2" t="s">
        <v>94</v>
      </c>
      <c r="C16" s="53">
        <v>0</v>
      </c>
      <c r="D16" s="54"/>
      <c r="E16" s="55">
        <f>C16*D16</f>
        <v>0</v>
      </c>
      <c r="F16" s="54"/>
      <c r="G16" s="55">
        <f>C16*F16</f>
        <v>0</v>
      </c>
      <c r="H16" s="2"/>
      <c r="J16" s="180">
        <f t="shared" si="0"/>
        <v>0</v>
      </c>
      <c r="K16" s="265"/>
      <c r="L16" s="265"/>
    </row>
    <row r="17" spans="1:12">
      <c r="A17" s="77">
        <v>4</v>
      </c>
      <c r="B17" s="2" t="s">
        <v>95</v>
      </c>
      <c r="C17" s="56">
        <v>611215.64</v>
      </c>
      <c r="D17" s="57">
        <v>0</v>
      </c>
      <c r="E17" s="58">
        <f>C17*D17</f>
        <v>0</v>
      </c>
      <c r="F17" s="54">
        <v>1</v>
      </c>
      <c r="G17" s="58">
        <f>C17*F17</f>
        <v>611215.64</v>
      </c>
      <c r="H17" s="2"/>
      <c r="I17" s="266">
        <f>132000+26400</f>
        <v>158400</v>
      </c>
      <c r="J17" s="267">
        <f t="shared" si="0"/>
        <v>769615.64</v>
      </c>
      <c r="K17" s="265"/>
      <c r="L17" s="265"/>
    </row>
    <row r="18" spans="1:12">
      <c r="A18" s="77">
        <v>5</v>
      </c>
      <c r="B18" s="11" t="s">
        <v>66</v>
      </c>
      <c r="C18" s="59">
        <f>SUM(C14:C17)</f>
        <v>923496.8</v>
      </c>
      <c r="D18" s="60"/>
      <c r="E18" s="60">
        <f>SUM(E14:E17)</f>
        <v>0</v>
      </c>
      <c r="F18" s="60"/>
      <c r="G18" s="60">
        <f>SUM(G14:G17)</f>
        <v>923496.8</v>
      </c>
      <c r="H18" s="2"/>
      <c r="I18" s="255">
        <f>SUM(I14:I17)</f>
        <v>264000</v>
      </c>
      <c r="J18" s="255">
        <f>SUM(J14:J17)</f>
        <v>1187496.8</v>
      </c>
      <c r="K18" s="265"/>
      <c r="L18" s="265"/>
    </row>
    <row r="19" spans="1:12" ht="13">
      <c r="B19" s="2"/>
      <c r="C19" s="53"/>
      <c r="D19" s="10"/>
      <c r="E19" s="10"/>
      <c r="F19" s="10"/>
      <c r="G19" s="61"/>
      <c r="H19" s="2"/>
      <c r="K19" s="265"/>
      <c r="L19" s="265"/>
    </row>
    <row r="20" spans="1:12" ht="13">
      <c r="B20" s="62" t="s">
        <v>150</v>
      </c>
      <c r="C20" s="53"/>
      <c r="D20" s="10"/>
      <c r="E20" s="10"/>
      <c r="F20" s="10"/>
      <c r="G20" s="61"/>
      <c r="H20" s="2"/>
      <c r="K20" s="265"/>
      <c r="L20" s="265"/>
    </row>
    <row r="21" spans="1:12">
      <c r="A21" s="77">
        <v>6</v>
      </c>
      <c r="B21" s="2" t="s">
        <v>92</v>
      </c>
      <c r="C21" s="53">
        <f>8223.45*12</f>
        <v>98681.400000000009</v>
      </c>
      <c r="D21" s="54">
        <v>0.2</v>
      </c>
      <c r="E21" s="55">
        <f>C21*D21</f>
        <v>19736.280000000002</v>
      </c>
      <c r="F21" s="54">
        <f>1-D21</f>
        <v>0.8</v>
      </c>
      <c r="G21" s="55">
        <f>C21*F21</f>
        <v>78945.12000000001</v>
      </c>
      <c r="H21" s="2"/>
      <c r="I21" s="255">
        <v>52500</v>
      </c>
      <c r="J21" s="180">
        <f t="shared" ref="J21:J24" si="1">G21+I21</f>
        <v>131445.12</v>
      </c>
      <c r="K21" s="265"/>
      <c r="L21" s="265"/>
    </row>
    <row r="22" spans="1:12">
      <c r="A22" s="77">
        <v>7</v>
      </c>
      <c r="B22" s="2" t="s">
        <v>93</v>
      </c>
      <c r="C22" s="53">
        <f>11193.3*12</f>
        <v>134319.59999999998</v>
      </c>
      <c r="D22" s="54">
        <v>0.33</v>
      </c>
      <c r="E22" s="55">
        <f>C22*D22</f>
        <v>44325.467999999993</v>
      </c>
      <c r="F22" s="54">
        <f t="shared" ref="F22:F24" si="2">1-D22</f>
        <v>0.66999999999999993</v>
      </c>
      <c r="G22" s="55">
        <f>C22*F22</f>
        <v>89994.131999999969</v>
      </c>
      <c r="H22" s="2"/>
      <c r="I22" s="255">
        <f>56000+7000</f>
        <v>63000</v>
      </c>
      <c r="J22" s="180">
        <f t="shared" si="1"/>
        <v>152994.13199999998</v>
      </c>
      <c r="K22" s="265"/>
      <c r="L22" s="265"/>
    </row>
    <row r="23" spans="1:12">
      <c r="A23" s="77">
        <v>8</v>
      </c>
      <c r="B23" s="2" t="s">
        <v>94</v>
      </c>
      <c r="C23" s="53">
        <f>3394.08*12</f>
        <v>40728.959999999999</v>
      </c>
      <c r="D23" s="54">
        <v>0.33</v>
      </c>
      <c r="E23" s="55">
        <f>C23*D23</f>
        <v>13440.5568</v>
      </c>
      <c r="F23" s="54">
        <f t="shared" si="2"/>
        <v>0.66999999999999993</v>
      </c>
      <c r="G23" s="55">
        <f>C23*F23</f>
        <v>27288.403199999997</v>
      </c>
      <c r="H23" s="2"/>
      <c r="I23" s="255">
        <v>21000</v>
      </c>
      <c r="J23" s="180">
        <f t="shared" si="1"/>
        <v>48288.403200000001</v>
      </c>
      <c r="K23" s="265"/>
      <c r="L23" s="265"/>
    </row>
    <row r="24" spans="1:12">
      <c r="A24" s="77">
        <v>9</v>
      </c>
      <c r="B24" s="2" t="s">
        <v>95</v>
      </c>
      <c r="C24" s="56">
        <f>49315.37*12</f>
        <v>591784.44000000006</v>
      </c>
      <c r="D24" s="57">
        <v>0.33</v>
      </c>
      <c r="E24" s="58">
        <f>C24*D24</f>
        <v>195288.86520000003</v>
      </c>
      <c r="F24" s="54">
        <f t="shared" si="2"/>
        <v>0.66999999999999993</v>
      </c>
      <c r="G24" s="58">
        <f>C24*F24</f>
        <v>396495.5748</v>
      </c>
      <c r="H24" s="2"/>
      <c r="I24" s="266">
        <f>189000+7000</f>
        <v>196000</v>
      </c>
      <c r="J24" s="267">
        <f t="shared" si="1"/>
        <v>592495.57480000006</v>
      </c>
      <c r="K24" s="265"/>
      <c r="L24" s="265"/>
    </row>
    <row r="25" spans="1:12">
      <c r="A25" s="77">
        <v>10</v>
      </c>
      <c r="B25" s="11" t="s">
        <v>66</v>
      </c>
      <c r="C25" s="59">
        <f>SUM(C21:C24)</f>
        <v>865514.40000000014</v>
      </c>
      <c r="D25" s="60"/>
      <c r="E25" s="60">
        <f>SUM(E21:E24)</f>
        <v>272791.17000000004</v>
      </c>
      <c r="F25" s="60"/>
      <c r="G25" s="60">
        <f>SUM(G21:G24)</f>
        <v>592723.23</v>
      </c>
      <c r="H25" s="2"/>
      <c r="I25" s="255">
        <f>SUM(I21:I24)</f>
        <v>332500</v>
      </c>
      <c r="J25" s="255">
        <f>SUM(J21:J24)</f>
        <v>925223.23</v>
      </c>
      <c r="K25" s="265"/>
      <c r="L25" s="265"/>
    </row>
    <row r="26" spans="1:12">
      <c r="B26" s="2"/>
      <c r="C26" s="53"/>
      <c r="D26" s="10"/>
      <c r="E26" s="10"/>
      <c r="F26" s="10"/>
      <c r="G26" s="10"/>
      <c r="H26" s="2"/>
      <c r="I26" s="109"/>
      <c r="J26" s="109"/>
      <c r="K26" s="265"/>
      <c r="L26" s="265"/>
    </row>
    <row r="27" spans="1:12" ht="13.5" thickBot="1">
      <c r="B27" s="63" t="s">
        <v>10</v>
      </c>
      <c r="C27" s="64"/>
      <c r="D27" s="18"/>
      <c r="E27" s="18"/>
      <c r="F27" s="18"/>
      <c r="G27" s="65"/>
      <c r="H27" s="2"/>
      <c r="I27" s="82"/>
      <c r="J27" s="316">
        <f>J25-J18</f>
        <v>-262273.57000000007</v>
      </c>
    </row>
    <row r="28" spans="1:12" ht="13" thickTop="1"/>
    <row r="29" spans="1:12" ht="13">
      <c r="B29" s="345" t="s">
        <v>96</v>
      </c>
      <c r="C29" s="345"/>
      <c r="D29" s="345"/>
      <c r="E29" s="345"/>
      <c r="F29" s="345"/>
      <c r="G29" s="345"/>
      <c r="H29" s="42"/>
    </row>
    <row r="30" spans="1:12">
      <c r="B30" s="2"/>
      <c r="C30" s="22"/>
      <c r="D30" s="2"/>
      <c r="E30" s="2"/>
      <c r="F30" s="2"/>
      <c r="G30" s="2"/>
      <c r="H30" s="2"/>
    </row>
    <row r="31" spans="1:12" ht="15" customHeight="1">
      <c r="B31" s="43" t="s">
        <v>82</v>
      </c>
      <c r="C31" s="44" t="s">
        <v>83</v>
      </c>
      <c r="D31" s="3" t="s">
        <v>84</v>
      </c>
      <c r="E31" s="3" t="s">
        <v>85</v>
      </c>
      <c r="F31" s="3" t="s">
        <v>86</v>
      </c>
      <c r="G31" s="3" t="s">
        <v>87</v>
      </c>
      <c r="H31" s="2"/>
    </row>
    <row r="32" spans="1:12" ht="13">
      <c r="B32" s="46" t="s">
        <v>88</v>
      </c>
      <c r="C32" s="46" t="s">
        <v>89</v>
      </c>
      <c r="D32" s="46" t="s">
        <v>90</v>
      </c>
      <c r="E32" s="46" t="s">
        <v>13</v>
      </c>
      <c r="F32" s="46" t="s">
        <v>14</v>
      </c>
      <c r="G32" s="46" t="s">
        <v>48</v>
      </c>
      <c r="H32" s="2"/>
    </row>
    <row r="33" spans="1:8" ht="13">
      <c r="B33" s="2"/>
      <c r="C33" s="47"/>
      <c r="D33" s="2"/>
      <c r="E33" s="2"/>
      <c r="F33" s="2"/>
      <c r="G33" s="48"/>
      <c r="H33" s="2"/>
    </row>
    <row r="34" spans="1:8" ht="13">
      <c r="B34" s="49" t="s">
        <v>91</v>
      </c>
      <c r="C34" s="50"/>
      <c r="D34" s="5"/>
      <c r="E34" s="51"/>
      <c r="F34" s="52"/>
      <c r="G34" s="48"/>
      <c r="H34" s="2"/>
    </row>
    <row r="35" spans="1:8">
      <c r="A35" s="77">
        <v>11</v>
      </c>
      <c r="B35" s="2" t="s">
        <v>92</v>
      </c>
      <c r="C35" s="53">
        <v>4807.25</v>
      </c>
      <c r="D35" s="54">
        <v>1</v>
      </c>
      <c r="E35" s="55">
        <f>C35*D35</f>
        <v>4807.25</v>
      </c>
      <c r="F35" s="54">
        <v>0</v>
      </c>
      <c r="G35" s="55">
        <f>C35*F35</f>
        <v>0</v>
      </c>
      <c r="H35" s="2"/>
    </row>
    <row r="36" spans="1:8">
      <c r="A36" s="77">
        <v>12</v>
      </c>
      <c r="B36" s="2" t="s">
        <v>93</v>
      </c>
      <c r="C36" s="53">
        <v>3809.36</v>
      </c>
      <c r="D36" s="54">
        <v>1</v>
      </c>
      <c r="E36" s="55">
        <f>C36*D36</f>
        <v>3809.36</v>
      </c>
      <c r="F36" s="54">
        <v>0</v>
      </c>
      <c r="G36" s="55">
        <f>C36*F36</f>
        <v>0</v>
      </c>
      <c r="H36" s="2"/>
    </row>
    <row r="37" spans="1:8">
      <c r="A37" s="77">
        <v>13</v>
      </c>
      <c r="B37" s="2" t="s">
        <v>94</v>
      </c>
      <c r="C37" s="53">
        <v>1899</v>
      </c>
      <c r="D37" s="54">
        <v>1</v>
      </c>
      <c r="E37" s="55">
        <f>C37*D37</f>
        <v>1899</v>
      </c>
      <c r="F37" s="54">
        <v>0</v>
      </c>
      <c r="G37" s="55">
        <f>C37*F37</f>
        <v>0</v>
      </c>
      <c r="H37" s="2"/>
    </row>
    <row r="38" spans="1:8">
      <c r="A38" s="77">
        <v>14</v>
      </c>
      <c r="B38" s="2" t="s">
        <v>95</v>
      </c>
      <c r="C38" s="56">
        <v>8821.34</v>
      </c>
      <c r="D38" s="57">
        <v>1</v>
      </c>
      <c r="E38" s="58">
        <f>C38*D38</f>
        <v>8821.34</v>
      </c>
      <c r="F38" s="57">
        <v>0</v>
      </c>
      <c r="G38" s="58">
        <f>C38*F38</f>
        <v>0</v>
      </c>
      <c r="H38" s="2"/>
    </row>
    <row r="39" spans="1:8">
      <c r="A39" s="77">
        <v>15</v>
      </c>
      <c r="B39" s="11" t="s">
        <v>66</v>
      </c>
      <c r="C39" s="59">
        <f>SUM(C35:C38)</f>
        <v>19336.95</v>
      </c>
      <c r="D39" s="60"/>
      <c r="E39" s="60">
        <f>SUM(E35:E38)</f>
        <v>19336.95</v>
      </c>
      <c r="F39" s="60"/>
      <c r="G39" s="60">
        <f>SUM(G35:G38)</f>
        <v>0</v>
      </c>
      <c r="H39" s="2"/>
    </row>
    <row r="40" spans="1:8" ht="13">
      <c r="B40" s="2"/>
      <c r="C40" s="53"/>
      <c r="D40" s="10"/>
      <c r="E40" s="10"/>
      <c r="F40" s="10"/>
      <c r="G40" s="61"/>
      <c r="H40" s="2"/>
    </row>
    <row r="41" spans="1:8" ht="13">
      <c r="B41" s="62" t="s">
        <v>150</v>
      </c>
      <c r="C41" s="53"/>
      <c r="D41" s="10"/>
      <c r="E41" s="10"/>
      <c r="F41" s="10"/>
      <c r="G41" s="61"/>
      <c r="H41" s="2"/>
    </row>
    <row r="42" spans="1:8">
      <c r="A42" s="77">
        <v>16</v>
      </c>
      <c r="B42" s="2" t="s">
        <v>92</v>
      </c>
      <c r="C42" s="53">
        <f>432.6*12</f>
        <v>5191.2000000000007</v>
      </c>
      <c r="D42" s="54">
        <v>0.2</v>
      </c>
      <c r="E42" s="55">
        <f>C42*D42</f>
        <v>1038.2400000000002</v>
      </c>
      <c r="F42" s="54">
        <v>0.8</v>
      </c>
      <c r="G42" s="55">
        <f>C42*F42</f>
        <v>4152.9600000000009</v>
      </c>
      <c r="H42" s="2"/>
    </row>
    <row r="43" spans="1:8">
      <c r="A43" s="77">
        <v>17</v>
      </c>
      <c r="B43" s="2" t="s">
        <v>93</v>
      </c>
      <c r="C43" s="53">
        <f>294.1*12</f>
        <v>3529.2000000000003</v>
      </c>
      <c r="D43" s="54">
        <v>0.2</v>
      </c>
      <c r="E43" s="55">
        <f>C43*D43</f>
        <v>705.84000000000015</v>
      </c>
      <c r="F43" s="54">
        <v>0.8</v>
      </c>
      <c r="G43" s="55">
        <f>C43*F43</f>
        <v>2823.3600000000006</v>
      </c>
      <c r="H43" s="2"/>
    </row>
    <row r="44" spans="1:8">
      <c r="A44" s="77">
        <v>18</v>
      </c>
      <c r="B44" s="2" t="s">
        <v>94</v>
      </c>
      <c r="C44" s="53">
        <f>166.17*12</f>
        <v>1994.04</v>
      </c>
      <c r="D44" s="54">
        <v>0.2</v>
      </c>
      <c r="E44" s="55">
        <f>C44*D44</f>
        <v>398.80799999999999</v>
      </c>
      <c r="F44" s="54">
        <v>0.8</v>
      </c>
      <c r="G44" s="55">
        <f>C44*F44</f>
        <v>1595.232</v>
      </c>
      <c r="H44" s="2"/>
    </row>
    <row r="45" spans="1:8">
      <c r="A45" s="77">
        <v>19</v>
      </c>
      <c r="B45" s="2" t="s">
        <v>95</v>
      </c>
      <c r="C45" s="56">
        <f>733.68*12</f>
        <v>8804.16</v>
      </c>
      <c r="D45" s="54">
        <v>0.2</v>
      </c>
      <c r="E45" s="58">
        <f>C45*D45</f>
        <v>1760.8320000000001</v>
      </c>
      <c r="F45" s="54">
        <v>0.8</v>
      </c>
      <c r="G45" s="58">
        <f>C45*F45</f>
        <v>7043.3280000000004</v>
      </c>
      <c r="H45" s="2"/>
    </row>
    <row r="46" spans="1:8">
      <c r="A46" s="77">
        <v>20</v>
      </c>
      <c r="B46" s="11" t="s">
        <v>66</v>
      </c>
      <c r="C46" s="59">
        <f>SUM(C42:C45)</f>
        <v>19518.600000000002</v>
      </c>
      <c r="D46" s="60"/>
      <c r="E46" s="60">
        <f>SUM(E42:E45)</f>
        <v>3903.7200000000003</v>
      </c>
      <c r="F46" s="60"/>
      <c r="G46" s="60">
        <f>SUM(G42:G45)</f>
        <v>15614.880000000001</v>
      </c>
      <c r="H46" s="2"/>
    </row>
    <row r="47" spans="1:8">
      <c r="B47" s="2"/>
      <c r="C47" s="53"/>
      <c r="D47" s="10"/>
      <c r="E47" s="10"/>
      <c r="F47" s="10"/>
      <c r="G47" s="10"/>
      <c r="H47" s="2"/>
    </row>
    <row r="48" spans="1:8" ht="13.5" thickBot="1">
      <c r="A48" s="77">
        <v>21</v>
      </c>
      <c r="B48" s="63" t="s">
        <v>10</v>
      </c>
      <c r="C48" s="64"/>
      <c r="D48" s="18"/>
      <c r="E48" s="18"/>
      <c r="F48" s="18"/>
      <c r="G48" s="65">
        <f>G46-G39</f>
        <v>15614.880000000001</v>
      </c>
      <c r="H48" s="2"/>
    </row>
    <row r="49" spans="1:8" ht="13" thickTop="1"/>
    <row r="50" spans="1:8" ht="13.5" thickBot="1">
      <c r="A50" s="77">
        <v>33</v>
      </c>
      <c r="B50" s="63" t="s">
        <v>151</v>
      </c>
      <c r="C50" s="64"/>
      <c r="D50" s="18"/>
      <c r="E50" s="18"/>
      <c r="F50" s="18"/>
      <c r="G50" s="88">
        <f>J27+G48</f>
        <v>-246658.69000000006</v>
      </c>
      <c r="H50" s="2"/>
    </row>
    <row r="51" spans="1:8" ht="13" thickTop="1"/>
    <row r="53" spans="1:8">
      <c r="B53" s="66" t="s">
        <v>524</v>
      </c>
    </row>
    <row r="55" spans="1:8" ht="43.5" customHeight="1">
      <c r="B55" s="346" t="s">
        <v>472</v>
      </c>
      <c r="C55" s="346"/>
      <c r="D55" s="346"/>
      <c r="E55" s="346"/>
      <c r="F55" s="346"/>
      <c r="G55" s="346"/>
    </row>
    <row r="56" spans="1:8">
      <c r="B56" s="246"/>
    </row>
    <row r="60" spans="1:8">
      <c r="B60" s="68" t="s">
        <v>142</v>
      </c>
      <c r="C60" s="66" t="s">
        <v>144</v>
      </c>
    </row>
    <row r="61" spans="1:8">
      <c r="B61" s="36" t="s">
        <v>143</v>
      </c>
      <c r="C61" s="76" t="s">
        <v>145</v>
      </c>
    </row>
    <row r="62" spans="1:8">
      <c r="B62" s="166">
        <v>10720</v>
      </c>
      <c r="C62" s="258">
        <v>0.27140472817115968</v>
      </c>
      <c r="D62" s="252">
        <f>C62*$G$50</f>
        <v>-66944.334710504365</v>
      </c>
    </row>
    <row r="63" spans="1:8">
      <c r="B63" s="166">
        <v>10880</v>
      </c>
      <c r="C63" s="258">
        <v>4.3902550700088971E-2</v>
      </c>
      <c r="D63" s="252">
        <f t="shared" ref="D63:D91" si="3">C63*$G$50</f>
        <v>-10828.945643342531</v>
      </c>
    </row>
    <row r="64" spans="1:8">
      <c r="B64" s="66">
        <v>16300</v>
      </c>
      <c r="C64" s="258">
        <v>3.4999946969816516E-2</v>
      </c>
      <c r="D64" s="252">
        <f t="shared" si="3"/>
        <v>-8633.0410696444142</v>
      </c>
    </row>
    <row r="65" spans="2:7">
      <c r="B65" s="66">
        <v>184.1</v>
      </c>
      <c r="C65" s="258">
        <v>4.0144392135701396E-2</v>
      </c>
      <c r="D65" s="252">
        <f t="shared" si="3"/>
        <v>-9901.9631750384106</v>
      </c>
    </row>
    <row r="66" spans="2:7">
      <c r="B66" s="66">
        <v>242.2</v>
      </c>
      <c r="C66" s="258">
        <v>0</v>
      </c>
      <c r="D66" s="252">
        <f t="shared" si="3"/>
        <v>0</v>
      </c>
    </row>
    <row r="67" spans="2:7">
      <c r="B67" s="66">
        <v>390.1</v>
      </c>
      <c r="C67" s="258">
        <v>0</v>
      </c>
      <c r="D67" s="252">
        <f t="shared" si="3"/>
        <v>0</v>
      </c>
    </row>
    <row r="68" spans="2:7">
      <c r="B68" s="66">
        <v>390.4</v>
      </c>
      <c r="C68" s="258">
        <v>0</v>
      </c>
      <c r="D68" s="252">
        <f t="shared" si="3"/>
        <v>0</v>
      </c>
    </row>
    <row r="69" spans="2:7">
      <c r="B69" s="66">
        <v>580</v>
      </c>
      <c r="C69" s="258">
        <v>1.7852080969070986E-2</v>
      </c>
      <c r="D69" s="252">
        <f t="shared" si="3"/>
        <v>-4403.3709056049811</v>
      </c>
    </row>
    <row r="70" spans="2:7">
      <c r="B70" s="66">
        <v>582</v>
      </c>
      <c r="C70" s="258">
        <v>0</v>
      </c>
      <c r="D70" s="252">
        <f t="shared" si="3"/>
        <v>0</v>
      </c>
    </row>
    <row r="71" spans="2:7">
      <c r="B71" s="66">
        <v>583</v>
      </c>
      <c r="C71" s="258">
        <v>9.8114350148730267E-2</v>
      </c>
      <c r="D71" s="252">
        <f t="shared" si="3"/>
        <v>-24200.75707788712</v>
      </c>
    </row>
    <row r="72" spans="2:7">
      <c r="B72" s="166">
        <v>584</v>
      </c>
      <c r="C72" s="258">
        <v>0</v>
      </c>
      <c r="D72" s="252">
        <f t="shared" si="3"/>
        <v>0</v>
      </c>
    </row>
    <row r="73" spans="2:7">
      <c r="B73" s="66">
        <v>586</v>
      </c>
      <c r="C73" s="258">
        <v>4.8392241244393348E-2</v>
      </c>
      <c r="D73" s="252">
        <f t="shared" si="3"/>
        <v>-11936.366831506037</v>
      </c>
    </row>
    <row r="74" spans="2:7">
      <c r="B74" s="66">
        <v>587</v>
      </c>
      <c r="C74" s="258">
        <v>2.0891305455667675E-4</v>
      </c>
      <c r="D74" s="252">
        <f t="shared" si="3"/>
        <v>-51.530220360848432</v>
      </c>
    </row>
    <row r="75" spans="2:7">
      <c r="B75" s="66">
        <v>588</v>
      </c>
      <c r="C75" s="258">
        <v>9.3009509475976415E-3</v>
      </c>
      <c r="D75" s="252">
        <f t="shared" si="3"/>
        <v>-2294.1603764886936</v>
      </c>
    </row>
    <row r="76" spans="2:7">
      <c r="B76" s="66">
        <v>590</v>
      </c>
      <c r="C76" s="258">
        <v>1.7690429448773231E-2</v>
      </c>
      <c r="D76" s="252">
        <f t="shared" si="3"/>
        <v>-4363.4981533718283</v>
      </c>
    </row>
    <row r="77" spans="2:7">
      <c r="B77" s="66">
        <v>593</v>
      </c>
      <c r="C77" s="258">
        <v>0.14853795784126284</v>
      </c>
      <c r="D77" s="252">
        <f t="shared" si="3"/>
        <v>-36638.178096401127</v>
      </c>
    </row>
    <row r="78" spans="2:7">
      <c r="B78" s="166">
        <v>594</v>
      </c>
      <c r="C78" s="258">
        <v>3.4208348606457322E-4</v>
      </c>
      <c r="D78" s="252">
        <f t="shared" si="3"/>
        <v>-84.377864543320911</v>
      </c>
      <c r="E78" s="353" t="s">
        <v>305</v>
      </c>
      <c r="F78" s="353"/>
      <c r="G78" s="252">
        <f>SUM(D69:D91)</f>
        <v>-150350.40540147037</v>
      </c>
    </row>
    <row r="79" spans="2:7">
      <c r="B79" s="66">
        <v>595</v>
      </c>
      <c r="C79" s="258">
        <v>7.9868630007892444E-4</v>
      </c>
      <c r="D79" s="252">
        <f t="shared" si="3"/>
        <v>-197.00291649841444</v>
      </c>
    </row>
    <row r="80" spans="2:7">
      <c r="B80" s="66">
        <v>597</v>
      </c>
      <c r="C80" s="258">
        <v>0</v>
      </c>
      <c r="D80" s="252">
        <f t="shared" si="3"/>
        <v>0</v>
      </c>
    </row>
    <row r="81" spans="2:4">
      <c r="B81" s="66">
        <v>598</v>
      </c>
      <c r="C81" s="258">
        <v>0</v>
      </c>
      <c r="D81" s="252">
        <f t="shared" si="3"/>
        <v>0</v>
      </c>
    </row>
    <row r="82" spans="2:4">
      <c r="B82" s="66">
        <v>598</v>
      </c>
      <c r="C82" s="258">
        <v>5.2228263639169184E-4</v>
      </c>
      <c r="D82" s="252">
        <f t="shared" si="3"/>
        <v>-128.82555090212108</v>
      </c>
    </row>
    <row r="83" spans="2:4">
      <c r="B83" s="66">
        <v>902</v>
      </c>
      <c r="C83" s="258">
        <v>1.4897834117964481E-2</v>
      </c>
      <c r="D83" s="252">
        <f t="shared" si="3"/>
        <v>-3674.6802473744251</v>
      </c>
    </row>
    <row r="84" spans="2:4">
      <c r="B84" s="66">
        <v>903</v>
      </c>
      <c r="C84" s="258">
        <v>9.182251289086156E-2</v>
      </c>
      <c r="D84" s="252">
        <f t="shared" si="3"/>
        <v>-22648.820742168031</v>
      </c>
    </row>
    <row r="85" spans="2:4">
      <c r="B85" s="66">
        <v>907</v>
      </c>
      <c r="C85" s="258">
        <v>1.8002221059294731E-2</v>
      </c>
      <c r="D85" s="252">
        <f t="shared" si="3"/>
        <v>-4440.4042635760516</v>
      </c>
    </row>
    <row r="86" spans="2:4">
      <c r="B86" s="66">
        <v>908</v>
      </c>
      <c r="C86" s="258">
        <v>0</v>
      </c>
      <c r="D86" s="252">
        <f t="shared" si="3"/>
        <v>0</v>
      </c>
    </row>
    <row r="87" spans="2:4">
      <c r="B87" s="66">
        <v>920</v>
      </c>
      <c r="C87" s="258">
        <v>0.114342284742078</v>
      </c>
      <c r="D87" s="252">
        <f t="shared" si="3"/>
        <v>-28203.518166087953</v>
      </c>
    </row>
    <row r="88" spans="2:4">
      <c r="B88" s="66">
        <v>925</v>
      </c>
      <c r="C88" s="258">
        <v>1.1178167706273834E-2</v>
      </c>
      <c r="D88" s="252">
        <f t="shared" si="3"/>
        <v>-2757.1922030298092</v>
      </c>
    </row>
    <row r="89" spans="2:4">
      <c r="B89" s="66">
        <v>926</v>
      </c>
      <c r="C89" s="258">
        <v>1.3192874916283448E-4</v>
      </c>
      <c r="D89" s="252">
        <f t="shared" si="3"/>
        <v>-32.541372441843357</v>
      </c>
    </row>
    <row r="90" spans="2:4">
      <c r="B90" s="66">
        <v>930.4</v>
      </c>
      <c r="C90" s="258">
        <v>0</v>
      </c>
      <c r="D90" s="252">
        <f t="shared" si="3"/>
        <v>0</v>
      </c>
    </row>
    <row r="91" spans="2:4">
      <c r="B91" s="66">
        <v>935</v>
      </c>
      <c r="C91" s="258">
        <v>1.7413456680677845E-2</v>
      </c>
      <c r="D91" s="252">
        <f t="shared" si="3"/>
        <v>-4295.1804132277466</v>
      </c>
    </row>
    <row r="92" spans="2:4">
      <c r="C92" s="258"/>
      <c r="D92" s="252"/>
    </row>
    <row r="93" spans="2:4">
      <c r="C93" s="258">
        <v>0.99999999999999978</v>
      </c>
      <c r="D93" s="252">
        <f>SUM(D62:D92)</f>
        <v>-246658.69000000006</v>
      </c>
    </row>
  </sheetData>
  <mergeCells count="6">
    <mergeCell ref="B4:J4"/>
    <mergeCell ref="B5:J5"/>
    <mergeCell ref="B7:J7"/>
    <mergeCell ref="E78:F78"/>
    <mergeCell ref="B55:G55"/>
    <mergeCell ref="B29:G29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r:id="rId1"/>
  <rowBreaks count="1" manualBreakCount="1">
    <brk id="55" max="16383" man="1"/>
  </rowBreaks>
  <ignoredErrors>
    <ignoredError sqref="B32:G32 B11:J1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37"/>
  <sheetViews>
    <sheetView view="pageBreakPreview" zoomScale="60" zoomScaleNormal="100" workbookViewId="0">
      <selection activeCell="D1" sqref="D1"/>
    </sheetView>
  </sheetViews>
  <sheetFormatPr defaultColWidth="9.1796875" defaultRowHeight="14"/>
  <cols>
    <col min="1" max="1" width="6.54296875" style="69" customWidth="1"/>
    <col min="2" max="2" width="37.1796875" style="69" customWidth="1"/>
    <col min="3" max="3" width="9.26953125" style="69" customWidth="1"/>
    <col min="4" max="10" width="18.1796875" style="69" customWidth="1"/>
    <col min="11" max="11" width="10.54296875" style="69" bestFit="1" customWidth="1"/>
    <col min="12" max="16384" width="9.1796875" style="69"/>
  </cols>
  <sheetData>
    <row r="1" spans="1:14">
      <c r="D1" s="163" t="str">
        <f>+'AG Summary'!D1</f>
        <v>Exhibit JD-1</v>
      </c>
    </row>
    <row r="2" spans="1:14" s="66" customFormat="1" ht="13">
      <c r="D2" s="26" t="s">
        <v>312</v>
      </c>
      <c r="F2" s="26"/>
    </row>
    <row r="3" spans="1:14" s="66" customFormat="1" ht="13">
      <c r="D3" s="92"/>
      <c r="F3" s="26"/>
      <c r="G3" s="26"/>
    </row>
    <row r="4" spans="1:14" s="66" customFormat="1" ht="13">
      <c r="F4" s="26"/>
      <c r="G4" s="26"/>
    </row>
    <row r="5" spans="1:14" s="66" customFormat="1" ht="13">
      <c r="A5" s="347" t="str">
        <f>RevReq!A1</f>
        <v>TAYLOR COUNTY RECC</v>
      </c>
      <c r="B5" s="347"/>
      <c r="C5" s="347"/>
      <c r="D5" s="347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s="66" customFormat="1" ht="13">
      <c r="A6" s="347" t="str">
        <f>RevReq!A3</f>
        <v>For the 12 Months Ended December 31, 2021</v>
      </c>
      <c r="B6" s="347"/>
      <c r="C6" s="347"/>
      <c r="D6" s="347"/>
      <c r="E6" s="41"/>
      <c r="F6" s="41"/>
      <c r="G6" s="41"/>
      <c r="H6" s="41"/>
      <c r="I6" s="41"/>
      <c r="J6" s="41"/>
      <c r="K6" s="41"/>
    </row>
    <row r="7" spans="1:14" s="66" customFormat="1" ht="12.5"/>
    <row r="8" spans="1:14" s="42" customFormat="1" ht="13">
      <c r="A8" s="345" t="s">
        <v>306</v>
      </c>
      <c r="B8" s="345"/>
      <c r="C8" s="345"/>
      <c r="D8" s="345"/>
      <c r="E8" s="48"/>
      <c r="F8" s="48"/>
      <c r="G8" s="48"/>
      <c r="H8" s="48"/>
      <c r="I8" s="48"/>
      <c r="J8" s="48"/>
      <c r="K8" s="48"/>
    </row>
    <row r="9" spans="1:14" s="66" customFormat="1" ht="12.5"/>
    <row r="10" spans="1:14">
      <c r="A10" s="68" t="s">
        <v>7</v>
      </c>
      <c r="B10" s="68" t="s">
        <v>125</v>
      </c>
      <c r="C10" s="68"/>
      <c r="D10" s="68" t="s">
        <v>198</v>
      </c>
    </row>
    <row r="11" spans="1:14">
      <c r="A11" s="132" t="s">
        <v>12</v>
      </c>
      <c r="B11" s="97" t="s">
        <v>88</v>
      </c>
      <c r="C11" s="97"/>
      <c r="D11" s="97" t="s">
        <v>89</v>
      </c>
      <c r="E11" s="96"/>
      <c r="F11" s="96"/>
      <c r="G11" s="96"/>
      <c r="H11" s="96"/>
      <c r="I11" s="96"/>
      <c r="J11" s="96"/>
      <c r="K11" s="96"/>
    </row>
    <row r="12" spans="1:14">
      <c r="A12" s="68"/>
      <c r="B12" s="66"/>
      <c r="C12" s="66"/>
      <c r="D12" s="66"/>
      <c r="E12" s="182"/>
      <c r="F12" s="182"/>
      <c r="G12" s="96"/>
      <c r="H12" s="182"/>
      <c r="I12" s="182"/>
      <c r="J12" s="182"/>
      <c r="K12" s="182"/>
    </row>
    <row r="13" spans="1:14">
      <c r="A13" s="68">
        <v>1</v>
      </c>
      <c r="B13" s="77" t="s">
        <v>313</v>
      </c>
      <c r="C13" s="66"/>
      <c r="D13" s="137">
        <v>115000</v>
      </c>
      <c r="E13" s="183"/>
      <c r="F13" s="183"/>
      <c r="G13" s="96"/>
      <c r="H13" s="183"/>
      <c r="I13" s="183"/>
      <c r="J13" s="183"/>
      <c r="K13" s="183"/>
      <c r="L13" s="183"/>
    </row>
    <row r="14" spans="1:14">
      <c r="A14" s="68">
        <f>A13+1</f>
        <v>2</v>
      </c>
      <c r="B14" s="77" t="s">
        <v>307</v>
      </c>
      <c r="C14" s="66"/>
      <c r="D14" s="137">
        <v>45000</v>
      </c>
      <c r="E14" s="183"/>
      <c r="F14" s="183"/>
      <c r="G14" s="183"/>
      <c r="H14" s="183"/>
      <c r="I14" s="183"/>
      <c r="J14" s="183"/>
      <c r="K14" s="183"/>
    </row>
    <row r="15" spans="1:14">
      <c r="A15" s="68">
        <f t="shared" ref="A15:A26" si="0">A14+1</f>
        <v>3</v>
      </c>
      <c r="B15" s="77" t="s">
        <v>308</v>
      </c>
      <c r="C15" s="66"/>
      <c r="D15" s="137">
        <v>0</v>
      </c>
      <c r="E15" s="183"/>
      <c r="F15" s="183"/>
      <c r="G15" s="183"/>
      <c r="H15" s="183"/>
      <c r="I15" s="183"/>
      <c r="J15" s="183"/>
      <c r="K15" s="183"/>
    </row>
    <row r="16" spans="1:14">
      <c r="A16" s="68">
        <f t="shared" si="0"/>
        <v>4</v>
      </c>
      <c r="B16" s="90" t="s">
        <v>260</v>
      </c>
      <c r="C16" s="103"/>
      <c r="D16" s="184">
        <f>SUM(D13:D15)</f>
        <v>160000</v>
      </c>
      <c r="E16" s="183"/>
      <c r="F16" s="183"/>
      <c r="G16" s="183"/>
      <c r="H16" s="183"/>
      <c r="I16" s="183"/>
      <c r="J16" s="183"/>
      <c r="K16" s="183"/>
    </row>
    <row r="17" spans="1:12">
      <c r="A17" s="68">
        <f t="shared" si="0"/>
        <v>5</v>
      </c>
      <c r="B17" s="66"/>
      <c r="C17" s="2"/>
      <c r="D17" s="66"/>
      <c r="E17" s="183"/>
      <c r="F17" s="183"/>
      <c r="G17" s="183"/>
      <c r="H17" s="183"/>
      <c r="I17" s="183"/>
      <c r="J17" s="183"/>
      <c r="K17" s="183"/>
    </row>
    <row r="18" spans="1:12">
      <c r="A18" s="68">
        <f t="shared" si="0"/>
        <v>6</v>
      </c>
      <c r="B18" s="2" t="s">
        <v>309</v>
      </c>
      <c r="C18" s="2"/>
      <c r="D18" s="185">
        <f>D16</f>
        <v>160000</v>
      </c>
      <c r="E18" s="183"/>
      <c r="F18" s="183"/>
      <c r="G18" s="183"/>
      <c r="H18" s="183"/>
      <c r="I18" s="183"/>
      <c r="J18" s="183"/>
      <c r="K18" s="183"/>
    </row>
    <row r="19" spans="1:12">
      <c r="A19" s="68">
        <f t="shared" si="0"/>
        <v>7</v>
      </c>
      <c r="B19" s="2" t="s">
        <v>310</v>
      </c>
      <c r="C19" s="2"/>
      <c r="D19" s="185">
        <v>6</v>
      </c>
      <c r="E19" s="183"/>
      <c r="F19" s="183"/>
      <c r="G19" s="183"/>
      <c r="H19" s="183"/>
      <c r="I19" s="183"/>
      <c r="J19" s="183"/>
      <c r="K19" s="183"/>
    </row>
    <row r="20" spans="1:12">
      <c r="A20" s="68">
        <f t="shared" si="0"/>
        <v>8</v>
      </c>
      <c r="B20" s="2" t="s">
        <v>311</v>
      </c>
      <c r="C20" s="2"/>
      <c r="D20" s="185">
        <f>D18/D19</f>
        <v>26666.666666666668</v>
      </c>
      <c r="E20" s="183"/>
      <c r="F20" s="183"/>
      <c r="G20" s="183"/>
      <c r="H20" s="183"/>
      <c r="I20" s="183"/>
      <c r="J20" s="183"/>
      <c r="K20" s="183"/>
    </row>
    <row r="21" spans="1:12">
      <c r="A21" s="68">
        <f t="shared" si="0"/>
        <v>9</v>
      </c>
      <c r="B21" s="2"/>
      <c r="C21" s="2"/>
      <c r="D21" s="185"/>
      <c r="E21" s="183"/>
      <c r="F21" s="183"/>
      <c r="G21" s="183"/>
      <c r="H21" s="183"/>
      <c r="I21" s="183"/>
      <c r="J21" s="183"/>
      <c r="K21" s="183"/>
    </row>
    <row r="22" spans="1:12">
      <c r="A22" s="68">
        <f t="shared" si="0"/>
        <v>10</v>
      </c>
      <c r="B22" s="2" t="s">
        <v>200</v>
      </c>
      <c r="C22" s="2"/>
      <c r="D22" s="185">
        <v>0</v>
      </c>
      <c r="E22" s="191"/>
      <c r="F22" s="191"/>
      <c r="G22" s="191"/>
      <c r="H22" s="191"/>
      <c r="I22" s="191"/>
      <c r="J22" s="191"/>
      <c r="K22" s="191"/>
    </row>
    <row r="23" spans="1:12">
      <c r="A23" s="68">
        <f t="shared" si="0"/>
        <v>11</v>
      </c>
      <c r="B23" s="2"/>
      <c r="C23" s="2"/>
      <c r="D23" s="66"/>
      <c r="E23" s="183"/>
      <c r="F23" s="183"/>
      <c r="G23" s="183"/>
      <c r="H23" s="183"/>
      <c r="I23" s="183"/>
      <c r="J23" s="183"/>
      <c r="K23" s="183"/>
    </row>
    <row r="24" spans="1:12">
      <c r="A24" s="68">
        <f t="shared" si="0"/>
        <v>12</v>
      </c>
      <c r="B24" s="2" t="s">
        <v>201</v>
      </c>
      <c r="C24" s="66"/>
      <c r="D24" s="186">
        <f>D20</f>
        <v>26666.666666666668</v>
      </c>
      <c r="E24" s="183"/>
      <c r="F24" s="183"/>
      <c r="G24" s="183"/>
      <c r="H24" s="183"/>
      <c r="I24" s="183"/>
      <c r="J24" s="183"/>
      <c r="K24" s="183"/>
    </row>
    <row r="25" spans="1:12">
      <c r="A25" s="68">
        <f t="shared" si="0"/>
        <v>13</v>
      </c>
      <c r="B25" s="2"/>
      <c r="C25" s="66"/>
      <c r="D25" s="66"/>
      <c r="E25" s="187"/>
      <c r="F25" s="187"/>
      <c r="G25" s="187"/>
      <c r="H25" s="187"/>
      <c r="I25" s="183"/>
      <c r="J25" s="183"/>
      <c r="K25" s="183"/>
      <c r="L25" s="183"/>
    </row>
    <row r="26" spans="1:12" ht="14.5" thickBot="1">
      <c r="A26" s="68">
        <f t="shared" si="0"/>
        <v>14</v>
      </c>
      <c r="B26" s="17" t="s">
        <v>10</v>
      </c>
      <c r="C26" s="82"/>
      <c r="D26" s="188">
        <f>ROUND(D24-D22,2)</f>
        <v>26666.67</v>
      </c>
      <c r="E26" s="187"/>
      <c r="F26" s="187"/>
      <c r="G26" s="187"/>
      <c r="H26" s="187"/>
      <c r="I26" s="183"/>
      <c r="J26" s="183"/>
      <c r="K26" s="183"/>
    </row>
    <row r="27" spans="1:12" ht="14.5" thickTop="1">
      <c r="A27" s="68"/>
      <c r="B27" s="66"/>
      <c r="C27" s="66"/>
      <c r="D27" s="66"/>
      <c r="E27" s="187"/>
      <c r="F27" s="187"/>
      <c r="G27" s="187"/>
      <c r="H27" s="187"/>
      <c r="I27" s="183"/>
      <c r="J27" s="183"/>
      <c r="K27" s="183"/>
    </row>
    <row r="28" spans="1:12">
      <c r="A28" s="68"/>
      <c r="B28" s="66"/>
      <c r="C28" s="66"/>
      <c r="D28" s="66"/>
      <c r="E28" s="189"/>
      <c r="F28" s="189"/>
      <c r="G28" s="189"/>
      <c r="H28" s="189"/>
      <c r="I28" s="189"/>
      <c r="J28" s="189"/>
      <c r="K28" s="189"/>
    </row>
    <row r="29" spans="1:12" ht="30" customHeight="1">
      <c r="A29" s="68"/>
      <c r="B29" s="348" t="s">
        <v>525</v>
      </c>
      <c r="C29" s="348"/>
      <c r="D29" s="348"/>
      <c r="E29" s="190"/>
      <c r="F29" s="190"/>
      <c r="G29" s="190"/>
    </row>
    <row r="30" spans="1:12">
      <c r="A30" s="66"/>
      <c r="B30" s="70"/>
      <c r="C30" s="70"/>
      <c r="D30" s="70"/>
      <c r="E30" s="70"/>
      <c r="F30" s="70"/>
    </row>
    <row r="31" spans="1:12">
      <c r="A31" s="66"/>
      <c r="B31" s="70"/>
      <c r="C31" s="70"/>
      <c r="D31" s="70"/>
      <c r="E31" s="70"/>
      <c r="F31" s="70"/>
    </row>
    <row r="32" spans="1:12">
      <c r="A32" s="66"/>
      <c r="B32" s="70"/>
      <c r="C32" s="70"/>
      <c r="D32" s="70"/>
      <c r="E32" s="70"/>
      <c r="F32" s="70"/>
    </row>
    <row r="33" spans="2:6">
      <c r="B33" s="70"/>
      <c r="C33" s="70"/>
      <c r="D33" s="70"/>
      <c r="E33" s="70"/>
      <c r="F33" s="84"/>
    </row>
    <row r="34" spans="2:6">
      <c r="E34" s="70"/>
      <c r="F34" s="70"/>
    </row>
    <row r="35" spans="2:6">
      <c r="E35" s="70"/>
      <c r="F35" s="70"/>
    </row>
    <row r="36" spans="2:6">
      <c r="E36" s="70"/>
      <c r="F36" s="70"/>
    </row>
    <row r="37" spans="2:6">
      <c r="E37" s="70"/>
      <c r="F37" s="70"/>
    </row>
  </sheetData>
  <mergeCells count="4">
    <mergeCell ref="A5:D5"/>
    <mergeCell ref="A6:D6"/>
    <mergeCell ref="A8:D8"/>
    <mergeCell ref="B29:D29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1:D11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48"/>
  <sheetViews>
    <sheetView view="pageBreakPreview" zoomScale="60" zoomScaleNormal="100" workbookViewId="0">
      <selection activeCell="F1" sqref="F1"/>
    </sheetView>
  </sheetViews>
  <sheetFormatPr defaultColWidth="8.81640625" defaultRowHeight="12.5"/>
  <cols>
    <col min="1" max="1" width="5.453125" style="66" customWidth="1"/>
    <col min="2" max="2" width="27.1796875" style="66" customWidth="1"/>
    <col min="3" max="3" width="7.7265625" style="66" customWidth="1"/>
    <col min="4" max="5" width="19.7265625" style="66" customWidth="1"/>
    <col min="6" max="11" width="18.1796875" style="66" customWidth="1"/>
    <col min="12" max="12" width="10.54296875" style="66" bestFit="1" customWidth="1"/>
    <col min="13" max="16384" width="8.81640625" style="66"/>
  </cols>
  <sheetData>
    <row r="1" spans="1:12" ht="13">
      <c r="F1" s="163" t="str">
        <f>+'Adj BS'!F1</f>
        <v>Exhibit JD-1</v>
      </c>
    </row>
    <row r="2" spans="1:12" ht="13">
      <c r="D2" s="26"/>
      <c r="F2" s="26" t="s">
        <v>401</v>
      </c>
    </row>
    <row r="3" spans="1:12" ht="13">
      <c r="K3" s="26"/>
    </row>
    <row r="4" spans="1:12" ht="13">
      <c r="K4" s="26"/>
    </row>
    <row r="5" spans="1:12" ht="13">
      <c r="A5" s="347" t="str">
        <f>RevReq!A1</f>
        <v>TAYLOR COUNTY RECC</v>
      </c>
      <c r="B5" s="347"/>
      <c r="C5" s="347"/>
      <c r="D5" s="347"/>
      <c r="E5" s="347"/>
      <c r="F5" s="347"/>
      <c r="G5" s="41"/>
      <c r="H5" s="41"/>
      <c r="I5" s="41"/>
      <c r="J5" s="41"/>
      <c r="K5" s="41"/>
    </row>
    <row r="6" spans="1:12" ht="13">
      <c r="A6" s="347" t="str">
        <f>RevReq!A3</f>
        <v>For the 12 Months Ended December 31, 2021</v>
      </c>
      <c r="B6" s="347"/>
      <c r="C6" s="347"/>
      <c r="D6" s="347"/>
      <c r="E6" s="347"/>
      <c r="F6" s="347"/>
      <c r="G6" s="41"/>
      <c r="H6" s="41"/>
      <c r="I6" s="41"/>
      <c r="J6" s="41"/>
      <c r="K6" s="41"/>
      <c r="L6" s="41"/>
    </row>
    <row r="7" spans="1:12" ht="1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3">
      <c r="A8" s="345" t="s">
        <v>427</v>
      </c>
      <c r="B8" s="345"/>
      <c r="C8" s="345"/>
      <c r="D8" s="345"/>
      <c r="E8" s="345"/>
      <c r="F8" s="345"/>
      <c r="G8" s="48"/>
      <c r="H8" s="48"/>
      <c r="I8" s="48"/>
      <c r="J8" s="48"/>
      <c r="K8" s="48"/>
    </row>
    <row r="10" spans="1:12" ht="13">
      <c r="A10" s="77"/>
      <c r="B10" s="68"/>
      <c r="C10" s="68"/>
      <c r="D10" s="355" t="s">
        <v>458</v>
      </c>
      <c r="E10" s="356"/>
      <c r="F10" s="226" t="s">
        <v>459</v>
      </c>
      <c r="G10" s="120"/>
      <c r="H10" s="120"/>
      <c r="I10" s="120"/>
      <c r="J10" s="120"/>
      <c r="K10" s="120"/>
    </row>
    <row r="11" spans="1:12" ht="25.5">
      <c r="A11" s="170" t="s">
        <v>12</v>
      </c>
      <c r="B11" s="132" t="s">
        <v>125</v>
      </c>
      <c r="C11" s="132" t="s">
        <v>169</v>
      </c>
      <c r="D11" s="227" t="s">
        <v>403</v>
      </c>
      <c r="E11" s="228" t="s">
        <v>404</v>
      </c>
      <c r="F11" s="233" t="s">
        <v>291</v>
      </c>
      <c r="G11" s="121"/>
      <c r="H11" s="121"/>
      <c r="I11" s="121"/>
      <c r="J11" s="121"/>
      <c r="K11" s="121"/>
    </row>
    <row r="12" spans="1:12">
      <c r="A12" s="77">
        <v>1</v>
      </c>
      <c r="B12" s="66" t="s">
        <v>402</v>
      </c>
      <c r="C12" s="68">
        <v>107.2</v>
      </c>
      <c r="D12" s="229">
        <v>289389.13</v>
      </c>
      <c r="E12" s="230"/>
      <c r="F12" s="234"/>
      <c r="G12" s="116"/>
      <c r="H12" s="116"/>
      <c r="I12" s="116"/>
      <c r="J12" s="116"/>
      <c r="K12" s="116"/>
      <c r="L12" s="116"/>
    </row>
    <row r="13" spans="1:12">
      <c r="A13" s="77">
        <f>A12+1</f>
        <v>2</v>
      </c>
      <c r="B13" s="66" t="s">
        <v>405</v>
      </c>
      <c r="C13" s="68">
        <v>108.8</v>
      </c>
      <c r="D13" s="229">
        <v>21511.39</v>
      </c>
      <c r="E13" s="230"/>
      <c r="F13" s="234"/>
      <c r="G13" s="116"/>
      <c r="H13" s="116"/>
      <c r="I13" s="116"/>
      <c r="J13" s="116"/>
      <c r="K13" s="116"/>
      <c r="L13" s="116"/>
    </row>
    <row r="14" spans="1:12">
      <c r="A14" s="77">
        <f t="shared" ref="A14:A32" si="0">A13+1</f>
        <v>3</v>
      </c>
      <c r="B14" s="66" t="s">
        <v>406</v>
      </c>
      <c r="C14" s="68">
        <v>184.1</v>
      </c>
      <c r="D14" s="229">
        <v>25918.79</v>
      </c>
      <c r="E14" s="230"/>
      <c r="F14" s="234"/>
      <c r="G14" s="116"/>
      <c r="H14" s="116"/>
      <c r="I14" s="116"/>
      <c r="J14" s="116"/>
      <c r="K14" s="116"/>
      <c r="L14" s="116"/>
    </row>
    <row r="15" spans="1:12">
      <c r="A15" s="77">
        <f t="shared" si="0"/>
        <v>4</v>
      </c>
      <c r="B15" s="66" t="s">
        <v>407</v>
      </c>
      <c r="C15" s="68">
        <v>580</v>
      </c>
      <c r="D15" s="229"/>
      <c r="E15" s="230">
        <v>34673.9</v>
      </c>
      <c r="F15" s="234"/>
      <c r="G15" s="116"/>
      <c r="L15" s="116"/>
    </row>
    <row r="16" spans="1:12">
      <c r="A16" s="77">
        <f t="shared" si="0"/>
        <v>5</v>
      </c>
      <c r="B16" s="66" t="s">
        <v>408</v>
      </c>
      <c r="C16" s="68">
        <v>583</v>
      </c>
      <c r="D16" s="229"/>
      <c r="E16" s="230">
        <v>105616.9</v>
      </c>
      <c r="F16" s="234"/>
      <c r="G16" s="116"/>
      <c r="L16" s="116"/>
    </row>
    <row r="17" spans="1:12">
      <c r="A17" s="77">
        <f t="shared" si="0"/>
        <v>6</v>
      </c>
      <c r="B17" s="66" t="s">
        <v>409</v>
      </c>
      <c r="C17" s="68">
        <v>586</v>
      </c>
      <c r="D17" s="229"/>
      <c r="E17" s="230">
        <v>47519.39</v>
      </c>
      <c r="F17" s="234"/>
      <c r="G17" s="116"/>
      <c r="L17" s="116"/>
    </row>
    <row r="18" spans="1:12">
      <c r="A18" s="77">
        <f t="shared" si="0"/>
        <v>7</v>
      </c>
      <c r="B18" s="66" t="s">
        <v>410</v>
      </c>
      <c r="C18" s="68">
        <v>587</v>
      </c>
      <c r="D18" s="229"/>
      <c r="E18" s="230">
        <v>88.88</v>
      </c>
      <c r="F18" s="234"/>
      <c r="G18" s="116"/>
      <c r="L18" s="116"/>
    </row>
    <row r="19" spans="1:12">
      <c r="A19" s="77">
        <f t="shared" si="0"/>
        <v>8</v>
      </c>
      <c r="B19" s="66" t="s">
        <v>412</v>
      </c>
      <c r="C19" s="68">
        <v>590</v>
      </c>
      <c r="D19" s="229"/>
      <c r="E19" s="230">
        <v>18759.59</v>
      </c>
      <c r="F19" s="234"/>
      <c r="G19" s="116"/>
      <c r="L19" s="116"/>
    </row>
    <row r="20" spans="1:12">
      <c r="A20" s="77">
        <f t="shared" si="0"/>
        <v>9</v>
      </c>
      <c r="B20" s="66" t="s">
        <v>411</v>
      </c>
      <c r="C20" s="68">
        <v>593</v>
      </c>
      <c r="D20" s="229"/>
      <c r="E20" s="230">
        <v>115878.97</v>
      </c>
      <c r="F20" s="234"/>
      <c r="G20" s="116"/>
      <c r="L20" s="116"/>
    </row>
    <row r="21" spans="1:12">
      <c r="A21" s="77">
        <f t="shared" si="0"/>
        <v>10</v>
      </c>
      <c r="B21" s="66" t="s">
        <v>413</v>
      </c>
      <c r="C21" s="68">
        <v>594</v>
      </c>
      <c r="D21" s="229"/>
      <c r="E21" s="230">
        <v>1314.37</v>
      </c>
      <c r="F21" s="234"/>
      <c r="G21" s="116"/>
      <c r="L21" s="116"/>
    </row>
    <row r="22" spans="1:12">
      <c r="A22" s="77">
        <f t="shared" si="0"/>
        <v>11</v>
      </c>
      <c r="B22" s="66" t="s">
        <v>414</v>
      </c>
      <c r="C22" s="68">
        <v>597</v>
      </c>
      <c r="D22" s="229"/>
      <c r="E22" s="230">
        <v>135.03</v>
      </c>
      <c r="F22" s="234"/>
      <c r="G22" s="116"/>
      <c r="H22" s="116"/>
      <c r="I22" s="116"/>
      <c r="J22" s="116"/>
      <c r="K22" s="116"/>
      <c r="L22" s="116"/>
    </row>
    <row r="23" spans="1:12">
      <c r="A23" s="77">
        <f t="shared" si="0"/>
        <v>12</v>
      </c>
      <c r="B23" s="66" t="s">
        <v>415</v>
      </c>
      <c r="C23" s="68">
        <v>598</v>
      </c>
      <c r="D23" s="229"/>
      <c r="E23" s="230">
        <v>547.88</v>
      </c>
      <c r="F23" s="234"/>
      <c r="G23" s="116"/>
      <c r="H23" s="116"/>
      <c r="I23" s="116"/>
      <c r="J23" s="116"/>
      <c r="K23" s="116"/>
      <c r="L23" s="116"/>
    </row>
    <row r="24" spans="1:12">
      <c r="A24" s="77">
        <f t="shared" si="0"/>
        <v>13</v>
      </c>
      <c r="B24" s="66" t="s">
        <v>416</v>
      </c>
      <c r="C24" s="68">
        <v>902</v>
      </c>
      <c r="D24" s="229"/>
      <c r="E24" s="230">
        <v>12449.84</v>
      </c>
      <c r="F24" s="234"/>
      <c r="G24" s="116"/>
      <c r="H24" s="116"/>
      <c r="I24" s="116"/>
      <c r="J24" s="116"/>
      <c r="K24" s="116"/>
      <c r="L24" s="116"/>
    </row>
    <row r="25" spans="1:12">
      <c r="A25" s="77">
        <f t="shared" si="0"/>
        <v>14</v>
      </c>
      <c r="B25" s="66" t="s">
        <v>417</v>
      </c>
      <c r="C25" s="68">
        <v>903</v>
      </c>
      <c r="D25" s="229"/>
      <c r="E25" s="230">
        <v>83103.520000000004</v>
      </c>
      <c r="F25" s="234"/>
      <c r="G25" s="116"/>
      <c r="H25" s="116"/>
      <c r="I25" s="116"/>
      <c r="J25" s="116"/>
      <c r="K25" s="116"/>
      <c r="L25" s="116"/>
    </row>
    <row r="26" spans="1:12">
      <c r="A26" s="77">
        <f t="shared" si="0"/>
        <v>15</v>
      </c>
      <c r="B26" s="66" t="s">
        <v>418</v>
      </c>
      <c r="C26" s="68">
        <v>907</v>
      </c>
      <c r="D26" s="229"/>
      <c r="E26" s="230">
        <v>19575.060000000001</v>
      </c>
      <c r="F26" s="234"/>
      <c r="G26" s="116"/>
      <c r="H26" s="116"/>
      <c r="I26" s="116"/>
      <c r="J26" s="116"/>
      <c r="K26" s="116"/>
      <c r="L26" s="116"/>
    </row>
    <row r="27" spans="1:12">
      <c r="A27" s="77">
        <f t="shared" si="0"/>
        <v>16</v>
      </c>
      <c r="B27" s="66" t="s">
        <v>419</v>
      </c>
      <c r="C27" s="68">
        <v>920</v>
      </c>
      <c r="D27" s="229"/>
      <c r="E27" s="230">
        <v>87583.9</v>
      </c>
      <c r="F27" s="234"/>
      <c r="G27" s="116"/>
      <c r="H27" s="116"/>
      <c r="I27" s="116"/>
      <c r="J27" s="116"/>
      <c r="K27" s="116"/>
      <c r="L27" s="116"/>
    </row>
    <row r="28" spans="1:12">
      <c r="A28" s="77">
        <f t="shared" si="0"/>
        <v>17</v>
      </c>
      <c r="B28" s="66" t="s">
        <v>420</v>
      </c>
      <c r="C28" s="68">
        <v>935</v>
      </c>
      <c r="D28" s="229"/>
      <c r="E28" s="230">
        <v>18806.98</v>
      </c>
      <c r="F28" s="234"/>
      <c r="G28" s="116"/>
      <c r="H28" s="116"/>
      <c r="I28" s="116"/>
      <c r="J28" s="116"/>
      <c r="K28" s="116"/>
      <c r="L28" s="116"/>
    </row>
    <row r="29" spans="1:12">
      <c r="A29" s="77">
        <f t="shared" si="0"/>
        <v>18</v>
      </c>
      <c r="B29" s="66" t="s">
        <v>421</v>
      </c>
      <c r="C29" s="68">
        <v>421</v>
      </c>
      <c r="D29" s="231"/>
      <c r="E29" s="232"/>
      <c r="F29" s="235">
        <v>-882873.52</v>
      </c>
      <c r="G29" s="116"/>
      <c r="H29" s="116"/>
      <c r="I29" s="116"/>
      <c r="J29" s="116"/>
      <c r="K29" s="116"/>
      <c r="L29" s="116"/>
    </row>
    <row r="30" spans="1:12">
      <c r="A30" s="77">
        <f>A29+1</f>
        <v>19</v>
      </c>
      <c r="G30" s="116"/>
      <c r="H30" s="116"/>
      <c r="I30" s="116"/>
      <c r="J30" s="116"/>
      <c r="K30" s="116"/>
    </row>
    <row r="31" spans="1:12">
      <c r="A31" s="77">
        <f t="shared" si="0"/>
        <v>20</v>
      </c>
      <c r="G31" s="116"/>
      <c r="H31" s="116"/>
      <c r="I31" s="116"/>
      <c r="J31" s="116"/>
      <c r="K31" s="116"/>
    </row>
    <row r="32" spans="1:12">
      <c r="A32" s="77">
        <f t="shared" si="0"/>
        <v>21</v>
      </c>
      <c r="B32" s="66" t="s">
        <v>428</v>
      </c>
      <c r="D32" s="172">
        <f>-SUM(D12:D29)</f>
        <v>-336819.31</v>
      </c>
      <c r="E32" s="172">
        <f>-SUM(E12:E29)</f>
        <v>-546054.21000000008</v>
      </c>
      <c r="F32" s="172">
        <f>SUM(F12:F29)</f>
        <v>-882873.52</v>
      </c>
      <c r="G32" s="116"/>
      <c r="H32" s="116"/>
      <c r="I32" s="116"/>
      <c r="J32" s="116"/>
      <c r="K32" s="116"/>
    </row>
    <row r="33" spans="1:11">
      <c r="B33" s="124"/>
      <c r="C33" s="124"/>
      <c r="D33" s="124"/>
      <c r="E33" s="124"/>
      <c r="F33" s="124"/>
      <c r="G33" s="124"/>
      <c r="H33" s="124"/>
      <c r="I33" s="116"/>
      <c r="J33" s="116"/>
      <c r="K33" s="116"/>
    </row>
    <row r="34" spans="1:11">
      <c r="B34" s="124"/>
      <c r="C34" s="124"/>
      <c r="D34" s="124"/>
      <c r="E34" s="124"/>
      <c r="F34" s="124"/>
      <c r="G34" s="124"/>
      <c r="H34" s="124"/>
      <c r="I34" s="116"/>
      <c r="J34" s="116"/>
      <c r="K34" s="116"/>
    </row>
    <row r="35" spans="1:11">
      <c r="A35" s="66" t="s">
        <v>422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spans="1:11">
      <c r="A36" s="66" t="s">
        <v>423</v>
      </c>
      <c r="B36" s="128"/>
      <c r="C36" s="128"/>
      <c r="D36" s="128"/>
      <c r="E36" s="128"/>
      <c r="F36" s="128"/>
      <c r="G36" s="128"/>
    </row>
    <row r="37" spans="1:11">
      <c r="A37" s="66" t="s">
        <v>426</v>
      </c>
      <c r="B37" s="128"/>
      <c r="C37" s="128"/>
      <c r="D37" s="128"/>
      <c r="E37" s="128"/>
      <c r="F37" s="128"/>
      <c r="G37" s="128"/>
    </row>
    <row r="38" spans="1:11">
      <c r="A38" s="66" t="s">
        <v>424</v>
      </c>
      <c r="B38" s="131"/>
      <c r="C38" s="131"/>
      <c r="D38" s="131"/>
      <c r="E38" s="131"/>
      <c r="F38" s="131"/>
      <c r="G38" s="131"/>
    </row>
    <row r="39" spans="1:11">
      <c r="A39" s="66" t="s">
        <v>425</v>
      </c>
      <c r="B39" s="131"/>
      <c r="C39" s="131"/>
      <c r="D39" s="131"/>
      <c r="E39" s="131"/>
      <c r="F39" s="131"/>
      <c r="G39" s="131"/>
    </row>
    <row r="40" spans="1:11">
      <c r="B40" s="131"/>
      <c r="C40" s="131"/>
      <c r="D40" s="131"/>
      <c r="E40" s="131"/>
      <c r="F40" s="131"/>
      <c r="G40" s="131"/>
    </row>
    <row r="41" spans="1:11">
      <c r="B41" s="131"/>
      <c r="C41" s="131"/>
      <c r="D41" s="133" t="s">
        <v>477</v>
      </c>
      <c r="E41" s="133"/>
      <c r="F41" s="131"/>
      <c r="G41" s="80"/>
    </row>
    <row r="42" spans="1:11">
      <c r="B42" s="131"/>
      <c r="C42" s="131"/>
      <c r="D42" s="116" t="s">
        <v>473</v>
      </c>
      <c r="E42" s="269">
        <f>-SUM(E15:E18)</f>
        <v>-187899.07</v>
      </c>
      <c r="F42" s="131"/>
      <c r="G42" s="131"/>
    </row>
    <row r="43" spans="1:11">
      <c r="B43" s="131"/>
      <c r="C43" s="131"/>
      <c r="D43" s="116" t="s">
        <v>474</v>
      </c>
      <c r="E43" s="269">
        <f>-SUM(E19:E23)</f>
        <v>-136635.84</v>
      </c>
      <c r="F43" s="131"/>
      <c r="G43" s="131"/>
    </row>
    <row r="44" spans="1:11">
      <c r="B44" s="131"/>
      <c r="C44" s="131"/>
      <c r="D44" s="116" t="s">
        <v>475</v>
      </c>
      <c r="E44" s="269">
        <f>-SUM(E24:E25)</f>
        <v>-95553.36</v>
      </c>
      <c r="F44" s="131"/>
      <c r="G44" s="131"/>
    </row>
    <row r="45" spans="1:11">
      <c r="B45" s="131"/>
      <c r="C45" s="131"/>
      <c r="D45" s="116" t="s">
        <v>476</v>
      </c>
      <c r="E45" s="269">
        <f>-SUM(E26)</f>
        <v>-19575.060000000001</v>
      </c>
      <c r="F45" s="131"/>
      <c r="G45" s="131"/>
    </row>
    <row r="46" spans="1:11">
      <c r="D46" s="116" t="s">
        <v>26</v>
      </c>
      <c r="E46" s="269">
        <f>-SUM(E27:E28)</f>
        <v>-106390.87999999999</v>
      </c>
    </row>
    <row r="47" spans="1:11">
      <c r="D47" s="268" t="s">
        <v>66</v>
      </c>
      <c r="E47" s="270">
        <f>SUM(E42:E46)</f>
        <v>-546054.21</v>
      </c>
    </row>
    <row r="48" spans="1:11">
      <c r="D48" s="116" t="s">
        <v>302</v>
      </c>
      <c r="E48" s="269">
        <f>E47-E32</f>
        <v>0</v>
      </c>
    </row>
  </sheetData>
  <mergeCells count="4">
    <mergeCell ref="D10:E10"/>
    <mergeCell ref="A5:F5"/>
    <mergeCell ref="A6:F6"/>
    <mergeCell ref="A8:F8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portrait" r:id="rId1"/>
  <ignoredErrors>
    <ignoredError sqref="F32 D32:E32 E47:E4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view="pageBreakPreview" zoomScaleNormal="75" zoomScaleSheetLayoutView="100" workbookViewId="0">
      <selection activeCell="E12" sqref="E12"/>
    </sheetView>
  </sheetViews>
  <sheetFormatPr defaultColWidth="9.1796875" defaultRowHeight="12.5"/>
  <cols>
    <col min="1" max="1" width="9.1796875" style="5"/>
    <col min="2" max="2" width="34.453125" style="2" customWidth="1"/>
    <col min="3" max="3" width="14" style="66" customWidth="1"/>
    <col min="4" max="4" width="11.54296875" style="2" bestFit="1" customWidth="1"/>
    <col min="5" max="5" width="14" style="2" bestFit="1" customWidth="1"/>
    <col min="6" max="6" width="15.7265625" style="2" bestFit="1" customWidth="1"/>
    <col min="7" max="7" width="16.26953125" style="2" bestFit="1" customWidth="1"/>
    <col min="8" max="8" width="10.54296875" style="2" bestFit="1" customWidth="1"/>
    <col min="9" max="9" width="13.26953125" style="2" bestFit="1" customWidth="1"/>
    <col min="10" max="10" width="15.1796875" style="2" bestFit="1" customWidth="1"/>
    <col min="11" max="11" width="3.1796875" style="5" bestFit="1" customWidth="1"/>
    <col min="12" max="12" width="26.26953125" style="2" bestFit="1" customWidth="1"/>
    <col min="13" max="13" width="11.7265625" style="2" bestFit="1" customWidth="1"/>
    <col min="14" max="14" width="11.26953125" style="2" bestFit="1" customWidth="1"/>
    <col min="15" max="15" width="11.7265625" style="2" bestFit="1" customWidth="1"/>
    <col min="16" max="16" width="3.81640625" style="2" customWidth="1"/>
    <col min="17" max="17" width="11.7265625" style="2" bestFit="1" customWidth="1"/>
    <col min="18" max="16384" width="9.1796875" style="2"/>
  </cols>
  <sheetData>
    <row r="1" spans="1:18" ht="13">
      <c r="A1" s="1" t="s">
        <v>0</v>
      </c>
      <c r="B1" s="1"/>
      <c r="C1" s="92"/>
      <c r="D1" s="1"/>
      <c r="E1" s="1"/>
      <c r="G1" s="4" t="str">
        <f>+'AG Summary'!D1</f>
        <v>Exhibit JD-1</v>
      </c>
    </row>
    <row r="2" spans="1:18" ht="13">
      <c r="A2" s="1" t="s">
        <v>1</v>
      </c>
      <c r="B2" s="1"/>
      <c r="C2" s="92"/>
      <c r="D2" s="1"/>
      <c r="E2" s="1"/>
    </row>
    <row r="3" spans="1:18" ht="13">
      <c r="A3" s="1" t="s">
        <v>2</v>
      </c>
      <c r="B3" s="1"/>
      <c r="C3" s="92"/>
      <c r="D3" s="1"/>
      <c r="E3" s="1"/>
      <c r="I3" s="19"/>
    </row>
    <row r="4" spans="1:18" ht="13">
      <c r="A4" s="3"/>
      <c r="E4" s="4"/>
    </row>
    <row r="5" spans="1:18" ht="13">
      <c r="A5" s="3"/>
      <c r="E5" s="4"/>
      <c r="F5" s="25"/>
      <c r="G5" s="25"/>
    </row>
    <row r="6" spans="1:18" ht="13">
      <c r="C6" s="93" t="s">
        <v>3</v>
      </c>
      <c r="D6" s="3" t="s">
        <v>4</v>
      </c>
      <c r="E6" s="3" t="s">
        <v>5</v>
      </c>
      <c r="F6" s="3" t="s">
        <v>6</v>
      </c>
      <c r="G6" s="3" t="s">
        <v>6</v>
      </c>
    </row>
    <row r="7" spans="1:18" ht="13">
      <c r="A7" s="3" t="s">
        <v>7</v>
      </c>
      <c r="B7" s="3" t="s">
        <v>8</v>
      </c>
      <c r="C7" s="93" t="s">
        <v>9</v>
      </c>
      <c r="D7" s="3" t="s">
        <v>10</v>
      </c>
      <c r="E7" s="3" t="s">
        <v>11</v>
      </c>
      <c r="F7" s="3" t="s">
        <v>11</v>
      </c>
      <c r="G7" s="3" t="s">
        <v>11</v>
      </c>
    </row>
    <row r="8" spans="1:18" s="1" customFormat="1" ht="13">
      <c r="A8" s="6" t="s">
        <v>12</v>
      </c>
      <c r="B8" s="7">
        <v>1</v>
      </c>
      <c r="C8" s="279">
        <f>B8+1</f>
        <v>2</v>
      </c>
      <c r="D8" s="7">
        <f>C8+1</f>
        <v>3</v>
      </c>
      <c r="E8" s="7" t="s">
        <v>13</v>
      </c>
      <c r="F8" s="7" t="s">
        <v>14</v>
      </c>
      <c r="G8" s="7" t="s">
        <v>48</v>
      </c>
      <c r="I8" s="2"/>
      <c r="J8" s="2"/>
      <c r="K8" s="5"/>
      <c r="L8" s="2"/>
      <c r="M8" s="2"/>
      <c r="N8" s="2"/>
      <c r="O8" s="2"/>
      <c r="P8" s="2"/>
      <c r="Q8" s="2"/>
      <c r="R8" s="2"/>
    </row>
    <row r="9" spans="1:18">
      <c r="A9" s="5">
        <v>1</v>
      </c>
      <c r="B9" s="8" t="s">
        <v>15</v>
      </c>
      <c r="C9" s="180"/>
    </row>
    <row r="10" spans="1:18">
      <c r="A10" s="5">
        <f>A9+1</f>
        <v>2</v>
      </c>
      <c r="B10" s="2" t="s">
        <v>16</v>
      </c>
      <c r="C10" s="181">
        <v>48719895.340000004</v>
      </c>
      <c r="D10" s="10">
        <f>'Adj List'!D8+'Adj List'!D9+'Adj List'!D13</f>
        <v>-3800936.13</v>
      </c>
      <c r="E10" s="10">
        <f>C10+D10</f>
        <v>44918959.210000001</v>
      </c>
      <c r="F10" s="10">
        <f>E10+F60</f>
        <v>48704230.148080714</v>
      </c>
      <c r="G10" s="10">
        <f>E10+G60</f>
        <v>48704230.148080714</v>
      </c>
      <c r="H10" s="9"/>
    </row>
    <row r="11" spans="1:18">
      <c r="A11" s="5">
        <f t="shared" ref="A11:A61" si="0">A10+1</f>
        <v>3</v>
      </c>
      <c r="B11" s="2" t="s">
        <v>17</v>
      </c>
      <c r="C11" s="181">
        <v>615847.06999999995</v>
      </c>
      <c r="D11" s="10">
        <f>+'Adj List'!D23</f>
        <v>110351</v>
      </c>
      <c r="E11" s="10">
        <f>C11+D11</f>
        <v>726198.07</v>
      </c>
      <c r="F11" s="10">
        <f>E11</f>
        <v>726198.07</v>
      </c>
      <c r="G11" s="10">
        <f>F11</f>
        <v>726198.07</v>
      </c>
    </row>
    <row r="12" spans="1:18">
      <c r="A12" s="5">
        <f t="shared" si="0"/>
        <v>4</v>
      </c>
      <c r="B12" s="11" t="s">
        <v>18</v>
      </c>
      <c r="C12" s="274">
        <f>SUM(C10:C11)</f>
        <v>49335742.410000004</v>
      </c>
      <c r="D12" s="12">
        <f>SUM(D10:D11)</f>
        <v>-3690585.13</v>
      </c>
      <c r="E12" s="12">
        <f>SUM(E10:E11)</f>
        <v>45645157.280000001</v>
      </c>
      <c r="F12" s="12">
        <f>SUM(F10:F11)</f>
        <v>49430428.218080714</v>
      </c>
      <c r="G12" s="12">
        <f>SUM(G10:G11)</f>
        <v>49430428.218080714</v>
      </c>
      <c r="H12" s="13"/>
      <c r="J12" s="9"/>
    </row>
    <row r="13" spans="1:18">
      <c r="A13" s="5">
        <f t="shared" si="0"/>
        <v>5</v>
      </c>
      <c r="C13" s="181"/>
      <c r="D13" s="10"/>
      <c r="E13" s="10"/>
      <c r="F13" s="10"/>
      <c r="G13" s="10"/>
      <c r="J13" s="300"/>
    </row>
    <row r="14" spans="1:18">
      <c r="A14" s="5">
        <f t="shared" si="0"/>
        <v>6</v>
      </c>
      <c r="B14" s="8" t="s">
        <v>19</v>
      </c>
      <c r="C14" s="181"/>
      <c r="D14" s="10"/>
      <c r="E14" s="10"/>
      <c r="F14" s="10"/>
      <c r="G14" s="10"/>
    </row>
    <row r="15" spans="1:18">
      <c r="A15" s="5">
        <f t="shared" si="0"/>
        <v>7</v>
      </c>
      <c r="B15" s="2" t="s">
        <v>20</v>
      </c>
      <c r="C15" s="181">
        <v>38800021</v>
      </c>
      <c r="D15" s="10">
        <f>'Adj List'!E8+'Adj List'!E9+'Adj List'!E13</f>
        <v>-4627205.6900000004</v>
      </c>
      <c r="E15" s="10">
        <f>C15+D15</f>
        <v>34172815.310000002</v>
      </c>
      <c r="F15" s="10">
        <f>E15</f>
        <v>34172815.310000002</v>
      </c>
      <c r="G15" s="10">
        <f>F15</f>
        <v>34172815.310000002</v>
      </c>
    </row>
    <row r="16" spans="1:18">
      <c r="A16" s="5">
        <f t="shared" si="0"/>
        <v>8</v>
      </c>
      <c r="B16" s="2" t="s">
        <v>21</v>
      </c>
      <c r="C16" s="181">
        <v>2266759.6800000002</v>
      </c>
      <c r="D16" s="10">
        <f>'1.14 PPP Loan'!E42</f>
        <v>-187899.07</v>
      </c>
      <c r="E16" s="10">
        <f t="shared" ref="E16:E21" si="1">C16+D16</f>
        <v>2078860.61</v>
      </c>
      <c r="F16" s="10">
        <f t="shared" ref="F16:G21" si="2">E16</f>
        <v>2078860.61</v>
      </c>
      <c r="G16" s="10">
        <f t="shared" si="2"/>
        <v>2078860.61</v>
      </c>
    </row>
    <row r="17" spans="1:13">
      <c r="A17" s="5">
        <f t="shared" si="0"/>
        <v>9</v>
      </c>
      <c r="B17" s="2" t="s">
        <v>22</v>
      </c>
      <c r="C17" s="181">
        <v>2646181</v>
      </c>
      <c r="D17" s="10">
        <f>'Adj List'!E12+'Adj List'!E14+'1.14 PPP Loan'!E43</f>
        <v>1436996.7899999998</v>
      </c>
      <c r="E17" s="10">
        <f t="shared" si="1"/>
        <v>4083177.79</v>
      </c>
      <c r="F17" s="10">
        <f t="shared" si="2"/>
        <v>4083177.79</v>
      </c>
      <c r="G17" s="10">
        <f t="shared" si="2"/>
        <v>4083177.79</v>
      </c>
    </row>
    <row r="18" spans="1:13">
      <c r="A18" s="5">
        <f t="shared" si="0"/>
        <v>10</v>
      </c>
      <c r="B18" s="2" t="s">
        <v>23</v>
      </c>
      <c r="C18" s="181">
        <v>1288345.1100000001</v>
      </c>
      <c r="D18" s="10">
        <f>'1.14 PPP Loan'!E44</f>
        <v>-95553.36</v>
      </c>
      <c r="E18" s="10">
        <f t="shared" si="1"/>
        <v>1192791.75</v>
      </c>
      <c r="F18" s="10">
        <f t="shared" si="2"/>
        <v>1192791.75</v>
      </c>
      <c r="G18" s="10">
        <f t="shared" si="2"/>
        <v>1192791.75</v>
      </c>
    </row>
    <row r="19" spans="1:13">
      <c r="A19" s="5">
        <f t="shared" si="0"/>
        <v>11</v>
      </c>
      <c r="B19" s="2" t="s">
        <v>24</v>
      </c>
      <c r="C19" s="181">
        <v>139609.51999999999</v>
      </c>
      <c r="D19" s="10">
        <f>'1.14 PPP Loan'!E45</f>
        <v>-19575.060000000001</v>
      </c>
      <c r="E19" s="10">
        <f t="shared" si="1"/>
        <v>120034.45999999999</v>
      </c>
      <c r="F19" s="10">
        <f t="shared" si="2"/>
        <v>120034.45999999999</v>
      </c>
      <c r="G19" s="10">
        <f t="shared" si="2"/>
        <v>120034.45999999999</v>
      </c>
      <c r="J19" s="9"/>
      <c r="M19" s="9"/>
    </row>
    <row r="20" spans="1:13">
      <c r="A20" s="5">
        <f t="shared" si="0"/>
        <v>12</v>
      </c>
      <c r="B20" s="2" t="s">
        <v>25</v>
      </c>
      <c r="C20" s="181"/>
      <c r="D20" s="10">
        <v>0</v>
      </c>
      <c r="E20" s="10">
        <f t="shared" si="1"/>
        <v>0</v>
      </c>
      <c r="F20" s="10">
        <f t="shared" si="2"/>
        <v>0</v>
      </c>
      <c r="G20" s="10">
        <f t="shared" si="2"/>
        <v>0</v>
      </c>
      <c r="J20" s="9"/>
      <c r="M20" s="9"/>
    </row>
    <row r="21" spans="1:13">
      <c r="A21" s="5">
        <f t="shared" si="0"/>
        <v>13</v>
      </c>
      <c r="B21" s="2" t="s">
        <v>26</v>
      </c>
      <c r="C21" s="181">
        <v>1683907.26</v>
      </c>
      <c r="D21" s="10">
        <f>'Adj List'!E15+'Adj List'!E16+'Adj List'!E17+'Adj List'!E18+'Adj List'!E19+'Adj List'!E20+'1.14 PPP Loan'!E46+'Adj List'!E24+'Adj List'!E25+'Adj List'!E26+'Adj List'!E27</f>
        <v>-256229.17046403239</v>
      </c>
      <c r="E21" s="10">
        <f t="shared" si="1"/>
        <v>1427678.0895359677</v>
      </c>
      <c r="F21" s="10">
        <f t="shared" si="2"/>
        <v>1427678.0895359677</v>
      </c>
      <c r="G21" s="10">
        <f t="shared" si="2"/>
        <v>1427678.0895359677</v>
      </c>
      <c r="J21" s="9"/>
      <c r="M21" s="9"/>
    </row>
    <row r="22" spans="1:13">
      <c r="A22" s="5">
        <f t="shared" si="0"/>
        <v>14</v>
      </c>
      <c r="B22" s="11" t="s">
        <v>27</v>
      </c>
      <c r="C22" s="274">
        <f>SUM(C15:C21)</f>
        <v>46824823.57</v>
      </c>
      <c r="D22" s="12">
        <f t="shared" ref="D22:F22" si="3">SUM(D15:D21)</f>
        <v>-3749465.5604640329</v>
      </c>
      <c r="E22" s="12">
        <f>SUM(E15:E21)</f>
        <v>43075358.009535968</v>
      </c>
      <c r="F22" s="12">
        <f t="shared" si="3"/>
        <v>43075358.009535968</v>
      </c>
      <c r="G22" s="12">
        <f t="shared" ref="G22" si="4">SUM(G15:G21)</f>
        <v>43075358.009535968</v>
      </c>
      <c r="J22" s="9"/>
      <c r="M22" s="9"/>
    </row>
    <row r="23" spans="1:13">
      <c r="A23" s="5">
        <f t="shared" si="0"/>
        <v>15</v>
      </c>
      <c r="C23" s="181"/>
      <c r="D23" s="10"/>
      <c r="E23" s="10"/>
      <c r="F23" s="10"/>
      <c r="G23" s="10"/>
      <c r="J23" s="9"/>
      <c r="M23" s="9"/>
    </row>
    <row r="24" spans="1:13">
      <c r="A24" s="5">
        <f t="shared" si="0"/>
        <v>16</v>
      </c>
      <c r="B24" s="2" t="s">
        <v>28</v>
      </c>
      <c r="C24" s="181">
        <v>3259870.44</v>
      </c>
      <c r="D24" s="10">
        <f>'Adj List'!E11</f>
        <v>326283.43999999977</v>
      </c>
      <c r="E24" s="10">
        <f>C24+D24</f>
        <v>3586153.88</v>
      </c>
      <c r="F24" s="10">
        <f>E24</f>
        <v>3586153.88</v>
      </c>
      <c r="G24" s="10">
        <f>F24</f>
        <v>3586153.88</v>
      </c>
      <c r="J24" s="9"/>
      <c r="M24" s="9"/>
    </row>
    <row r="25" spans="1:13">
      <c r="A25" s="5">
        <f t="shared" si="0"/>
        <v>17</v>
      </c>
      <c r="B25" s="2" t="s">
        <v>29</v>
      </c>
      <c r="C25" s="181">
        <v>47600.84</v>
      </c>
      <c r="D25" s="10">
        <v>0</v>
      </c>
      <c r="E25" s="10">
        <f>C25+D25</f>
        <v>47600.84</v>
      </c>
      <c r="F25" s="10">
        <f t="shared" ref="F25:G28" si="5">E25</f>
        <v>47600.84</v>
      </c>
      <c r="G25" s="10">
        <f t="shared" si="5"/>
        <v>47600.84</v>
      </c>
      <c r="I25" s="9"/>
      <c r="J25" s="9"/>
      <c r="M25" s="9"/>
    </row>
    <row r="26" spans="1:13">
      <c r="A26" s="5">
        <f t="shared" si="0"/>
        <v>18</v>
      </c>
      <c r="B26" s="2" t="s">
        <v>30</v>
      </c>
      <c r="C26" s="181">
        <v>642669.77</v>
      </c>
      <c r="D26" s="10">
        <f>'Adj List'!E10</f>
        <v>832894.85624040011</v>
      </c>
      <c r="E26" s="10">
        <f>C26+D26</f>
        <v>1475564.6262404001</v>
      </c>
      <c r="F26" s="10">
        <f t="shared" si="5"/>
        <v>1475564.6262404001</v>
      </c>
      <c r="G26" s="10">
        <f t="shared" si="5"/>
        <v>1475564.6262404001</v>
      </c>
      <c r="I26" s="9"/>
      <c r="J26" s="9"/>
      <c r="M26" s="9"/>
    </row>
    <row r="27" spans="1:13">
      <c r="A27" s="5">
        <f t="shared" si="0"/>
        <v>19</v>
      </c>
      <c r="B27" s="2" t="s">
        <v>31</v>
      </c>
      <c r="C27" s="181">
        <v>27056.93</v>
      </c>
      <c r="D27" s="10"/>
      <c r="E27" s="10">
        <f>C27+D27</f>
        <v>27056.93</v>
      </c>
      <c r="F27" s="10">
        <f t="shared" si="5"/>
        <v>27056.93</v>
      </c>
      <c r="G27" s="10">
        <f t="shared" si="5"/>
        <v>27056.93</v>
      </c>
      <c r="I27" s="9"/>
      <c r="J27" s="9"/>
      <c r="M27" s="9"/>
    </row>
    <row r="28" spans="1:13">
      <c r="A28" s="5">
        <f t="shared" si="0"/>
        <v>20</v>
      </c>
      <c r="B28" s="2" t="s">
        <v>32</v>
      </c>
      <c r="C28" s="181">
        <v>0</v>
      </c>
      <c r="D28" s="10">
        <v>0</v>
      </c>
      <c r="E28" s="10">
        <f>C28+D28</f>
        <v>0</v>
      </c>
      <c r="F28" s="10">
        <f t="shared" si="5"/>
        <v>0</v>
      </c>
      <c r="G28" s="10">
        <f t="shared" si="5"/>
        <v>0</v>
      </c>
      <c r="I28" s="9"/>
      <c r="J28" s="9"/>
      <c r="M28" s="9"/>
    </row>
    <row r="29" spans="1:13">
      <c r="A29" s="5">
        <f t="shared" si="0"/>
        <v>21</v>
      </c>
      <c r="C29" s="181"/>
      <c r="D29" s="10"/>
      <c r="E29" s="10"/>
      <c r="F29" s="10"/>
      <c r="G29" s="10"/>
      <c r="I29" s="9"/>
      <c r="J29" s="9"/>
      <c r="M29" s="9"/>
    </row>
    <row r="30" spans="1:13">
      <c r="A30" s="5">
        <f t="shared" si="0"/>
        <v>22</v>
      </c>
      <c r="B30" s="15" t="s">
        <v>33</v>
      </c>
      <c r="C30" s="275">
        <f t="shared" ref="C30:F30" si="6">SUM(C22:C28)</f>
        <v>50802021.550000004</v>
      </c>
      <c r="D30" s="16">
        <f t="shared" si="6"/>
        <v>-2590287.2642236329</v>
      </c>
      <c r="E30" s="16">
        <f t="shared" si="6"/>
        <v>48211734.285776377</v>
      </c>
      <c r="F30" s="16">
        <f t="shared" si="6"/>
        <v>48211734.285776377</v>
      </c>
      <c r="G30" s="16">
        <f t="shared" ref="G30" si="7">SUM(G22:G28)</f>
        <v>48211734.285776377</v>
      </c>
      <c r="I30" s="9"/>
      <c r="J30" s="9"/>
      <c r="M30" s="9"/>
    </row>
    <row r="31" spans="1:13">
      <c r="A31" s="5">
        <f t="shared" si="0"/>
        <v>23</v>
      </c>
      <c r="C31" s="181"/>
      <c r="D31" s="10"/>
      <c r="E31" s="10"/>
      <c r="F31" s="10"/>
      <c r="G31" s="10"/>
      <c r="I31" s="9"/>
      <c r="J31" s="9"/>
      <c r="M31" s="9"/>
    </row>
    <row r="32" spans="1:13" ht="13" thickBot="1">
      <c r="A32" s="5">
        <f t="shared" si="0"/>
        <v>24</v>
      </c>
      <c r="B32" s="17" t="s">
        <v>34</v>
      </c>
      <c r="C32" s="276">
        <f t="shared" ref="C32:F32" si="8">C12-C30</f>
        <v>-1466279.1400000006</v>
      </c>
      <c r="D32" s="18">
        <f t="shared" si="8"/>
        <v>-1100297.865776367</v>
      </c>
      <c r="E32" s="18">
        <f t="shared" si="8"/>
        <v>-2566577.0057763755</v>
      </c>
      <c r="F32" s="18">
        <f t="shared" si="8"/>
        <v>1218693.9323043376</v>
      </c>
      <c r="G32" s="18">
        <f t="shared" ref="G32" si="9">G12-G30</f>
        <v>1218693.9323043376</v>
      </c>
      <c r="I32" s="9"/>
      <c r="J32" s="9"/>
      <c r="M32" s="9"/>
    </row>
    <row r="33" spans="1:13" ht="13" thickTop="1">
      <c r="A33" s="5">
        <f t="shared" si="0"/>
        <v>25</v>
      </c>
      <c r="C33" s="181"/>
      <c r="D33" s="10"/>
      <c r="E33" s="10"/>
      <c r="F33" s="10"/>
      <c r="G33" s="10"/>
      <c r="I33" s="9"/>
      <c r="J33" s="9"/>
      <c r="M33" s="9"/>
    </row>
    <row r="34" spans="1:13">
      <c r="A34" s="5">
        <f t="shared" si="0"/>
        <v>26</v>
      </c>
      <c r="B34" s="2" t="s">
        <v>35</v>
      </c>
      <c r="C34" s="181">
        <v>31810.97</v>
      </c>
      <c r="D34" s="10">
        <v>0</v>
      </c>
      <c r="E34" s="10">
        <f>C34+D34</f>
        <v>31810.97</v>
      </c>
      <c r="F34" s="10">
        <f t="shared" ref="F34:G38" si="10">E34</f>
        <v>31810.97</v>
      </c>
      <c r="G34" s="10">
        <f t="shared" si="10"/>
        <v>31810.97</v>
      </c>
      <c r="I34" s="9"/>
      <c r="J34" s="9"/>
      <c r="M34" s="9"/>
    </row>
    <row r="35" spans="1:13">
      <c r="A35" s="5" t="s">
        <v>36</v>
      </c>
      <c r="B35" s="2" t="s">
        <v>37</v>
      </c>
      <c r="C35" s="181">
        <v>0</v>
      </c>
      <c r="D35" s="10">
        <v>0</v>
      </c>
      <c r="E35" s="10">
        <f>C35+D35</f>
        <v>0</v>
      </c>
      <c r="F35" s="10">
        <f t="shared" si="10"/>
        <v>0</v>
      </c>
      <c r="G35" s="10">
        <f t="shared" si="10"/>
        <v>0</v>
      </c>
      <c r="I35" s="9"/>
      <c r="J35" s="9"/>
      <c r="M35" s="9"/>
    </row>
    <row r="36" spans="1:13">
      <c r="A36" s="5">
        <f>A34+1</f>
        <v>27</v>
      </c>
      <c r="B36" s="2" t="s">
        <v>38</v>
      </c>
      <c r="C36" s="181">
        <v>842192.73</v>
      </c>
      <c r="D36" s="10">
        <f>'Adj List'!F21</f>
        <v>-882873.52</v>
      </c>
      <c r="E36" s="10">
        <f>C36+D36</f>
        <v>-40680.790000000037</v>
      </c>
      <c r="F36" s="10">
        <f t="shared" si="10"/>
        <v>-40680.790000000037</v>
      </c>
      <c r="G36" s="10">
        <f t="shared" si="10"/>
        <v>-40680.790000000037</v>
      </c>
      <c r="I36" s="9"/>
      <c r="J36" s="9"/>
      <c r="M36" s="9"/>
    </row>
    <row r="37" spans="1:13">
      <c r="A37" s="5">
        <f t="shared" si="0"/>
        <v>28</v>
      </c>
      <c r="B37" s="2" t="s">
        <v>39</v>
      </c>
      <c r="C37" s="181">
        <v>462219.04</v>
      </c>
      <c r="D37" s="10">
        <f>'Adj List'!F22</f>
        <v>-462219.04</v>
      </c>
      <c r="E37" s="10">
        <f>C37+D37</f>
        <v>0</v>
      </c>
      <c r="F37" s="10">
        <f t="shared" si="10"/>
        <v>0</v>
      </c>
      <c r="G37" s="10">
        <f t="shared" si="10"/>
        <v>0</v>
      </c>
      <c r="I37" s="9"/>
      <c r="J37" s="9"/>
      <c r="M37" s="9"/>
    </row>
    <row r="38" spans="1:13">
      <c r="A38" s="5">
        <f t="shared" si="0"/>
        <v>29</v>
      </c>
      <c r="B38" s="2" t="s">
        <v>40</v>
      </c>
      <c r="C38" s="181">
        <v>131606.01999999999</v>
      </c>
      <c r="D38" s="10">
        <f>'[1]Adj IS'!W37</f>
        <v>0</v>
      </c>
      <c r="E38" s="10">
        <f>C38+D38</f>
        <v>131606.01999999999</v>
      </c>
      <c r="F38" s="10">
        <f t="shared" si="10"/>
        <v>131606.01999999999</v>
      </c>
      <c r="G38" s="10">
        <f t="shared" si="10"/>
        <v>131606.01999999999</v>
      </c>
      <c r="I38" s="9"/>
      <c r="J38" s="9"/>
      <c r="M38" s="9"/>
    </row>
    <row r="39" spans="1:13">
      <c r="A39" s="5">
        <f t="shared" si="0"/>
        <v>30</v>
      </c>
      <c r="C39" s="181"/>
      <c r="D39" s="10"/>
      <c r="E39" s="10"/>
      <c r="F39" s="10"/>
      <c r="G39" s="10"/>
      <c r="I39" s="9"/>
      <c r="J39" s="9"/>
      <c r="M39" s="9"/>
    </row>
    <row r="40" spans="1:13" ht="13" thickBot="1">
      <c r="A40" s="5">
        <f t="shared" si="0"/>
        <v>31</v>
      </c>
      <c r="B40" s="17" t="s">
        <v>41</v>
      </c>
      <c r="C40" s="276">
        <f t="shared" ref="C40:F40" si="11">C32+SUM(C34:C38)</f>
        <v>1549.6199999994133</v>
      </c>
      <c r="D40" s="18">
        <f t="shared" si="11"/>
        <v>-2445390.4257763671</v>
      </c>
      <c r="E40" s="18">
        <f t="shared" si="11"/>
        <v>-2443840.8057763753</v>
      </c>
      <c r="F40" s="18">
        <f t="shared" si="11"/>
        <v>1341430.1323043376</v>
      </c>
      <c r="G40" s="18">
        <f t="shared" ref="G40" si="12">G32+SUM(G34:G38)</f>
        <v>1341430.1323043376</v>
      </c>
      <c r="I40" s="9"/>
      <c r="J40" s="9"/>
      <c r="M40" s="9"/>
    </row>
    <row r="41" spans="1:13" ht="13" thickTop="1">
      <c r="A41" s="5">
        <f t="shared" si="0"/>
        <v>32</v>
      </c>
      <c r="C41" s="181"/>
      <c r="D41" s="10"/>
      <c r="E41" s="10"/>
      <c r="F41" s="10"/>
      <c r="G41" s="10"/>
      <c r="I41" s="9"/>
      <c r="J41" s="9"/>
    </row>
    <row r="42" spans="1:13">
      <c r="A42" s="5">
        <f t="shared" si="0"/>
        <v>33</v>
      </c>
      <c r="B42" s="2" t="s">
        <v>42</v>
      </c>
      <c r="C42" s="181">
        <f>35536</f>
        <v>35536</v>
      </c>
      <c r="D42" s="10"/>
      <c r="E42" s="10">
        <f>C42+D42</f>
        <v>35536</v>
      </c>
      <c r="F42" s="10">
        <f>E42</f>
        <v>35536</v>
      </c>
      <c r="G42" s="10">
        <f>E42</f>
        <v>35536</v>
      </c>
      <c r="I42" s="9"/>
      <c r="J42" s="9"/>
    </row>
    <row r="43" spans="1:13">
      <c r="A43" s="5">
        <f t="shared" si="0"/>
        <v>34</v>
      </c>
      <c r="B43" s="2" t="s">
        <v>43</v>
      </c>
      <c r="C43" s="277">
        <f>(C32+C42+C26)/C26</f>
        <v>-1.2262493224163953</v>
      </c>
      <c r="D43" s="10"/>
      <c r="E43" s="14">
        <f>(E32+E42+E26)/E26</f>
        <v>-0.7153033901505419</v>
      </c>
      <c r="F43" s="14">
        <f>(F32+F42+F26)/F26</f>
        <v>1.8499999999999983</v>
      </c>
      <c r="G43" s="271">
        <f>(G32+G42+G26)/G26</f>
        <v>1.8499999999999983</v>
      </c>
      <c r="H43" s="14"/>
      <c r="I43" s="24"/>
      <c r="J43" s="24"/>
    </row>
    <row r="44" spans="1:13">
      <c r="A44" s="5">
        <f t="shared" si="0"/>
        <v>35</v>
      </c>
      <c r="B44" s="2" t="s">
        <v>44</v>
      </c>
      <c r="C44" s="277">
        <f>(C40+C26)/C26</f>
        <v>1.0024112227964284</v>
      </c>
      <c r="D44" s="10"/>
      <c r="E44" s="14">
        <f>(E40+E26)/E26</f>
        <v>-0.65620723234810241</v>
      </c>
      <c r="F44" s="271">
        <f>(F40+F26)/F26</f>
        <v>1.9090961578024375</v>
      </c>
      <c r="G44" s="23">
        <f>(G40+G26)/G26</f>
        <v>1.9090961578024375</v>
      </c>
      <c r="H44" s="14"/>
      <c r="I44" s="24"/>
      <c r="J44" s="24"/>
    </row>
    <row r="45" spans="1:13">
      <c r="A45" s="5">
        <f t="shared" si="0"/>
        <v>36</v>
      </c>
      <c r="B45" s="2" t="s">
        <v>45</v>
      </c>
      <c r="C45" s="277">
        <f>(C26+C40-C37)/C26</f>
        <v>0.28319419785374289</v>
      </c>
      <c r="D45" s="10"/>
      <c r="E45" s="14">
        <f>(E26+E40-E37)/E26</f>
        <v>-0.65620723234810241</v>
      </c>
      <c r="F45" s="14">
        <f>(F26+F40-F37)/F26</f>
        <v>1.9090961578024375</v>
      </c>
      <c r="G45" s="14">
        <f>(G26+G40-G37)/G26</f>
        <v>1.9090961578024375</v>
      </c>
      <c r="H45" s="14"/>
      <c r="I45" s="24"/>
      <c r="J45" s="24"/>
    </row>
    <row r="46" spans="1:13">
      <c r="A46" s="5">
        <f t="shared" si="0"/>
        <v>37</v>
      </c>
      <c r="I46" s="9"/>
      <c r="J46" s="9"/>
    </row>
    <row r="47" spans="1:13">
      <c r="A47" s="5">
        <f t="shared" si="0"/>
        <v>38</v>
      </c>
      <c r="B47" s="2" t="s">
        <v>46</v>
      </c>
      <c r="C47" s="277">
        <f>G44</f>
        <v>1.9090961578024375</v>
      </c>
      <c r="D47" s="10"/>
      <c r="E47" s="14">
        <f>C47</f>
        <v>1.9090961578024375</v>
      </c>
      <c r="F47" s="14">
        <f>E47</f>
        <v>1.9090961578024375</v>
      </c>
      <c r="G47" s="14">
        <f>F47</f>
        <v>1.9090961578024375</v>
      </c>
      <c r="I47" s="9"/>
      <c r="J47" s="9"/>
    </row>
    <row r="48" spans="1:13">
      <c r="A48" s="5">
        <f t="shared" si="0"/>
        <v>39</v>
      </c>
      <c r="B48" s="2" t="s">
        <v>47</v>
      </c>
      <c r="C48" s="181">
        <f>C47*C26-C26</f>
        <v>584248.61864277627</v>
      </c>
      <c r="D48" s="10"/>
      <c r="E48" s="10">
        <f>E47*E26-E26</f>
        <v>1341430.1323043373</v>
      </c>
      <c r="F48" s="10">
        <f>F47*F26-F26</f>
        <v>1341430.1323043373</v>
      </c>
      <c r="G48" s="10">
        <f>G47*G26-G26</f>
        <v>1341430.1323043373</v>
      </c>
      <c r="I48" s="9"/>
      <c r="J48" s="9"/>
    </row>
    <row r="49" spans="1:13">
      <c r="A49" s="5">
        <f t="shared" si="0"/>
        <v>40</v>
      </c>
      <c r="B49" s="2" t="s">
        <v>52</v>
      </c>
      <c r="C49" s="181">
        <f>C30+C48</f>
        <v>51386270.168642782</v>
      </c>
      <c r="D49" s="10"/>
      <c r="E49" s="10">
        <f>E30+E48</f>
        <v>49553164.418080717</v>
      </c>
      <c r="F49" s="10">
        <f>F30+F48</f>
        <v>49553164.418080717</v>
      </c>
      <c r="G49" s="10">
        <f>G30+G48</f>
        <v>49553164.418080717</v>
      </c>
      <c r="I49" s="9"/>
      <c r="J49" s="9"/>
      <c r="M49" s="20"/>
    </row>
    <row r="50" spans="1:13">
      <c r="A50" s="5">
        <f t="shared" si="0"/>
        <v>41</v>
      </c>
      <c r="B50" s="2" t="s">
        <v>53</v>
      </c>
      <c r="C50" s="181">
        <f>C48-C40</f>
        <v>582698.99864277686</v>
      </c>
      <c r="D50" s="10"/>
      <c r="E50" s="21">
        <f>E48-E40</f>
        <v>3785270.9380807127</v>
      </c>
      <c r="F50" s="10">
        <f>F48-F40</f>
        <v>0</v>
      </c>
      <c r="G50" s="10">
        <f>G48-G40</f>
        <v>0</v>
      </c>
      <c r="I50" s="9"/>
      <c r="J50" s="9"/>
    </row>
    <row r="51" spans="1:13">
      <c r="A51" s="5">
        <f t="shared" si="0"/>
        <v>42</v>
      </c>
      <c r="B51" s="2" t="s">
        <v>55</v>
      </c>
      <c r="C51" s="278"/>
      <c r="D51" s="22"/>
      <c r="E51" s="23">
        <f>ROUND(E45-C47,2)</f>
        <v>-2.57</v>
      </c>
      <c r="F51" s="23">
        <f>ROUND(F45-C47,2)</f>
        <v>0</v>
      </c>
      <c r="G51" s="23">
        <f>ROUND(G45-C47,2)</f>
        <v>0</v>
      </c>
      <c r="I51" s="9"/>
      <c r="J51" s="9"/>
    </row>
    <row r="52" spans="1:13">
      <c r="A52" s="5">
        <f t="shared" si="0"/>
        <v>43</v>
      </c>
      <c r="I52" s="24"/>
      <c r="J52" s="24"/>
    </row>
    <row r="53" spans="1:13">
      <c r="A53" s="5">
        <f t="shared" si="0"/>
        <v>44</v>
      </c>
      <c r="B53" s="2" t="s">
        <v>49</v>
      </c>
      <c r="C53" s="66">
        <v>1.85</v>
      </c>
      <c r="E53" s="2">
        <f>C53</f>
        <v>1.85</v>
      </c>
      <c r="F53" s="2">
        <f>E53</f>
        <v>1.85</v>
      </c>
      <c r="G53" s="2">
        <f>F53</f>
        <v>1.85</v>
      </c>
      <c r="I53" s="24"/>
      <c r="J53" s="24"/>
    </row>
    <row r="54" spans="1:13">
      <c r="A54" s="5">
        <f t="shared" si="0"/>
        <v>45</v>
      </c>
      <c r="B54" s="2" t="s">
        <v>460</v>
      </c>
      <c r="C54" s="180">
        <f>C53*C26-C26-C42+SUM(C34:C38)</f>
        <v>1978562.0645000001</v>
      </c>
      <c r="D54" s="9"/>
      <c r="E54" s="9">
        <f>E53*E26-E26-E42+SUM(E34:E38)</f>
        <v>1341430.1323043404</v>
      </c>
      <c r="F54" s="9">
        <f>F53*F26-F26-F42+SUM(F34:F38)</f>
        <v>1341430.1323043404</v>
      </c>
      <c r="G54" s="9">
        <f>G53*G26-G26-G42+SUM(G34:G38)</f>
        <v>1341430.1323043404</v>
      </c>
    </row>
    <row r="55" spans="1:13">
      <c r="A55" s="5">
        <f t="shared" si="0"/>
        <v>46</v>
      </c>
      <c r="B55" s="2" t="s">
        <v>461</v>
      </c>
      <c r="C55" s="180">
        <f>C30+C54</f>
        <v>52780583.614500001</v>
      </c>
      <c r="E55" s="9">
        <f t="shared" ref="E55:G55" si="13">E30+E54</f>
        <v>49553164.418080717</v>
      </c>
      <c r="F55" s="9">
        <f t="shared" si="13"/>
        <v>49553164.418080717</v>
      </c>
      <c r="G55" s="9">
        <f t="shared" si="13"/>
        <v>49553164.418080717</v>
      </c>
    </row>
    <row r="56" spans="1:13">
      <c r="A56" s="5">
        <f t="shared" si="0"/>
        <v>47</v>
      </c>
      <c r="B56" s="2" t="s">
        <v>462</v>
      </c>
      <c r="C56" s="180">
        <f>C54-C40</f>
        <v>1977012.4445000007</v>
      </c>
      <c r="D56" s="9"/>
      <c r="E56" s="9">
        <f>E54-E40</f>
        <v>3785270.9380807159</v>
      </c>
      <c r="F56" s="9">
        <f>F54-F40</f>
        <v>2.7939677238464355E-9</v>
      </c>
      <c r="G56" s="9">
        <f>G54-G40</f>
        <v>2.7939677238464355E-9</v>
      </c>
    </row>
    <row r="57" spans="1:13">
      <c r="A57" s="5">
        <f t="shared" si="0"/>
        <v>48</v>
      </c>
      <c r="B57" s="2" t="s">
        <v>54</v>
      </c>
      <c r="E57" s="24">
        <f>E43-E53</f>
        <v>-2.5653033901505422</v>
      </c>
      <c r="F57" s="24">
        <f t="shared" ref="F57:G57" si="14">F43-F53</f>
        <v>-1.7763568394002505E-15</v>
      </c>
      <c r="G57" s="24">
        <f t="shared" si="14"/>
        <v>-1.7763568394002505E-15</v>
      </c>
    </row>
    <row r="58" spans="1:13">
      <c r="A58" s="5">
        <f t="shared" si="0"/>
        <v>49</v>
      </c>
    </row>
    <row r="59" spans="1:13" ht="13">
      <c r="A59" s="5">
        <f t="shared" si="0"/>
        <v>50</v>
      </c>
      <c r="F59" s="163" t="s">
        <v>50</v>
      </c>
      <c r="G59" s="163" t="s">
        <v>51</v>
      </c>
    </row>
    <row r="60" spans="1:13">
      <c r="A60" s="5">
        <f t="shared" si="0"/>
        <v>51</v>
      </c>
      <c r="E60" s="22" t="s">
        <v>478</v>
      </c>
      <c r="F60" s="272">
        <f>E50</f>
        <v>3785270.9380807127</v>
      </c>
      <c r="G60" s="280">
        <f>E56</f>
        <v>3785270.9380807159</v>
      </c>
    </row>
    <row r="61" spans="1:13">
      <c r="A61" s="5">
        <f t="shared" si="0"/>
        <v>52</v>
      </c>
      <c r="E61" s="22" t="s">
        <v>479</v>
      </c>
      <c r="F61" s="273">
        <f>F60/E10</f>
        <v>8.4268892348646041E-2</v>
      </c>
      <c r="G61" s="273">
        <f>G60/E10</f>
        <v>8.426889234864611E-2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E8:G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07F15-5DBF-4C15-80D9-D950FD62C7B5}">
  <sheetPr>
    <pageSetUpPr fitToPage="1"/>
  </sheetPr>
  <dimension ref="A1:K29"/>
  <sheetViews>
    <sheetView view="pageBreakPreview" zoomScale="60" zoomScaleNormal="100" workbookViewId="0">
      <selection activeCell="D1" sqref="D1"/>
    </sheetView>
  </sheetViews>
  <sheetFormatPr defaultColWidth="8.81640625" defaultRowHeight="12.5"/>
  <cols>
    <col min="1" max="1" width="5.453125" style="66" customWidth="1"/>
    <col min="2" max="2" width="23.453125" style="66" customWidth="1"/>
    <col min="3" max="3" width="7.7265625" style="66" customWidth="1"/>
    <col min="4" max="4" width="19.7265625" style="66" customWidth="1"/>
    <col min="5" max="10" width="18.1796875" style="66" customWidth="1"/>
    <col min="11" max="11" width="10.54296875" style="66" bestFit="1" customWidth="1"/>
    <col min="12" max="16384" width="8.81640625" style="66"/>
  </cols>
  <sheetData>
    <row r="1" spans="1:11" ht="13">
      <c r="D1" s="163" t="str">
        <f>+'AG Summary'!D1</f>
        <v>Exhibit JD-1</v>
      </c>
    </row>
    <row r="2" spans="1:11" ht="13">
      <c r="D2" s="26" t="s">
        <v>455</v>
      </c>
    </row>
    <row r="3" spans="1:11" ht="13">
      <c r="J3" s="26"/>
    </row>
    <row r="4" spans="1:11" ht="13">
      <c r="J4" s="26"/>
    </row>
    <row r="5" spans="1:11" ht="13">
      <c r="A5" s="347" t="str">
        <f>RevReq!A1</f>
        <v>TAYLOR COUNTY RECC</v>
      </c>
      <c r="B5" s="347"/>
      <c r="C5" s="347"/>
      <c r="D5" s="347"/>
      <c r="E5" s="41"/>
      <c r="F5" s="41"/>
      <c r="G5" s="41"/>
      <c r="H5" s="41"/>
      <c r="I5" s="41"/>
      <c r="J5" s="41"/>
    </row>
    <row r="6" spans="1:11" ht="13">
      <c r="A6" s="347" t="str">
        <f>RevReq!A3</f>
        <v>For the 12 Months Ended December 31, 2021</v>
      </c>
      <c r="B6" s="347"/>
      <c r="C6" s="347"/>
      <c r="D6" s="347"/>
      <c r="E6" s="41"/>
      <c r="F6" s="41"/>
      <c r="G6" s="41"/>
      <c r="H6" s="41"/>
      <c r="I6" s="41"/>
      <c r="J6" s="41"/>
      <c r="K6" s="41"/>
    </row>
    <row r="7" spans="1:11" ht="1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3">
      <c r="A8" s="345" t="s">
        <v>39</v>
      </c>
      <c r="B8" s="345"/>
      <c r="C8" s="345"/>
      <c r="D8" s="345"/>
      <c r="E8" s="48"/>
      <c r="F8" s="48"/>
      <c r="G8" s="48"/>
      <c r="H8" s="48"/>
      <c r="I8" s="48"/>
      <c r="J8" s="48"/>
    </row>
    <row r="10" spans="1:11" ht="14">
      <c r="A10" s="77"/>
      <c r="B10" s="68"/>
      <c r="C10" s="68"/>
      <c r="D10" s="99"/>
      <c r="E10" s="120"/>
      <c r="F10" s="120"/>
      <c r="G10" s="120"/>
      <c r="H10" s="120"/>
      <c r="I10" s="120"/>
      <c r="J10" s="120"/>
    </row>
    <row r="11" spans="1:11" ht="13">
      <c r="A11" s="170" t="s">
        <v>12</v>
      </c>
      <c r="B11" s="132" t="s">
        <v>125</v>
      </c>
      <c r="C11" s="132" t="s">
        <v>169</v>
      </c>
      <c r="D11" s="173" t="s">
        <v>154</v>
      </c>
      <c r="E11" s="121"/>
      <c r="F11" s="121"/>
      <c r="G11" s="121"/>
      <c r="H11" s="121"/>
      <c r="I11" s="121"/>
      <c r="J11" s="121"/>
    </row>
    <row r="12" spans="1:11">
      <c r="A12" s="77">
        <v>1</v>
      </c>
      <c r="B12" s="66" t="s">
        <v>39</v>
      </c>
      <c r="C12" s="68"/>
      <c r="D12" s="119">
        <f>RevReq!C37</f>
        <v>462219.04</v>
      </c>
      <c r="E12" s="116"/>
      <c r="F12" s="116"/>
      <c r="G12" s="116"/>
      <c r="H12" s="116"/>
      <c r="I12" s="116"/>
      <c r="J12" s="116"/>
      <c r="K12" s="116"/>
    </row>
    <row r="13" spans="1:11">
      <c r="A13" s="77">
        <f>+A12+1</f>
        <v>2</v>
      </c>
      <c r="C13" s="68"/>
      <c r="D13" s="119"/>
      <c r="E13" s="116"/>
      <c r="F13" s="116"/>
      <c r="G13" s="116"/>
      <c r="H13" s="116"/>
      <c r="I13" s="116"/>
      <c r="J13" s="116"/>
      <c r="K13" s="116"/>
    </row>
    <row r="14" spans="1:11">
      <c r="A14" s="77">
        <f t="shared" ref="A14:A16" si="0">+A13+1</f>
        <v>3</v>
      </c>
      <c r="B14" s="66" t="s">
        <v>122</v>
      </c>
      <c r="D14" s="119">
        <v>0</v>
      </c>
      <c r="E14" s="116"/>
      <c r="F14" s="116"/>
      <c r="G14" s="116"/>
      <c r="H14" s="116"/>
      <c r="I14" s="116"/>
      <c r="J14" s="116"/>
    </row>
    <row r="15" spans="1:11">
      <c r="A15" s="77">
        <f t="shared" si="0"/>
        <v>4</v>
      </c>
      <c r="D15" s="116"/>
      <c r="E15" s="116"/>
      <c r="F15" s="116"/>
      <c r="G15" s="116"/>
      <c r="H15" s="116"/>
      <c r="I15" s="116"/>
      <c r="J15" s="116"/>
    </row>
    <row r="16" spans="1:11">
      <c r="A16" s="77">
        <f t="shared" si="0"/>
        <v>5</v>
      </c>
      <c r="B16" s="66" t="s">
        <v>283</v>
      </c>
      <c r="D16" s="225">
        <f>D14-D12</f>
        <v>-462219.04</v>
      </c>
      <c r="E16" s="124"/>
      <c r="F16" s="124"/>
      <c r="G16" s="124"/>
      <c r="H16" s="116"/>
      <c r="I16" s="116"/>
      <c r="J16" s="116"/>
      <c r="K16" s="116"/>
    </row>
    <row r="17" spans="1:10">
      <c r="B17" s="124"/>
      <c r="C17" s="124"/>
      <c r="D17" s="124"/>
      <c r="E17" s="124"/>
      <c r="F17" s="124"/>
      <c r="G17" s="124"/>
      <c r="H17" s="116"/>
      <c r="I17" s="116"/>
      <c r="J17" s="116"/>
    </row>
    <row r="18" spans="1:10">
      <c r="B18" s="124"/>
      <c r="C18" s="124"/>
      <c r="D18" s="124"/>
      <c r="E18" s="124"/>
      <c r="F18" s="124"/>
      <c r="G18" s="124"/>
      <c r="H18" s="116"/>
      <c r="I18" s="116"/>
      <c r="J18" s="116"/>
    </row>
    <row r="19" spans="1:10">
      <c r="A19" s="66" t="s">
        <v>456</v>
      </c>
      <c r="B19" s="126"/>
      <c r="C19" s="126"/>
      <c r="D19" s="126"/>
      <c r="E19" s="126"/>
      <c r="F19" s="126"/>
      <c r="G19" s="126"/>
      <c r="H19" s="126"/>
      <c r="I19" s="126"/>
      <c r="J19" s="126"/>
    </row>
    <row r="20" spans="1:10">
      <c r="A20" s="66" t="s">
        <v>457</v>
      </c>
      <c r="B20" s="128"/>
      <c r="C20" s="128"/>
      <c r="D20" s="128"/>
      <c r="E20" s="128"/>
      <c r="F20" s="128"/>
    </row>
    <row r="21" spans="1:10">
      <c r="B21" s="128"/>
      <c r="C21" s="128"/>
      <c r="D21" s="128"/>
      <c r="E21" s="128"/>
      <c r="F21" s="128"/>
    </row>
    <row r="22" spans="1:10" ht="13">
      <c r="A22" s="92"/>
      <c r="B22" s="131"/>
      <c r="C22" s="131"/>
      <c r="D22" s="131"/>
      <c r="E22" s="131"/>
      <c r="F22" s="131"/>
    </row>
    <row r="23" spans="1:10">
      <c r="B23" s="131"/>
      <c r="C23" s="131"/>
      <c r="D23" s="131"/>
      <c r="E23" s="131"/>
      <c r="F23" s="131"/>
    </row>
    <row r="24" spans="1:10">
      <c r="B24" s="131"/>
      <c r="C24" s="131"/>
      <c r="D24" s="131"/>
      <c r="E24" s="131"/>
      <c r="F24" s="131"/>
    </row>
    <row r="25" spans="1:10">
      <c r="B25" s="131"/>
      <c r="C25" s="131"/>
      <c r="D25" s="131"/>
      <c r="E25" s="131"/>
      <c r="F25" s="80"/>
    </row>
    <row r="26" spans="1:10">
      <c r="B26" s="131"/>
      <c r="C26" s="131"/>
      <c r="D26" s="131"/>
      <c r="E26" s="131"/>
      <c r="F26" s="131"/>
    </row>
    <row r="27" spans="1:10">
      <c r="B27" s="131"/>
      <c r="C27" s="131"/>
      <c r="D27" s="131"/>
      <c r="E27" s="131"/>
      <c r="F27" s="131"/>
    </row>
    <row r="28" spans="1:10">
      <c r="B28" s="131"/>
      <c r="C28" s="131"/>
      <c r="D28" s="131"/>
      <c r="E28" s="131"/>
      <c r="F28" s="131"/>
    </row>
    <row r="29" spans="1:10">
      <c r="B29" s="131"/>
      <c r="C29" s="131"/>
      <c r="D29" s="131"/>
      <c r="E29" s="131"/>
      <c r="F29" s="131"/>
    </row>
  </sheetData>
  <mergeCells count="3">
    <mergeCell ref="A5:D5"/>
    <mergeCell ref="A6:D6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D12 D16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A1273-B2B4-46E0-BF49-ED613E2D402C}">
  <dimension ref="A1:D19"/>
  <sheetViews>
    <sheetView workbookViewId="0">
      <selection activeCell="D15" sqref="D15"/>
    </sheetView>
  </sheetViews>
  <sheetFormatPr defaultRowHeight="14.5"/>
  <cols>
    <col min="1" max="1" width="5.453125" customWidth="1"/>
    <col min="2" max="2" width="23.453125" customWidth="1"/>
    <col min="3" max="3" width="7.7265625" customWidth="1"/>
    <col min="4" max="4" width="19.7265625" customWidth="1"/>
  </cols>
  <sheetData>
    <row r="1" spans="1:4">
      <c r="D1" s="163" t="str">
        <f>+'AG Summary'!D1</f>
        <v>Exhibit JD-1</v>
      </c>
    </row>
    <row r="2" spans="1:4">
      <c r="B2" s="357" t="s">
        <v>485</v>
      </c>
      <c r="C2" s="357"/>
      <c r="D2" s="357"/>
    </row>
    <row r="4" spans="1:4">
      <c r="A4" s="347" t="s">
        <v>483</v>
      </c>
      <c r="B4" s="347"/>
      <c r="C4" s="347"/>
      <c r="D4" s="347"/>
    </row>
    <row r="5" spans="1:4">
      <c r="A5" s="347" t="s">
        <v>484</v>
      </c>
      <c r="B5" s="347"/>
      <c r="C5" s="347"/>
      <c r="D5" s="347"/>
    </row>
    <row r="6" spans="1:4">
      <c r="A6" s="41"/>
      <c r="B6" s="41"/>
      <c r="C6" s="41"/>
      <c r="D6" s="41"/>
    </row>
    <row r="7" spans="1:4">
      <c r="A7" s="345" t="s">
        <v>482</v>
      </c>
      <c r="B7" s="345"/>
      <c r="C7" s="345"/>
      <c r="D7" s="345"/>
    </row>
    <row r="8" spans="1:4">
      <c r="A8" s="66"/>
      <c r="B8" s="66"/>
      <c r="C8" s="66"/>
      <c r="D8" s="66"/>
    </row>
    <row r="9" spans="1:4">
      <c r="A9" s="77"/>
      <c r="B9" s="68"/>
      <c r="C9" s="68"/>
      <c r="D9" s="99"/>
    </row>
    <row r="10" spans="1:4">
      <c r="A10" s="170" t="s">
        <v>12</v>
      </c>
      <c r="B10" s="132" t="s">
        <v>125</v>
      </c>
      <c r="C10" s="132" t="s">
        <v>169</v>
      </c>
      <c r="D10" s="173" t="s">
        <v>154</v>
      </c>
    </row>
    <row r="11" spans="1:4">
      <c r="A11" s="77">
        <v>1</v>
      </c>
      <c r="B11" s="66" t="s">
        <v>200</v>
      </c>
      <c r="C11" s="68"/>
      <c r="D11" s="302">
        <v>615847</v>
      </c>
    </row>
    <row r="12" spans="1:4">
      <c r="A12" s="77">
        <f>+A11+1</f>
        <v>2</v>
      </c>
      <c r="B12" s="66"/>
      <c r="C12" s="68"/>
      <c r="D12" s="302"/>
    </row>
    <row r="13" spans="1:4">
      <c r="A13" s="77">
        <f t="shared" ref="A13:A15" si="0">+A12+1</f>
        <v>3</v>
      </c>
      <c r="B13" s="66" t="s">
        <v>122</v>
      </c>
      <c r="C13" s="66"/>
      <c r="D13" s="302">
        <v>726198</v>
      </c>
    </row>
    <row r="14" spans="1:4">
      <c r="A14" s="77">
        <f t="shared" si="0"/>
        <v>4</v>
      </c>
      <c r="B14" s="66"/>
      <c r="C14" s="66"/>
      <c r="D14" s="303"/>
    </row>
    <row r="15" spans="1:4" ht="15" thickBot="1">
      <c r="A15" s="77">
        <f t="shared" si="0"/>
        <v>5</v>
      </c>
      <c r="B15" s="66" t="s">
        <v>283</v>
      </c>
      <c r="C15" s="66"/>
      <c r="D15" s="339">
        <f>D13-D11</f>
        <v>110351</v>
      </c>
    </row>
    <row r="16" spans="1:4" ht="15" thickTop="1">
      <c r="A16" s="66"/>
      <c r="B16" s="124"/>
      <c r="C16" s="124"/>
      <c r="D16" s="305"/>
    </row>
    <row r="17" spans="1:4">
      <c r="A17" s="66"/>
      <c r="B17" s="124" t="s">
        <v>512</v>
      </c>
      <c r="C17" s="124"/>
      <c r="D17" s="124"/>
    </row>
    <row r="18" spans="1:4">
      <c r="A18" s="66"/>
      <c r="B18" s="126"/>
      <c r="C18" s="126"/>
      <c r="D18" s="126"/>
    </row>
    <row r="19" spans="1:4">
      <c r="A19" s="66"/>
      <c r="B19" s="128"/>
      <c r="C19" s="128"/>
      <c r="D19" s="128"/>
    </row>
  </sheetData>
  <mergeCells count="4">
    <mergeCell ref="A4:D4"/>
    <mergeCell ref="A5:D5"/>
    <mergeCell ref="A7:D7"/>
    <mergeCell ref="B2:D2"/>
  </mergeCells>
  <pageMargins left="0.7" right="0.7" top="0.75" bottom="0.75" header="0.3" footer="0.3"/>
  <pageSetup orientation="portrait" r:id="rId1"/>
  <ignoredErrors>
    <ignoredError sqref="D15" unlocked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51BF-32E8-435F-81C9-B443B28046BD}">
  <dimension ref="A1:D18"/>
  <sheetViews>
    <sheetView workbookViewId="0">
      <selection activeCell="A8" sqref="A8"/>
    </sheetView>
  </sheetViews>
  <sheetFormatPr defaultRowHeight="14.5"/>
  <cols>
    <col min="1" max="1" width="5.453125" customWidth="1"/>
    <col min="2" max="2" width="23.453125" customWidth="1"/>
    <col min="3" max="3" width="7.7265625" customWidth="1"/>
    <col min="4" max="4" width="19.7265625" customWidth="1"/>
  </cols>
  <sheetData>
    <row r="1" spans="1:4">
      <c r="D1" s="163" t="str">
        <f>+'AG Summary'!D1</f>
        <v>Exhibit JD-1</v>
      </c>
    </row>
    <row r="2" spans="1:4">
      <c r="B2" s="357" t="s">
        <v>486</v>
      </c>
      <c r="C2" s="357"/>
      <c r="D2" s="357"/>
    </row>
    <row r="4" spans="1:4">
      <c r="A4" s="347" t="s">
        <v>483</v>
      </c>
      <c r="B4" s="347"/>
      <c r="C4" s="347"/>
      <c r="D4" s="347"/>
    </row>
    <row r="5" spans="1:4">
      <c r="A5" s="347" t="s">
        <v>484</v>
      </c>
      <c r="B5" s="347"/>
      <c r="C5" s="347"/>
      <c r="D5" s="347"/>
    </row>
    <row r="6" spans="1:4">
      <c r="A6" s="41"/>
      <c r="B6" s="41"/>
      <c r="C6" s="41"/>
      <c r="D6" s="41"/>
    </row>
    <row r="7" spans="1:4">
      <c r="A7" s="345" t="s">
        <v>490</v>
      </c>
      <c r="B7" s="345"/>
      <c r="C7" s="345"/>
      <c r="D7" s="345"/>
    </row>
    <row r="8" spans="1:4">
      <c r="A8" s="66"/>
      <c r="B8" s="66"/>
      <c r="C8" s="66"/>
      <c r="D8" s="66"/>
    </row>
    <row r="9" spans="1:4">
      <c r="A9" s="77"/>
      <c r="B9" s="68"/>
      <c r="C9" s="68"/>
      <c r="D9" s="99"/>
    </row>
    <row r="10" spans="1:4">
      <c r="A10" s="170" t="s">
        <v>12</v>
      </c>
      <c r="B10" s="132" t="s">
        <v>125</v>
      </c>
      <c r="C10" s="132" t="s">
        <v>169</v>
      </c>
      <c r="D10" s="173" t="s">
        <v>154</v>
      </c>
    </row>
    <row r="11" spans="1:4">
      <c r="A11" s="77">
        <v>1</v>
      </c>
      <c r="B11" s="66" t="s">
        <v>200</v>
      </c>
      <c r="C11" s="68"/>
      <c r="D11" s="302">
        <v>10915</v>
      </c>
    </row>
    <row r="12" spans="1:4">
      <c r="A12" s="77">
        <f>+A11+1</f>
        <v>2</v>
      </c>
      <c r="B12" s="66"/>
      <c r="C12" s="68"/>
      <c r="D12" s="302"/>
    </row>
    <row r="13" spans="1:4">
      <c r="A13" s="77">
        <f t="shared" ref="A13:A15" si="0">+A12+1</f>
        <v>3</v>
      </c>
      <c r="B13" s="66" t="s">
        <v>122</v>
      </c>
      <c r="C13" s="66"/>
      <c r="D13" s="302">
        <v>0</v>
      </c>
    </row>
    <row r="14" spans="1:4">
      <c r="A14" s="77">
        <f t="shared" si="0"/>
        <v>4</v>
      </c>
      <c r="B14" s="66"/>
      <c r="C14" s="66"/>
      <c r="D14" s="303"/>
    </row>
    <row r="15" spans="1:4" ht="15" thickBot="1">
      <c r="A15" s="77">
        <f t="shared" si="0"/>
        <v>5</v>
      </c>
      <c r="B15" s="66" t="s">
        <v>283</v>
      </c>
      <c r="C15" s="66"/>
      <c r="D15" s="339">
        <f>D13-D11</f>
        <v>-10915</v>
      </c>
    </row>
    <row r="16" spans="1:4" ht="15" thickTop="1">
      <c r="A16" s="66"/>
      <c r="B16" s="124"/>
      <c r="C16" s="124"/>
      <c r="D16" s="305"/>
    </row>
    <row r="17" spans="1:4">
      <c r="A17" s="66"/>
      <c r="B17" s="124"/>
      <c r="C17" s="124"/>
      <c r="D17" s="305"/>
    </row>
    <row r="18" spans="1:4">
      <c r="B18" s="66" t="s">
        <v>513</v>
      </c>
      <c r="D18" s="306"/>
    </row>
  </sheetData>
  <mergeCells count="4">
    <mergeCell ref="B2:D2"/>
    <mergeCell ref="A4:D4"/>
    <mergeCell ref="A5:D5"/>
    <mergeCell ref="A7:D7"/>
  </mergeCells>
  <pageMargins left="0.7" right="0.7" top="0.75" bottom="0.75" header="0.3" footer="0.3"/>
  <pageSetup orientation="portrait" r:id="rId1"/>
  <ignoredErrors>
    <ignoredError sqref="D15" unlocked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02F59-E4AA-48B5-A4F2-80EEE8950553}">
  <dimension ref="A1:D17"/>
  <sheetViews>
    <sheetView workbookViewId="0">
      <selection activeCell="L35" sqref="L35"/>
    </sheetView>
  </sheetViews>
  <sheetFormatPr defaultRowHeight="14.5"/>
  <cols>
    <col min="1" max="1" width="5.453125" customWidth="1"/>
    <col min="2" max="2" width="23.453125" customWidth="1"/>
    <col min="3" max="3" width="7.7265625" customWidth="1"/>
    <col min="4" max="4" width="19.7265625" customWidth="1"/>
  </cols>
  <sheetData>
    <row r="1" spans="1:4">
      <c r="D1" s="163" t="str">
        <f>+'AG Summary'!D1</f>
        <v>Exhibit JD-1</v>
      </c>
    </row>
    <row r="2" spans="1:4">
      <c r="B2" s="357" t="s">
        <v>499</v>
      </c>
      <c r="C2" s="357"/>
      <c r="D2" s="357"/>
    </row>
    <row r="4" spans="1:4">
      <c r="A4" s="347" t="s">
        <v>483</v>
      </c>
      <c r="B4" s="347"/>
      <c r="C4" s="347"/>
      <c r="D4" s="347"/>
    </row>
    <row r="5" spans="1:4">
      <c r="A5" s="347" t="s">
        <v>484</v>
      </c>
      <c r="B5" s="347"/>
      <c r="C5" s="347"/>
      <c r="D5" s="347"/>
    </row>
    <row r="6" spans="1:4">
      <c r="A6" s="41"/>
      <c r="B6" s="41"/>
      <c r="C6" s="41"/>
      <c r="D6" s="41"/>
    </row>
    <row r="7" spans="1:4">
      <c r="A7" s="345" t="s">
        <v>510</v>
      </c>
      <c r="B7" s="345"/>
      <c r="C7" s="345"/>
      <c r="D7" s="345"/>
    </row>
    <row r="8" spans="1:4">
      <c r="A8" s="66"/>
      <c r="B8" s="66"/>
      <c r="C8" s="66"/>
      <c r="D8" s="66"/>
    </row>
    <row r="9" spans="1:4">
      <c r="A9" s="77"/>
      <c r="B9" s="68"/>
      <c r="C9" s="68"/>
      <c r="D9" s="99"/>
    </row>
    <row r="10" spans="1:4">
      <c r="A10" s="170" t="s">
        <v>12</v>
      </c>
      <c r="B10" s="132" t="s">
        <v>125</v>
      </c>
      <c r="C10" s="132" t="s">
        <v>169</v>
      </c>
      <c r="D10" s="173" t="s">
        <v>154</v>
      </c>
    </row>
    <row r="11" spans="1:4">
      <c r="A11" s="77">
        <v>1</v>
      </c>
      <c r="B11" s="66" t="s">
        <v>200</v>
      </c>
      <c r="C11" s="68"/>
      <c r="D11" s="119">
        <f>116833+3150</f>
        <v>119983</v>
      </c>
    </row>
    <row r="12" spans="1:4">
      <c r="A12" s="77">
        <f>+A11+1</f>
        <v>2</v>
      </c>
      <c r="B12" s="66"/>
      <c r="C12" s="68"/>
      <c r="D12" s="119"/>
    </row>
    <row r="13" spans="1:4">
      <c r="A13" s="77">
        <f t="shared" ref="A13:A15" si="0">+A12+1</f>
        <v>3</v>
      </c>
      <c r="B13" s="66" t="s">
        <v>122</v>
      </c>
      <c r="C13" s="66"/>
      <c r="D13" s="119">
        <v>30370</v>
      </c>
    </row>
    <row r="14" spans="1:4">
      <c r="A14" s="77">
        <f t="shared" si="0"/>
        <v>4</v>
      </c>
      <c r="B14" s="66"/>
      <c r="C14" s="66"/>
      <c r="D14" s="116"/>
    </row>
    <row r="15" spans="1:4" ht="15" thickBot="1">
      <c r="A15" s="77">
        <f t="shared" si="0"/>
        <v>5</v>
      </c>
      <c r="B15" s="66" t="s">
        <v>283</v>
      </c>
      <c r="C15" s="66"/>
      <c r="D15" s="340">
        <f>D13-D11</f>
        <v>-89613</v>
      </c>
    </row>
    <row r="16" spans="1:4" ht="15" thickTop="1">
      <c r="A16" s="77"/>
      <c r="B16" s="124"/>
      <c r="C16" s="124"/>
      <c r="D16" s="124"/>
    </row>
    <row r="17" spans="1:4">
      <c r="A17" s="66"/>
      <c r="B17" s="124" t="s">
        <v>511</v>
      </c>
      <c r="C17" s="124"/>
      <c r="D17" s="124"/>
    </row>
  </sheetData>
  <mergeCells count="4">
    <mergeCell ref="B2:D2"/>
    <mergeCell ref="A4:D4"/>
    <mergeCell ref="A5:D5"/>
    <mergeCell ref="A7:D7"/>
  </mergeCells>
  <pageMargins left="0.7" right="0.7" top="0.75" bottom="0.75" header="0.3" footer="0.3"/>
  <pageSetup orientation="portrait" r:id="rId1"/>
  <ignoredErrors>
    <ignoredError sqref="D15 D11" unlocked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BC2EE-446C-42BF-926E-118655C0CFBD}">
  <dimension ref="A1:D29"/>
  <sheetViews>
    <sheetView tabSelected="1" workbookViewId="0">
      <selection activeCell="A20" sqref="A20:A26"/>
    </sheetView>
  </sheetViews>
  <sheetFormatPr defaultRowHeight="14.5"/>
  <cols>
    <col min="1" max="1" width="7" customWidth="1"/>
    <col min="2" max="2" width="23.453125" customWidth="1"/>
    <col min="3" max="3" width="9.54296875" customWidth="1"/>
    <col min="4" max="4" width="19.7265625" customWidth="1"/>
  </cols>
  <sheetData>
    <row r="1" spans="1:4">
      <c r="D1" s="163" t="str">
        <f>+'AG Summary'!D1</f>
        <v>Exhibit JD-1</v>
      </c>
    </row>
    <row r="2" spans="1:4">
      <c r="B2" s="357" t="s">
        <v>501</v>
      </c>
      <c r="C2" s="357"/>
      <c r="D2" s="357"/>
    </row>
    <row r="4" spans="1:4">
      <c r="A4" s="347" t="s">
        <v>483</v>
      </c>
      <c r="B4" s="347"/>
      <c r="C4" s="347"/>
      <c r="D4" s="347"/>
    </row>
    <row r="5" spans="1:4">
      <c r="A5" s="347" t="s">
        <v>484</v>
      </c>
      <c r="B5" s="347"/>
      <c r="C5" s="347"/>
      <c r="D5" s="347"/>
    </row>
    <row r="6" spans="1:4">
      <c r="A6" s="41"/>
      <c r="B6" s="41"/>
      <c r="C6" s="41"/>
      <c r="D6" s="41"/>
    </row>
    <row r="7" spans="1:4">
      <c r="A7" s="345" t="s">
        <v>500</v>
      </c>
      <c r="B7" s="345"/>
      <c r="C7" s="345"/>
      <c r="D7" s="345"/>
    </row>
    <row r="8" spans="1:4">
      <c r="A8" s="66"/>
      <c r="B8" s="66"/>
      <c r="C8" s="66"/>
      <c r="D8" s="66"/>
    </row>
    <row r="9" spans="1:4">
      <c r="A9" s="77"/>
      <c r="B9" s="68"/>
      <c r="C9" s="68"/>
      <c r="D9" s="99"/>
    </row>
    <row r="10" spans="1:4">
      <c r="A10" s="170" t="s">
        <v>12</v>
      </c>
      <c r="B10" s="132" t="s">
        <v>125</v>
      </c>
      <c r="C10" s="132" t="s">
        <v>169</v>
      </c>
      <c r="D10" s="173" t="s">
        <v>154</v>
      </c>
    </row>
    <row r="11" spans="1:4">
      <c r="A11" s="77">
        <v>1</v>
      </c>
      <c r="B11" s="66" t="s">
        <v>200</v>
      </c>
      <c r="C11" s="68"/>
      <c r="D11" s="302">
        <v>65026</v>
      </c>
    </row>
    <row r="12" spans="1:4">
      <c r="A12" s="77">
        <f>+A11+1</f>
        <v>2</v>
      </c>
      <c r="B12" s="66"/>
      <c r="C12" s="68"/>
      <c r="D12" s="302"/>
    </row>
    <row r="13" spans="1:4">
      <c r="A13" s="77">
        <f t="shared" ref="A13:A15" si="0">+A12+1</f>
        <v>3</v>
      </c>
      <c r="B13" s="66" t="s">
        <v>122</v>
      </c>
      <c r="C13" s="66"/>
      <c r="D13" s="302">
        <f>D25</f>
        <v>43077.8</v>
      </c>
    </row>
    <row r="14" spans="1:4">
      <c r="A14" s="77">
        <f t="shared" si="0"/>
        <v>4</v>
      </c>
      <c r="B14" s="66"/>
      <c r="C14" s="66"/>
      <c r="D14" s="303"/>
    </row>
    <row r="15" spans="1:4">
      <c r="A15" s="77">
        <f t="shared" si="0"/>
        <v>5</v>
      </c>
      <c r="B15" s="66" t="s">
        <v>283</v>
      </c>
      <c r="C15" s="66"/>
      <c r="D15" s="304">
        <f>D13-D11</f>
        <v>-21948.199999999997</v>
      </c>
    </row>
    <row r="16" spans="1:4">
      <c r="A16" s="77"/>
      <c r="B16" s="66"/>
      <c r="C16" s="66"/>
      <c r="D16" s="341"/>
    </row>
    <row r="17" spans="1:4">
      <c r="A17" s="77"/>
      <c r="B17" s="66"/>
      <c r="C17" s="66"/>
      <c r="D17" s="341"/>
    </row>
    <row r="18" spans="1:4">
      <c r="A18" s="77"/>
      <c r="B18" s="66"/>
      <c r="C18" s="66"/>
      <c r="D18" s="341"/>
    </row>
    <row r="20" spans="1:4">
      <c r="A20" s="77">
        <v>6</v>
      </c>
      <c r="C20" s="66">
        <v>2018</v>
      </c>
      <c r="D20" s="312">
        <v>63800</v>
      </c>
    </row>
    <row r="21" spans="1:4">
      <c r="A21" s="77">
        <v>7</v>
      </c>
      <c r="C21" s="66">
        <v>2019</v>
      </c>
      <c r="D21" s="312">
        <v>32289</v>
      </c>
    </row>
    <row r="22" spans="1:4">
      <c r="A22" s="77">
        <v>8</v>
      </c>
      <c r="C22" s="66">
        <v>2020</v>
      </c>
      <c r="D22" s="312">
        <v>19647</v>
      </c>
    </row>
    <row r="23" spans="1:4">
      <c r="A23" s="77">
        <v>9</v>
      </c>
      <c r="C23" s="66">
        <v>2021</v>
      </c>
      <c r="D23" s="312">
        <v>65026</v>
      </c>
    </row>
    <row r="24" spans="1:4">
      <c r="A24" s="77">
        <v>10</v>
      </c>
      <c r="C24" s="66">
        <v>2022</v>
      </c>
      <c r="D24" s="313">
        <v>34627</v>
      </c>
    </row>
    <row r="25" spans="1:4">
      <c r="A25" s="77">
        <v>11</v>
      </c>
      <c r="C25" s="66" t="s">
        <v>502</v>
      </c>
      <c r="D25" s="312">
        <f>AVERAGE(D20:D24)</f>
        <v>43077.8</v>
      </c>
    </row>
    <row r="26" spans="1:4">
      <c r="A26" s="77"/>
      <c r="C26" s="66"/>
      <c r="D26" s="66"/>
    </row>
    <row r="29" spans="1:4">
      <c r="B29" s="66" t="s">
        <v>509</v>
      </c>
    </row>
  </sheetData>
  <mergeCells count="4">
    <mergeCell ref="B2:D2"/>
    <mergeCell ref="A4:D4"/>
    <mergeCell ref="A5:D5"/>
    <mergeCell ref="A7:D7"/>
  </mergeCells>
  <pageMargins left="0.7" right="0.7" top="0.75" bottom="0.75" header="0.3" footer="0.3"/>
  <pageSetup orientation="portrait" r:id="rId1"/>
  <ignoredErrors>
    <ignoredError sqref="D13:D15" unlocked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8A27-40AE-4BD2-B78A-B77E6A68C201}">
  <dimension ref="A1:D23"/>
  <sheetViews>
    <sheetView workbookViewId="0">
      <selection activeCell="A23" sqref="A23"/>
    </sheetView>
  </sheetViews>
  <sheetFormatPr defaultRowHeight="14.5"/>
  <cols>
    <col min="1" max="1" width="7" customWidth="1"/>
    <col min="2" max="2" width="23.453125" customWidth="1"/>
    <col min="3" max="3" width="9.54296875" customWidth="1"/>
    <col min="4" max="4" width="19.7265625" customWidth="1"/>
  </cols>
  <sheetData>
    <row r="1" spans="1:4">
      <c r="D1" s="163" t="str">
        <f>+'AG Summary'!D1</f>
        <v>Exhibit JD-1</v>
      </c>
    </row>
    <row r="2" spans="1:4">
      <c r="B2" s="357" t="s">
        <v>506</v>
      </c>
      <c r="C2" s="357"/>
      <c r="D2" s="357"/>
    </row>
    <row r="4" spans="1:4">
      <c r="A4" s="347" t="s">
        <v>483</v>
      </c>
      <c r="B4" s="347"/>
      <c r="C4" s="347"/>
      <c r="D4" s="347"/>
    </row>
    <row r="5" spans="1:4">
      <c r="A5" s="347" t="s">
        <v>484</v>
      </c>
      <c r="B5" s="347"/>
      <c r="C5" s="347"/>
      <c r="D5" s="347"/>
    </row>
    <row r="6" spans="1:4">
      <c r="A6" s="41"/>
      <c r="B6" s="41"/>
      <c r="C6" s="41"/>
      <c r="D6" s="41"/>
    </row>
    <row r="7" spans="1:4">
      <c r="A7" s="345" t="s">
        <v>527</v>
      </c>
      <c r="B7" s="345"/>
      <c r="C7" s="345"/>
      <c r="D7" s="345"/>
    </row>
    <row r="8" spans="1:4">
      <c r="A8" s="66"/>
      <c r="B8" s="66"/>
      <c r="C8" s="66"/>
      <c r="D8" s="66"/>
    </row>
    <row r="9" spans="1:4">
      <c r="A9" s="77"/>
      <c r="B9" s="68"/>
      <c r="C9" s="68"/>
      <c r="D9" s="99"/>
    </row>
    <row r="10" spans="1:4">
      <c r="A10" s="170" t="s">
        <v>12</v>
      </c>
      <c r="B10" s="132" t="s">
        <v>125</v>
      </c>
      <c r="C10" s="132" t="s">
        <v>169</v>
      </c>
      <c r="D10" s="173" t="s">
        <v>154</v>
      </c>
    </row>
    <row r="11" spans="1:4">
      <c r="A11" s="77">
        <v>1</v>
      </c>
      <c r="B11" s="66" t="s">
        <v>200</v>
      </c>
      <c r="C11" s="68"/>
      <c r="D11" s="302">
        <v>24600</v>
      </c>
    </row>
    <row r="12" spans="1:4">
      <c r="A12" s="77">
        <f>+A11+1</f>
        <v>2</v>
      </c>
      <c r="B12" s="66"/>
      <c r="C12" s="68"/>
      <c r="D12" s="302"/>
    </row>
    <row r="13" spans="1:4">
      <c r="A13" s="77">
        <f t="shared" ref="A13:A15" si="0">+A12+1</f>
        <v>3</v>
      </c>
      <c r="B13" s="66" t="s">
        <v>122</v>
      </c>
      <c r="C13" s="66"/>
      <c r="D13" s="302">
        <v>0</v>
      </c>
    </row>
    <row r="14" spans="1:4">
      <c r="A14" s="77">
        <f t="shared" si="0"/>
        <v>4</v>
      </c>
      <c r="B14" s="66"/>
      <c r="C14" s="66"/>
      <c r="D14" s="303"/>
    </row>
    <row r="15" spans="1:4">
      <c r="A15" s="77">
        <f t="shared" si="0"/>
        <v>5</v>
      </c>
      <c r="B15" s="66" t="s">
        <v>283</v>
      </c>
      <c r="C15" s="66"/>
      <c r="D15" s="304">
        <f>+D13-D11</f>
        <v>-24600</v>
      </c>
    </row>
    <row r="17" spans="2:4">
      <c r="B17" s="66" t="s">
        <v>526</v>
      </c>
      <c r="C17" s="66"/>
      <c r="D17" s="312"/>
    </row>
    <row r="18" spans="2:4">
      <c r="C18" s="66"/>
      <c r="D18" s="312"/>
    </row>
    <row r="19" spans="2:4">
      <c r="C19" s="66"/>
      <c r="D19" s="312"/>
    </row>
    <row r="20" spans="2:4">
      <c r="C20" s="66"/>
      <c r="D20" s="312"/>
    </row>
    <row r="21" spans="2:4">
      <c r="C21" s="66"/>
      <c r="D21" s="312"/>
    </row>
    <row r="22" spans="2:4">
      <c r="C22" s="66"/>
      <c r="D22" s="312"/>
    </row>
    <row r="23" spans="2:4">
      <c r="C23" s="66"/>
      <c r="D23" s="66"/>
    </row>
  </sheetData>
  <mergeCells count="4">
    <mergeCell ref="B2:D2"/>
    <mergeCell ref="A4:D4"/>
    <mergeCell ref="A5:D5"/>
    <mergeCell ref="A7:D7"/>
  </mergeCells>
  <pageMargins left="0.7" right="0.7" top="0.75" bottom="0.75" header="0.3" footer="0.3"/>
  <pageSetup orientation="portrait" r:id="rId1"/>
  <ignoredErrors>
    <ignoredError sqref="D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view="pageBreakPreview" topLeftCell="A6" zoomScaleNormal="100" zoomScaleSheetLayoutView="100" workbookViewId="0">
      <selection activeCell="E19" sqref="E19"/>
    </sheetView>
  </sheetViews>
  <sheetFormatPr defaultColWidth="9.1796875" defaultRowHeight="12.5"/>
  <cols>
    <col min="1" max="1" width="3.54296875" style="66" customWidth="1"/>
    <col min="2" max="2" width="9.81640625" style="68" customWidth="1"/>
    <col min="3" max="3" width="27.1796875" style="66" bestFit="1" customWidth="1"/>
    <col min="4" max="4" width="11.7265625" style="66" bestFit="1" customWidth="1"/>
    <col min="5" max="5" width="11.453125" style="66" bestFit="1" customWidth="1"/>
    <col min="6" max="6" width="11.1796875" style="66" customWidth="1"/>
    <col min="7" max="7" width="11.453125" style="66" bestFit="1" customWidth="1"/>
    <col min="8" max="8" width="17.26953125" style="66" customWidth="1"/>
    <col min="9" max="9" width="37.453125" style="66" bestFit="1" customWidth="1"/>
    <col min="10" max="16384" width="9.1796875" style="66"/>
  </cols>
  <sheetData>
    <row r="1" spans="1:7" ht="13">
      <c r="G1" s="163" t="str">
        <f>+'AG Summary'!D1</f>
        <v>Exhibit JD-1</v>
      </c>
    </row>
    <row r="2" spans="1:7" ht="13">
      <c r="A2" s="343" t="str">
        <f>RevReq!A1</f>
        <v>TAYLOR COUNTY RECC</v>
      </c>
      <c r="B2" s="343"/>
      <c r="C2" s="343"/>
      <c r="D2" s="343"/>
      <c r="E2" s="343"/>
      <c r="F2" s="343"/>
      <c r="G2" s="343"/>
    </row>
    <row r="3" spans="1:7" ht="13">
      <c r="A3" s="343" t="s">
        <v>290</v>
      </c>
      <c r="B3" s="343"/>
      <c r="C3" s="343"/>
      <c r="D3" s="343"/>
      <c r="E3" s="343"/>
      <c r="F3" s="343"/>
      <c r="G3" s="343"/>
    </row>
    <row r="5" spans="1:7" ht="47.25" customHeight="1">
      <c r="B5" s="29" t="s">
        <v>467</v>
      </c>
      <c r="C5" s="152" t="s">
        <v>125</v>
      </c>
      <c r="D5" s="152" t="s">
        <v>197</v>
      </c>
      <c r="E5" s="152" t="s">
        <v>198</v>
      </c>
      <c r="F5" s="152" t="s">
        <v>291</v>
      </c>
      <c r="G5" s="152" t="s">
        <v>292</v>
      </c>
    </row>
    <row r="6" spans="1:7">
      <c r="B6" s="32" t="s">
        <v>12</v>
      </c>
      <c r="C6" s="33">
        <v>1</v>
      </c>
      <c r="D6" s="33">
        <f>C6+1</f>
        <v>2</v>
      </c>
      <c r="E6" s="33">
        <f>D6+1</f>
        <v>3</v>
      </c>
      <c r="F6" s="33">
        <f>E6+1</f>
        <v>4</v>
      </c>
      <c r="G6" s="33">
        <f>F6+1</f>
        <v>5</v>
      </c>
    </row>
    <row r="7" spans="1:7">
      <c r="B7" s="66"/>
      <c r="C7" s="174"/>
      <c r="D7" s="174"/>
      <c r="E7" s="174"/>
      <c r="F7" s="174"/>
      <c r="G7" s="174"/>
    </row>
    <row r="8" spans="1:7">
      <c r="B8" s="68">
        <v>1.01</v>
      </c>
      <c r="C8" s="66" t="s">
        <v>397</v>
      </c>
      <c r="D8" s="10">
        <f>'1.01 FAC'!F32</f>
        <v>1856811.36</v>
      </c>
      <c r="E8" s="10">
        <f>'1.01 FAC'!H32</f>
        <v>1183126</v>
      </c>
      <c r="F8" s="10"/>
      <c r="G8" s="181">
        <f>D8-E8+F8</f>
        <v>673685.3600000001</v>
      </c>
    </row>
    <row r="9" spans="1:7">
      <c r="B9" s="68">
        <v>1.02</v>
      </c>
      <c r="C9" s="66" t="s">
        <v>204</v>
      </c>
      <c r="D9" s="10">
        <f>'1.02 ES'!F32</f>
        <v>-5909709.5700000003</v>
      </c>
      <c r="E9" s="10">
        <f>'1.02 ES'!H32</f>
        <v>-6012832</v>
      </c>
      <c r="F9" s="10"/>
      <c r="G9" s="181">
        <f t="shared" ref="G9:G30" si="0">D9-E9+F9</f>
        <v>103122.4299999997</v>
      </c>
    </row>
    <row r="10" spans="1:7" ht="14.25" customHeight="1">
      <c r="B10" s="68">
        <v>1.03</v>
      </c>
      <c r="C10" s="66" t="s">
        <v>206</v>
      </c>
      <c r="D10" s="10"/>
      <c r="E10" s="10">
        <f>'1.03 Int Exp'!F40</f>
        <v>832894.85624040011</v>
      </c>
      <c r="F10" s="10"/>
      <c r="G10" s="181">
        <f t="shared" si="0"/>
        <v>-832894.85624040011</v>
      </c>
    </row>
    <row r="11" spans="1:7">
      <c r="B11" s="68">
        <v>1.04</v>
      </c>
      <c r="C11" s="66" t="s">
        <v>297</v>
      </c>
      <c r="D11" s="10"/>
      <c r="E11" s="10">
        <f>'1.04 Depr'!J46</f>
        <v>326283.43999999977</v>
      </c>
      <c r="F11" s="10"/>
      <c r="G11" s="181">
        <f t="shared" si="0"/>
        <v>-326283.43999999977</v>
      </c>
    </row>
    <row r="12" spans="1:7">
      <c r="B12" s="68">
        <v>1.05</v>
      </c>
      <c r="C12" s="66" t="s">
        <v>299</v>
      </c>
      <c r="D12" s="10"/>
      <c r="E12" s="10">
        <f>'1.05 ROW'!C15</f>
        <v>1639829</v>
      </c>
      <c r="F12" s="10"/>
      <c r="G12" s="181">
        <f t="shared" si="0"/>
        <v>-1639829</v>
      </c>
    </row>
    <row r="13" spans="1:7">
      <c r="B13" s="68">
        <v>1.06</v>
      </c>
      <c r="C13" s="66" t="s">
        <v>296</v>
      </c>
      <c r="D13" s="10">
        <f>'1.06 YearEndCust'!F48</f>
        <v>251962.08</v>
      </c>
      <c r="E13" s="10">
        <f>'1.06 YearEndCust'!G48</f>
        <v>202500.31</v>
      </c>
      <c r="F13" s="10"/>
      <c r="G13" s="181">
        <f t="shared" si="0"/>
        <v>49461.76999999999</v>
      </c>
    </row>
    <row r="14" spans="1:7">
      <c r="B14" s="68">
        <v>1.07</v>
      </c>
      <c r="C14" s="66" t="s">
        <v>282</v>
      </c>
      <c r="D14" s="10"/>
      <c r="E14" s="10">
        <f>'1.07 FEMA'!D18</f>
        <v>-66196.37</v>
      </c>
      <c r="F14" s="10"/>
      <c r="G14" s="181">
        <f t="shared" si="0"/>
        <v>66196.37</v>
      </c>
    </row>
    <row r="15" spans="1:7">
      <c r="B15" s="68">
        <v>1.08</v>
      </c>
      <c r="C15" s="66" t="s">
        <v>293</v>
      </c>
      <c r="D15" s="10"/>
      <c r="E15" s="10">
        <f>'1.08 DonAdsDues'!E26</f>
        <v>-207550.83</v>
      </c>
      <c r="F15" s="10"/>
      <c r="G15" s="181">
        <f t="shared" si="0"/>
        <v>207550.83</v>
      </c>
    </row>
    <row r="16" spans="1:7">
      <c r="B16" s="68">
        <v>1.0900000000000001</v>
      </c>
      <c r="C16" s="2" t="s">
        <v>298</v>
      </c>
      <c r="D16" s="10"/>
      <c r="E16" s="10">
        <f>'1.09 Directors'!K26</f>
        <v>-143879.66999999998</v>
      </c>
      <c r="F16" s="10"/>
      <c r="G16" s="181">
        <f t="shared" si="0"/>
        <v>143879.66999999998</v>
      </c>
    </row>
    <row r="17" spans="2:9">
      <c r="B17" s="307">
        <v>1.1000000000000001</v>
      </c>
      <c r="C17" s="66" t="s">
        <v>56</v>
      </c>
      <c r="D17" s="10"/>
      <c r="E17" s="10">
        <f>'1.10 Wages &amp; Salaries'!R82</f>
        <v>584275.30953596765</v>
      </c>
      <c r="F17" s="10"/>
      <c r="G17" s="181">
        <f>D17-E17+F17</f>
        <v>-584275.30953596765</v>
      </c>
    </row>
    <row r="18" spans="2:9">
      <c r="B18" s="68">
        <v>1.1100000000000001</v>
      </c>
      <c r="C18" s="66" t="s">
        <v>294</v>
      </c>
      <c r="D18" s="10"/>
      <c r="E18" s="10">
        <f>'1.11 401K'!C133</f>
        <v>0</v>
      </c>
      <c r="F18" s="10"/>
      <c r="G18" s="181">
        <f t="shared" si="0"/>
        <v>0</v>
      </c>
    </row>
    <row r="19" spans="2:9">
      <c r="B19" s="68">
        <v>1.1200000000000001</v>
      </c>
      <c r="C19" s="66" t="s">
        <v>300</v>
      </c>
      <c r="D19" s="10"/>
      <c r="E19" s="10">
        <f>'1.12 Health'!J27</f>
        <v>-262273.57000000007</v>
      </c>
      <c r="F19" s="10"/>
      <c r="G19" s="181">
        <f t="shared" si="0"/>
        <v>262273.57000000007</v>
      </c>
    </row>
    <row r="20" spans="2:9">
      <c r="B20" s="68">
        <v>1.1299999999999999</v>
      </c>
      <c r="C20" s="66" t="s">
        <v>295</v>
      </c>
      <c r="D20" s="10"/>
      <c r="E20" s="10">
        <f>'1.13 RateCase'!D26</f>
        <v>26666.67</v>
      </c>
      <c r="F20" s="10"/>
      <c r="G20" s="181">
        <f t="shared" si="0"/>
        <v>-26666.67</v>
      </c>
    </row>
    <row r="21" spans="2:9">
      <c r="B21" s="68">
        <v>1.1399999999999999</v>
      </c>
      <c r="C21" s="66" t="s">
        <v>400</v>
      </c>
      <c r="D21" s="10"/>
      <c r="E21" s="10">
        <f>'1.14 PPP Loan'!E32</f>
        <v>-546054.21000000008</v>
      </c>
      <c r="F21" s="10">
        <f>'1.14 PPP Loan'!F32</f>
        <v>-882873.52</v>
      </c>
      <c r="G21" s="181">
        <f t="shared" si="0"/>
        <v>-336819.30999999994</v>
      </c>
    </row>
    <row r="22" spans="2:9">
      <c r="B22" s="68">
        <v>1.1499999999999999</v>
      </c>
      <c r="C22" s="66" t="s">
        <v>39</v>
      </c>
      <c r="D22" s="10"/>
      <c r="E22" s="10"/>
      <c r="F22" s="10">
        <f>'1.15 GTCC'!D16</f>
        <v>-462219.04</v>
      </c>
      <c r="G22" s="181">
        <f t="shared" si="0"/>
        <v>-462219.04</v>
      </c>
    </row>
    <row r="23" spans="2:9">
      <c r="B23" s="68">
        <v>1.1599999999999999</v>
      </c>
      <c r="C23" s="66" t="s">
        <v>482</v>
      </c>
      <c r="D23" s="10">
        <f>'1.16'!D15</f>
        <v>110351</v>
      </c>
      <c r="E23" s="10"/>
      <c r="F23" s="10"/>
      <c r="G23" s="181">
        <f t="shared" si="0"/>
        <v>110351</v>
      </c>
    </row>
    <row r="24" spans="2:9">
      <c r="B24" s="68">
        <v>1.17</v>
      </c>
      <c r="C24" s="66" t="s">
        <v>497</v>
      </c>
      <c r="D24" s="10"/>
      <c r="E24" s="10">
        <f>'1.17'!D15</f>
        <v>-10915</v>
      </c>
      <c r="F24" s="10"/>
      <c r="G24" s="181">
        <f t="shared" si="0"/>
        <v>10915</v>
      </c>
    </row>
    <row r="25" spans="2:9">
      <c r="B25" s="68">
        <v>1.18</v>
      </c>
      <c r="C25" s="66" t="s">
        <v>510</v>
      </c>
      <c r="D25" s="10"/>
      <c r="E25" s="10">
        <f>'1.18'!D15</f>
        <v>-89613</v>
      </c>
      <c r="F25" s="10"/>
      <c r="G25" s="181">
        <f t="shared" si="0"/>
        <v>89613</v>
      </c>
    </row>
    <row r="26" spans="2:9">
      <c r="B26" s="68">
        <v>1.19</v>
      </c>
      <c r="C26" s="66" t="s">
        <v>500</v>
      </c>
      <c r="D26" s="10"/>
      <c r="E26" s="10">
        <f>'1.19'!D15</f>
        <v>-21948.199999999997</v>
      </c>
      <c r="F26" s="10"/>
      <c r="G26" s="181">
        <f t="shared" si="0"/>
        <v>21948.199999999997</v>
      </c>
    </row>
    <row r="27" spans="2:9">
      <c r="B27" s="307">
        <v>1.2</v>
      </c>
      <c r="C27" s="66" t="s">
        <v>505</v>
      </c>
      <c r="D27" s="10"/>
      <c r="E27" s="10">
        <f>'1.20'!D15</f>
        <v>-24600</v>
      </c>
      <c r="F27" s="10"/>
      <c r="G27" s="181">
        <f t="shared" si="0"/>
        <v>24600</v>
      </c>
    </row>
    <row r="28" spans="2:9">
      <c r="D28" s="10"/>
      <c r="E28" s="10"/>
      <c r="F28" s="10"/>
      <c r="G28" s="131">
        <f t="shared" si="0"/>
        <v>0</v>
      </c>
    </row>
    <row r="29" spans="2:9">
      <c r="D29" s="10"/>
      <c r="E29" s="10"/>
      <c r="F29" s="10"/>
      <c r="G29" s="131">
        <f t="shared" si="0"/>
        <v>0</v>
      </c>
    </row>
    <row r="30" spans="2:9" ht="65.25" customHeight="1">
      <c r="D30" s="10"/>
      <c r="E30" s="10"/>
      <c r="F30" s="10"/>
      <c r="G30" s="131">
        <f t="shared" si="0"/>
        <v>0</v>
      </c>
    </row>
    <row r="31" spans="2:9" s="178" customFormat="1" ht="21.75" customHeight="1" thickBot="1">
      <c r="B31" s="175"/>
      <c r="C31" s="176" t="s">
        <v>66</v>
      </c>
      <c r="D31" s="177">
        <f t="shared" ref="D31:F31" si="1">SUM(D8:D30)</f>
        <v>-3690585.13</v>
      </c>
      <c r="E31" s="177">
        <f t="shared" si="1"/>
        <v>-2590287.2642236329</v>
      </c>
      <c r="F31" s="177">
        <f t="shared" si="1"/>
        <v>-1345092.56</v>
      </c>
      <c r="G31" s="177">
        <f>SUM(G8:G30)</f>
        <v>-2445390.4257763671</v>
      </c>
      <c r="I31" s="179"/>
    </row>
    <row r="32" spans="2:9" ht="13" thickTop="1">
      <c r="D32" s="128"/>
      <c r="E32" s="128"/>
      <c r="F32" s="128"/>
      <c r="G32" s="131"/>
    </row>
    <row r="33" spans="2:7">
      <c r="D33" s="131"/>
      <c r="E33" s="131"/>
      <c r="F33" s="131"/>
      <c r="G33" s="131"/>
    </row>
    <row r="34" spans="2:7">
      <c r="D34" s="131"/>
      <c r="E34" s="131"/>
      <c r="F34" s="131"/>
      <c r="G34" s="131"/>
    </row>
    <row r="35" spans="2:7">
      <c r="B35" s="68" t="s">
        <v>301</v>
      </c>
    </row>
    <row r="36" spans="2:7">
      <c r="C36" s="66" t="s">
        <v>398</v>
      </c>
      <c r="D36" s="131">
        <f>RevReq!D12</f>
        <v>-3690585.13</v>
      </c>
      <c r="E36" s="131">
        <f>RevReq!D30</f>
        <v>-2590287.2642236329</v>
      </c>
      <c r="F36" s="131">
        <f>RevReq!D34+RevReq!D35+RevReq!D36+RevReq!D37+RevReq!D38</f>
        <v>-1345092.56</v>
      </c>
      <c r="G36" s="131">
        <f>RevReq!D40</f>
        <v>-2445390.4257763671</v>
      </c>
    </row>
    <row r="37" spans="2:7" ht="14">
      <c r="C37" s="66" t="s">
        <v>302</v>
      </c>
      <c r="D37" s="218">
        <f>D36-D31</f>
        <v>0</v>
      </c>
      <c r="E37" s="218">
        <f>E36-E31</f>
        <v>0</v>
      </c>
      <c r="F37" s="218">
        <f>F36-F31</f>
        <v>0</v>
      </c>
      <c r="G37" s="218">
        <f>G36-G31</f>
        <v>0</v>
      </c>
    </row>
    <row r="39" spans="2:7">
      <c r="C39" s="66" t="s">
        <v>399</v>
      </c>
      <c r="D39" s="223">
        <f>'Adj IS'!Y13</f>
        <v>-3690585.13</v>
      </c>
      <c r="E39" s="223">
        <f>'Adj IS'!Y32</f>
        <v>-2590287.2642236324</v>
      </c>
      <c r="F39" s="223">
        <f>'Adj IS'!Y41</f>
        <v>-1345092.56</v>
      </c>
      <c r="G39" s="223">
        <f>'Adj IS'!Y43</f>
        <v>-2445390.4257763671</v>
      </c>
    </row>
    <row r="40" spans="2:7" ht="14">
      <c r="C40" s="66" t="s">
        <v>302</v>
      </c>
      <c r="D40" s="218">
        <f>D39-D31</f>
        <v>0</v>
      </c>
      <c r="E40" s="218">
        <f t="shared" ref="E40:G40" si="2">E39-E31</f>
        <v>0</v>
      </c>
      <c r="F40" s="218">
        <f t="shared" si="2"/>
        <v>0</v>
      </c>
      <c r="G40" s="218">
        <f t="shared" si="2"/>
        <v>0</v>
      </c>
    </row>
    <row r="48" spans="2:7">
      <c r="F48" s="180"/>
    </row>
    <row r="50" spans="4:6">
      <c r="D50" s="180"/>
      <c r="E50" s="180"/>
      <c r="F50" s="180"/>
    </row>
    <row r="51" spans="4:6">
      <c r="D51" s="180"/>
      <c r="E51" s="180"/>
      <c r="F51" s="180"/>
    </row>
  </sheetData>
  <mergeCells count="2">
    <mergeCell ref="A2:G2"/>
    <mergeCell ref="A3:G3"/>
  </mergeCells>
  <conditionalFormatting sqref="D37:G37">
    <cfRule type="cellIs" dxfId="15" priority="3" operator="notEqual">
      <formula>0</formula>
    </cfRule>
    <cfRule type="cellIs" dxfId="14" priority="4" operator="equal">
      <formula>0</formula>
    </cfRule>
  </conditionalFormatting>
  <conditionalFormatting sqref="D40:G40">
    <cfRule type="cellIs" dxfId="13" priority="1" operator="notEqual">
      <formula>0</formula>
    </cfRule>
    <cfRule type="cellIs" dxfId="12" priority="2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7"/>
  <sheetViews>
    <sheetView view="pageBreakPreview" zoomScale="60" zoomScaleNormal="100" workbookViewId="0">
      <selection activeCell="F1" sqref="F1"/>
    </sheetView>
  </sheetViews>
  <sheetFormatPr defaultColWidth="9.1796875" defaultRowHeight="14.5"/>
  <cols>
    <col min="1" max="1" width="9.1796875" style="39"/>
    <col min="2" max="2" width="1.54296875" style="39" customWidth="1"/>
    <col min="3" max="3" width="40.26953125" bestFit="1" customWidth="1"/>
    <col min="4" max="4" width="16.26953125" style="203" bestFit="1" customWidth="1"/>
    <col min="5" max="5" width="18.7265625" style="204" bestFit="1" customWidth="1"/>
    <col min="6" max="6" width="17.54296875" bestFit="1" customWidth="1"/>
    <col min="7" max="7" width="4.54296875" customWidth="1"/>
    <col min="8" max="8" width="13.453125" bestFit="1" customWidth="1"/>
    <col min="9" max="9" width="5.81640625" customWidth="1"/>
    <col min="12" max="12" width="16.54296875" customWidth="1"/>
  </cols>
  <sheetData>
    <row r="1" spans="1:7">
      <c r="F1" s="333" t="str">
        <f>+'AG Summary'!D1</f>
        <v>Exhibit JD-1</v>
      </c>
    </row>
    <row r="2" spans="1:7">
      <c r="A2" s="238" t="str">
        <f>RevReq!A1</f>
        <v>TAYLOR COUNTY RECC</v>
      </c>
      <c r="B2" s="238"/>
      <c r="C2" s="238"/>
      <c r="D2" s="238"/>
      <c r="E2" s="238"/>
      <c r="F2" s="238"/>
      <c r="G2" s="92"/>
    </row>
    <row r="3" spans="1:7">
      <c r="A3" s="238" t="s">
        <v>314</v>
      </c>
      <c r="B3" s="238"/>
      <c r="C3" s="238"/>
      <c r="D3" s="238"/>
      <c r="E3" s="238"/>
      <c r="F3" s="238"/>
      <c r="G3" s="92"/>
    </row>
    <row r="4" spans="1:7">
      <c r="A4" s="92"/>
      <c r="B4" s="92"/>
      <c r="C4" s="92"/>
      <c r="D4" s="1"/>
      <c r="E4" s="192"/>
      <c r="F4" s="92"/>
      <c r="G4" s="92"/>
    </row>
    <row r="5" spans="1:7">
      <c r="A5" s="68"/>
      <c r="B5" s="68"/>
      <c r="C5" s="66"/>
      <c r="D5" s="3"/>
      <c r="E5" s="93"/>
      <c r="F5" s="93"/>
      <c r="G5" s="193"/>
    </row>
    <row r="6" spans="1:7">
      <c r="A6" s="93" t="s">
        <v>7</v>
      </c>
      <c r="B6" s="93"/>
      <c r="C6" s="93" t="s">
        <v>8</v>
      </c>
      <c r="D6" s="3" t="s">
        <v>9</v>
      </c>
      <c r="E6" s="194" t="s">
        <v>315</v>
      </c>
      <c r="F6" s="93" t="s">
        <v>316</v>
      </c>
      <c r="G6" s="193"/>
    </row>
    <row r="7" spans="1:7" s="195" customFormat="1">
      <c r="A7" s="6" t="s">
        <v>12</v>
      </c>
      <c r="B7" s="6"/>
      <c r="C7" s="7">
        <v>1</v>
      </c>
      <c r="D7" s="7">
        <f>C7+1</f>
        <v>2</v>
      </c>
      <c r="E7" s="7">
        <f>D7+1</f>
        <v>3</v>
      </c>
      <c r="F7" s="7" t="s">
        <v>13</v>
      </c>
    </row>
    <row r="8" spans="1:7">
      <c r="A8" s="68">
        <v>1</v>
      </c>
      <c r="B8" s="196" t="s">
        <v>317</v>
      </c>
      <c r="C8" s="66"/>
      <c r="D8" s="2"/>
      <c r="E8" s="181"/>
      <c r="F8" s="66"/>
    </row>
    <row r="9" spans="1:7">
      <c r="A9" s="68">
        <f>A8+1</f>
        <v>2</v>
      </c>
      <c r="B9" s="68"/>
      <c r="C9" s="66" t="s">
        <v>318</v>
      </c>
      <c r="D9" s="197">
        <v>102490432.15000001</v>
      </c>
      <c r="E9" s="197">
        <f>'Adj List'!F21</f>
        <v>-882873.52</v>
      </c>
      <c r="F9" s="197">
        <f>D9+E9</f>
        <v>101607558.63000001</v>
      </c>
    </row>
    <row r="10" spans="1:7">
      <c r="A10" s="68">
        <f t="shared" ref="A10:A71" si="0">A9+1</f>
        <v>3</v>
      </c>
      <c r="B10" s="68"/>
      <c r="C10" s="66" t="s">
        <v>319</v>
      </c>
      <c r="D10" s="197">
        <v>348360.18</v>
      </c>
      <c r="E10" s="197">
        <v>0</v>
      </c>
      <c r="F10" s="197">
        <f>D10+E10</f>
        <v>348360.18</v>
      </c>
    </row>
    <row r="11" spans="1:7">
      <c r="A11" s="68">
        <f t="shared" si="0"/>
        <v>4</v>
      </c>
      <c r="B11" s="68"/>
      <c r="C11" s="66" t="s">
        <v>320</v>
      </c>
      <c r="D11" s="197">
        <f>SUM(D9:D10)</f>
        <v>102838792.33000001</v>
      </c>
      <c r="E11" s="197">
        <f>SUM(E9:E10)</f>
        <v>-882873.52</v>
      </c>
      <c r="F11" s="197">
        <f>D11+E11</f>
        <v>101955918.81000002</v>
      </c>
    </row>
    <row r="12" spans="1:7">
      <c r="A12" s="68">
        <f t="shared" si="0"/>
        <v>5</v>
      </c>
      <c r="B12" s="68"/>
      <c r="C12" s="66" t="s">
        <v>321</v>
      </c>
      <c r="D12" s="197">
        <v>38947245.159999996</v>
      </c>
      <c r="E12" s="197">
        <v>0</v>
      </c>
      <c r="F12" s="197">
        <f>D12+E12</f>
        <v>38947245.159999996</v>
      </c>
    </row>
    <row r="13" spans="1:7">
      <c r="A13" s="68">
        <f t="shared" si="0"/>
        <v>6</v>
      </c>
      <c r="B13" s="68"/>
      <c r="C13" s="90" t="s">
        <v>322</v>
      </c>
      <c r="D13" s="198">
        <f>SUM(D11:D11)-D12</f>
        <v>63891547.170000017</v>
      </c>
      <c r="E13" s="198">
        <f t="shared" ref="E13:F13" si="1">SUM(E11:E11)-E12</f>
        <v>-882873.52</v>
      </c>
      <c r="F13" s="198">
        <f t="shared" si="1"/>
        <v>63008673.650000021</v>
      </c>
    </row>
    <row r="14" spans="1:7">
      <c r="A14" s="68">
        <f t="shared" si="0"/>
        <v>7</v>
      </c>
      <c r="B14" s="68"/>
      <c r="C14" s="66"/>
      <c r="D14" s="197"/>
      <c r="E14" s="197"/>
      <c r="F14" s="197"/>
    </row>
    <row r="15" spans="1:7">
      <c r="A15" s="68">
        <f t="shared" si="0"/>
        <v>8</v>
      </c>
      <c r="B15" s="68"/>
      <c r="C15" s="66" t="s">
        <v>323</v>
      </c>
      <c r="D15" s="197">
        <v>0</v>
      </c>
      <c r="E15" s="197">
        <v>0</v>
      </c>
      <c r="F15" s="197">
        <f t="shared" ref="F15:F21" si="2">D15+E15</f>
        <v>0</v>
      </c>
    </row>
    <row r="16" spans="1:7">
      <c r="A16" s="68">
        <f t="shared" si="0"/>
        <v>9</v>
      </c>
      <c r="B16" s="68"/>
      <c r="C16" s="66" t="s">
        <v>324</v>
      </c>
      <c r="D16" s="197">
        <v>31732249.789999999</v>
      </c>
      <c r="E16" s="197">
        <v>0</v>
      </c>
      <c r="F16" s="197">
        <f t="shared" si="2"/>
        <v>31732249.789999999</v>
      </c>
    </row>
    <row r="17" spans="1:6">
      <c r="A17" s="68">
        <f t="shared" si="0"/>
        <v>10</v>
      </c>
      <c r="B17" s="68"/>
      <c r="C17" s="66" t="s">
        <v>325</v>
      </c>
      <c r="D17" s="197">
        <v>226794.23</v>
      </c>
      <c r="E17" s="197">
        <v>0</v>
      </c>
      <c r="F17" s="197">
        <f t="shared" si="2"/>
        <v>226794.23</v>
      </c>
    </row>
    <row r="18" spans="1:6">
      <c r="A18" s="68">
        <f t="shared" si="0"/>
        <v>11</v>
      </c>
      <c r="B18" s="68"/>
      <c r="C18" s="66" t="s">
        <v>326</v>
      </c>
      <c r="D18" s="197">
        <v>1172494.02</v>
      </c>
      <c r="E18" s="197">
        <v>0</v>
      </c>
      <c r="F18" s="197">
        <f t="shared" si="2"/>
        <v>1172494.02</v>
      </c>
    </row>
    <row r="19" spans="1:6">
      <c r="A19" s="68">
        <f t="shared" si="0"/>
        <v>12</v>
      </c>
      <c r="B19" s="68"/>
      <c r="C19" s="66" t="s">
        <v>327</v>
      </c>
      <c r="D19" s="197">
        <v>0</v>
      </c>
      <c r="E19" s="197">
        <v>0</v>
      </c>
      <c r="F19" s="197">
        <f t="shared" si="2"/>
        <v>0</v>
      </c>
    </row>
    <row r="20" spans="1:6">
      <c r="A20" s="68">
        <f t="shared" si="0"/>
        <v>13</v>
      </c>
      <c r="B20" s="68"/>
      <c r="C20" s="66" t="s">
        <v>328</v>
      </c>
      <c r="D20" s="197">
        <v>7400</v>
      </c>
      <c r="E20" s="197">
        <v>0</v>
      </c>
      <c r="F20" s="197">
        <f t="shared" si="2"/>
        <v>7400</v>
      </c>
    </row>
    <row r="21" spans="1:6">
      <c r="A21" s="68">
        <f t="shared" si="0"/>
        <v>14</v>
      </c>
      <c r="B21" s="68"/>
      <c r="C21" s="66" t="s">
        <v>329</v>
      </c>
      <c r="D21" s="197">
        <v>0</v>
      </c>
      <c r="E21" s="197">
        <v>0</v>
      </c>
      <c r="F21" s="197">
        <f t="shared" si="2"/>
        <v>0</v>
      </c>
    </row>
    <row r="22" spans="1:6">
      <c r="A22" s="68">
        <f t="shared" si="0"/>
        <v>15</v>
      </c>
      <c r="B22" s="68"/>
      <c r="C22" s="90" t="s">
        <v>330</v>
      </c>
      <c r="D22" s="198">
        <f>SUM(D15:D21)</f>
        <v>33138938.039999999</v>
      </c>
      <c r="E22" s="198">
        <f t="shared" ref="E22:F22" si="3">SUM(E15:E21)</f>
        <v>0</v>
      </c>
      <c r="F22" s="198">
        <f t="shared" si="3"/>
        <v>33138938.039999999</v>
      </c>
    </row>
    <row r="23" spans="1:6">
      <c r="A23" s="68">
        <f t="shared" si="0"/>
        <v>16</v>
      </c>
      <c r="B23" s="68"/>
      <c r="C23" s="66"/>
      <c r="D23" s="197"/>
      <c r="E23" s="197"/>
      <c r="F23" s="197"/>
    </row>
    <row r="24" spans="1:6">
      <c r="A24" s="68">
        <f t="shared" si="0"/>
        <v>17</v>
      </c>
      <c r="B24" s="68"/>
      <c r="C24" s="66" t="s">
        <v>331</v>
      </c>
      <c r="D24" s="197">
        <v>1588492.76</v>
      </c>
      <c r="E24" s="197">
        <v>0</v>
      </c>
      <c r="F24" s="197">
        <f t="shared" ref="F24:F33" si="4">D24+E24</f>
        <v>1588492.76</v>
      </c>
    </row>
    <row r="25" spans="1:6">
      <c r="A25" s="68">
        <f t="shared" si="0"/>
        <v>18</v>
      </c>
      <c r="B25" s="68"/>
      <c r="C25" s="66" t="s">
        <v>332</v>
      </c>
      <c r="D25" s="197">
        <v>0</v>
      </c>
      <c r="E25" s="197">
        <v>0</v>
      </c>
      <c r="F25" s="197">
        <f t="shared" si="4"/>
        <v>0</v>
      </c>
    </row>
    <row r="26" spans="1:6">
      <c r="A26" s="68">
        <f t="shared" si="0"/>
        <v>19</v>
      </c>
      <c r="B26" s="68"/>
      <c r="C26" s="66" t="s">
        <v>333</v>
      </c>
      <c r="D26" s="197">
        <v>0</v>
      </c>
      <c r="E26" s="197">
        <v>0</v>
      </c>
      <c r="F26" s="197">
        <f t="shared" si="4"/>
        <v>0</v>
      </c>
    </row>
    <row r="27" spans="1:6">
      <c r="A27" s="68">
        <f t="shared" si="0"/>
        <v>20</v>
      </c>
      <c r="B27" s="68"/>
      <c r="C27" s="66" t="s">
        <v>334</v>
      </c>
      <c r="D27" s="197">
        <v>1918072.3</v>
      </c>
      <c r="E27" s="197">
        <v>0</v>
      </c>
      <c r="F27" s="197">
        <f t="shared" si="4"/>
        <v>1918072.3</v>
      </c>
    </row>
    <row r="28" spans="1:6">
      <c r="A28" s="68">
        <f t="shared" si="0"/>
        <v>21</v>
      </c>
      <c r="B28" s="68"/>
      <c r="C28" s="66" t="s">
        <v>335</v>
      </c>
      <c r="D28" s="197">
        <v>599088.82999999996</v>
      </c>
      <c r="E28" s="197">
        <v>0</v>
      </c>
      <c r="F28" s="197">
        <f t="shared" si="4"/>
        <v>599088.82999999996</v>
      </c>
    </row>
    <row r="29" spans="1:6">
      <c r="A29" s="68">
        <f t="shared" si="0"/>
        <v>22</v>
      </c>
      <c r="B29" s="68"/>
      <c r="C29" s="66" t="s">
        <v>336</v>
      </c>
      <c r="D29" s="197">
        <v>124754.68</v>
      </c>
      <c r="E29" s="197">
        <v>0</v>
      </c>
      <c r="F29" s="197">
        <f t="shared" si="4"/>
        <v>124754.68</v>
      </c>
    </row>
    <row r="30" spans="1:6">
      <c r="A30" s="68">
        <f t="shared" si="0"/>
        <v>23</v>
      </c>
      <c r="B30" s="68"/>
      <c r="C30" s="66" t="s">
        <v>337</v>
      </c>
      <c r="D30" s="199">
        <v>0</v>
      </c>
      <c r="E30" s="197">
        <v>0</v>
      </c>
      <c r="F30" s="197">
        <f t="shared" si="4"/>
        <v>0</v>
      </c>
    </row>
    <row r="31" spans="1:6">
      <c r="A31" s="68">
        <f t="shared" si="0"/>
        <v>24</v>
      </c>
      <c r="B31" s="68"/>
      <c r="C31" s="66" t="s">
        <v>338</v>
      </c>
      <c r="D31" s="197">
        <v>906215.97</v>
      </c>
      <c r="E31" s="197">
        <v>0</v>
      </c>
      <c r="F31" s="197">
        <f t="shared" si="4"/>
        <v>906215.97</v>
      </c>
    </row>
    <row r="32" spans="1:6">
      <c r="A32" s="68">
        <f t="shared" si="0"/>
        <v>25</v>
      </c>
      <c r="B32" s="68"/>
      <c r="C32" s="66" t="s">
        <v>339</v>
      </c>
      <c r="D32" s="197">
        <v>263281.39</v>
      </c>
      <c r="E32" s="197">
        <v>0</v>
      </c>
      <c r="F32" s="197">
        <f t="shared" si="4"/>
        <v>263281.39</v>
      </c>
    </row>
    <row r="33" spans="1:6">
      <c r="A33" s="68">
        <f t="shared" si="0"/>
        <v>26</v>
      </c>
      <c r="B33" s="68"/>
      <c r="C33" s="66" t="s">
        <v>340</v>
      </c>
      <c r="D33" s="197">
        <v>0</v>
      </c>
      <c r="E33" s="197">
        <v>0</v>
      </c>
      <c r="F33" s="197">
        <f t="shared" si="4"/>
        <v>0</v>
      </c>
    </row>
    <row r="34" spans="1:6">
      <c r="A34" s="68">
        <f t="shared" si="0"/>
        <v>27</v>
      </c>
      <c r="B34" s="68"/>
      <c r="C34" s="90" t="s">
        <v>341</v>
      </c>
      <c r="D34" s="198">
        <f>SUM(D24:D33)</f>
        <v>5399905.9299999997</v>
      </c>
      <c r="E34" s="198">
        <f>SUM(E24:E33)</f>
        <v>0</v>
      </c>
      <c r="F34" s="198">
        <f>SUM(F24:F33)</f>
        <v>5399905.9299999997</v>
      </c>
    </row>
    <row r="35" spans="1:6">
      <c r="A35" s="68">
        <f t="shared" si="0"/>
        <v>28</v>
      </c>
      <c r="B35" s="68"/>
      <c r="C35" s="66"/>
      <c r="D35" s="197"/>
      <c r="E35" s="197"/>
      <c r="F35" s="197"/>
    </row>
    <row r="36" spans="1:6">
      <c r="A36" s="68">
        <f t="shared" si="0"/>
        <v>29</v>
      </c>
      <c r="B36" s="68"/>
      <c r="C36" s="66" t="s">
        <v>342</v>
      </c>
      <c r="D36" s="197">
        <v>0</v>
      </c>
      <c r="E36" s="197">
        <v>0</v>
      </c>
      <c r="F36" s="197">
        <f>D36+E36</f>
        <v>0</v>
      </c>
    </row>
    <row r="37" spans="1:6">
      <c r="A37" s="68">
        <f t="shared" si="0"/>
        <v>30</v>
      </c>
      <c r="B37" s="68"/>
      <c r="C37" s="66" t="s">
        <v>343</v>
      </c>
      <c r="D37" s="197">
        <v>0</v>
      </c>
      <c r="E37" s="197">
        <v>0</v>
      </c>
      <c r="F37" s="197">
        <f>D37+E37</f>
        <v>0</v>
      </c>
    </row>
    <row r="38" spans="1:6">
      <c r="A38" s="68">
        <f t="shared" si="0"/>
        <v>31</v>
      </c>
      <c r="B38" s="68"/>
      <c r="C38" s="66"/>
      <c r="D38" s="10"/>
      <c r="E38" s="197"/>
      <c r="F38" s="197"/>
    </row>
    <row r="39" spans="1:6" ht="15" thickBot="1">
      <c r="A39" s="68">
        <f>A38+1</f>
        <v>32</v>
      </c>
      <c r="B39" s="68"/>
      <c r="C39" s="82" t="s">
        <v>344</v>
      </c>
      <c r="D39" s="200">
        <f>D37+D36+D34+D22+D13</f>
        <v>102430391.14000002</v>
      </c>
      <c r="E39" s="200">
        <f>E37+E36+E34+E22+E13</f>
        <v>-882873.52</v>
      </c>
      <c r="F39" s="200">
        <f>F37+F36+F34+F22+F13</f>
        <v>101547517.62000002</v>
      </c>
    </row>
    <row r="40" spans="1:6" ht="15" thickTop="1">
      <c r="A40" s="68">
        <f t="shared" si="0"/>
        <v>33</v>
      </c>
      <c r="B40" s="68"/>
      <c r="C40" s="66"/>
      <c r="D40" s="201"/>
      <c r="E40" s="197"/>
      <c r="F40" s="197"/>
    </row>
    <row r="41" spans="1:6">
      <c r="A41" s="68">
        <f t="shared" si="0"/>
        <v>34</v>
      </c>
      <c r="B41" s="202" t="s">
        <v>345</v>
      </c>
      <c r="C41" s="66"/>
      <c r="D41" s="197"/>
      <c r="E41" s="197"/>
      <c r="F41" s="197"/>
    </row>
    <row r="42" spans="1:6">
      <c r="A42" s="68">
        <f t="shared" si="0"/>
        <v>35</v>
      </c>
      <c r="B42" s="68"/>
      <c r="C42" s="66" t="s">
        <v>346</v>
      </c>
      <c r="D42" s="197">
        <v>0</v>
      </c>
      <c r="E42" s="181">
        <v>0</v>
      </c>
      <c r="F42" s="197">
        <f>D42+E42</f>
        <v>0</v>
      </c>
    </row>
    <row r="43" spans="1:6">
      <c r="A43" s="68">
        <f t="shared" si="0"/>
        <v>36</v>
      </c>
      <c r="B43" s="68"/>
      <c r="C43" s="66" t="s">
        <v>347</v>
      </c>
      <c r="D43" s="197">
        <v>62915311.829999998</v>
      </c>
      <c r="E43" s="197">
        <v>0</v>
      </c>
      <c r="F43" s="197">
        <f>D43+E43</f>
        <v>62915311.829999998</v>
      </c>
    </row>
    <row r="44" spans="1:6">
      <c r="A44" s="68"/>
      <c r="B44" s="68"/>
      <c r="C44" s="66" t="s">
        <v>348</v>
      </c>
      <c r="D44" s="197">
        <v>0</v>
      </c>
      <c r="E44" s="197"/>
      <c r="F44" s="197"/>
    </row>
    <row r="45" spans="1:6">
      <c r="A45" s="68">
        <f>A43+1</f>
        <v>37</v>
      </c>
      <c r="B45" s="68"/>
      <c r="C45" s="66" t="s">
        <v>349</v>
      </c>
      <c r="D45" s="197">
        <v>1549.62</v>
      </c>
      <c r="E45" s="197">
        <f>E9</f>
        <v>-882873.52</v>
      </c>
      <c r="F45" s="197">
        <f>D45+E45</f>
        <v>-881323.9</v>
      </c>
    </row>
    <row r="46" spans="1:6">
      <c r="A46" s="68">
        <f t="shared" si="0"/>
        <v>38</v>
      </c>
      <c r="B46" s="68"/>
      <c r="C46" s="66" t="s">
        <v>350</v>
      </c>
      <c r="D46" s="197">
        <v>5448582.8899999997</v>
      </c>
      <c r="E46" s="197">
        <v>0</v>
      </c>
      <c r="F46" s="197">
        <f>D46+E46</f>
        <v>5448582.8899999997</v>
      </c>
    </row>
    <row r="47" spans="1:6">
      <c r="A47" s="68">
        <f t="shared" si="0"/>
        <v>39</v>
      </c>
      <c r="B47" s="68"/>
      <c r="C47" s="66" t="s">
        <v>351</v>
      </c>
      <c r="D47" s="197">
        <v>-1778797.97</v>
      </c>
      <c r="E47" s="197">
        <v>0</v>
      </c>
      <c r="F47" s="197">
        <f>D47+E47</f>
        <v>-1778797.97</v>
      </c>
    </row>
    <row r="48" spans="1:6">
      <c r="A48" s="68">
        <f t="shared" si="0"/>
        <v>40</v>
      </c>
      <c r="B48" s="68"/>
      <c r="C48" s="90" t="s">
        <v>352</v>
      </c>
      <c r="D48" s="198">
        <f>SUM(D42:D47)</f>
        <v>66586646.36999999</v>
      </c>
      <c r="E48" s="198">
        <f>SUM(E42:E47)</f>
        <v>-882873.52</v>
      </c>
      <c r="F48" s="198">
        <f>SUM(F42:F47)</f>
        <v>65703772.849999994</v>
      </c>
    </row>
    <row r="49" spans="1:6">
      <c r="A49" s="68">
        <f t="shared" si="0"/>
        <v>41</v>
      </c>
      <c r="B49" s="68"/>
      <c r="C49" s="66"/>
      <c r="D49" s="197"/>
      <c r="E49" s="197"/>
      <c r="F49" s="197"/>
    </row>
    <row r="50" spans="1:6">
      <c r="A50" s="68">
        <f t="shared" si="0"/>
        <v>42</v>
      </c>
      <c r="B50" s="68"/>
      <c r="C50" s="66" t="s">
        <v>353</v>
      </c>
      <c r="D50" s="201">
        <v>4205665.8600000003</v>
      </c>
      <c r="E50" s="197">
        <v>0</v>
      </c>
      <c r="F50" s="197">
        <f>D50+E50</f>
        <v>4205665.8600000003</v>
      </c>
    </row>
    <row r="51" spans="1:6">
      <c r="A51" s="68">
        <f t="shared" si="0"/>
        <v>43</v>
      </c>
      <c r="B51" s="68"/>
      <c r="C51" s="66" t="s">
        <v>354</v>
      </c>
      <c r="D51" s="201">
        <v>19304048.309999999</v>
      </c>
      <c r="E51" s="197">
        <v>0</v>
      </c>
      <c r="F51" s="197">
        <f>D51+E51</f>
        <v>19304048.309999999</v>
      </c>
    </row>
    <row r="52" spans="1:6">
      <c r="A52" s="68">
        <f t="shared" si="0"/>
        <v>44</v>
      </c>
      <c r="B52" s="68"/>
      <c r="C52" s="66" t="s">
        <v>355</v>
      </c>
      <c r="D52" s="201">
        <v>-6200000</v>
      </c>
      <c r="E52" s="197">
        <v>0</v>
      </c>
      <c r="F52" s="197">
        <f>D52+E52</f>
        <v>-6200000</v>
      </c>
    </row>
    <row r="53" spans="1:6">
      <c r="A53" s="68">
        <f t="shared" si="0"/>
        <v>45</v>
      </c>
      <c r="B53" s="68"/>
      <c r="C53" s="66" t="s">
        <v>356</v>
      </c>
      <c r="D53" s="201">
        <v>8267996.9299999997</v>
      </c>
      <c r="E53" s="197">
        <v>0</v>
      </c>
      <c r="F53" s="197">
        <f>D53+E53</f>
        <v>8267996.9299999997</v>
      </c>
    </row>
    <row r="54" spans="1:6">
      <c r="A54" s="68">
        <f t="shared" si="0"/>
        <v>46</v>
      </c>
      <c r="B54" s="68"/>
      <c r="C54" s="66" t="s">
        <v>369</v>
      </c>
      <c r="D54" s="201">
        <v>-372445.77</v>
      </c>
      <c r="E54" s="197">
        <v>0</v>
      </c>
      <c r="F54" s="197">
        <f>D54+E54</f>
        <v>-372445.77</v>
      </c>
    </row>
    <row r="55" spans="1:6">
      <c r="A55" s="68">
        <f t="shared" si="0"/>
        <v>47</v>
      </c>
      <c r="B55" s="68"/>
      <c r="C55" s="90" t="s">
        <v>357</v>
      </c>
      <c r="D55" s="198">
        <f>SUM(D50:D54)</f>
        <v>25205265.329999998</v>
      </c>
      <c r="E55" s="198">
        <f>SUM(E50:E54)</f>
        <v>0</v>
      </c>
      <c r="F55" s="198">
        <f>SUM(F50:F54)</f>
        <v>25205265.329999998</v>
      </c>
    </row>
    <row r="56" spans="1:6">
      <c r="A56" s="68">
        <f t="shared" si="0"/>
        <v>48</v>
      </c>
      <c r="B56" s="68"/>
      <c r="C56" s="66"/>
      <c r="D56" s="197"/>
      <c r="E56" s="197"/>
      <c r="F56" s="197"/>
    </row>
    <row r="57" spans="1:6">
      <c r="A57" s="68">
        <f t="shared" si="0"/>
        <v>49</v>
      </c>
      <c r="B57" s="68"/>
      <c r="C57" s="66" t="s">
        <v>370</v>
      </c>
      <c r="D57" s="197">
        <v>434888.46</v>
      </c>
      <c r="E57" s="197">
        <v>0</v>
      </c>
      <c r="F57" s="197">
        <f>D57+E57</f>
        <v>434888.46</v>
      </c>
    </row>
    <row r="58" spans="1:6">
      <c r="A58" s="68">
        <f t="shared" si="0"/>
        <v>50</v>
      </c>
      <c r="B58" s="68"/>
      <c r="C58" s="109" t="s">
        <v>358</v>
      </c>
      <c r="D58" s="205">
        <v>5625762.6299999999</v>
      </c>
      <c r="E58" s="205">
        <v>0</v>
      </c>
      <c r="F58" s="205">
        <f>D58+E58</f>
        <v>5625762.6299999999</v>
      </c>
    </row>
    <row r="59" spans="1:6">
      <c r="A59" s="68">
        <f t="shared" si="0"/>
        <v>51</v>
      </c>
      <c r="B59" s="68"/>
      <c r="C59" s="66" t="s">
        <v>371</v>
      </c>
      <c r="D59" s="197">
        <f>SUM(D57:D58)</f>
        <v>6060651.0899999999</v>
      </c>
      <c r="E59" s="197">
        <f t="shared" ref="E59:F59" si="5">SUM(E57:E58)</f>
        <v>0</v>
      </c>
      <c r="F59" s="197">
        <f t="shared" si="5"/>
        <v>6060651.0899999999</v>
      </c>
    </row>
    <row r="60" spans="1:6">
      <c r="A60" s="68">
        <f t="shared" si="0"/>
        <v>52</v>
      </c>
      <c r="B60" s="68"/>
      <c r="C60" s="66"/>
      <c r="D60" s="197"/>
      <c r="E60" s="197"/>
      <c r="F60" s="197"/>
    </row>
    <row r="61" spans="1:6">
      <c r="A61" s="68">
        <f t="shared" si="0"/>
        <v>53</v>
      </c>
      <c r="B61" s="68"/>
      <c r="C61" s="66" t="s">
        <v>359</v>
      </c>
      <c r="D61" s="197">
        <v>1400000</v>
      </c>
      <c r="E61" s="197">
        <v>0</v>
      </c>
      <c r="F61" s="197">
        <f t="shared" ref="F61:F66" si="6">D61+E61</f>
        <v>1400000</v>
      </c>
    </row>
    <row r="62" spans="1:6">
      <c r="A62" s="68">
        <f t="shared" si="0"/>
        <v>54</v>
      </c>
      <c r="B62" s="68"/>
      <c r="C62" s="66" t="s">
        <v>360</v>
      </c>
      <c r="D62" s="197">
        <v>549153</v>
      </c>
      <c r="E62" s="197">
        <v>0</v>
      </c>
      <c r="F62" s="197">
        <f t="shared" si="6"/>
        <v>549153</v>
      </c>
    </row>
    <row r="63" spans="1:6">
      <c r="A63" s="68">
        <f t="shared" si="0"/>
        <v>55</v>
      </c>
      <c r="B63" s="68"/>
      <c r="C63" s="66" t="s">
        <v>361</v>
      </c>
      <c r="D63" s="197">
        <v>1911908.32</v>
      </c>
      <c r="E63" s="197">
        <v>0</v>
      </c>
      <c r="F63" s="197">
        <f t="shared" si="6"/>
        <v>1911908.32</v>
      </c>
    </row>
    <row r="64" spans="1:6">
      <c r="A64" s="68">
        <f t="shared" si="0"/>
        <v>56</v>
      </c>
      <c r="B64" s="68"/>
      <c r="C64" s="66" t="s">
        <v>362</v>
      </c>
      <c r="D64" s="197">
        <v>0</v>
      </c>
      <c r="E64" s="197">
        <v>0</v>
      </c>
      <c r="F64" s="197">
        <f t="shared" si="6"/>
        <v>0</v>
      </c>
    </row>
    <row r="65" spans="1:12">
      <c r="A65" s="68">
        <f t="shared" si="0"/>
        <v>57</v>
      </c>
      <c r="B65" s="68"/>
      <c r="C65" s="66" t="s">
        <v>363</v>
      </c>
      <c r="D65" s="197">
        <v>0</v>
      </c>
      <c r="E65" s="197">
        <v>0</v>
      </c>
      <c r="F65" s="197">
        <f t="shared" si="6"/>
        <v>0</v>
      </c>
    </row>
    <row r="66" spans="1:12">
      <c r="A66" s="68">
        <f t="shared" si="0"/>
        <v>58</v>
      </c>
      <c r="B66" s="68"/>
      <c r="C66" s="66" t="s">
        <v>364</v>
      </c>
      <c r="D66" s="197">
        <v>224448.42</v>
      </c>
      <c r="E66" s="197">
        <v>0</v>
      </c>
      <c r="F66" s="197">
        <f t="shared" si="6"/>
        <v>224448.42</v>
      </c>
    </row>
    <row r="67" spans="1:12">
      <c r="A67" s="68">
        <f t="shared" si="0"/>
        <v>59</v>
      </c>
      <c r="B67" s="68"/>
      <c r="C67" s="90" t="s">
        <v>365</v>
      </c>
      <c r="D67" s="198">
        <f>SUM(D61:D66)</f>
        <v>4085509.74</v>
      </c>
      <c r="E67" s="198">
        <f>SUM(E61:E66)</f>
        <v>0</v>
      </c>
      <c r="F67" s="198">
        <f>SUM(F61:F66)</f>
        <v>4085509.74</v>
      </c>
    </row>
    <row r="68" spans="1:12">
      <c r="A68" s="68">
        <f t="shared" si="0"/>
        <v>60</v>
      </c>
      <c r="B68" s="68"/>
      <c r="C68" s="66"/>
      <c r="D68" s="197"/>
      <c r="E68" s="197"/>
      <c r="F68" s="197"/>
      <c r="K68" s="236" t="s">
        <v>463</v>
      </c>
      <c r="L68" s="236"/>
    </row>
    <row r="69" spans="1:12">
      <c r="A69" s="68">
        <f t="shared" si="0"/>
        <v>61</v>
      </c>
      <c r="B69" s="68"/>
      <c r="C69" s="66" t="s">
        <v>366</v>
      </c>
      <c r="D69" s="197">
        <v>0</v>
      </c>
      <c r="E69" s="197">
        <v>0</v>
      </c>
      <c r="F69" s="197">
        <f>D69+E69</f>
        <v>0</v>
      </c>
      <c r="K69" s="236" t="s">
        <v>464</v>
      </c>
      <c r="L69" s="237">
        <f>F39</f>
        <v>101547517.62000002</v>
      </c>
    </row>
    <row r="70" spans="1:12">
      <c r="A70" s="68">
        <f t="shared" si="0"/>
        <v>62</v>
      </c>
      <c r="B70" s="68"/>
      <c r="C70" s="66" t="s">
        <v>367</v>
      </c>
      <c r="D70" s="197">
        <v>492318.61</v>
      </c>
      <c r="E70" s="197">
        <v>0</v>
      </c>
      <c r="F70" s="197">
        <f>D70+E70</f>
        <v>492318.61</v>
      </c>
      <c r="K70" s="236" t="s">
        <v>465</v>
      </c>
      <c r="L70" s="237">
        <f>F71</f>
        <v>101547517.61999999</v>
      </c>
    </row>
    <row r="71" spans="1:12" ht="15" thickBot="1">
      <c r="A71" s="68">
        <f t="shared" si="0"/>
        <v>63</v>
      </c>
      <c r="B71" s="68"/>
      <c r="C71" s="82" t="s">
        <v>368</v>
      </c>
      <c r="D71" s="200">
        <f>D70+D69+D67+D59+D55+D48</f>
        <v>102430391.13999999</v>
      </c>
      <c r="E71" s="200">
        <f t="shared" ref="E71:F71" si="7">E70+E69+E67+E59+E55+E48</f>
        <v>-882873.52</v>
      </c>
      <c r="F71" s="200">
        <f t="shared" si="7"/>
        <v>101547517.61999999</v>
      </c>
      <c r="K71" s="236" t="s">
        <v>466</v>
      </c>
      <c r="L71" s="237">
        <f>L70-L69</f>
        <v>0</v>
      </c>
    </row>
    <row r="72" spans="1:12" ht="15" thickTop="1">
      <c r="A72" s="68"/>
      <c r="B72" s="68"/>
      <c r="C72" s="66"/>
      <c r="D72" s="197"/>
      <c r="E72" s="197"/>
      <c r="F72" s="197"/>
    </row>
    <row r="73" spans="1:12">
      <c r="A73" s="68"/>
      <c r="B73" s="68"/>
      <c r="C73" s="66"/>
      <c r="D73" s="10"/>
      <c r="E73" s="197"/>
      <c r="F73" s="197"/>
    </row>
    <row r="74" spans="1:12">
      <c r="A74" s="68"/>
      <c r="B74" s="68"/>
      <c r="C74" s="66"/>
      <c r="D74" s="10"/>
      <c r="E74" s="197"/>
      <c r="F74" s="197"/>
    </row>
    <row r="75" spans="1:12">
      <c r="A75" s="68"/>
      <c r="B75" s="68"/>
      <c r="C75" s="66"/>
      <c r="D75" s="10"/>
      <c r="E75" s="197"/>
      <c r="F75" s="197"/>
    </row>
    <row r="76" spans="1:12">
      <c r="A76" s="68"/>
      <c r="B76" s="68"/>
      <c r="C76" s="66"/>
      <c r="D76" s="10"/>
      <c r="E76" s="197"/>
      <c r="F76" s="197"/>
    </row>
    <row r="77" spans="1:12">
      <c r="C77" s="66"/>
      <c r="D77" s="10"/>
      <c r="E77" s="197"/>
      <c r="F77" s="197"/>
    </row>
  </sheetData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ignoredErrors>
    <ignoredError sqref="F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152"/>
  <sheetViews>
    <sheetView view="pageBreakPreview" zoomScale="60" zoomScaleNormal="100" workbookViewId="0">
      <pane xSplit="2" ySplit="7" topLeftCell="C8" activePane="bottomRight" state="frozen"/>
      <selection activeCell="F44" sqref="F44"/>
      <selection pane="topRight" activeCell="F44" sqref="F44"/>
      <selection pane="bottomLeft" activeCell="F44" sqref="F44"/>
      <selection pane="bottomRight" activeCell="W8" sqref="W8"/>
    </sheetView>
  </sheetViews>
  <sheetFormatPr defaultColWidth="12.54296875" defaultRowHeight="14"/>
  <cols>
    <col min="1" max="1" width="6.1796875" style="212" customWidth="1"/>
    <col min="2" max="2" width="33.1796875" style="211" customWidth="1"/>
    <col min="3" max="3" width="12.26953125" style="211" customWidth="1"/>
    <col min="4" max="4" width="15.26953125" style="211" customWidth="1"/>
    <col min="5" max="5" width="10.54296875" style="211" customWidth="1"/>
    <col min="6" max="6" width="14.26953125" style="211" customWidth="1"/>
    <col min="7" max="7" width="12.26953125" style="211" customWidth="1"/>
    <col min="8" max="8" width="13.81640625" style="211" customWidth="1"/>
    <col min="9" max="9" width="11.81640625" style="211" bestFit="1" customWidth="1"/>
    <col min="10" max="10" width="13.1796875" style="211" bestFit="1" customWidth="1"/>
    <col min="11" max="11" width="13" style="211" customWidth="1"/>
    <col min="12" max="12" width="10.7265625" style="211" customWidth="1"/>
    <col min="13" max="13" width="14" style="211" customWidth="1"/>
    <col min="14" max="14" width="11.81640625" style="211" customWidth="1"/>
    <col min="15" max="15" width="11.54296875" style="211" customWidth="1"/>
    <col min="16" max="17" width="11.1796875" style="211" customWidth="1"/>
    <col min="18" max="18" width="14.1796875" style="211" customWidth="1"/>
    <col min="19" max="19" width="4.1796875" style="211" customWidth="1"/>
    <col min="20" max="23" width="11.54296875" style="211" customWidth="1"/>
    <col min="24" max="24" width="6.453125" style="211" customWidth="1"/>
    <col min="25" max="25" width="14.7265625" style="211" bestFit="1" customWidth="1"/>
    <col min="26" max="26" width="3.54296875" style="211" customWidth="1"/>
    <col min="27" max="27" width="15.54296875" style="211" bestFit="1" customWidth="1"/>
    <col min="28" max="28" width="12.7265625" style="211" bestFit="1" customWidth="1"/>
    <col min="29" max="16384" width="12.54296875" style="211"/>
  </cols>
  <sheetData>
    <row r="1" spans="1:38">
      <c r="Y1" s="334" t="str">
        <f>+'AG Summary'!D1</f>
        <v>Exhibit JD-1</v>
      </c>
    </row>
    <row r="2" spans="1:38">
      <c r="A2" s="238" t="str">
        <f>RevReq!A1</f>
        <v>TAYLOR COUNTY RECC</v>
      </c>
      <c r="B2" s="207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9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</row>
    <row r="3" spans="1:38">
      <c r="A3" s="239" t="s">
        <v>372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9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</row>
    <row r="4" spans="1:38" s="212" customFormat="1" ht="29.5" customHeight="1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</row>
    <row r="5" spans="1:38">
      <c r="A5" s="206"/>
      <c r="B5" s="209" t="s">
        <v>373</v>
      </c>
      <c r="C5" s="206">
        <f>'Adj List'!B8</f>
        <v>1.01</v>
      </c>
      <c r="D5" s="206">
        <f>'Adj List'!B9</f>
        <v>1.02</v>
      </c>
      <c r="E5" s="206">
        <f>'Adj List'!B10</f>
        <v>1.03</v>
      </c>
      <c r="F5" s="206">
        <f>'Adj List'!B11</f>
        <v>1.04</v>
      </c>
      <c r="G5" s="206">
        <f>'Adj List'!B12</f>
        <v>1.05</v>
      </c>
      <c r="H5" s="206">
        <f>'Adj List'!B13</f>
        <v>1.06</v>
      </c>
      <c r="I5" s="206">
        <f>'Adj List'!B14</f>
        <v>1.07</v>
      </c>
      <c r="J5" s="206">
        <f>'Adj List'!B15</f>
        <v>1.08</v>
      </c>
      <c r="K5" s="206">
        <f>'Adj List'!B16</f>
        <v>1.0900000000000001</v>
      </c>
      <c r="L5" s="213">
        <f>'Adj List'!B17</f>
        <v>1.1000000000000001</v>
      </c>
      <c r="M5" s="206">
        <f>'Adj List'!B18</f>
        <v>1.1100000000000001</v>
      </c>
      <c r="N5" s="206">
        <f>'Adj List'!B19</f>
        <v>1.1200000000000001</v>
      </c>
      <c r="O5" s="206">
        <f>'Adj List'!B20</f>
        <v>1.1299999999999999</v>
      </c>
      <c r="P5" s="206">
        <f>'Adj List'!B21</f>
        <v>1.1399999999999999</v>
      </c>
      <c r="Q5" s="206">
        <f>'Adj List'!B22</f>
        <v>1.1499999999999999</v>
      </c>
      <c r="R5" s="206">
        <f>'Adj List'!B23</f>
        <v>1.1599999999999999</v>
      </c>
      <c r="S5" s="206"/>
      <c r="T5" s="206">
        <v>1.17</v>
      </c>
      <c r="U5" s="206">
        <v>1.18</v>
      </c>
      <c r="V5" s="206">
        <v>1.19</v>
      </c>
      <c r="W5" s="206">
        <v>1.2</v>
      </c>
      <c r="X5" s="206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</row>
    <row r="6" spans="1:38" ht="9" customHeight="1">
      <c r="A6" s="206"/>
      <c r="B6" s="210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14"/>
      <c r="T6" s="206"/>
      <c r="U6" s="206"/>
      <c r="V6" s="206"/>
      <c r="W6" s="206"/>
      <c r="X6" s="206"/>
      <c r="Y6" s="206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</row>
    <row r="7" spans="1:38" s="217" customFormat="1" ht="59.25" customHeight="1">
      <c r="A7" s="215"/>
      <c r="B7" s="216" t="s">
        <v>374</v>
      </c>
      <c r="C7" s="215" t="str">
        <f>'Adj List'!C8</f>
        <v>Fuel Adjustment Clause</v>
      </c>
      <c r="D7" s="215" t="str">
        <f>'Adj List'!C9</f>
        <v>Environmental Surcharge</v>
      </c>
      <c r="E7" s="215" t="str">
        <f>'Adj List'!C10</f>
        <v>Interest Expense</v>
      </c>
      <c r="F7" s="215" t="str">
        <f>'Adj List'!C11</f>
        <v>Depreciation Normalization</v>
      </c>
      <c r="G7" s="215" t="str">
        <f>'Adj List'!C12</f>
        <v xml:space="preserve">Right of Way </v>
      </c>
      <c r="H7" s="215" t="str">
        <f>'Adj List'!C13</f>
        <v>Year End Customers</v>
      </c>
      <c r="I7" s="215" t="str">
        <f>'Adj List'!C14</f>
        <v>FEMA Credit</v>
      </c>
      <c r="J7" s="215" t="str">
        <f>'Adj List'!C15</f>
        <v>Donations, Promo Ads &amp; Dues</v>
      </c>
      <c r="K7" s="215" t="str">
        <f>'Adj List'!C16</f>
        <v>Directors Expenses</v>
      </c>
      <c r="L7" s="215" t="str">
        <f>'Adj List'!C17</f>
        <v>Wages &amp; Salaries</v>
      </c>
      <c r="M7" s="215" t="str">
        <f>'Adj List'!C18</f>
        <v>401k Contributions</v>
      </c>
      <c r="N7" s="215" t="str">
        <f>'Adj List'!C19</f>
        <v>Health Care Costs</v>
      </c>
      <c r="O7" s="215" t="str">
        <f>'Adj List'!C20</f>
        <v>Rate Case Costs</v>
      </c>
      <c r="P7" s="215" t="str">
        <f>'Adj List'!C21</f>
        <v>SBA/PPP Loan</v>
      </c>
      <c r="Q7" s="215" t="str">
        <f>'Adj List'!C22</f>
        <v>G&amp;T Capital Credits</v>
      </c>
      <c r="R7" s="215" t="str">
        <f>'Adj List'!C23</f>
        <v>Other Revenues</v>
      </c>
      <c r="S7" s="215"/>
      <c r="T7" s="215" t="s">
        <v>490</v>
      </c>
      <c r="U7" s="215" t="s">
        <v>510</v>
      </c>
      <c r="V7" s="215" t="s">
        <v>500</v>
      </c>
      <c r="W7" s="215" t="s">
        <v>520</v>
      </c>
      <c r="X7" s="215"/>
      <c r="Y7" s="215" t="s">
        <v>199</v>
      </c>
      <c r="Z7" s="215"/>
      <c r="AA7" s="215" t="s">
        <v>375</v>
      </c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</row>
    <row r="8" spans="1:38">
      <c r="A8" s="206">
        <v>1</v>
      </c>
      <c r="B8" s="210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0"/>
      <c r="AA8" s="210"/>
      <c r="AB8" s="210"/>
      <c r="AC8" s="218"/>
      <c r="AD8" s="218"/>
      <c r="AE8" s="218"/>
      <c r="AF8" s="218"/>
      <c r="AG8" s="218"/>
      <c r="AH8" s="218"/>
      <c r="AI8" s="218"/>
      <c r="AJ8" s="218"/>
      <c r="AK8" s="218"/>
      <c r="AL8" s="210"/>
    </row>
    <row r="9" spans="1:38">
      <c r="A9" s="206">
        <f t="shared" ref="A9:A43" si="0">(A8+1)</f>
        <v>2</v>
      </c>
      <c r="B9" s="219" t="s">
        <v>376</v>
      </c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0"/>
      <c r="AA9" s="210"/>
      <c r="AB9" s="210"/>
      <c r="AC9" s="218"/>
      <c r="AD9" s="218"/>
      <c r="AE9" s="218"/>
      <c r="AF9" s="218"/>
      <c r="AG9" s="218"/>
      <c r="AH9" s="218"/>
      <c r="AI9" s="218"/>
      <c r="AJ9" s="218"/>
      <c r="AK9" s="218"/>
      <c r="AL9" s="210"/>
    </row>
    <row r="10" spans="1:38">
      <c r="A10" s="206">
        <f t="shared" si="0"/>
        <v>3</v>
      </c>
      <c r="B10" s="210" t="s">
        <v>377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>
        <f>'Adj List'!D23</f>
        <v>110351</v>
      </c>
      <c r="S10" s="220"/>
      <c r="T10" s="220"/>
      <c r="U10" s="220"/>
      <c r="V10" s="220"/>
      <c r="W10" s="220"/>
      <c r="X10" s="220"/>
      <c r="Y10" s="240">
        <f>SUM(C10:X10)</f>
        <v>110351</v>
      </c>
      <c r="Z10" s="210"/>
      <c r="AA10" s="210"/>
      <c r="AB10" s="210"/>
      <c r="AC10" s="218"/>
      <c r="AD10" s="218"/>
      <c r="AE10" s="218"/>
      <c r="AF10" s="218"/>
      <c r="AG10" s="218"/>
      <c r="AH10" s="218"/>
      <c r="AI10" s="218"/>
      <c r="AJ10" s="218"/>
      <c r="AK10" s="218"/>
      <c r="AL10" s="210"/>
    </row>
    <row r="11" spans="1:38">
      <c r="A11" s="206">
        <f t="shared" si="0"/>
        <v>4</v>
      </c>
      <c r="B11" s="210" t="s">
        <v>378</v>
      </c>
      <c r="C11" s="220">
        <f>'Adj List'!D8</f>
        <v>1856811.36</v>
      </c>
      <c r="D11" s="220">
        <f>'Adj List'!D9</f>
        <v>-5909709.5700000003</v>
      </c>
      <c r="E11" s="220"/>
      <c r="F11" s="220"/>
      <c r="G11" s="220"/>
      <c r="H11" s="220">
        <f>'Adj List'!D13</f>
        <v>251962.08</v>
      </c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40">
        <f>SUM(C11:X11)</f>
        <v>-3800936.13</v>
      </c>
      <c r="Z11" s="210"/>
      <c r="AA11" s="220"/>
      <c r="AB11" s="220"/>
      <c r="AC11" s="218"/>
      <c r="AD11" s="218"/>
      <c r="AE11" s="218"/>
      <c r="AF11" s="218"/>
      <c r="AG11" s="218"/>
      <c r="AH11" s="218"/>
      <c r="AI11" s="218"/>
      <c r="AJ11" s="218"/>
      <c r="AK11" s="218"/>
      <c r="AL11" s="210"/>
    </row>
    <row r="12" spans="1:38">
      <c r="A12" s="206">
        <f t="shared" si="0"/>
        <v>5</v>
      </c>
      <c r="B12" s="210" t="s">
        <v>17</v>
      </c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41">
        <f>SUM(C12:X12)</f>
        <v>0</v>
      </c>
      <c r="Z12" s="210"/>
      <c r="AA12" s="210"/>
      <c r="AB12" s="210"/>
      <c r="AC12" s="218"/>
      <c r="AD12" s="218"/>
      <c r="AE12" s="218"/>
      <c r="AF12" s="218"/>
      <c r="AG12" s="218"/>
      <c r="AH12" s="218"/>
      <c r="AI12" s="218"/>
      <c r="AJ12" s="218"/>
      <c r="AK12" s="218"/>
      <c r="AL12" s="210"/>
    </row>
    <row r="13" spans="1:38">
      <c r="A13" s="206">
        <f t="shared" si="0"/>
        <v>6</v>
      </c>
      <c r="B13" s="221" t="s">
        <v>379</v>
      </c>
      <c r="C13" s="242">
        <f t="shared" ref="C13:W13" si="1">SUM(C8:C12)</f>
        <v>1856811.36</v>
      </c>
      <c r="D13" s="242">
        <f t="shared" si="1"/>
        <v>-5909709.5700000003</v>
      </c>
      <c r="E13" s="242">
        <f t="shared" si="1"/>
        <v>0</v>
      </c>
      <c r="F13" s="242">
        <f t="shared" si="1"/>
        <v>0</v>
      </c>
      <c r="G13" s="242">
        <f t="shared" si="1"/>
        <v>0</v>
      </c>
      <c r="H13" s="242">
        <f t="shared" si="1"/>
        <v>251962.08</v>
      </c>
      <c r="I13" s="242">
        <f t="shared" si="1"/>
        <v>0</v>
      </c>
      <c r="J13" s="242">
        <f t="shared" si="1"/>
        <v>0</v>
      </c>
      <c r="K13" s="242">
        <f t="shared" si="1"/>
        <v>0</v>
      </c>
      <c r="L13" s="242">
        <f t="shared" si="1"/>
        <v>0</v>
      </c>
      <c r="M13" s="242">
        <f t="shared" si="1"/>
        <v>0</v>
      </c>
      <c r="N13" s="242">
        <f t="shared" si="1"/>
        <v>0</v>
      </c>
      <c r="O13" s="242">
        <f t="shared" si="1"/>
        <v>0</v>
      </c>
      <c r="P13" s="242">
        <f t="shared" si="1"/>
        <v>0</v>
      </c>
      <c r="Q13" s="242">
        <f t="shared" ref="Q13" si="2">SUM(Q8:Q12)</f>
        <v>0</v>
      </c>
      <c r="R13" s="242">
        <f t="shared" si="1"/>
        <v>110351</v>
      </c>
      <c r="S13" s="242">
        <f t="shared" si="1"/>
        <v>0</v>
      </c>
      <c r="T13" s="242">
        <f t="shared" si="1"/>
        <v>0</v>
      </c>
      <c r="U13" s="242">
        <f t="shared" si="1"/>
        <v>0</v>
      </c>
      <c r="V13" s="242">
        <f t="shared" si="1"/>
        <v>0</v>
      </c>
      <c r="W13" s="242">
        <f t="shared" si="1"/>
        <v>0</v>
      </c>
      <c r="X13" s="242"/>
      <c r="Y13" s="242">
        <f>SUM(C13:X13)</f>
        <v>-3690585.13</v>
      </c>
      <c r="Z13" s="210"/>
      <c r="AA13" s="218">
        <f>'Adj List'!D31-Y13</f>
        <v>0</v>
      </c>
      <c r="AB13" s="210"/>
      <c r="AC13" s="218"/>
      <c r="AD13" s="218"/>
      <c r="AE13" s="218"/>
      <c r="AF13" s="218"/>
      <c r="AG13" s="218"/>
      <c r="AH13" s="218"/>
      <c r="AI13" s="218"/>
      <c r="AJ13" s="218"/>
      <c r="AK13" s="218"/>
      <c r="AL13" s="210"/>
    </row>
    <row r="14" spans="1:38">
      <c r="A14" s="206">
        <f t="shared" si="0"/>
        <v>7</v>
      </c>
      <c r="B14" s="210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10"/>
      <c r="AA14" s="210"/>
      <c r="AB14" s="210"/>
      <c r="AC14" s="218"/>
      <c r="AD14" s="218"/>
      <c r="AE14" s="218"/>
      <c r="AF14" s="218"/>
      <c r="AG14" s="218"/>
      <c r="AH14" s="218"/>
      <c r="AI14" s="218"/>
      <c r="AJ14" s="218"/>
      <c r="AK14" s="218"/>
      <c r="AL14" s="210"/>
    </row>
    <row r="15" spans="1:38">
      <c r="A15" s="206">
        <f t="shared" si="0"/>
        <v>8</v>
      </c>
      <c r="B15" s="219" t="s">
        <v>19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10"/>
      <c r="AA15" s="210"/>
      <c r="AB15" s="210"/>
      <c r="AC15" s="218"/>
      <c r="AD15" s="218"/>
      <c r="AE15" s="218"/>
      <c r="AF15" s="218"/>
      <c r="AG15" s="218"/>
      <c r="AH15" s="218"/>
      <c r="AI15" s="218"/>
      <c r="AJ15" s="218"/>
      <c r="AK15" s="218"/>
      <c r="AL15" s="210"/>
    </row>
    <row r="16" spans="1:38">
      <c r="A16" s="206">
        <f t="shared" si="0"/>
        <v>9</v>
      </c>
      <c r="B16" s="210" t="s">
        <v>20</v>
      </c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>
        <f t="shared" ref="Y16:Y25" si="3">SUM(C16:X16)</f>
        <v>0</v>
      </c>
      <c r="Z16" s="210"/>
      <c r="AA16" s="210"/>
      <c r="AB16" s="210"/>
      <c r="AC16" s="218"/>
      <c r="AD16" s="218"/>
      <c r="AE16" s="218"/>
      <c r="AF16" s="218"/>
      <c r="AG16" s="218"/>
      <c r="AH16" s="218"/>
      <c r="AI16" s="218"/>
      <c r="AJ16" s="218"/>
      <c r="AK16" s="218"/>
      <c r="AL16" s="210"/>
    </row>
    <row r="17" spans="1:38">
      <c r="A17" s="206">
        <f t="shared" si="0"/>
        <v>10</v>
      </c>
      <c r="B17" s="210" t="s">
        <v>380</v>
      </c>
      <c r="C17" s="240"/>
      <c r="D17" s="240"/>
      <c r="E17" s="240"/>
      <c r="F17" s="240"/>
      <c r="G17" s="240"/>
      <c r="H17" s="240">
        <f>'Adj List'!E13</f>
        <v>202500.31</v>
      </c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>
        <f t="shared" si="3"/>
        <v>202500.31</v>
      </c>
      <c r="Z17" s="210"/>
      <c r="AA17" s="210"/>
      <c r="AB17" s="210"/>
      <c r="AC17" s="218"/>
      <c r="AD17" s="218"/>
      <c r="AE17" s="218"/>
      <c r="AF17" s="218"/>
      <c r="AG17" s="218"/>
      <c r="AH17" s="218"/>
      <c r="AI17" s="218"/>
      <c r="AJ17" s="218"/>
      <c r="AK17" s="218"/>
      <c r="AL17" s="210"/>
    </row>
    <row r="18" spans="1:38">
      <c r="A18" s="206">
        <f t="shared" si="0"/>
        <v>11</v>
      </c>
      <c r="B18" s="210" t="s">
        <v>381</v>
      </c>
      <c r="C18" s="240">
        <f>'Adj List'!E8</f>
        <v>1183126</v>
      </c>
      <c r="D18" s="240">
        <f>'Adj List'!E9</f>
        <v>-6012832</v>
      </c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>
        <f t="shared" si="3"/>
        <v>-4829706</v>
      </c>
      <c r="Z18" s="210"/>
      <c r="AA18" s="210"/>
      <c r="AB18" s="210"/>
      <c r="AC18" s="218"/>
      <c r="AD18" s="218"/>
      <c r="AE18" s="218"/>
      <c r="AF18" s="218"/>
      <c r="AG18" s="218"/>
      <c r="AH18" s="218"/>
      <c r="AI18" s="218"/>
      <c r="AJ18" s="218"/>
      <c r="AK18" s="218"/>
      <c r="AL18" s="210"/>
    </row>
    <row r="19" spans="1:38">
      <c r="A19" s="206">
        <f t="shared" si="0"/>
        <v>12</v>
      </c>
      <c r="B19" s="210" t="s">
        <v>382</v>
      </c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>
        <f>'1.14 PPP Loan'!E42</f>
        <v>-187899.07</v>
      </c>
      <c r="Q19" s="240"/>
      <c r="R19" s="240"/>
      <c r="S19" s="240"/>
      <c r="T19" s="240"/>
      <c r="U19" s="240"/>
      <c r="V19" s="240"/>
      <c r="W19" s="240"/>
      <c r="X19" s="240"/>
      <c r="Y19" s="240">
        <f t="shared" si="3"/>
        <v>-187899.07</v>
      </c>
      <c r="Z19" s="210"/>
      <c r="AA19" s="210"/>
      <c r="AB19" s="210"/>
      <c r="AC19" s="218"/>
      <c r="AD19" s="218"/>
      <c r="AE19" s="218"/>
      <c r="AF19" s="218"/>
      <c r="AG19" s="218"/>
      <c r="AH19" s="218"/>
      <c r="AI19" s="218"/>
      <c r="AJ19" s="218"/>
      <c r="AK19" s="218"/>
      <c r="AL19" s="210"/>
    </row>
    <row r="20" spans="1:38">
      <c r="A20" s="206">
        <f t="shared" si="0"/>
        <v>13</v>
      </c>
      <c r="B20" s="210" t="s">
        <v>383</v>
      </c>
      <c r="C20" s="240"/>
      <c r="D20" s="240"/>
      <c r="E20" s="240"/>
      <c r="F20" s="240"/>
      <c r="G20" s="240">
        <f>'Adj List'!E12</f>
        <v>1639829</v>
      </c>
      <c r="H20" s="240"/>
      <c r="I20" s="240">
        <f>'Adj List'!E14</f>
        <v>-66196.37</v>
      </c>
      <c r="J20" s="240"/>
      <c r="K20" s="240"/>
      <c r="L20" s="240"/>
      <c r="M20" s="240"/>
      <c r="N20" s="240"/>
      <c r="O20" s="240"/>
      <c r="P20" s="240">
        <f>'1.14 PPP Loan'!E43</f>
        <v>-136635.84</v>
      </c>
      <c r="Q20" s="240"/>
      <c r="R20" s="240"/>
      <c r="S20" s="240"/>
      <c r="T20" s="240"/>
      <c r="U20" s="240"/>
      <c r="V20" s="240"/>
      <c r="W20" s="240"/>
      <c r="X20" s="240"/>
      <c r="Y20" s="240">
        <f t="shared" si="3"/>
        <v>1436996.7899999998</v>
      </c>
      <c r="Z20" s="210"/>
      <c r="AA20" s="210"/>
      <c r="AB20" s="210"/>
      <c r="AC20" s="218"/>
      <c r="AD20" s="218"/>
      <c r="AE20" s="218"/>
      <c r="AF20" s="218"/>
      <c r="AG20" s="218"/>
      <c r="AH20" s="218"/>
      <c r="AI20" s="218"/>
      <c r="AJ20" s="218"/>
      <c r="AK20" s="218"/>
      <c r="AL20" s="210"/>
    </row>
    <row r="21" spans="1:38">
      <c r="A21" s="206">
        <f t="shared" si="0"/>
        <v>14</v>
      </c>
      <c r="B21" s="210" t="s">
        <v>384</v>
      </c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>
        <f>'1.14 PPP Loan'!E44</f>
        <v>-95553.36</v>
      </c>
      <c r="Q21" s="240"/>
      <c r="R21" s="240"/>
      <c r="S21" s="240"/>
      <c r="T21" s="240"/>
      <c r="U21" s="240"/>
      <c r="V21" s="240"/>
      <c r="W21" s="240"/>
      <c r="X21" s="240"/>
      <c r="Y21" s="240">
        <f t="shared" si="3"/>
        <v>-95553.36</v>
      </c>
      <c r="Z21" s="210"/>
      <c r="AA21" s="210"/>
      <c r="AB21" s="210"/>
      <c r="AC21" s="218"/>
      <c r="AD21" s="218"/>
      <c r="AE21" s="218"/>
      <c r="AF21" s="218"/>
      <c r="AG21" s="218"/>
      <c r="AH21" s="218"/>
      <c r="AI21" s="218"/>
      <c r="AJ21" s="218"/>
      <c r="AK21" s="218"/>
      <c r="AL21" s="210"/>
    </row>
    <row r="22" spans="1:38">
      <c r="A22" s="206">
        <f t="shared" si="0"/>
        <v>15</v>
      </c>
      <c r="B22" s="210" t="s">
        <v>24</v>
      </c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>
        <f>'1.14 PPP Loan'!E45</f>
        <v>-19575.060000000001</v>
      </c>
      <c r="Q22" s="240"/>
      <c r="R22" s="240"/>
      <c r="S22" s="240"/>
      <c r="T22" s="240"/>
      <c r="U22" s="240"/>
      <c r="V22" s="240"/>
      <c r="W22" s="240"/>
      <c r="X22" s="240"/>
      <c r="Y22" s="240">
        <f t="shared" si="3"/>
        <v>-19575.060000000001</v>
      </c>
      <c r="Z22" s="210"/>
      <c r="AA22" s="210"/>
      <c r="AB22" s="210"/>
      <c r="AC22" s="218"/>
      <c r="AD22" s="218"/>
      <c r="AE22" s="218"/>
      <c r="AF22" s="218"/>
      <c r="AG22" s="218"/>
      <c r="AH22" s="218"/>
      <c r="AI22" s="218"/>
      <c r="AJ22" s="218"/>
      <c r="AK22" s="218"/>
      <c r="AL22" s="210"/>
    </row>
    <row r="23" spans="1:38">
      <c r="A23" s="206">
        <f t="shared" si="0"/>
        <v>16</v>
      </c>
      <c r="B23" s="210" t="s">
        <v>385</v>
      </c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>
        <f t="shared" si="3"/>
        <v>0</v>
      </c>
      <c r="Z23" s="210"/>
      <c r="AA23" s="210"/>
      <c r="AB23" s="210"/>
      <c r="AC23" s="218"/>
      <c r="AD23" s="218"/>
      <c r="AE23" s="218"/>
      <c r="AF23" s="218"/>
      <c r="AG23" s="218"/>
      <c r="AH23" s="218"/>
      <c r="AI23" s="218"/>
      <c r="AJ23" s="218"/>
      <c r="AK23" s="218"/>
      <c r="AL23" s="210"/>
    </row>
    <row r="24" spans="1:38">
      <c r="A24" s="206">
        <f t="shared" si="0"/>
        <v>17</v>
      </c>
      <c r="B24" s="210" t="s">
        <v>386</v>
      </c>
      <c r="C24" s="240"/>
      <c r="D24" s="240"/>
      <c r="E24" s="240"/>
      <c r="F24" s="240"/>
      <c r="G24" s="240"/>
      <c r="H24" s="240"/>
      <c r="I24" s="240"/>
      <c r="J24" s="240">
        <f>'Adj List'!E15</f>
        <v>-207550.83</v>
      </c>
      <c r="K24" s="240">
        <f>'Adj List'!E16</f>
        <v>-143879.66999999998</v>
      </c>
      <c r="L24" s="240">
        <f>'Adj List'!E17</f>
        <v>584275.30953596765</v>
      </c>
      <c r="M24" s="240">
        <f>'Adj List'!E18</f>
        <v>0</v>
      </c>
      <c r="N24" s="240">
        <f>'Adj List'!E19</f>
        <v>-262273.57000000007</v>
      </c>
      <c r="O24" s="240">
        <f>'Adj List'!E20</f>
        <v>26666.67</v>
      </c>
      <c r="P24" s="240">
        <f>'1.14 PPP Loan'!E46</f>
        <v>-106390.87999999999</v>
      </c>
      <c r="Q24" s="240"/>
      <c r="R24" s="240"/>
      <c r="S24" s="240"/>
      <c r="T24" s="240">
        <f>'Adj List'!E24</f>
        <v>-10915</v>
      </c>
      <c r="U24" s="240">
        <f>'1.18'!D15</f>
        <v>-89613</v>
      </c>
      <c r="V24" s="240">
        <f>'1.19'!D15</f>
        <v>-21948.199999999997</v>
      </c>
      <c r="W24" s="240">
        <f>'1.20'!D15</f>
        <v>-24600</v>
      </c>
      <c r="X24" s="240"/>
      <c r="Y24" s="240">
        <f t="shared" si="3"/>
        <v>-256229.17046403239</v>
      </c>
      <c r="Z24" s="210"/>
      <c r="AA24" s="210"/>
      <c r="AB24" s="210"/>
      <c r="AC24" s="218"/>
      <c r="AD24" s="218"/>
      <c r="AE24" s="218"/>
      <c r="AF24" s="218"/>
      <c r="AG24" s="218"/>
      <c r="AH24" s="218"/>
      <c r="AI24" s="218"/>
      <c r="AJ24" s="218"/>
      <c r="AK24" s="218"/>
      <c r="AL24" s="210"/>
    </row>
    <row r="25" spans="1:38">
      <c r="A25" s="206">
        <f t="shared" si="0"/>
        <v>18</v>
      </c>
      <c r="B25" s="221" t="s">
        <v>387</v>
      </c>
      <c r="C25" s="242">
        <f t="shared" ref="C25:W25" si="4">SUM(C16:C24)</f>
        <v>1183126</v>
      </c>
      <c r="D25" s="242">
        <f t="shared" si="4"/>
        <v>-6012832</v>
      </c>
      <c r="E25" s="242">
        <f t="shared" si="4"/>
        <v>0</v>
      </c>
      <c r="F25" s="242">
        <f t="shared" si="4"/>
        <v>0</v>
      </c>
      <c r="G25" s="242">
        <f t="shared" si="4"/>
        <v>1639829</v>
      </c>
      <c r="H25" s="242">
        <f t="shared" si="4"/>
        <v>202500.31</v>
      </c>
      <c r="I25" s="242">
        <f t="shared" si="4"/>
        <v>-66196.37</v>
      </c>
      <c r="J25" s="242">
        <f t="shared" si="4"/>
        <v>-207550.83</v>
      </c>
      <c r="K25" s="242">
        <f t="shared" si="4"/>
        <v>-143879.66999999998</v>
      </c>
      <c r="L25" s="242">
        <f t="shared" si="4"/>
        <v>584275.30953596765</v>
      </c>
      <c r="M25" s="242">
        <f t="shared" si="4"/>
        <v>0</v>
      </c>
      <c r="N25" s="242">
        <f t="shared" si="4"/>
        <v>-262273.57000000007</v>
      </c>
      <c r="O25" s="242">
        <f t="shared" si="4"/>
        <v>26666.67</v>
      </c>
      <c r="P25" s="242">
        <f t="shared" si="4"/>
        <v>-546054.21</v>
      </c>
      <c r="Q25" s="242">
        <f t="shared" ref="Q25" si="5">SUM(Q16:Q24)</f>
        <v>0</v>
      </c>
      <c r="R25" s="242">
        <f t="shared" si="4"/>
        <v>0</v>
      </c>
      <c r="S25" s="242">
        <f t="shared" si="4"/>
        <v>0</v>
      </c>
      <c r="T25" s="242">
        <f t="shared" si="4"/>
        <v>-10915</v>
      </c>
      <c r="U25" s="242">
        <f t="shared" si="4"/>
        <v>-89613</v>
      </c>
      <c r="V25" s="242">
        <f t="shared" si="4"/>
        <v>-21948.199999999997</v>
      </c>
      <c r="W25" s="242">
        <f t="shared" si="4"/>
        <v>-24600</v>
      </c>
      <c r="X25" s="242"/>
      <c r="Y25" s="242">
        <f t="shared" si="3"/>
        <v>-3749465.5604640329</v>
      </c>
      <c r="Z25" s="210"/>
      <c r="AA25" s="218"/>
      <c r="AB25" s="210"/>
      <c r="AC25" s="218"/>
      <c r="AD25" s="218"/>
      <c r="AE25" s="218"/>
      <c r="AF25" s="218"/>
      <c r="AG25" s="218"/>
      <c r="AH25" s="218"/>
      <c r="AI25" s="218"/>
      <c r="AJ25" s="218"/>
      <c r="AK25" s="218"/>
      <c r="AL25" s="210"/>
    </row>
    <row r="26" spans="1:38">
      <c r="A26" s="206">
        <f t="shared" si="0"/>
        <v>19</v>
      </c>
      <c r="B26" s="210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10"/>
      <c r="AA26" s="210"/>
      <c r="AB26" s="210"/>
      <c r="AC26" s="218"/>
      <c r="AD26" s="218"/>
      <c r="AE26" s="218"/>
      <c r="AF26" s="218"/>
      <c r="AG26" s="218"/>
      <c r="AH26" s="218"/>
      <c r="AI26" s="218"/>
      <c r="AJ26" s="218"/>
      <c r="AK26" s="218"/>
      <c r="AL26" s="210"/>
    </row>
    <row r="27" spans="1:38">
      <c r="A27" s="206">
        <f t="shared" si="0"/>
        <v>20</v>
      </c>
      <c r="B27" s="210" t="s">
        <v>388</v>
      </c>
      <c r="C27" s="240"/>
      <c r="D27" s="240"/>
      <c r="E27" s="240"/>
      <c r="F27" s="240">
        <f>'Adj List'!E11</f>
        <v>326283.43999999977</v>
      </c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>
        <f t="shared" ref="Y27:Y32" si="6">SUM(C27:X27)</f>
        <v>326283.43999999977</v>
      </c>
      <c r="Z27" s="210"/>
      <c r="AA27" s="210"/>
      <c r="AB27" s="210"/>
      <c r="AC27" s="218"/>
      <c r="AD27" s="218"/>
      <c r="AE27" s="218"/>
      <c r="AF27" s="218"/>
      <c r="AG27" s="218"/>
      <c r="AH27" s="218"/>
      <c r="AI27" s="218"/>
      <c r="AJ27" s="218"/>
      <c r="AK27" s="218"/>
      <c r="AL27" s="210"/>
    </row>
    <row r="28" spans="1:38">
      <c r="A28" s="206">
        <f t="shared" si="0"/>
        <v>21</v>
      </c>
      <c r="B28" s="210" t="s">
        <v>29</v>
      </c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>
        <f t="shared" si="6"/>
        <v>0</v>
      </c>
      <c r="Z28" s="210"/>
      <c r="AA28" s="210"/>
      <c r="AB28" s="210"/>
      <c r="AC28" s="218"/>
      <c r="AD28" s="218"/>
      <c r="AE28" s="218"/>
      <c r="AF28" s="218"/>
      <c r="AG28" s="218"/>
      <c r="AH28" s="218"/>
      <c r="AI28" s="218"/>
      <c r="AJ28" s="218"/>
      <c r="AK28" s="218"/>
      <c r="AL28" s="210"/>
    </row>
    <row r="29" spans="1:38">
      <c r="A29" s="206">
        <f t="shared" si="0"/>
        <v>22</v>
      </c>
      <c r="B29" s="210" t="s">
        <v>389</v>
      </c>
      <c r="C29" s="240"/>
      <c r="D29" s="240"/>
      <c r="E29" s="240">
        <f>'Adj List'!E10</f>
        <v>832894.85624040011</v>
      </c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>
        <f t="shared" si="6"/>
        <v>832894.85624040011</v>
      </c>
      <c r="Z29" s="210"/>
      <c r="AA29" s="210"/>
      <c r="AB29" s="210"/>
      <c r="AC29" s="218"/>
      <c r="AD29" s="218"/>
      <c r="AE29" s="218"/>
      <c r="AF29" s="218"/>
      <c r="AG29" s="218"/>
      <c r="AH29" s="218"/>
      <c r="AI29" s="218"/>
      <c r="AJ29" s="218"/>
      <c r="AK29" s="218"/>
      <c r="AL29" s="210"/>
    </row>
    <row r="30" spans="1:38">
      <c r="A30" s="206">
        <f>(A29+1)</f>
        <v>23</v>
      </c>
      <c r="B30" s="210" t="s">
        <v>390</v>
      </c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>
        <f t="shared" si="6"/>
        <v>0</v>
      </c>
      <c r="Z30" s="210"/>
      <c r="AA30" s="210"/>
      <c r="AB30" s="210"/>
      <c r="AC30" s="218"/>
      <c r="AD30" s="218"/>
      <c r="AE30" s="218"/>
      <c r="AF30" s="218"/>
      <c r="AG30" s="218"/>
      <c r="AH30" s="218"/>
      <c r="AI30" s="218"/>
      <c r="AJ30" s="218"/>
      <c r="AK30" s="218"/>
      <c r="AL30" s="210"/>
    </row>
    <row r="31" spans="1:38">
      <c r="A31" s="206">
        <f>(A30+1)</f>
        <v>24</v>
      </c>
      <c r="B31" s="210" t="s">
        <v>32</v>
      </c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>
        <f t="shared" si="6"/>
        <v>0</v>
      </c>
      <c r="Z31" s="210"/>
      <c r="AA31" s="210"/>
      <c r="AB31" s="210"/>
      <c r="AC31" s="218"/>
      <c r="AD31" s="218"/>
      <c r="AE31" s="218"/>
      <c r="AF31" s="218"/>
      <c r="AG31" s="218"/>
      <c r="AH31" s="218"/>
      <c r="AI31" s="218"/>
      <c r="AJ31" s="218"/>
      <c r="AK31" s="218"/>
      <c r="AL31" s="210"/>
    </row>
    <row r="32" spans="1:38">
      <c r="A32" s="206">
        <f t="shared" si="0"/>
        <v>25</v>
      </c>
      <c r="B32" s="221" t="s">
        <v>33</v>
      </c>
      <c r="C32" s="242">
        <f t="shared" ref="C32:W32" si="7">SUM(C25:C31)</f>
        <v>1183126</v>
      </c>
      <c r="D32" s="242">
        <f t="shared" si="7"/>
        <v>-6012832</v>
      </c>
      <c r="E32" s="242">
        <f t="shared" si="7"/>
        <v>832894.85624040011</v>
      </c>
      <c r="F32" s="242">
        <f t="shared" si="7"/>
        <v>326283.43999999977</v>
      </c>
      <c r="G32" s="242">
        <f t="shared" si="7"/>
        <v>1639829</v>
      </c>
      <c r="H32" s="242">
        <f t="shared" si="7"/>
        <v>202500.31</v>
      </c>
      <c r="I32" s="242">
        <f t="shared" si="7"/>
        <v>-66196.37</v>
      </c>
      <c r="J32" s="242">
        <f t="shared" si="7"/>
        <v>-207550.83</v>
      </c>
      <c r="K32" s="242">
        <f t="shared" si="7"/>
        <v>-143879.66999999998</v>
      </c>
      <c r="L32" s="242">
        <f t="shared" si="7"/>
        <v>584275.30953596765</v>
      </c>
      <c r="M32" s="242">
        <f t="shared" si="7"/>
        <v>0</v>
      </c>
      <c r="N32" s="242">
        <f t="shared" si="7"/>
        <v>-262273.57000000007</v>
      </c>
      <c r="O32" s="242">
        <f t="shared" si="7"/>
        <v>26666.67</v>
      </c>
      <c r="P32" s="242">
        <f t="shared" si="7"/>
        <v>-546054.21</v>
      </c>
      <c r="Q32" s="242">
        <f t="shared" ref="Q32" si="8">SUM(Q25:Q31)</f>
        <v>0</v>
      </c>
      <c r="R32" s="242">
        <f t="shared" si="7"/>
        <v>0</v>
      </c>
      <c r="S32" s="242">
        <f t="shared" si="7"/>
        <v>0</v>
      </c>
      <c r="T32" s="242">
        <f t="shared" si="7"/>
        <v>-10915</v>
      </c>
      <c r="U32" s="242">
        <f t="shared" si="7"/>
        <v>-89613</v>
      </c>
      <c r="V32" s="242">
        <f t="shared" si="7"/>
        <v>-21948.199999999997</v>
      </c>
      <c r="W32" s="242">
        <f t="shared" si="7"/>
        <v>-24600</v>
      </c>
      <c r="X32" s="242"/>
      <c r="Y32" s="242">
        <f t="shared" si="6"/>
        <v>-2590287.2642236324</v>
      </c>
      <c r="Z32" s="210"/>
      <c r="AA32" s="218">
        <f>'Adj List'!E31-Y32</f>
        <v>0</v>
      </c>
      <c r="AB32" s="210"/>
      <c r="AC32" s="218"/>
      <c r="AD32" s="218"/>
      <c r="AE32" s="218"/>
      <c r="AF32" s="218"/>
      <c r="AG32" s="218"/>
      <c r="AH32" s="218"/>
      <c r="AI32" s="218"/>
      <c r="AJ32" s="218"/>
      <c r="AK32" s="218"/>
      <c r="AL32" s="210"/>
    </row>
    <row r="33" spans="1:38">
      <c r="A33" s="206">
        <f t="shared" si="0"/>
        <v>26</v>
      </c>
      <c r="B33" s="210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10"/>
      <c r="AA33" s="210"/>
      <c r="AB33" s="210"/>
      <c r="AC33" s="218"/>
      <c r="AD33" s="218"/>
      <c r="AE33" s="218"/>
      <c r="AF33" s="218"/>
      <c r="AG33" s="218"/>
      <c r="AH33" s="218"/>
      <c r="AI33" s="218"/>
      <c r="AJ33" s="218"/>
      <c r="AK33" s="218"/>
      <c r="AL33" s="210"/>
    </row>
    <row r="34" spans="1:38">
      <c r="A34" s="206">
        <f t="shared" si="0"/>
        <v>27</v>
      </c>
      <c r="B34" s="210" t="s">
        <v>34</v>
      </c>
      <c r="C34" s="240">
        <f t="shared" ref="C34:W34" si="9">(+C13-C32)</f>
        <v>673685.3600000001</v>
      </c>
      <c r="D34" s="240">
        <f t="shared" si="9"/>
        <v>103122.4299999997</v>
      </c>
      <c r="E34" s="240">
        <f t="shared" si="9"/>
        <v>-832894.85624040011</v>
      </c>
      <c r="F34" s="240">
        <f t="shared" si="9"/>
        <v>-326283.43999999977</v>
      </c>
      <c r="G34" s="240">
        <f t="shared" si="9"/>
        <v>-1639829</v>
      </c>
      <c r="H34" s="240">
        <f t="shared" si="9"/>
        <v>49461.76999999999</v>
      </c>
      <c r="I34" s="240">
        <f t="shared" si="9"/>
        <v>66196.37</v>
      </c>
      <c r="J34" s="240">
        <f t="shared" si="9"/>
        <v>207550.83</v>
      </c>
      <c r="K34" s="240">
        <f t="shared" si="9"/>
        <v>143879.66999999998</v>
      </c>
      <c r="L34" s="240">
        <f t="shared" si="9"/>
        <v>-584275.30953596765</v>
      </c>
      <c r="M34" s="240">
        <f t="shared" si="9"/>
        <v>0</v>
      </c>
      <c r="N34" s="240">
        <f t="shared" si="9"/>
        <v>262273.57000000007</v>
      </c>
      <c r="O34" s="240">
        <f t="shared" si="9"/>
        <v>-26666.67</v>
      </c>
      <c r="P34" s="240">
        <f t="shared" si="9"/>
        <v>546054.21</v>
      </c>
      <c r="Q34" s="240">
        <f t="shared" ref="Q34" si="10">(+Q13-Q32)</f>
        <v>0</v>
      </c>
      <c r="R34" s="240">
        <f t="shared" si="9"/>
        <v>110351</v>
      </c>
      <c r="S34" s="240">
        <f t="shared" si="9"/>
        <v>0</v>
      </c>
      <c r="T34" s="240">
        <f t="shared" si="9"/>
        <v>10915</v>
      </c>
      <c r="U34" s="240">
        <f t="shared" si="9"/>
        <v>89613</v>
      </c>
      <c r="V34" s="240">
        <f t="shared" si="9"/>
        <v>21948.199999999997</v>
      </c>
      <c r="W34" s="240">
        <f t="shared" si="9"/>
        <v>24600</v>
      </c>
      <c r="X34" s="240"/>
      <c r="Y34" s="240">
        <f>SUM(C34:X34)</f>
        <v>-1100297.8657763675</v>
      </c>
      <c r="Z34" s="210"/>
      <c r="AA34" s="210"/>
      <c r="AB34" s="210"/>
      <c r="AC34" s="218"/>
      <c r="AD34" s="218"/>
      <c r="AE34" s="218"/>
      <c r="AF34" s="218"/>
      <c r="AG34" s="218"/>
      <c r="AH34" s="218"/>
      <c r="AI34" s="218"/>
      <c r="AJ34" s="218"/>
      <c r="AK34" s="218"/>
      <c r="AL34" s="210"/>
    </row>
    <row r="35" spans="1:38">
      <c r="A35" s="206">
        <f t="shared" si="0"/>
        <v>28</v>
      </c>
      <c r="B35" s="210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10"/>
      <c r="AA35" s="210"/>
      <c r="AB35" s="210"/>
      <c r="AC35" s="218"/>
      <c r="AD35" s="218"/>
      <c r="AE35" s="218"/>
      <c r="AF35" s="218"/>
      <c r="AG35" s="218"/>
      <c r="AH35" s="218"/>
      <c r="AI35" s="218"/>
      <c r="AJ35" s="218"/>
      <c r="AK35" s="218"/>
      <c r="AL35" s="210"/>
    </row>
    <row r="36" spans="1:38">
      <c r="A36" s="206">
        <f t="shared" si="0"/>
        <v>29</v>
      </c>
      <c r="B36" s="210" t="s">
        <v>35</v>
      </c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>
        <f>SUM(C36:X36)</f>
        <v>0</v>
      </c>
      <c r="Z36" s="210"/>
      <c r="AA36" s="210"/>
      <c r="AB36" s="210"/>
      <c r="AC36" s="218"/>
      <c r="AD36" s="218"/>
      <c r="AE36" s="218"/>
      <c r="AF36" s="218"/>
      <c r="AG36" s="218"/>
      <c r="AH36" s="218"/>
      <c r="AI36" s="218"/>
      <c r="AJ36" s="218"/>
      <c r="AK36" s="218"/>
      <c r="AL36" s="210"/>
    </row>
    <row r="37" spans="1:38">
      <c r="A37" s="206">
        <f t="shared" si="0"/>
        <v>30</v>
      </c>
      <c r="B37" s="210" t="s">
        <v>391</v>
      </c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10"/>
      <c r="AA37" s="210"/>
      <c r="AB37" s="210"/>
      <c r="AC37" s="218"/>
      <c r="AD37" s="218"/>
      <c r="AE37" s="218"/>
      <c r="AF37" s="218"/>
      <c r="AG37" s="218"/>
      <c r="AH37" s="218"/>
      <c r="AI37" s="218"/>
      <c r="AJ37" s="218"/>
      <c r="AK37" s="218"/>
      <c r="AL37" s="210"/>
    </row>
    <row r="38" spans="1:38">
      <c r="A38" s="206">
        <f t="shared" si="0"/>
        <v>31</v>
      </c>
      <c r="B38" s="210" t="s">
        <v>38</v>
      </c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>
        <f>'Adj List'!F21</f>
        <v>-882873.52</v>
      </c>
      <c r="Q38" s="240">
        <f>'Adj List'!F22</f>
        <v>-462219.04</v>
      </c>
      <c r="R38" s="240"/>
      <c r="S38" s="240"/>
      <c r="T38" s="240"/>
      <c r="U38" s="240"/>
      <c r="V38" s="240"/>
      <c r="W38" s="240"/>
      <c r="X38" s="240"/>
      <c r="Y38" s="240">
        <f>SUM(C38:X38)</f>
        <v>-1345092.56</v>
      </c>
      <c r="Z38" s="210"/>
      <c r="AA38" s="210"/>
      <c r="AB38" s="210"/>
      <c r="AC38" s="218"/>
      <c r="AD38" s="218"/>
      <c r="AE38" s="218"/>
      <c r="AF38" s="218"/>
      <c r="AG38" s="218"/>
      <c r="AH38" s="218"/>
      <c r="AI38" s="218"/>
      <c r="AJ38" s="218"/>
      <c r="AK38" s="218"/>
      <c r="AL38" s="210"/>
    </row>
    <row r="39" spans="1:38">
      <c r="A39" s="206">
        <f t="shared" si="0"/>
        <v>32</v>
      </c>
      <c r="B39" s="210" t="s">
        <v>39</v>
      </c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>
        <f>SUM(C39:X39)</f>
        <v>0</v>
      </c>
      <c r="Z39" s="210"/>
      <c r="AA39" s="210"/>
      <c r="AB39" s="210"/>
      <c r="AC39" s="218"/>
      <c r="AD39" s="218"/>
      <c r="AE39" s="218"/>
      <c r="AF39" s="218"/>
      <c r="AG39" s="218"/>
      <c r="AH39" s="218"/>
      <c r="AI39" s="218"/>
      <c r="AJ39" s="218"/>
      <c r="AK39" s="218"/>
      <c r="AL39" s="210"/>
    </row>
    <row r="40" spans="1:38">
      <c r="A40" s="206">
        <f t="shared" si="0"/>
        <v>33</v>
      </c>
      <c r="B40" s="210" t="s">
        <v>40</v>
      </c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>
        <f>SUM(C40:X40)</f>
        <v>0</v>
      </c>
      <c r="Z40" s="210"/>
      <c r="AA40" s="210"/>
      <c r="AB40" s="210"/>
      <c r="AC40" s="218"/>
      <c r="AD40" s="218"/>
      <c r="AE40" s="218"/>
      <c r="AF40" s="218"/>
      <c r="AG40" s="218"/>
      <c r="AH40" s="218"/>
      <c r="AI40" s="218"/>
      <c r="AJ40" s="218"/>
      <c r="AK40" s="218"/>
      <c r="AL40" s="210"/>
    </row>
    <row r="41" spans="1:38">
      <c r="A41" s="206">
        <f t="shared" si="0"/>
        <v>34</v>
      </c>
      <c r="B41" s="221" t="s">
        <v>392</v>
      </c>
      <c r="C41" s="242">
        <f t="shared" ref="C41:W41" si="11">SUM(C36:C40)</f>
        <v>0</v>
      </c>
      <c r="D41" s="242">
        <f t="shared" si="11"/>
        <v>0</v>
      </c>
      <c r="E41" s="242">
        <f t="shared" si="11"/>
        <v>0</v>
      </c>
      <c r="F41" s="242">
        <f t="shared" si="11"/>
        <v>0</v>
      </c>
      <c r="G41" s="242">
        <f t="shared" si="11"/>
        <v>0</v>
      </c>
      <c r="H41" s="242">
        <f t="shared" si="11"/>
        <v>0</v>
      </c>
      <c r="I41" s="242">
        <f t="shared" si="11"/>
        <v>0</v>
      </c>
      <c r="J41" s="242">
        <f t="shared" si="11"/>
        <v>0</v>
      </c>
      <c r="K41" s="242">
        <f t="shared" si="11"/>
        <v>0</v>
      </c>
      <c r="L41" s="242">
        <f t="shared" si="11"/>
        <v>0</v>
      </c>
      <c r="M41" s="242">
        <f t="shared" si="11"/>
        <v>0</v>
      </c>
      <c r="N41" s="242">
        <f t="shared" si="11"/>
        <v>0</v>
      </c>
      <c r="O41" s="242">
        <f t="shared" si="11"/>
        <v>0</v>
      </c>
      <c r="P41" s="242">
        <f t="shared" si="11"/>
        <v>-882873.52</v>
      </c>
      <c r="Q41" s="242">
        <f t="shared" ref="Q41" si="12">SUM(Q36:Q40)</f>
        <v>-462219.04</v>
      </c>
      <c r="R41" s="242">
        <f t="shared" si="11"/>
        <v>0</v>
      </c>
      <c r="S41" s="242">
        <f t="shared" si="11"/>
        <v>0</v>
      </c>
      <c r="T41" s="242">
        <f t="shared" si="11"/>
        <v>0</v>
      </c>
      <c r="U41" s="242">
        <f t="shared" si="11"/>
        <v>0</v>
      </c>
      <c r="V41" s="242">
        <f t="shared" si="11"/>
        <v>0</v>
      </c>
      <c r="W41" s="242">
        <f t="shared" si="11"/>
        <v>0</v>
      </c>
      <c r="X41" s="242"/>
      <c r="Y41" s="242">
        <f>SUM(C41:X41)</f>
        <v>-1345092.56</v>
      </c>
      <c r="Z41" s="210"/>
      <c r="AA41" s="218">
        <f>'Adj List'!F31-Y41</f>
        <v>0</v>
      </c>
      <c r="AB41" s="210"/>
      <c r="AC41" s="218"/>
      <c r="AD41" s="218"/>
      <c r="AE41" s="218"/>
      <c r="AF41" s="218"/>
      <c r="AG41" s="218"/>
      <c r="AH41" s="218"/>
      <c r="AI41" s="218"/>
      <c r="AJ41" s="218"/>
      <c r="AK41" s="218"/>
      <c r="AL41" s="210"/>
    </row>
    <row r="42" spans="1:38">
      <c r="A42" s="206">
        <f t="shared" si="0"/>
        <v>35</v>
      </c>
      <c r="B42" s="21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10"/>
      <c r="AA42" s="210"/>
      <c r="AB42" s="210"/>
      <c r="AC42" s="218"/>
      <c r="AD42" s="218"/>
      <c r="AE42" s="218"/>
      <c r="AF42" s="218"/>
      <c r="AG42" s="218"/>
      <c r="AH42" s="218"/>
      <c r="AI42" s="218"/>
      <c r="AJ42" s="218"/>
      <c r="AK42" s="218"/>
      <c r="AL42" s="210"/>
    </row>
    <row r="43" spans="1:38" ht="14.5" thickBot="1">
      <c r="A43" s="206">
        <f t="shared" si="0"/>
        <v>36</v>
      </c>
      <c r="B43" s="222" t="s">
        <v>41</v>
      </c>
      <c r="C43" s="244">
        <f t="shared" ref="C43:W43" si="13">+C34+C41</f>
        <v>673685.3600000001</v>
      </c>
      <c r="D43" s="244">
        <f t="shared" si="13"/>
        <v>103122.4299999997</v>
      </c>
      <c r="E43" s="244">
        <f t="shared" si="13"/>
        <v>-832894.85624040011</v>
      </c>
      <c r="F43" s="244">
        <f t="shared" si="13"/>
        <v>-326283.43999999977</v>
      </c>
      <c r="G43" s="244">
        <f t="shared" si="13"/>
        <v>-1639829</v>
      </c>
      <c r="H43" s="244">
        <f t="shared" si="13"/>
        <v>49461.76999999999</v>
      </c>
      <c r="I43" s="244">
        <f t="shared" si="13"/>
        <v>66196.37</v>
      </c>
      <c r="J43" s="244">
        <f t="shared" si="13"/>
        <v>207550.83</v>
      </c>
      <c r="K43" s="244">
        <f t="shared" si="13"/>
        <v>143879.66999999998</v>
      </c>
      <c r="L43" s="244">
        <f t="shared" si="13"/>
        <v>-584275.30953596765</v>
      </c>
      <c r="M43" s="244">
        <f t="shared" si="13"/>
        <v>0</v>
      </c>
      <c r="N43" s="244">
        <f t="shared" si="13"/>
        <v>262273.57000000007</v>
      </c>
      <c r="O43" s="244">
        <f t="shared" si="13"/>
        <v>-26666.67</v>
      </c>
      <c r="P43" s="244">
        <f t="shared" si="13"/>
        <v>-336819.31000000006</v>
      </c>
      <c r="Q43" s="244">
        <f t="shared" ref="Q43" si="14">+Q34+Q41</f>
        <v>-462219.04</v>
      </c>
      <c r="R43" s="244">
        <f t="shared" si="13"/>
        <v>110351</v>
      </c>
      <c r="S43" s="244">
        <f t="shared" si="13"/>
        <v>0</v>
      </c>
      <c r="T43" s="244">
        <f t="shared" si="13"/>
        <v>10915</v>
      </c>
      <c r="U43" s="244">
        <f t="shared" si="13"/>
        <v>89613</v>
      </c>
      <c r="V43" s="244">
        <f t="shared" si="13"/>
        <v>21948.199999999997</v>
      </c>
      <c r="W43" s="244">
        <f t="shared" si="13"/>
        <v>24600</v>
      </c>
      <c r="X43" s="244"/>
      <c r="Y43" s="244">
        <f>SUM(C43:X43)</f>
        <v>-2445390.4257763671</v>
      </c>
      <c r="Z43" s="210"/>
      <c r="AA43" s="218">
        <f>'Adj List'!G31-Y43</f>
        <v>0</v>
      </c>
      <c r="AB43" s="210"/>
      <c r="AC43" s="218"/>
      <c r="AD43" s="218"/>
      <c r="AE43" s="218"/>
      <c r="AF43" s="218"/>
      <c r="AG43" s="218"/>
      <c r="AH43" s="218"/>
      <c r="AI43" s="218"/>
      <c r="AJ43" s="218"/>
      <c r="AK43" s="218"/>
      <c r="AL43" s="210"/>
    </row>
    <row r="44" spans="1:38" ht="37.15" customHeight="1" thickTop="1">
      <c r="A44" s="206"/>
      <c r="B44" s="21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</row>
    <row r="45" spans="1:38" ht="18" customHeight="1">
      <c r="A45" s="206"/>
      <c r="B45" s="210" t="s">
        <v>393</v>
      </c>
      <c r="C45" s="240">
        <f>C13</f>
        <v>1856811.36</v>
      </c>
      <c r="D45" s="240">
        <f t="shared" ref="D45:T45" si="15">D13</f>
        <v>-5909709.5700000003</v>
      </c>
      <c r="E45" s="240">
        <f t="shared" si="15"/>
        <v>0</v>
      </c>
      <c r="F45" s="240">
        <f t="shared" si="15"/>
        <v>0</v>
      </c>
      <c r="G45" s="240">
        <f t="shared" si="15"/>
        <v>0</v>
      </c>
      <c r="H45" s="240">
        <f t="shared" si="15"/>
        <v>251962.08</v>
      </c>
      <c r="I45" s="240">
        <f t="shared" si="15"/>
        <v>0</v>
      </c>
      <c r="J45" s="240">
        <f t="shared" si="15"/>
        <v>0</v>
      </c>
      <c r="K45" s="240">
        <f t="shared" si="15"/>
        <v>0</v>
      </c>
      <c r="L45" s="240">
        <f t="shared" si="15"/>
        <v>0</v>
      </c>
      <c r="M45" s="240">
        <f t="shared" si="15"/>
        <v>0</v>
      </c>
      <c r="N45" s="240">
        <f t="shared" si="15"/>
        <v>0</v>
      </c>
      <c r="O45" s="240">
        <f t="shared" si="15"/>
        <v>0</v>
      </c>
      <c r="P45" s="240">
        <f t="shared" si="15"/>
        <v>0</v>
      </c>
      <c r="Q45" s="240">
        <f t="shared" ref="Q45" si="16">Q13</f>
        <v>0</v>
      </c>
      <c r="R45" s="240">
        <f t="shared" si="15"/>
        <v>110351</v>
      </c>
      <c r="S45" s="240">
        <f t="shared" si="15"/>
        <v>0</v>
      </c>
      <c r="T45" s="240">
        <f t="shared" si="15"/>
        <v>0</v>
      </c>
      <c r="U45" s="240"/>
      <c r="V45" s="240"/>
      <c r="W45" s="240"/>
      <c r="X45" s="240"/>
      <c r="Y45" s="240">
        <f>SUM(C45:X45)</f>
        <v>-3690585.13</v>
      </c>
      <c r="Z45" s="210"/>
      <c r="AA45" s="218">
        <f>'Adj List'!D31-Y45</f>
        <v>0</v>
      </c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</row>
    <row r="46" spans="1:38" ht="18" customHeight="1">
      <c r="A46" s="206"/>
      <c r="B46" s="210" t="s">
        <v>394</v>
      </c>
      <c r="C46" s="240">
        <f>C32</f>
        <v>1183126</v>
      </c>
      <c r="D46" s="240">
        <f t="shared" ref="D46:X46" si="17">D32</f>
        <v>-6012832</v>
      </c>
      <c r="E46" s="240">
        <f t="shared" si="17"/>
        <v>832894.85624040011</v>
      </c>
      <c r="F46" s="240">
        <f t="shared" si="17"/>
        <v>326283.43999999977</v>
      </c>
      <c r="G46" s="240">
        <f t="shared" si="17"/>
        <v>1639829</v>
      </c>
      <c r="H46" s="240">
        <f t="shared" si="17"/>
        <v>202500.31</v>
      </c>
      <c r="I46" s="240">
        <f t="shared" si="17"/>
        <v>-66196.37</v>
      </c>
      <c r="J46" s="240">
        <f t="shared" si="17"/>
        <v>-207550.83</v>
      </c>
      <c r="K46" s="240">
        <f t="shared" si="17"/>
        <v>-143879.66999999998</v>
      </c>
      <c r="L46" s="240">
        <f t="shared" si="17"/>
        <v>584275.30953596765</v>
      </c>
      <c r="M46" s="240">
        <f t="shared" si="17"/>
        <v>0</v>
      </c>
      <c r="N46" s="240">
        <f t="shared" si="17"/>
        <v>-262273.57000000007</v>
      </c>
      <c r="O46" s="240">
        <f t="shared" si="17"/>
        <v>26666.67</v>
      </c>
      <c r="P46" s="240">
        <f t="shared" si="17"/>
        <v>-546054.21</v>
      </c>
      <c r="Q46" s="240">
        <f t="shared" si="17"/>
        <v>0</v>
      </c>
      <c r="R46" s="240">
        <f t="shared" si="17"/>
        <v>0</v>
      </c>
      <c r="S46" s="240">
        <f t="shared" si="17"/>
        <v>0</v>
      </c>
      <c r="T46" s="240">
        <f t="shared" si="17"/>
        <v>-10915</v>
      </c>
      <c r="U46" s="240">
        <f t="shared" si="17"/>
        <v>-89613</v>
      </c>
      <c r="V46" s="240">
        <f t="shared" si="17"/>
        <v>-21948.199999999997</v>
      </c>
      <c r="W46" s="240">
        <f t="shared" si="17"/>
        <v>-24600</v>
      </c>
      <c r="X46" s="240">
        <f t="shared" si="17"/>
        <v>0</v>
      </c>
      <c r="Y46" s="240">
        <f>SUM(C46:X46)</f>
        <v>-2590287.2642236324</v>
      </c>
      <c r="Z46" s="210"/>
      <c r="AA46" s="218">
        <f>'Adj List'!E31-Y46</f>
        <v>0</v>
      </c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</row>
    <row r="47" spans="1:38" ht="18" customHeight="1">
      <c r="A47" s="206"/>
      <c r="B47" s="210" t="s">
        <v>395</v>
      </c>
      <c r="C47" s="240">
        <f>C41</f>
        <v>0</v>
      </c>
      <c r="D47" s="240">
        <f t="shared" ref="D47:O47" si="18">D41</f>
        <v>0</v>
      </c>
      <c r="E47" s="240">
        <f t="shared" si="18"/>
        <v>0</v>
      </c>
      <c r="F47" s="240">
        <f t="shared" si="18"/>
        <v>0</v>
      </c>
      <c r="G47" s="240">
        <f t="shared" si="18"/>
        <v>0</v>
      </c>
      <c r="H47" s="240">
        <f t="shared" si="18"/>
        <v>0</v>
      </c>
      <c r="I47" s="240">
        <f t="shared" si="18"/>
        <v>0</v>
      </c>
      <c r="J47" s="240">
        <f t="shared" si="18"/>
        <v>0</v>
      </c>
      <c r="K47" s="240">
        <f t="shared" si="18"/>
        <v>0</v>
      </c>
      <c r="L47" s="240">
        <f t="shared" si="18"/>
        <v>0</v>
      </c>
      <c r="M47" s="240">
        <f t="shared" si="18"/>
        <v>0</v>
      </c>
      <c r="N47" s="240">
        <f t="shared" si="18"/>
        <v>0</v>
      </c>
      <c r="O47" s="240">
        <f t="shared" si="18"/>
        <v>0</v>
      </c>
      <c r="P47" s="240">
        <f>P41</f>
        <v>-882873.52</v>
      </c>
      <c r="Q47" s="240">
        <f>Q41</f>
        <v>-462219.04</v>
      </c>
      <c r="R47" s="240"/>
      <c r="S47" s="240"/>
      <c r="T47" s="240"/>
      <c r="U47" s="240">
        <f t="shared" ref="U47:X47" si="19">U41</f>
        <v>0</v>
      </c>
      <c r="V47" s="240">
        <f t="shared" si="19"/>
        <v>0</v>
      </c>
      <c r="W47" s="240">
        <f t="shared" si="19"/>
        <v>0</v>
      </c>
      <c r="X47" s="240">
        <f t="shared" si="19"/>
        <v>0</v>
      </c>
      <c r="Y47" s="240">
        <f>SUM(C47:X47)</f>
        <v>-1345092.56</v>
      </c>
      <c r="Z47" s="210"/>
      <c r="AA47" s="218">
        <f>'Adj List'!F31-Y47</f>
        <v>0</v>
      </c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</row>
    <row r="48" spans="1:38" ht="18" customHeight="1">
      <c r="A48" s="206"/>
      <c r="B48" s="210" t="s">
        <v>396</v>
      </c>
      <c r="C48" s="240">
        <f>C45-C46+C47</f>
        <v>673685.3600000001</v>
      </c>
      <c r="D48" s="240">
        <f t="shared" ref="D48:P48" si="20">D45-D46+D47</f>
        <v>103122.4299999997</v>
      </c>
      <c r="E48" s="240">
        <f t="shared" si="20"/>
        <v>-832894.85624040011</v>
      </c>
      <c r="F48" s="240">
        <f t="shared" si="20"/>
        <v>-326283.43999999977</v>
      </c>
      <c r="G48" s="240">
        <f t="shared" si="20"/>
        <v>-1639829</v>
      </c>
      <c r="H48" s="240">
        <f t="shared" si="20"/>
        <v>49461.76999999999</v>
      </c>
      <c r="I48" s="240">
        <f t="shared" si="20"/>
        <v>66196.37</v>
      </c>
      <c r="J48" s="240">
        <f t="shared" si="20"/>
        <v>207550.83</v>
      </c>
      <c r="K48" s="240">
        <f t="shared" si="20"/>
        <v>143879.66999999998</v>
      </c>
      <c r="L48" s="240">
        <f t="shared" si="20"/>
        <v>-584275.30953596765</v>
      </c>
      <c r="M48" s="240">
        <f t="shared" si="20"/>
        <v>0</v>
      </c>
      <c r="N48" s="240">
        <f t="shared" si="20"/>
        <v>262273.57000000007</v>
      </c>
      <c r="O48" s="240">
        <f t="shared" si="20"/>
        <v>-26666.67</v>
      </c>
      <c r="P48" s="240">
        <f t="shared" si="20"/>
        <v>-336819.31000000006</v>
      </c>
      <c r="Q48" s="240">
        <f t="shared" ref="Q48" si="21">Q45-Q46+Q47</f>
        <v>-462219.04</v>
      </c>
      <c r="R48" s="240">
        <f t="shared" ref="R48:T48" si="22">R45-R46</f>
        <v>110351</v>
      </c>
      <c r="S48" s="240">
        <f t="shared" si="22"/>
        <v>0</v>
      </c>
      <c r="T48" s="240">
        <f t="shared" si="22"/>
        <v>10915</v>
      </c>
      <c r="U48" s="240">
        <f t="shared" ref="U48:X48" si="23">U45-U46+U47</f>
        <v>89613</v>
      </c>
      <c r="V48" s="240">
        <f t="shared" si="23"/>
        <v>21948.199999999997</v>
      </c>
      <c r="W48" s="240">
        <f t="shared" si="23"/>
        <v>24600</v>
      </c>
      <c r="X48" s="240">
        <f t="shared" si="23"/>
        <v>0</v>
      </c>
      <c r="Y48" s="240">
        <f>SUM(C48:X48)</f>
        <v>-2445390.4257763671</v>
      </c>
      <c r="Z48" s="210"/>
      <c r="AA48" s="218">
        <f>'Adj List'!G31-Y48</f>
        <v>0</v>
      </c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</row>
    <row r="49" spans="1:38" ht="18" customHeight="1">
      <c r="A49" s="206"/>
      <c r="B49" s="210" t="s">
        <v>302</v>
      </c>
      <c r="C49" s="240">
        <f t="shared" ref="C49:Y49" si="24">C48-C43</f>
        <v>0</v>
      </c>
      <c r="D49" s="240">
        <f t="shared" si="24"/>
        <v>0</v>
      </c>
      <c r="E49" s="240">
        <f t="shared" si="24"/>
        <v>0</v>
      </c>
      <c r="F49" s="240">
        <f t="shared" si="24"/>
        <v>0</v>
      </c>
      <c r="G49" s="240">
        <f t="shared" si="24"/>
        <v>0</v>
      </c>
      <c r="H49" s="240">
        <f t="shared" si="24"/>
        <v>0</v>
      </c>
      <c r="I49" s="240">
        <f t="shared" si="24"/>
        <v>0</v>
      </c>
      <c r="J49" s="240">
        <f t="shared" si="24"/>
        <v>0</v>
      </c>
      <c r="K49" s="240">
        <f t="shared" si="24"/>
        <v>0</v>
      </c>
      <c r="L49" s="240">
        <f t="shared" si="24"/>
        <v>0</v>
      </c>
      <c r="M49" s="240">
        <f t="shared" si="24"/>
        <v>0</v>
      </c>
      <c r="N49" s="240">
        <f t="shared" si="24"/>
        <v>0</v>
      </c>
      <c r="O49" s="240">
        <f t="shared" si="24"/>
        <v>0</v>
      </c>
      <c r="P49" s="240">
        <f t="shared" si="24"/>
        <v>0</v>
      </c>
      <c r="Q49" s="240">
        <f t="shared" ref="Q49" si="25">Q48-Q43</f>
        <v>0</v>
      </c>
      <c r="R49" s="240">
        <f t="shared" si="24"/>
        <v>0</v>
      </c>
      <c r="S49" s="240">
        <f t="shared" si="24"/>
        <v>0</v>
      </c>
      <c r="T49" s="240">
        <f t="shared" si="24"/>
        <v>0</v>
      </c>
      <c r="U49" s="240"/>
      <c r="V49" s="240"/>
      <c r="W49" s="240"/>
      <c r="X49" s="240"/>
      <c r="Y49" s="240">
        <f t="shared" si="24"/>
        <v>0</v>
      </c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</row>
    <row r="50" spans="1:38" ht="18" customHeight="1">
      <c r="A50" s="206"/>
      <c r="B50" s="210"/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</row>
    <row r="51" spans="1:38" ht="18" customHeight="1">
      <c r="A51" s="206"/>
      <c r="B51" s="210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</row>
    <row r="52" spans="1:38">
      <c r="A52" s="206"/>
      <c r="B52" s="210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</row>
    <row r="53" spans="1:38">
      <c r="A53" s="206"/>
      <c r="B53" s="210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</row>
    <row r="54" spans="1:38">
      <c r="A54" s="206"/>
      <c r="B54" s="21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</row>
    <row r="55" spans="1:38">
      <c r="A55" s="206"/>
      <c r="B55" s="210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</row>
    <row r="56" spans="1:38">
      <c r="A56" s="206"/>
      <c r="B56" s="210"/>
      <c r="C56" s="240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</row>
    <row r="57" spans="1:38">
      <c r="A57" s="206"/>
      <c r="B57" s="210"/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</row>
    <row r="58" spans="1:38">
      <c r="A58" s="206"/>
      <c r="B58" s="210"/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0"/>
      <c r="AK58" s="210"/>
      <c r="AL58" s="210"/>
    </row>
    <row r="59" spans="1:38">
      <c r="A59" s="206"/>
      <c r="B59" s="21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</row>
    <row r="60" spans="1:38">
      <c r="A60" s="206"/>
      <c r="B60" s="210"/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10"/>
      <c r="AA60" s="210"/>
      <c r="AB60" s="210"/>
      <c r="AC60" s="210"/>
      <c r="AD60" s="210"/>
      <c r="AE60" s="210"/>
      <c r="AF60" s="210"/>
      <c r="AG60" s="210"/>
      <c r="AH60" s="210"/>
      <c r="AI60" s="210"/>
      <c r="AJ60" s="210"/>
      <c r="AK60" s="210"/>
      <c r="AL60" s="210"/>
    </row>
    <row r="61" spans="1:38">
      <c r="A61" s="206"/>
      <c r="B61" s="210"/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</row>
    <row r="62" spans="1:38">
      <c r="A62" s="206"/>
      <c r="B62" s="210"/>
      <c r="C62" s="240"/>
      <c r="D62" s="240"/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0"/>
      <c r="AK62" s="210"/>
      <c r="AL62" s="210"/>
    </row>
    <row r="63" spans="1:38">
      <c r="A63" s="206"/>
      <c r="B63" s="210"/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0"/>
      <c r="X63" s="240"/>
      <c r="Y63" s="24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  <c r="AK63" s="210"/>
      <c r="AL63" s="210"/>
    </row>
    <row r="64" spans="1:38">
      <c r="A64" s="206"/>
      <c r="B64" s="210"/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</row>
    <row r="65" spans="1:38">
      <c r="A65" s="206"/>
      <c r="B65" s="21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0"/>
      <c r="Y65" s="24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</row>
    <row r="66" spans="1:38">
      <c r="A66" s="206"/>
      <c r="B66" s="21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10"/>
      <c r="AK66" s="210"/>
      <c r="AL66" s="210"/>
    </row>
    <row r="67" spans="1:38">
      <c r="A67" s="206"/>
      <c r="B67" s="210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0"/>
      <c r="X67" s="240"/>
      <c r="Y67" s="24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0"/>
      <c r="AK67" s="210"/>
      <c r="AL67" s="210"/>
    </row>
    <row r="68" spans="1:38">
      <c r="A68" s="206"/>
      <c r="B68" s="21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0"/>
      <c r="AK68" s="210"/>
      <c r="AL68" s="210"/>
    </row>
    <row r="69" spans="1:38">
      <c r="A69" s="206"/>
      <c r="B69" s="21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240"/>
      <c r="Y69" s="24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</row>
    <row r="70" spans="1:38">
      <c r="A70" s="206"/>
      <c r="B70" s="210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0"/>
      <c r="X70" s="240"/>
      <c r="Y70" s="24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0"/>
      <c r="AK70" s="210"/>
      <c r="AL70" s="210"/>
    </row>
    <row r="71" spans="1:38">
      <c r="A71" s="206"/>
      <c r="B71" s="210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0"/>
      <c r="X71" s="240"/>
      <c r="Y71" s="24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</row>
    <row r="72" spans="1:38">
      <c r="A72" s="206"/>
      <c r="B72" s="210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10"/>
      <c r="AA72" s="210"/>
      <c r="AB72" s="210"/>
      <c r="AC72" s="210"/>
      <c r="AD72" s="210"/>
      <c r="AE72" s="210"/>
      <c r="AF72" s="210"/>
      <c r="AG72" s="210"/>
      <c r="AH72" s="210"/>
      <c r="AI72" s="210"/>
      <c r="AJ72" s="210"/>
      <c r="AK72" s="210"/>
      <c r="AL72" s="210"/>
    </row>
    <row r="73" spans="1:38">
      <c r="A73" s="206"/>
      <c r="B73" s="210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240"/>
      <c r="Z73" s="210"/>
      <c r="AA73" s="210"/>
      <c r="AB73" s="210"/>
      <c r="AC73" s="210"/>
      <c r="AD73" s="210"/>
      <c r="AE73" s="210"/>
      <c r="AF73" s="210"/>
      <c r="AG73" s="210"/>
      <c r="AH73" s="210"/>
      <c r="AI73" s="210"/>
      <c r="AJ73" s="210"/>
      <c r="AK73" s="210"/>
      <c r="AL73" s="210"/>
    </row>
    <row r="74" spans="1:38">
      <c r="A74" s="206"/>
      <c r="B74" s="210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0"/>
      <c r="AK74" s="210"/>
      <c r="AL74" s="210"/>
    </row>
    <row r="75" spans="1:38">
      <c r="A75" s="206"/>
      <c r="B75" s="210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X75" s="240"/>
      <c r="Y75" s="240"/>
      <c r="Z75" s="210"/>
      <c r="AA75" s="210"/>
      <c r="AB75" s="210"/>
      <c r="AC75" s="210"/>
      <c r="AD75" s="210"/>
      <c r="AE75" s="210"/>
      <c r="AF75" s="210"/>
      <c r="AG75" s="210"/>
      <c r="AH75" s="210"/>
      <c r="AI75" s="210"/>
      <c r="AJ75" s="210"/>
      <c r="AK75" s="210"/>
      <c r="AL75" s="210"/>
    </row>
    <row r="76" spans="1:38">
      <c r="A76" s="206"/>
      <c r="B76" s="210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10"/>
      <c r="AA76" s="210"/>
      <c r="AB76" s="210"/>
      <c r="AC76" s="210"/>
      <c r="AD76" s="210"/>
      <c r="AE76" s="210"/>
      <c r="AF76" s="210"/>
      <c r="AG76" s="210"/>
      <c r="AH76" s="210"/>
      <c r="AI76" s="210"/>
      <c r="AJ76" s="210"/>
      <c r="AK76" s="210"/>
      <c r="AL76" s="210"/>
    </row>
    <row r="77" spans="1:38">
      <c r="A77" s="206"/>
      <c r="B77" s="21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10"/>
      <c r="AA77" s="210"/>
      <c r="AB77" s="210"/>
      <c r="AC77" s="210"/>
      <c r="AD77" s="210"/>
      <c r="AE77" s="210"/>
      <c r="AF77" s="210"/>
      <c r="AG77" s="210"/>
      <c r="AH77" s="210"/>
      <c r="AI77" s="210"/>
      <c r="AJ77" s="210"/>
      <c r="AK77" s="210"/>
      <c r="AL77" s="210"/>
    </row>
    <row r="78" spans="1:38">
      <c r="A78" s="206"/>
      <c r="B78" s="210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10"/>
      <c r="AA78" s="210"/>
      <c r="AB78" s="210"/>
      <c r="AC78" s="210"/>
      <c r="AD78" s="210"/>
      <c r="AE78" s="210"/>
      <c r="AF78" s="210"/>
      <c r="AG78" s="210"/>
      <c r="AH78" s="210"/>
      <c r="AI78" s="210"/>
      <c r="AJ78" s="210"/>
      <c r="AK78" s="210"/>
      <c r="AL78" s="210"/>
    </row>
    <row r="79" spans="1:38">
      <c r="A79" s="206"/>
      <c r="B79" s="210"/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10"/>
      <c r="AA79" s="210"/>
      <c r="AB79" s="210"/>
      <c r="AC79" s="210"/>
      <c r="AD79" s="210"/>
      <c r="AE79" s="210"/>
      <c r="AF79" s="210"/>
      <c r="AG79" s="210"/>
      <c r="AH79" s="210"/>
      <c r="AI79" s="210"/>
      <c r="AJ79" s="210"/>
      <c r="AK79" s="210"/>
      <c r="AL79" s="210"/>
    </row>
    <row r="80" spans="1:38">
      <c r="A80" s="206"/>
      <c r="B80" s="210"/>
      <c r="C80" s="240"/>
      <c r="D80" s="240"/>
      <c r="E80" s="240"/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  <c r="Z80" s="210"/>
      <c r="AA80" s="210"/>
      <c r="AB80" s="210"/>
      <c r="AC80" s="210"/>
      <c r="AD80" s="210"/>
      <c r="AE80" s="210"/>
      <c r="AF80" s="210"/>
      <c r="AG80" s="210"/>
      <c r="AH80" s="210"/>
      <c r="AI80" s="210"/>
      <c r="AJ80" s="210"/>
      <c r="AK80" s="210"/>
      <c r="AL80" s="210"/>
    </row>
    <row r="81" spans="1:38">
      <c r="A81" s="206"/>
      <c r="B81" s="210"/>
      <c r="C81" s="240"/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240"/>
      <c r="Z81" s="210"/>
      <c r="AA81" s="210"/>
      <c r="AB81" s="210"/>
      <c r="AC81" s="210"/>
      <c r="AD81" s="210"/>
      <c r="AE81" s="210"/>
      <c r="AF81" s="210"/>
      <c r="AG81" s="210"/>
      <c r="AH81" s="210"/>
      <c r="AI81" s="210"/>
      <c r="AJ81" s="210"/>
      <c r="AK81" s="210"/>
      <c r="AL81" s="210"/>
    </row>
    <row r="82" spans="1:38">
      <c r="A82" s="206"/>
      <c r="B82" s="210"/>
      <c r="C82" s="240"/>
      <c r="D82" s="240"/>
      <c r="E82" s="240"/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24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</row>
    <row r="83" spans="1:38">
      <c r="A83" s="206"/>
      <c r="B83" s="210"/>
      <c r="C83" s="240"/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240"/>
      <c r="Z83" s="210"/>
      <c r="AA83" s="210"/>
      <c r="AB83" s="210"/>
      <c r="AC83" s="210"/>
      <c r="AD83" s="210"/>
      <c r="AE83" s="210"/>
      <c r="AF83" s="210"/>
      <c r="AG83" s="210"/>
      <c r="AH83" s="210"/>
      <c r="AI83" s="210"/>
      <c r="AJ83" s="210"/>
      <c r="AK83" s="210"/>
      <c r="AL83" s="210"/>
    </row>
    <row r="84" spans="1:38">
      <c r="A84" s="206"/>
      <c r="B84" s="210"/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0"/>
      <c r="Z84" s="210"/>
      <c r="AA84" s="210"/>
      <c r="AB84" s="210"/>
      <c r="AC84" s="210"/>
      <c r="AD84" s="210"/>
      <c r="AE84" s="210"/>
      <c r="AF84" s="210"/>
      <c r="AG84" s="210"/>
      <c r="AH84" s="210"/>
      <c r="AI84" s="210"/>
      <c r="AJ84" s="210"/>
      <c r="AK84" s="210"/>
      <c r="AL84" s="210"/>
    </row>
    <row r="85" spans="1:38">
      <c r="A85" s="206"/>
      <c r="B85" s="210"/>
      <c r="C85" s="240"/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</row>
    <row r="86" spans="1:38">
      <c r="A86" s="206"/>
      <c r="B86" s="210"/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240"/>
      <c r="X86" s="240"/>
      <c r="Y86" s="240"/>
      <c r="Z86" s="210"/>
      <c r="AA86" s="210"/>
      <c r="AB86" s="210"/>
      <c r="AC86" s="210"/>
      <c r="AD86" s="210"/>
      <c r="AE86" s="210"/>
      <c r="AF86" s="210"/>
      <c r="AG86" s="210"/>
      <c r="AH86" s="210"/>
      <c r="AI86" s="210"/>
      <c r="AJ86" s="210"/>
      <c r="AK86" s="210"/>
      <c r="AL86" s="210"/>
    </row>
    <row r="87" spans="1:38">
      <c r="A87" s="206"/>
      <c r="B87" s="210"/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  <c r="Z87" s="210"/>
      <c r="AA87" s="210"/>
      <c r="AB87" s="210"/>
      <c r="AC87" s="210"/>
      <c r="AD87" s="210"/>
      <c r="AE87" s="210"/>
      <c r="AF87" s="210"/>
      <c r="AG87" s="210"/>
      <c r="AH87" s="210"/>
      <c r="AI87" s="210"/>
      <c r="AJ87" s="210"/>
      <c r="AK87" s="210"/>
      <c r="AL87" s="210"/>
    </row>
    <row r="88" spans="1:38">
      <c r="A88" s="206"/>
      <c r="B88" s="210"/>
      <c r="C88" s="240"/>
      <c r="D88" s="240"/>
      <c r="E88" s="240"/>
      <c r="F88" s="240"/>
      <c r="G88" s="240"/>
      <c r="H88" s="240"/>
      <c r="I88" s="240"/>
      <c r="J88" s="240"/>
      <c r="K88" s="240"/>
      <c r="L88" s="240"/>
      <c r="M88" s="240"/>
      <c r="N88" s="240"/>
      <c r="O88" s="240"/>
      <c r="P88" s="240"/>
      <c r="Q88" s="240"/>
      <c r="R88" s="240"/>
      <c r="S88" s="240"/>
      <c r="T88" s="240"/>
      <c r="U88" s="240"/>
      <c r="V88" s="240"/>
      <c r="W88" s="240"/>
      <c r="X88" s="240"/>
      <c r="Y88" s="240"/>
      <c r="Z88" s="210"/>
      <c r="AA88" s="210"/>
      <c r="AB88" s="210"/>
      <c r="AC88" s="210"/>
      <c r="AD88" s="210"/>
      <c r="AE88" s="210"/>
      <c r="AF88" s="210"/>
      <c r="AG88" s="210"/>
      <c r="AH88" s="210"/>
      <c r="AI88" s="210"/>
      <c r="AJ88" s="210"/>
      <c r="AK88" s="210"/>
      <c r="AL88" s="210"/>
    </row>
    <row r="89" spans="1:38">
      <c r="A89" s="206"/>
      <c r="B89" s="210"/>
      <c r="C89" s="240"/>
      <c r="D89" s="240"/>
      <c r="E89" s="240"/>
      <c r="F89" s="240"/>
      <c r="G89" s="240"/>
      <c r="H89" s="240"/>
      <c r="I89" s="240"/>
      <c r="J89" s="240"/>
      <c r="K89" s="240"/>
      <c r="L89" s="240"/>
      <c r="M89" s="240"/>
      <c r="N89" s="240"/>
      <c r="O89" s="240"/>
      <c r="P89" s="240"/>
      <c r="Q89" s="240"/>
      <c r="R89" s="240"/>
      <c r="S89" s="240"/>
      <c r="T89" s="240"/>
      <c r="U89" s="240"/>
      <c r="V89" s="240"/>
      <c r="W89" s="240"/>
      <c r="X89" s="240"/>
      <c r="Y89" s="240"/>
      <c r="Z89" s="210"/>
      <c r="AA89" s="210"/>
      <c r="AB89" s="210"/>
      <c r="AC89" s="210"/>
      <c r="AD89" s="210"/>
      <c r="AE89" s="210"/>
      <c r="AF89" s="210"/>
      <c r="AG89" s="210"/>
      <c r="AH89" s="210"/>
      <c r="AI89" s="210"/>
      <c r="AJ89" s="210"/>
      <c r="AK89" s="210"/>
      <c r="AL89" s="210"/>
    </row>
    <row r="90" spans="1:38">
      <c r="A90" s="206"/>
      <c r="B90" s="210"/>
      <c r="C90" s="240"/>
      <c r="D90" s="240"/>
      <c r="E90" s="240"/>
      <c r="F90" s="240"/>
      <c r="G90" s="240"/>
      <c r="H90" s="240"/>
      <c r="I90" s="240"/>
      <c r="J90" s="240"/>
      <c r="K90" s="240"/>
      <c r="L90" s="240"/>
      <c r="M90" s="240"/>
      <c r="N90" s="240"/>
      <c r="O90" s="240"/>
      <c r="P90" s="240"/>
      <c r="Q90" s="240"/>
      <c r="R90" s="240"/>
      <c r="S90" s="240"/>
      <c r="T90" s="240"/>
      <c r="U90" s="240"/>
      <c r="V90" s="240"/>
      <c r="W90" s="240"/>
      <c r="X90" s="240"/>
      <c r="Y90" s="240"/>
      <c r="Z90" s="210"/>
      <c r="AA90" s="210"/>
      <c r="AB90" s="210"/>
      <c r="AC90" s="210"/>
      <c r="AD90" s="210"/>
      <c r="AE90" s="210"/>
      <c r="AF90" s="210"/>
      <c r="AG90" s="210"/>
      <c r="AH90" s="210"/>
      <c r="AI90" s="210"/>
      <c r="AJ90" s="210"/>
      <c r="AK90" s="210"/>
      <c r="AL90" s="210"/>
    </row>
    <row r="91" spans="1:38">
      <c r="A91" s="206"/>
      <c r="B91" s="210"/>
      <c r="C91" s="240"/>
      <c r="D91" s="240"/>
      <c r="E91" s="240"/>
      <c r="F91" s="240"/>
      <c r="G91" s="240"/>
      <c r="H91" s="240"/>
      <c r="I91" s="240"/>
      <c r="J91" s="240"/>
      <c r="K91" s="240"/>
      <c r="L91" s="240"/>
      <c r="M91" s="240"/>
      <c r="N91" s="240"/>
      <c r="O91" s="240"/>
      <c r="P91" s="240"/>
      <c r="Q91" s="240"/>
      <c r="R91" s="240"/>
      <c r="S91" s="240"/>
      <c r="T91" s="240"/>
      <c r="U91" s="240"/>
      <c r="V91" s="240"/>
      <c r="W91" s="240"/>
      <c r="X91" s="240"/>
      <c r="Y91" s="240"/>
      <c r="Z91" s="210"/>
      <c r="AA91" s="210"/>
      <c r="AB91" s="210"/>
      <c r="AC91" s="210"/>
      <c r="AD91" s="210"/>
      <c r="AE91" s="210"/>
      <c r="AF91" s="210"/>
      <c r="AG91" s="210"/>
      <c r="AH91" s="210"/>
      <c r="AI91" s="210"/>
      <c r="AJ91" s="210"/>
      <c r="AK91" s="210"/>
      <c r="AL91" s="210"/>
    </row>
    <row r="92" spans="1:38">
      <c r="A92" s="206"/>
      <c r="B92" s="210"/>
      <c r="C92" s="240"/>
      <c r="D92" s="240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10"/>
      <c r="AA92" s="210"/>
      <c r="AB92" s="210"/>
      <c r="AC92" s="210"/>
      <c r="AD92" s="210"/>
      <c r="AE92" s="210"/>
      <c r="AF92" s="210"/>
      <c r="AG92" s="210"/>
      <c r="AH92" s="210"/>
      <c r="AI92" s="210"/>
      <c r="AJ92" s="210"/>
      <c r="AK92" s="210"/>
      <c r="AL92" s="210"/>
    </row>
    <row r="93" spans="1:38">
      <c r="A93" s="206"/>
      <c r="B93" s="210"/>
      <c r="C93" s="240"/>
      <c r="D93" s="240"/>
      <c r="E93" s="240"/>
      <c r="F93" s="240"/>
      <c r="G93" s="240"/>
      <c r="H93" s="240"/>
      <c r="I93" s="240"/>
      <c r="J93" s="240"/>
      <c r="K93" s="240"/>
      <c r="L93" s="240"/>
      <c r="M93" s="240"/>
      <c r="N93" s="240"/>
      <c r="O93" s="240"/>
      <c r="P93" s="240"/>
      <c r="Q93" s="240"/>
      <c r="R93" s="240"/>
      <c r="S93" s="240"/>
      <c r="T93" s="240"/>
      <c r="U93" s="240"/>
      <c r="V93" s="240"/>
      <c r="W93" s="240"/>
      <c r="X93" s="240"/>
      <c r="Y93" s="240"/>
      <c r="Z93" s="210"/>
      <c r="AA93" s="210"/>
      <c r="AB93" s="210"/>
      <c r="AC93" s="210"/>
      <c r="AD93" s="210"/>
      <c r="AE93" s="210"/>
      <c r="AF93" s="210"/>
      <c r="AG93" s="210"/>
      <c r="AH93" s="210"/>
      <c r="AI93" s="210"/>
      <c r="AJ93" s="210"/>
      <c r="AK93" s="210"/>
      <c r="AL93" s="210"/>
    </row>
    <row r="94" spans="1:38">
      <c r="A94" s="206"/>
      <c r="B94" s="210"/>
      <c r="C94" s="240"/>
      <c r="D94" s="240"/>
      <c r="E94" s="240"/>
      <c r="F94" s="240"/>
      <c r="G94" s="240"/>
      <c r="H94" s="240"/>
      <c r="I94" s="240"/>
      <c r="J94" s="240"/>
      <c r="K94" s="240"/>
      <c r="L94" s="240"/>
      <c r="M94" s="240"/>
      <c r="N94" s="240"/>
      <c r="O94" s="240"/>
      <c r="P94" s="240"/>
      <c r="Q94" s="240"/>
      <c r="R94" s="240"/>
      <c r="S94" s="240"/>
      <c r="T94" s="240"/>
      <c r="U94" s="240"/>
      <c r="V94" s="240"/>
      <c r="W94" s="240"/>
      <c r="X94" s="240"/>
      <c r="Y94" s="240"/>
      <c r="Z94" s="210"/>
      <c r="AA94" s="210"/>
      <c r="AB94" s="210"/>
      <c r="AC94" s="210"/>
      <c r="AD94" s="210"/>
      <c r="AE94" s="210"/>
      <c r="AF94" s="210"/>
      <c r="AG94" s="210"/>
      <c r="AH94" s="210"/>
      <c r="AI94" s="210"/>
      <c r="AJ94" s="210"/>
      <c r="AK94" s="210"/>
      <c r="AL94" s="210"/>
    </row>
    <row r="95" spans="1:38">
      <c r="A95" s="206"/>
      <c r="B95" s="210"/>
      <c r="C95" s="240"/>
      <c r="D95" s="240"/>
      <c r="E95" s="240"/>
      <c r="F95" s="240"/>
      <c r="G95" s="240"/>
      <c r="H95" s="240"/>
      <c r="I95" s="240"/>
      <c r="J95" s="240"/>
      <c r="K95" s="240"/>
      <c r="L95" s="240"/>
      <c r="M95" s="240"/>
      <c r="N95" s="240"/>
      <c r="O95" s="240"/>
      <c r="P95" s="240"/>
      <c r="Q95" s="240"/>
      <c r="R95" s="240"/>
      <c r="S95" s="240"/>
      <c r="T95" s="240"/>
      <c r="U95" s="240"/>
      <c r="V95" s="240"/>
      <c r="W95" s="240"/>
      <c r="X95" s="240"/>
      <c r="Y95" s="240"/>
      <c r="Z95" s="210"/>
      <c r="AA95" s="210"/>
      <c r="AB95" s="210"/>
      <c r="AC95" s="210"/>
      <c r="AD95" s="210"/>
      <c r="AE95" s="210"/>
      <c r="AF95" s="210"/>
      <c r="AG95" s="210"/>
      <c r="AH95" s="210"/>
      <c r="AI95" s="210"/>
      <c r="AJ95" s="210"/>
      <c r="AK95" s="210"/>
      <c r="AL95" s="210"/>
    </row>
    <row r="96" spans="1:38">
      <c r="A96" s="206"/>
      <c r="B96" s="210"/>
      <c r="C96" s="240"/>
      <c r="D96" s="240"/>
      <c r="E96" s="240"/>
      <c r="F96" s="240"/>
      <c r="G96" s="240"/>
      <c r="H96" s="240"/>
      <c r="I96" s="240"/>
      <c r="J96" s="240"/>
      <c r="K96" s="240"/>
      <c r="L96" s="240"/>
      <c r="M96" s="240"/>
      <c r="N96" s="240"/>
      <c r="O96" s="240"/>
      <c r="P96" s="240"/>
      <c r="Q96" s="240"/>
      <c r="R96" s="240"/>
      <c r="S96" s="240"/>
      <c r="T96" s="240"/>
      <c r="U96" s="240"/>
      <c r="V96" s="240"/>
      <c r="W96" s="240"/>
      <c r="X96" s="240"/>
      <c r="Y96" s="240"/>
      <c r="Z96" s="210"/>
      <c r="AA96" s="210"/>
      <c r="AB96" s="210"/>
      <c r="AC96" s="210"/>
      <c r="AD96" s="210"/>
      <c r="AE96" s="210"/>
      <c r="AF96" s="210"/>
      <c r="AG96" s="210"/>
      <c r="AH96" s="210"/>
      <c r="AI96" s="210"/>
      <c r="AJ96" s="210"/>
      <c r="AK96" s="210"/>
      <c r="AL96" s="210"/>
    </row>
    <row r="97" spans="1:38">
      <c r="A97" s="206"/>
      <c r="B97" s="210"/>
      <c r="C97" s="240"/>
      <c r="D97" s="240"/>
      <c r="E97" s="240"/>
      <c r="F97" s="240"/>
      <c r="G97" s="240"/>
      <c r="H97" s="240"/>
      <c r="I97" s="240"/>
      <c r="J97" s="240"/>
      <c r="K97" s="240"/>
      <c r="L97" s="240"/>
      <c r="M97" s="240"/>
      <c r="N97" s="240"/>
      <c r="O97" s="240"/>
      <c r="P97" s="240"/>
      <c r="Q97" s="240"/>
      <c r="R97" s="240"/>
      <c r="S97" s="240"/>
      <c r="T97" s="240"/>
      <c r="U97" s="240"/>
      <c r="V97" s="240"/>
      <c r="W97" s="240"/>
      <c r="X97" s="240"/>
      <c r="Y97" s="240"/>
      <c r="Z97" s="210"/>
      <c r="AA97" s="210"/>
      <c r="AB97" s="210"/>
      <c r="AC97" s="210"/>
      <c r="AD97" s="210"/>
      <c r="AE97" s="210"/>
      <c r="AF97" s="210"/>
      <c r="AG97" s="210"/>
      <c r="AH97" s="210"/>
      <c r="AI97" s="210"/>
      <c r="AJ97" s="210"/>
      <c r="AK97" s="210"/>
      <c r="AL97" s="210"/>
    </row>
    <row r="98" spans="1:38">
      <c r="A98" s="206"/>
      <c r="B98" s="210"/>
      <c r="C98" s="240"/>
      <c r="D98" s="240"/>
      <c r="E98" s="240"/>
      <c r="F98" s="240"/>
      <c r="G98" s="240"/>
      <c r="H98" s="240"/>
      <c r="I98" s="240"/>
      <c r="J98" s="240"/>
      <c r="K98" s="240"/>
      <c r="L98" s="240"/>
      <c r="M98" s="240"/>
      <c r="N98" s="240"/>
      <c r="O98" s="240"/>
      <c r="P98" s="240"/>
      <c r="Q98" s="240"/>
      <c r="R98" s="240"/>
      <c r="S98" s="240"/>
      <c r="T98" s="240"/>
      <c r="U98" s="240"/>
      <c r="V98" s="240"/>
      <c r="W98" s="240"/>
      <c r="X98" s="240"/>
      <c r="Y98" s="240"/>
      <c r="Z98" s="210"/>
      <c r="AA98" s="210"/>
      <c r="AB98" s="210"/>
      <c r="AC98" s="210"/>
      <c r="AD98" s="210"/>
      <c r="AE98" s="210"/>
      <c r="AF98" s="210"/>
      <c r="AG98" s="210"/>
      <c r="AH98" s="210"/>
      <c r="AI98" s="210"/>
      <c r="AJ98" s="210"/>
      <c r="AK98" s="210"/>
      <c r="AL98" s="210"/>
    </row>
    <row r="99" spans="1:38">
      <c r="A99" s="206"/>
      <c r="B99" s="210"/>
      <c r="C99" s="240"/>
      <c r="D99" s="240"/>
      <c r="E99" s="240"/>
      <c r="F99" s="240"/>
      <c r="G99" s="240"/>
      <c r="H99" s="240"/>
      <c r="I99" s="240"/>
      <c r="J99" s="240"/>
      <c r="K99" s="240"/>
      <c r="L99" s="240"/>
      <c r="M99" s="240"/>
      <c r="N99" s="240"/>
      <c r="O99" s="240"/>
      <c r="P99" s="240"/>
      <c r="Q99" s="240"/>
      <c r="R99" s="240"/>
      <c r="S99" s="240"/>
      <c r="T99" s="240"/>
      <c r="U99" s="240"/>
      <c r="V99" s="240"/>
      <c r="W99" s="240"/>
      <c r="X99" s="240"/>
      <c r="Y99" s="240"/>
      <c r="Z99" s="210"/>
      <c r="AA99" s="210"/>
      <c r="AB99" s="210"/>
      <c r="AC99" s="210"/>
      <c r="AD99" s="210"/>
      <c r="AE99" s="210"/>
      <c r="AF99" s="210"/>
      <c r="AG99" s="210"/>
      <c r="AH99" s="210"/>
      <c r="AI99" s="210"/>
      <c r="AJ99" s="210"/>
      <c r="AK99" s="210"/>
      <c r="AL99" s="210"/>
    </row>
    <row r="100" spans="1:38">
      <c r="A100" s="206"/>
      <c r="B100" s="210"/>
      <c r="C100" s="240"/>
      <c r="D100" s="240"/>
      <c r="E100" s="240"/>
      <c r="F100" s="240"/>
      <c r="G100" s="240"/>
      <c r="H100" s="240"/>
      <c r="I100" s="240"/>
      <c r="J100" s="240"/>
      <c r="K100" s="240"/>
      <c r="L100" s="240"/>
      <c r="M100" s="240"/>
      <c r="N100" s="240"/>
      <c r="O100" s="240"/>
      <c r="P100" s="240"/>
      <c r="Q100" s="240"/>
      <c r="R100" s="240"/>
      <c r="S100" s="240"/>
      <c r="T100" s="240"/>
      <c r="U100" s="240"/>
      <c r="V100" s="240"/>
      <c r="W100" s="240"/>
      <c r="X100" s="240"/>
      <c r="Y100" s="240"/>
      <c r="Z100" s="210"/>
      <c r="AA100" s="210"/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0"/>
      <c r="AL100" s="210"/>
    </row>
    <row r="101" spans="1:38">
      <c r="A101" s="206"/>
      <c r="B101" s="210"/>
      <c r="C101" s="240"/>
      <c r="D101" s="240"/>
      <c r="E101" s="240"/>
      <c r="F101" s="240"/>
      <c r="G101" s="240"/>
      <c r="H101" s="240"/>
      <c r="I101" s="240"/>
      <c r="J101" s="240"/>
      <c r="K101" s="240"/>
      <c r="L101" s="240"/>
      <c r="M101" s="240"/>
      <c r="N101" s="240"/>
      <c r="O101" s="240"/>
      <c r="P101" s="240"/>
      <c r="Q101" s="240"/>
      <c r="R101" s="240"/>
      <c r="S101" s="240"/>
      <c r="T101" s="240"/>
      <c r="U101" s="240"/>
      <c r="V101" s="240"/>
      <c r="W101" s="240"/>
      <c r="X101" s="240"/>
      <c r="Y101" s="240"/>
      <c r="Z101" s="210"/>
      <c r="AA101" s="210"/>
      <c r="AB101" s="210"/>
      <c r="AC101" s="210"/>
      <c r="AD101" s="210"/>
      <c r="AE101" s="210"/>
      <c r="AF101" s="210"/>
      <c r="AG101" s="210"/>
      <c r="AH101" s="210"/>
      <c r="AI101" s="210"/>
      <c r="AJ101" s="210"/>
      <c r="AK101" s="210"/>
      <c r="AL101" s="210"/>
    </row>
    <row r="102" spans="1:38">
      <c r="A102" s="206"/>
      <c r="B102" s="210"/>
      <c r="C102" s="240"/>
      <c r="D102" s="240"/>
      <c r="E102" s="240"/>
      <c r="F102" s="240"/>
      <c r="G102" s="240"/>
      <c r="H102" s="240"/>
      <c r="I102" s="240"/>
      <c r="J102" s="240"/>
      <c r="K102" s="240"/>
      <c r="L102" s="240"/>
      <c r="M102" s="240"/>
      <c r="N102" s="240"/>
      <c r="O102" s="240"/>
      <c r="P102" s="240"/>
      <c r="Q102" s="240"/>
      <c r="R102" s="240"/>
      <c r="S102" s="240"/>
      <c r="T102" s="240"/>
      <c r="U102" s="240"/>
      <c r="V102" s="240"/>
      <c r="W102" s="240"/>
      <c r="X102" s="240"/>
      <c r="Y102" s="240"/>
      <c r="Z102" s="210"/>
      <c r="AA102" s="210"/>
      <c r="AB102" s="210"/>
      <c r="AC102" s="210"/>
      <c r="AD102" s="210"/>
      <c r="AE102" s="210"/>
      <c r="AF102" s="210"/>
      <c r="AG102" s="210"/>
      <c r="AH102" s="210"/>
      <c r="AI102" s="210"/>
      <c r="AJ102" s="210"/>
      <c r="AK102" s="210"/>
      <c r="AL102" s="210"/>
    </row>
    <row r="103" spans="1:38">
      <c r="B103" s="210"/>
      <c r="C103" s="240"/>
      <c r="D103" s="240"/>
      <c r="E103" s="240"/>
      <c r="F103" s="240"/>
      <c r="G103" s="240"/>
      <c r="H103" s="240"/>
      <c r="I103" s="240"/>
      <c r="J103" s="240"/>
      <c r="K103" s="240"/>
      <c r="L103" s="240"/>
      <c r="M103" s="240"/>
      <c r="N103" s="240"/>
      <c r="O103" s="240"/>
      <c r="P103" s="240"/>
      <c r="Q103" s="240"/>
      <c r="R103" s="240"/>
      <c r="S103" s="240"/>
      <c r="T103" s="240"/>
      <c r="U103" s="240"/>
      <c r="V103" s="240"/>
      <c r="W103" s="240"/>
      <c r="X103" s="240"/>
      <c r="Y103" s="240"/>
      <c r="Z103" s="210"/>
      <c r="AA103" s="210"/>
      <c r="AB103" s="210"/>
      <c r="AC103" s="210"/>
      <c r="AD103" s="210"/>
      <c r="AE103" s="210"/>
      <c r="AF103" s="210"/>
    </row>
    <row r="104" spans="1:38">
      <c r="B104" s="210"/>
      <c r="C104" s="240"/>
      <c r="D104" s="240"/>
      <c r="E104" s="240"/>
      <c r="F104" s="240"/>
      <c r="G104" s="240"/>
      <c r="H104" s="240"/>
      <c r="I104" s="240"/>
      <c r="J104" s="240"/>
      <c r="K104" s="240"/>
      <c r="L104" s="240"/>
      <c r="M104" s="240"/>
      <c r="N104" s="240"/>
      <c r="O104" s="240"/>
      <c r="P104" s="240"/>
      <c r="Q104" s="240"/>
      <c r="R104" s="240"/>
      <c r="S104" s="240"/>
      <c r="T104" s="240"/>
      <c r="U104" s="240"/>
      <c r="V104" s="240"/>
      <c r="W104" s="240"/>
      <c r="X104" s="240"/>
      <c r="Y104" s="240"/>
      <c r="Z104" s="210"/>
      <c r="AA104" s="210"/>
      <c r="AB104" s="210"/>
      <c r="AC104" s="210"/>
      <c r="AD104" s="210"/>
      <c r="AE104" s="210"/>
      <c r="AF104" s="210"/>
    </row>
    <row r="105" spans="1:38">
      <c r="B105" s="210"/>
      <c r="C105" s="240"/>
      <c r="D105" s="240"/>
      <c r="E105" s="240"/>
      <c r="F105" s="240"/>
      <c r="G105" s="240"/>
      <c r="H105" s="240"/>
      <c r="I105" s="240"/>
      <c r="J105" s="240"/>
      <c r="K105" s="240"/>
      <c r="L105" s="240"/>
      <c r="M105" s="240"/>
      <c r="N105" s="240"/>
      <c r="O105" s="240"/>
      <c r="P105" s="240"/>
      <c r="Q105" s="240"/>
      <c r="R105" s="240"/>
      <c r="S105" s="240"/>
      <c r="T105" s="240"/>
      <c r="U105" s="240"/>
      <c r="V105" s="240"/>
      <c r="W105" s="240"/>
      <c r="X105" s="240"/>
      <c r="Y105" s="240"/>
      <c r="Z105" s="210"/>
      <c r="AA105" s="210"/>
      <c r="AB105" s="210"/>
      <c r="AC105" s="210"/>
      <c r="AD105" s="210"/>
      <c r="AE105" s="210"/>
      <c r="AF105" s="210"/>
    </row>
    <row r="106" spans="1:38">
      <c r="B106" s="210"/>
      <c r="C106" s="240"/>
      <c r="D106" s="240"/>
      <c r="E106" s="240"/>
      <c r="F106" s="240"/>
      <c r="G106" s="240"/>
      <c r="H106" s="240"/>
      <c r="I106" s="240"/>
      <c r="J106" s="240"/>
      <c r="K106" s="240"/>
      <c r="L106" s="240"/>
      <c r="M106" s="240"/>
      <c r="N106" s="240"/>
      <c r="O106" s="240"/>
      <c r="P106" s="240"/>
      <c r="Q106" s="240"/>
      <c r="R106" s="240"/>
      <c r="S106" s="240"/>
      <c r="T106" s="240"/>
      <c r="U106" s="240"/>
      <c r="V106" s="240"/>
      <c r="W106" s="240"/>
      <c r="X106" s="240"/>
      <c r="Y106" s="240"/>
      <c r="Z106" s="210"/>
      <c r="AA106" s="210"/>
      <c r="AB106" s="210"/>
      <c r="AC106" s="210"/>
      <c r="AD106" s="210"/>
      <c r="AE106" s="210"/>
      <c r="AF106" s="210"/>
    </row>
    <row r="107" spans="1:38">
      <c r="B107" s="210"/>
      <c r="C107" s="240"/>
      <c r="D107" s="240"/>
      <c r="E107" s="240"/>
      <c r="F107" s="240"/>
      <c r="G107" s="240"/>
      <c r="H107" s="240"/>
      <c r="I107" s="240"/>
      <c r="J107" s="240"/>
      <c r="K107" s="240"/>
      <c r="L107" s="240"/>
      <c r="M107" s="240"/>
      <c r="N107" s="240"/>
      <c r="O107" s="240"/>
      <c r="P107" s="240"/>
      <c r="Q107" s="240"/>
      <c r="R107" s="240"/>
      <c r="S107" s="240"/>
      <c r="T107" s="240"/>
      <c r="U107" s="240"/>
      <c r="V107" s="240"/>
      <c r="W107" s="240"/>
      <c r="X107" s="240"/>
      <c r="Y107" s="240"/>
      <c r="Z107" s="210"/>
      <c r="AA107" s="210"/>
      <c r="AB107" s="210"/>
      <c r="AC107" s="210"/>
      <c r="AD107" s="210"/>
      <c r="AE107" s="210"/>
      <c r="AF107" s="210"/>
    </row>
    <row r="108" spans="1:38">
      <c r="B108" s="210"/>
      <c r="C108" s="240"/>
      <c r="D108" s="240"/>
      <c r="E108" s="240"/>
      <c r="F108" s="240"/>
      <c r="G108" s="240"/>
      <c r="H108" s="240"/>
      <c r="I108" s="240"/>
      <c r="J108" s="240"/>
      <c r="K108" s="240"/>
      <c r="L108" s="240"/>
      <c r="M108" s="240"/>
      <c r="N108" s="240"/>
      <c r="O108" s="240"/>
      <c r="P108" s="240"/>
      <c r="Q108" s="240"/>
      <c r="R108" s="240"/>
      <c r="S108" s="240"/>
      <c r="T108" s="240"/>
      <c r="U108" s="240"/>
      <c r="V108" s="240"/>
      <c r="W108" s="240"/>
      <c r="X108" s="240"/>
      <c r="Y108" s="240"/>
      <c r="Z108" s="210"/>
      <c r="AA108" s="210"/>
      <c r="AB108" s="210"/>
      <c r="AC108" s="210"/>
      <c r="AD108" s="210"/>
      <c r="AE108" s="210"/>
      <c r="AF108" s="210"/>
    </row>
    <row r="109" spans="1:38">
      <c r="B109" s="210"/>
      <c r="C109" s="240"/>
      <c r="D109" s="240"/>
      <c r="E109" s="240"/>
      <c r="F109" s="240"/>
      <c r="G109" s="240"/>
      <c r="H109" s="240"/>
      <c r="I109" s="240"/>
      <c r="J109" s="240"/>
      <c r="K109" s="240"/>
      <c r="L109" s="240"/>
      <c r="M109" s="240"/>
      <c r="N109" s="240"/>
      <c r="O109" s="240"/>
      <c r="P109" s="240"/>
      <c r="Q109" s="240"/>
      <c r="R109" s="240"/>
      <c r="S109" s="240"/>
      <c r="T109" s="240"/>
      <c r="U109" s="240"/>
      <c r="V109" s="240"/>
      <c r="W109" s="240"/>
      <c r="X109" s="240"/>
      <c r="Y109" s="240"/>
      <c r="Z109" s="210"/>
      <c r="AA109" s="210"/>
      <c r="AB109" s="210"/>
      <c r="AC109" s="210"/>
      <c r="AD109" s="210"/>
      <c r="AE109" s="210"/>
      <c r="AF109" s="210"/>
    </row>
    <row r="110" spans="1:38">
      <c r="B110" s="210"/>
      <c r="C110" s="240"/>
      <c r="D110" s="240"/>
      <c r="E110" s="240"/>
      <c r="F110" s="240"/>
      <c r="G110" s="240"/>
      <c r="H110" s="240"/>
      <c r="I110" s="240"/>
      <c r="J110" s="240"/>
      <c r="K110" s="240"/>
      <c r="L110" s="240"/>
      <c r="M110" s="240"/>
      <c r="N110" s="240"/>
      <c r="O110" s="240"/>
      <c r="P110" s="240"/>
      <c r="Q110" s="240"/>
      <c r="R110" s="240"/>
      <c r="S110" s="240"/>
      <c r="T110" s="240"/>
      <c r="U110" s="240"/>
      <c r="V110" s="240"/>
      <c r="W110" s="240"/>
      <c r="X110" s="240"/>
      <c r="Y110" s="240"/>
      <c r="Z110" s="210"/>
      <c r="AA110" s="210"/>
      <c r="AB110" s="210"/>
      <c r="AC110" s="210"/>
      <c r="AD110" s="210"/>
      <c r="AE110" s="210"/>
      <c r="AF110" s="210"/>
    </row>
    <row r="111" spans="1:38">
      <c r="B111" s="210"/>
      <c r="C111" s="240"/>
      <c r="D111" s="240"/>
      <c r="E111" s="240"/>
      <c r="F111" s="240"/>
      <c r="G111" s="240"/>
      <c r="H111" s="240"/>
      <c r="I111" s="240"/>
      <c r="J111" s="240"/>
      <c r="K111" s="240"/>
      <c r="L111" s="240"/>
      <c r="M111" s="240"/>
      <c r="N111" s="240"/>
      <c r="O111" s="240"/>
      <c r="P111" s="240"/>
      <c r="Q111" s="240"/>
      <c r="R111" s="240"/>
      <c r="S111" s="240"/>
      <c r="T111" s="240"/>
      <c r="U111" s="240"/>
      <c r="V111" s="240"/>
      <c r="W111" s="240"/>
      <c r="X111" s="240"/>
      <c r="Y111" s="240"/>
      <c r="Z111" s="210"/>
      <c r="AA111" s="210"/>
      <c r="AB111" s="210"/>
      <c r="AC111" s="210"/>
      <c r="AD111" s="210"/>
      <c r="AE111" s="210"/>
      <c r="AF111" s="210"/>
    </row>
    <row r="112" spans="1:38">
      <c r="B112" s="210"/>
      <c r="C112" s="240"/>
      <c r="D112" s="240"/>
      <c r="E112" s="240"/>
      <c r="F112" s="240"/>
      <c r="G112" s="240"/>
      <c r="H112" s="240"/>
      <c r="I112" s="240"/>
      <c r="J112" s="240"/>
      <c r="K112" s="240"/>
      <c r="L112" s="240"/>
      <c r="M112" s="240"/>
      <c r="N112" s="240"/>
      <c r="O112" s="240"/>
      <c r="P112" s="240"/>
      <c r="Q112" s="240"/>
      <c r="R112" s="240"/>
      <c r="S112" s="240"/>
      <c r="T112" s="240"/>
      <c r="U112" s="240"/>
      <c r="V112" s="240"/>
      <c r="W112" s="240"/>
      <c r="X112" s="240"/>
      <c r="Y112" s="240"/>
      <c r="Z112" s="210"/>
      <c r="AA112" s="210"/>
      <c r="AB112" s="210"/>
      <c r="AC112" s="210"/>
      <c r="AD112" s="210"/>
      <c r="AE112" s="210"/>
      <c r="AF112" s="210"/>
    </row>
    <row r="113" spans="2:32">
      <c r="B113" s="210"/>
      <c r="C113" s="240"/>
      <c r="D113" s="240"/>
      <c r="E113" s="240"/>
      <c r="F113" s="240"/>
      <c r="G113" s="240"/>
      <c r="H113" s="240"/>
      <c r="I113" s="240"/>
      <c r="J113" s="240"/>
      <c r="K113" s="240"/>
      <c r="L113" s="240"/>
      <c r="M113" s="240"/>
      <c r="N113" s="240"/>
      <c r="O113" s="240"/>
      <c r="P113" s="240"/>
      <c r="Q113" s="240"/>
      <c r="R113" s="240"/>
      <c r="S113" s="240"/>
      <c r="T113" s="240"/>
      <c r="U113" s="240"/>
      <c r="V113" s="240"/>
      <c r="W113" s="240"/>
      <c r="X113" s="240"/>
      <c r="Y113" s="240"/>
      <c r="Z113" s="210"/>
      <c r="AA113" s="210"/>
      <c r="AB113" s="210"/>
      <c r="AC113" s="210"/>
      <c r="AD113" s="210"/>
      <c r="AE113" s="210"/>
      <c r="AF113" s="210"/>
    </row>
    <row r="114" spans="2:32">
      <c r="B114" s="210"/>
      <c r="C114" s="240"/>
      <c r="D114" s="240"/>
      <c r="E114" s="240"/>
      <c r="F114" s="240"/>
      <c r="G114" s="240"/>
      <c r="H114" s="240"/>
      <c r="I114" s="240"/>
      <c r="J114" s="240"/>
      <c r="K114" s="240"/>
      <c r="L114" s="240"/>
      <c r="M114" s="240"/>
      <c r="N114" s="240"/>
      <c r="O114" s="240"/>
      <c r="P114" s="240"/>
      <c r="Q114" s="240"/>
      <c r="R114" s="240"/>
      <c r="S114" s="240"/>
      <c r="T114" s="240"/>
      <c r="U114" s="240"/>
      <c r="V114" s="240"/>
      <c r="W114" s="240"/>
      <c r="X114" s="240"/>
      <c r="Y114" s="240"/>
      <c r="Z114" s="210"/>
      <c r="AA114" s="210"/>
      <c r="AB114" s="210"/>
      <c r="AC114" s="210"/>
      <c r="AD114" s="210"/>
      <c r="AE114" s="210"/>
      <c r="AF114" s="210"/>
    </row>
    <row r="115" spans="2:32">
      <c r="B115" s="210"/>
      <c r="C115" s="240"/>
      <c r="D115" s="240"/>
      <c r="E115" s="240"/>
      <c r="F115" s="240"/>
      <c r="G115" s="240"/>
      <c r="H115" s="240"/>
      <c r="I115" s="240"/>
      <c r="J115" s="240"/>
      <c r="K115" s="240"/>
      <c r="L115" s="240"/>
      <c r="M115" s="240"/>
      <c r="N115" s="240"/>
      <c r="O115" s="240"/>
      <c r="P115" s="240"/>
      <c r="Q115" s="240"/>
      <c r="R115" s="240"/>
      <c r="S115" s="240"/>
      <c r="T115" s="240"/>
      <c r="U115" s="240"/>
      <c r="V115" s="240"/>
      <c r="W115" s="240"/>
      <c r="X115" s="240"/>
      <c r="Y115" s="240"/>
      <c r="Z115" s="210"/>
      <c r="AA115" s="210"/>
      <c r="AB115" s="210"/>
      <c r="AC115" s="210"/>
      <c r="AD115" s="210"/>
      <c r="AE115" s="210"/>
      <c r="AF115" s="210"/>
    </row>
    <row r="116" spans="2:32">
      <c r="B116" s="210"/>
      <c r="C116" s="240"/>
      <c r="D116" s="240"/>
      <c r="E116" s="240"/>
      <c r="F116" s="240"/>
      <c r="G116" s="240"/>
      <c r="H116" s="240"/>
      <c r="I116" s="240"/>
      <c r="J116" s="240"/>
      <c r="K116" s="240"/>
      <c r="L116" s="240"/>
      <c r="M116" s="240"/>
      <c r="N116" s="240"/>
      <c r="O116" s="240"/>
      <c r="P116" s="240"/>
      <c r="Q116" s="240"/>
      <c r="R116" s="240"/>
      <c r="S116" s="240"/>
      <c r="T116" s="240"/>
      <c r="U116" s="240"/>
      <c r="V116" s="240"/>
      <c r="W116" s="240"/>
      <c r="X116" s="240"/>
      <c r="Y116" s="240"/>
      <c r="Z116" s="210"/>
      <c r="AA116" s="210"/>
      <c r="AB116" s="210"/>
      <c r="AC116" s="210"/>
      <c r="AD116" s="210"/>
      <c r="AE116" s="210"/>
      <c r="AF116" s="210"/>
    </row>
    <row r="117" spans="2:32">
      <c r="B117" s="210"/>
      <c r="C117" s="240"/>
      <c r="D117" s="240"/>
      <c r="E117" s="240"/>
      <c r="F117" s="240"/>
      <c r="G117" s="240"/>
      <c r="H117" s="240"/>
      <c r="I117" s="240"/>
      <c r="J117" s="240"/>
      <c r="K117" s="240"/>
      <c r="L117" s="240"/>
      <c r="M117" s="240"/>
      <c r="N117" s="240"/>
      <c r="O117" s="240"/>
      <c r="P117" s="240"/>
      <c r="Q117" s="240"/>
      <c r="R117" s="240"/>
      <c r="S117" s="240"/>
      <c r="T117" s="240"/>
      <c r="U117" s="240"/>
      <c r="V117" s="240"/>
      <c r="W117" s="240"/>
      <c r="X117" s="240"/>
      <c r="Y117" s="240"/>
      <c r="Z117" s="210"/>
      <c r="AA117" s="210"/>
      <c r="AB117" s="210"/>
      <c r="AC117" s="210"/>
      <c r="AD117" s="210"/>
      <c r="AE117" s="210"/>
      <c r="AF117" s="210"/>
    </row>
    <row r="118" spans="2:32">
      <c r="B118" s="210"/>
      <c r="C118" s="240"/>
      <c r="D118" s="240"/>
      <c r="E118" s="240"/>
      <c r="F118" s="240"/>
      <c r="G118" s="240"/>
      <c r="H118" s="240"/>
      <c r="I118" s="240"/>
      <c r="J118" s="240"/>
      <c r="K118" s="240"/>
      <c r="L118" s="240"/>
      <c r="M118" s="240"/>
      <c r="N118" s="240"/>
      <c r="O118" s="240"/>
      <c r="P118" s="240"/>
      <c r="Q118" s="240"/>
      <c r="R118" s="240"/>
      <c r="S118" s="240"/>
      <c r="T118" s="240"/>
      <c r="U118" s="240"/>
      <c r="V118" s="240"/>
      <c r="W118" s="240"/>
      <c r="X118" s="240"/>
      <c r="Y118" s="240"/>
      <c r="Z118" s="210"/>
      <c r="AA118" s="210"/>
      <c r="AB118" s="210"/>
      <c r="AC118" s="210"/>
      <c r="AD118" s="210"/>
      <c r="AE118" s="210"/>
      <c r="AF118" s="210"/>
    </row>
    <row r="119" spans="2:32">
      <c r="B119" s="210"/>
      <c r="C119" s="240"/>
      <c r="D119" s="240"/>
      <c r="E119" s="240"/>
      <c r="F119" s="240"/>
      <c r="G119" s="240"/>
      <c r="H119" s="240"/>
      <c r="I119" s="240"/>
      <c r="J119" s="240"/>
      <c r="K119" s="240"/>
      <c r="L119" s="240"/>
      <c r="M119" s="240"/>
      <c r="N119" s="240"/>
      <c r="O119" s="240"/>
      <c r="P119" s="240"/>
      <c r="Q119" s="240"/>
      <c r="R119" s="240"/>
      <c r="S119" s="240"/>
      <c r="T119" s="240"/>
      <c r="U119" s="240"/>
      <c r="V119" s="240"/>
      <c r="W119" s="240"/>
      <c r="X119" s="240"/>
      <c r="Y119" s="240"/>
      <c r="Z119" s="210"/>
      <c r="AA119" s="210"/>
      <c r="AB119" s="210"/>
      <c r="AC119" s="210"/>
      <c r="AD119" s="210"/>
      <c r="AE119" s="210"/>
      <c r="AF119" s="210"/>
    </row>
    <row r="120" spans="2:32">
      <c r="B120" s="210"/>
      <c r="C120" s="240"/>
      <c r="D120" s="240"/>
      <c r="E120" s="240"/>
      <c r="F120" s="240"/>
      <c r="G120" s="240"/>
      <c r="H120" s="240"/>
      <c r="I120" s="240"/>
      <c r="J120" s="240"/>
      <c r="K120" s="240"/>
      <c r="L120" s="240"/>
      <c r="M120" s="240"/>
      <c r="N120" s="240"/>
      <c r="O120" s="240"/>
      <c r="P120" s="240"/>
      <c r="Q120" s="240"/>
      <c r="R120" s="240"/>
      <c r="S120" s="240"/>
      <c r="T120" s="240"/>
      <c r="U120" s="240"/>
      <c r="V120" s="240"/>
      <c r="W120" s="240"/>
      <c r="X120" s="240"/>
      <c r="Y120" s="240"/>
      <c r="Z120" s="210"/>
      <c r="AA120" s="210"/>
      <c r="AB120" s="210"/>
      <c r="AC120" s="210"/>
      <c r="AD120" s="210"/>
      <c r="AE120" s="210"/>
      <c r="AF120" s="210"/>
    </row>
    <row r="121" spans="2:32">
      <c r="B121" s="210"/>
      <c r="C121" s="240"/>
      <c r="D121" s="240"/>
      <c r="E121" s="240"/>
      <c r="F121" s="240"/>
      <c r="G121" s="240"/>
      <c r="H121" s="240"/>
      <c r="I121" s="240"/>
      <c r="J121" s="240"/>
      <c r="K121" s="240"/>
      <c r="L121" s="240"/>
      <c r="M121" s="240"/>
      <c r="N121" s="240"/>
      <c r="O121" s="240"/>
      <c r="P121" s="240"/>
      <c r="Q121" s="240"/>
      <c r="R121" s="240"/>
      <c r="S121" s="240"/>
      <c r="T121" s="240"/>
      <c r="U121" s="240"/>
      <c r="V121" s="240"/>
      <c r="W121" s="240"/>
      <c r="X121" s="240"/>
      <c r="Y121" s="240"/>
      <c r="Z121" s="210"/>
      <c r="AA121" s="210"/>
      <c r="AB121" s="210"/>
      <c r="AC121" s="210"/>
      <c r="AD121" s="210"/>
      <c r="AE121" s="210"/>
      <c r="AF121" s="210"/>
    </row>
    <row r="122" spans="2:32">
      <c r="B122" s="210"/>
      <c r="C122" s="240"/>
      <c r="D122" s="240"/>
      <c r="E122" s="240"/>
      <c r="F122" s="240"/>
      <c r="G122" s="240"/>
      <c r="H122" s="240"/>
      <c r="I122" s="240"/>
      <c r="J122" s="240"/>
      <c r="K122" s="240"/>
      <c r="L122" s="240"/>
      <c r="M122" s="240"/>
      <c r="N122" s="240"/>
      <c r="O122" s="240"/>
      <c r="P122" s="240"/>
      <c r="Q122" s="240"/>
      <c r="R122" s="240"/>
      <c r="S122" s="240"/>
      <c r="T122" s="240"/>
      <c r="U122" s="240"/>
      <c r="V122" s="240"/>
      <c r="W122" s="240"/>
      <c r="X122" s="240"/>
      <c r="Y122" s="240"/>
      <c r="Z122" s="210"/>
      <c r="AA122" s="210"/>
      <c r="AB122" s="210"/>
      <c r="AC122" s="210"/>
      <c r="AD122" s="210"/>
      <c r="AE122" s="210"/>
      <c r="AF122" s="210"/>
    </row>
    <row r="123" spans="2:32">
      <c r="B123" s="210"/>
      <c r="C123" s="240"/>
      <c r="D123" s="240"/>
      <c r="E123" s="240"/>
      <c r="F123" s="240"/>
      <c r="G123" s="240"/>
      <c r="H123" s="240"/>
      <c r="I123" s="240"/>
      <c r="J123" s="240"/>
      <c r="K123" s="240"/>
      <c r="L123" s="240"/>
      <c r="M123" s="240"/>
      <c r="N123" s="240"/>
      <c r="O123" s="240"/>
      <c r="P123" s="240"/>
      <c r="Q123" s="240"/>
      <c r="R123" s="240"/>
      <c r="S123" s="240"/>
      <c r="T123" s="240"/>
      <c r="U123" s="240"/>
      <c r="V123" s="240"/>
      <c r="W123" s="240"/>
      <c r="X123" s="240"/>
      <c r="Y123" s="240"/>
      <c r="Z123" s="210"/>
      <c r="AA123" s="210"/>
      <c r="AB123" s="210"/>
      <c r="AC123" s="210"/>
      <c r="AD123" s="210"/>
      <c r="AE123" s="210"/>
      <c r="AF123" s="210"/>
    </row>
    <row r="124" spans="2:32">
      <c r="B124" s="210"/>
      <c r="C124" s="240"/>
      <c r="D124" s="240"/>
      <c r="E124" s="240"/>
      <c r="F124" s="240"/>
      <c r="G124" s="240"/>
      <c r="H124" s="240"/>
      <c r="I124" s="240"/>
      <c r="J124" s="240"/>
      <c r="K124" s="240"/>
      <c r="L124" s="240"/>
      <c r="M124" s="240"/>
      <c r="N124" s="240"/>
      <c r="O124" s="240"/>
      <c r="P124" s="240"/>
      <c r="Q124" s="240"/>
      <c r="R124" s="240"/>
      <c r="S124" s="240"/>
      <c r="T124" s="240"/>
      <c r="U124" s="240"/>
      <c r="V124" s="240"/>
      <c r="W124" s="240"/>
      <c r="X124" s="240"/>
      <c r="Y124" s="240"/>
      <c r="Z124" s="210"/>
      <c r="AA124" s="210"/>
      <c r="AB124" s="210"/>
      <c r="AC124" s="210"/>
      <c r="AD124" s="210"/>
      <c r="AE124" s="210"/>
      <c r="AF124" s="210"/>
    </row>
    <row r="125" spans="2:32">
      <c r="B125" s="210"/>
      <c r="C125" s="240"/>
      <c r="D125" s="240"/>
      <c r="E125" s="240"/>
      <c r="F125" s="240"/>
      <c r="G125" s="240"/>
      <c r="H125" s="240"/>
      <c r="I125" s="240"/>
      <c r="J125" s="240"/>
      <c r="K125" s="240"/>
      <c r="L125" s="240"/>
      <c r="M125" s="240"/>
      <c r="N125" s="240"/>
      <c r="O125" s="240"/>
      <c r="P125" s="240"/>
      <c r="Q125" s="240"/>
      <c r="R125" s="240"/>
      <c r="S125" s="240"/>
      <c r="T125" s="240"/>
      <c r="U125" s="240"/>
      <c r="V125" s="240"/>
      <c r="W125" s="240"/>
      <c r="X125" s="240"/>
      <c r="Y125" s="240"/>
      <c r="Z125" s="210"/>
      <c r="AA125" s="210"/>
      <c r="AB125" s="210"/>
      <c r="AC125" s="210"/>
      <c r="AD125" s="210"/>
      <c r="AE125" s="210"/>
      <c r="AF125" s="210"/>
    </row>
    <row r="126" spans="2:32">
      <c r="B126" s="210"/>
      <c r="C126" s="240"/>
      <c r="D126" s="240"/>
      <c r="E126" s="240"/>
      <c r="F126" s="240"/>
      <c r="G126" s="240"/>
      <c r="H126" s="240"/>
      <c r="I126" s="240"/>
      <c r="J126" s="240"/>
      <c r="K126" s="240"/>
      <c r="L126" s="240"/>
      <c r="M126" s="240"/>
      <c r="N126" s="240"/>
      <c r="O126" s="240"/>
      <c r="P126" s="240"/>
      <c r="Q126" s="240"/>
      <c r="R126" s="240"/>
      <c r="S126" s="240"/>
      <c r="T126" s="240"/>
      <c r="U126" s="240"/>
      <c r="V126" s="240"/>
      <c r="W126" s="240"/>
      <c r="X126" s="240"/>
      <c r="Y126" s="240"/>
      <c r="Z126" s="210"/>
      <c r="AA126" s="210"/>
      <c r="AB126" s="210"/>
      <c r="AC126" s="210"/>
      <c r="AD126" s="210"/>
      <c r="AE126" s="210"/>
      <c r="AF126" s="210"/>
    </row>
    <row r="127" spans="2:32">
      <c r="B127" s="210"/>
      <c r="C127" s="240"/>
      <c r="D127" s="240"/>
      <c r="E127" s="240"/>
      <c r="F127" s="240"/>
      <c r="G127" s="240"/>
      <c r="H127" s="240"/>
      <c r="I127" s="240"/>
      <c r="J127" s="240"/>
      <c r="K127" s="240"/>
      <c r="L127" s="240"/>
      <c r="M127" s="240"/>
      <c r="N127" s="240"/>
      <c r="O127" s="240"/>
      <c r="P127" s="240"/>
      <c r="Q127" s="240"/>
      <c r="R127" s="240"/>
      <c r="S127" s="240"/>
      <c r="T127" s="240"/>
      <c r="U127" s="240"/>
      <c r="V127" s="240"/>
      <c r="W127" s="240"/>
      <c r="X127" s="240"/>
      <c r="Y127" s="240"/>
      <c r="Z127" s="210"/>
      <c r="AA127" s="210"/>
      <c r="AB127" s="210"/>
      <c r="AC127" s="210"/>
      <c r="AD127" s="210"/>
      <c r="AE127" s="210"/>
      <c r="AF127" s="210"/>
    </row>
    <row r="128" spans="2:32">
      <c r="B128" s="210"/>
      <c r="C128" s="240"/>
      <c r="D128" s="240"/>
      <c r="E128" s="240"/>
      <c r="F128" s="240"/>
      <c r="G128" s="240"/>
      <c r="H128" s="240"/>
      <c r="I128" s="240"/>
      <c r="J128" s="240"/>
      <c r="K128" s="240"/>
      <c r="L128" s="240"/>
      <c r="M128" s="240"/>
      <c r="N128" s="240"/>
      <c r="O128" s="240"/>
      <c r="P128" s="240"/>
      <c r="Q128" s="240"/>
      <c r="R128" s="240"/>
      <c r="S128" s="240"/>
      <c r="T128" s="240"/>
      <c r="U128" s="240"/>
      <c r="V128" s="240"/>
      <c r="W128" s="240"/>
      <c r="X128" s="240"/>
      <c r="Y128" s="240"/>
      <c r="Z128" s="210"/>
      <c r="AA128" s="210"/>
      <c r="AB128" s="210"/>
      <c r="AC128" s="210"/>
      <c r="AD128" s="210"/>
      <c r="AE128" s="210"/>
      <c r="AF128" s="210"/>
    </row>
    <row r="129" spans="2:32">
      <c r="B129" s="210"/>
      <c r="C129" s="240"/>
      <c r="D129" s="240"/>
      <c r="E129" s="240"/>
      <c r="F129" s="240"/>
      <c r="G129" s="240"/>
      <c r="H129" s="240"/>
      <c r="I129" s="240"/>
      <c r="J129" s="240"/>
      <c r="K129" s="240"/>
      <c r="L129" s="240"/>
      <c r="M129" s="240"/>
      <c r="N129" s="240"/>
      <c r="O129" s="240"/>
      <c r="P129" s="240"/>
      <c r="Q129" s="240"/>
      <c r="R129" s="240"/>
      <c r="S129" s="240"/>
      <c r="T129" s="240"/>
      <c r="U129" s="240"/>
      <c r="V129" s="240"/>
      <c r="W129" s="240"/>
      <c r="X129" s="240"/>
      <c r="Y129" s="240"/>
      <c r="Z129" s="210"/>
      <c r="AA129" s="210"/>
      <c r="AB129" s="210"/>
      <c r="AC129" s="210"/>
      <c r="AD129" s="210"/>
      <c r="AE129" s="210"/>
      <c r="AF129" s="210"/>
    </row>
    <row r="130" spans="2:32">
      <c r="B130" s="210"/>
      <c r="C130" s="240"/>
      <c r="D130" s="240"/>
      <c r="E130" s="240"/>
      <c r="F130" s="240"/>
      <c r="G130" s="240"/>
      <c r="H130" s="240"/>
      <c r="I130" s="240"/>
      <c r="J130" s="240"/>
      <c r="K130" s="240"/>
      <c r="L130" s="240"/>
      <c r="M130" s="240"/>
      <c r="N130" s="240"/>
      <c r="O130" s="240"/>
      <c r="P130" s="240"/>
      <c r="Q130" s="240"/>
      <c r="R130" s="240"/>
      <c r="S130" s="240"/>
      <c r="T130" s="240"/>
      <c r="U130" s="240"/>
      <c r="V130" s="240"/>
      <c r="W130" s="240"/>
      <c r="X130" s="240"/>
      <c r="Y130" s="240"/>
      <c r="Z130" s="210"/>
      <c r="AA130" s="210"/>
      <c r="AB130" s="210"/>
      <c r="AC130" s="210"/>
      <c r="AD130" s="210"/>
      <c r="AE130" s="210"/>
      <c r="AF130" s="210"/>
    </row>
    <row r="131" spans="2:32">
      <c r="B131" s="210"/>
      <c r="C131" s="240"/>
      <c r="D131" s="240"/>
      <c r="E131" s="240"/>
      <c r="F131" s="240"/>
      <c r="G131" s="240"/>
      <c r="H131" s="240"/>
      <c r="I131" s="240"/>
      <c r="J131" s="240"/>
      <c r="K131" s="240"/>
      <c r="L131" s="240"/>
      <c r="M131" s="240"/>
      <c r="N131" s="240"/>
      <c r="O131" s="240"/>
      <c r="P131" s="240"/>
      <c r="Q131" s="240"/>
      <c r="R131" s="240"/>
      <c r="S131" s="240"/>
      <c r="T131" s="240"/>
      <c r="U131" s="240"/>
      <c r="V131" s="240"/>
      <c r="W131" s="240"/>
      <c r="X131" s="240"/>
      <c r="Y131" s="240"/>
      <c r="Z131" s="210"/>
      <c r="AA131" s="210"/>
      <c r="AB131" s="210"/>
      <c r="AC131" s="210"/>
      <c r="AD131" s="210"/>
      <c r="AE131" s="210"/>
      <c r="AF131" s="210"/>
    </row>
    <row r="132" spans="2:32">
      <c r="B132" s="210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  <c r="Z132" s="210"/>
      <c r="AA132" s="210"/>
      <c r="AB132" s="210"/>
      <c r="AC132" s="210"/>
      <c r="AD132" s="210"/>
      <c r="AE132" s="210"/>
      <c r="AF132" s="210"/>
    </row>
    <row r="133" spans="2:32">
      <c r="B133" s="210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  <c r="Z133" s="210"/>
      <c r="AA133" s="210"/>
      <c r="AB133" s="210"/>
      <c r="AC133" s="210"/>
      <c r="AD133" s="210"/>
      <c r="AE133" s="210"/>
      <c r="AF133" s="210"/>
    </row>
    <row r="134" spans="2:32">
      <c r="B134" s="210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  <c r="Z134" s="210"/>
      <c r="AA134" s="210"/>
      <c r="AB134" s="210"/>
      <c r="AC134" s="210"/>
      <c r="AD134" s="210"/>
      <c r="AE134" s="210"/>
      <c r="AF134" s="210"/>
    </row>
    <row r="135" spans="2:32">
      <c r="B135" s="210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  <c r="Z135" s="210"/>
      <c r="AA135" s="210"/>
      <c r="AB135" s="210"/>
      <c r="AC135" s="210"/>
      <c r="AD135" s="210"/>
      <c r="AE135" s="210"/>
      <c r="AF135" s="210"/>
    </row>
    <row r="136" spans="2:32">
      <c r="B136" s="210"/>
      <c r="C136" s="210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  <c r="Y136" s="210"/>
      <c r="Z136" s="210"/>
      <c r="AA136" s="210"/>
      <c r="AB136" s="210"/>
      <c r="AC136" s="210"/>
      <c r="AD136" s="210"/>
      <c r="AE136" s="210"/>
      <c r="AF136" s="210"/>
    </row>
    <row r="137" spans="2:32">
      <c r="B137" s="210"/>
      <c r="C137" s="210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  <c r="W137" s="210"/>
      <c r="X137" s="210"/>
      <c r="Y137" s="210"/>
      <c r="Z137" s="210"/>
      <c r="AA137" s="210"/>
      <c r="AB137" s="210"/>
      <c r="AC137" s="210"/>
      <c r="AD137" s="210"/>
      <c r="AE137" s="210"/>
      <c r="AF137" s="210"/>
    </row>
    <row r="138" spans="2:32">
      <c r="B138" s="210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0"/>
      <c r="Z138" s="210"/>
      <c r="AA138" s="210"/>
      <c r="AB138" s="210"/>
      <c r="AC138" s="210"/>
      <c r="AD138" s="210"/>
      <c r="AE138" s="210"/>
      <c r="AF138" s="210"/>
    </row>
    <row r="139" spans="2:32">
      <c r="B139" s="210"/>
      <c r="C139" s="210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  <c r="Z139" s="210"/>
      <c r="AA139" s="210"/>
      <c r="AB139" s="210"/>
      <c r="AC139" s="210"/>
      <c r="AD139" s="210"/>
      <c r="AE139" s="210"/>
      <c r="AF139" s="210"/>
    </row>
    <row r="140" spans="2:32">
      <c r="B140" s="210"/>
      <c r="C140" s="210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  <c r="Z140" s="210"/>
      <c r="AA140" s="210"/>
      <c r="AB140" s="210"/>
      <c r="AC140" s="210"/>
      <c r="AD140" s="210"/>
      <c r="AE140" s="210"/>
      <c r="AF140" s="210"/>
    </row>
    <row r="141" spans="2:32">
      <c r="B141" s="210"/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  <c r="Z141" s="210"/>
      <c r="AA141" s="210"/>
      <c r="AB141" s="210"/>
      <c r="AC141" s="210"/>
      <c r="AD141" s="210"/>
      <c r="AE141" s="210"/>
      <c r="AF141" s="210"/>
    </row>
    <row r="142" spans="2:32">
      <c r="B142" s="210"/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  <c r="Z142" s="210"/>
      <c r="AA142" s="210"/>
      <c r="AB142" s="210"/>
      <c r="AC142" s="210"/>
      <c r="AD142" s="210"/>
      <c r="AE142" s="210"/>
      <c r="AF142" s="210"/>
    </row>
    <row r="143" spans="2:32">
      <c r="B143" s="210"/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  <c r="Z143" s="210"/>
      <c r="AA143" s="210"/>
      <c r="AB143" s="210"/>
      <c r="AC143" s="210"/>
      <c r="AD143" s="210"/>
      <c r="AE143" s="210"/>
      <c r="AF143" s="210"/>
    </row>
    <row r="144" spans="2:32">
      <c r="B144" s="210"/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  <c r="Z144" s="210"/>
      <c r="AA144" s="210"/>
      <c r="AB144" s="210"/>
      <c r="AC144" s="210"/>
      <c r="AD144" s="210"/>
      <c r="AE144" s="210"/>
      <c r="AF144" s="210"/>
    </row>
    <row r="145" spans="2:32">
      <c r="B145" s="210"/>
      <c r="C145" s="210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  <c r="Z145" s="210"/>
      <c r="AA145" s="210"/>
      <c r="AB145" s="210"/>
      <c r="AC145" s="210"/>
      <c r="AD145" s="210"/>
      <c r="AE145" s="210"/>
      <c r="AF145" s="210"/>
    </row>
    <row r="146" spans="2:32">
      <c r="B146" s="210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  <c r="Z146" s="210"/>
      <c r="AA146" s="210"/>
      <c r="AB146" s="210"/>
      <c r="AC146" s="210"/>
      <c r="AD146" s="210"/>
      <c r="AE146" s="210"/>
      <c r="AF146" s="210"/>
    </row>
    <row r="147" spans="2:32">
      <c r="B147" s="210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  <c r="Z147" s="210"/>
      <c r="AA147" s="210"/>
      <c r="AB147" s="210"/>
      <c r="AC147" s="210"/>
      <c r="AD147" s="210"/>
      <c r="AE147" s="210"/>
      <c r="AF147" s="210"/>
    </row>
    <row r="148" spans="2:32">
      <c r="Z148" s="210"/>
      <c r="AA148" s="210"/>
      <c r="AB148" s="210"/>
      <c r="AC148" s="210"/>
      <c r="AD148" s="210"/>
      <c r="AE148" s="210"/>
      <c r="AF148" s="210"/>
    </row>
    <row r="149" spans="2:32">
      <c r="Z149" s="210"/>
      <c r="AA149" s="210"/>
      <c r="AB149" s="210"/>
      <c r="AC149" s="210"/>
      <c r="AD149" s="210"/>
      <c r="AE149" s="210"/>
      <c r="AF149" s="210"/>
    </row>
    <row r="150" spans="2:32">
      <c r="Z150" s="210"/>
      <c r="AA150" s="210"/>
      <c r="AB150" s="210"/>
      <c r="AC150" s="210"/>
      <c r="AD150" s="210"/>
      <c r="AE150" s="210"/>
      <c r="AF150" s="210"/>
    </row>
    <row r="151" spans="2:32">
      <c r="Z151" s="210"/>
      <c r="AA151" s="210"/>
      <c r="AB151" s="210"/>
      <c r="AC151" s="210"/>
      <c r="AD151" s="210"/>
      <c r="AE151" s="210"/>
      <c r="AF151" s="210"/>
    </row>
    <row r="152" spans="2:32">
      <c r="Z152" s="210"/>
      <c r="AA152" s="210"/>
      <c r="AB152" s="210"/>
      <c r="AC152" s="210"/>
      <c r="AD152" s="210"/>
      <c r="AE152" s="210"/>
      <c r="AF152" s="210"/>
    </row>
  </sheetData>
  <conditionalFormatting sqref="C49:Y49">
    <cfRule type="cellIs" dxfId="11" priority="1" operator="notEqual">
      <formula>0</formula>
    </cfRule>
    <cfRule type="cellIs" dxfId="10" priority="2" operator="equal">
      <formula>0</formula>
    </cfRule>
  </conditionalFormatting>
  <conditionalFormatting sqref="AA13">
    <cfRule type="cellIs" dxfId="9" priority="11" operator="notEqual">
      <formula>0</formula>
    </cfRule>
    <cfRule type="cellIs" dxfId="8" priority="12" operator="equal">
      <formula>0</formula>
    </cfRule>
  </conditionalFormatting>
  <conditionalFormatting sqref="AA32">
    <cfRule type="cellIs" dxfId="7" priority="9" operator="notEqual">
      <formula>0</formula>
    </cfRule>
    <cfRule type="cellIs" dxfId="6" priority="10" operator="equal">
      <formula>0</formula>
    </cfRule>
  </conditionalFormatting>
  <conditionalFormatting sqref="AA41">
    <cfRule type="cellIs" dxfId="5" priority="7" operator="notEqual">
      <formula>0</formula>
    </cfRule>
    <cfRule type="cellIs" dxfId="4" priority="8" operator="equal">
      <formula>0</formula>
    </cfRule>
  </conditionalFormatting>
  <conditionalFormatting sqref="AA43">
    <cfRule type="cellIs" dxfId="3" priority="5" operator="notEqual">
      <formula>0</formula>
    </cfRule>
    <cfRule type="cellIs" dxfId="2" priority="6" operator="equal">
      <formula>0</formula>
    </cfRule>
  </conditionalFormatting>
  <conditionalFormatting sqref="AA45:AA48">
    <cfRule type="cellIs" dxfId="1" priority="3" operator="notEqual">
      <formula>0</formula>
    </cfRule>
    <cfRule type="cellIs" dxfId="0" priority="4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5"/>
  <sheetViews>
    <sheetView view="pageBreakPreview" zoomScale="60" zoomScaleNormal="100" workbookViewId="0">
      <selection activeCell="H1" sqref="H1"/>
    </sheetView>
  </sheetViews>
  <sheetFormatPr defaultColWidth="9.1796875" defaultRowHeight="12.5"/>
  <cols>
    <col min="1" max="1" width="5.81640625" style="2" customWidth="1"/>
    <col min="2" max="2" width="2.26953125" style="2" customWidth="1"/>
    <col min="3" max="3" width="11.7265625" style="2" customWidth="1"/>
    <col min="4" max="4" width="10.81640625" style="2" customWidth="1"/>
    <col min="5" max="5" width="3" style="2" customWidth="1"/>
    <col min="6" max="6" width="15.26953125" style="2" customWidth="1"/>
    <col min="7" max="7" width="3.26953125" style="2" customWidth="1"/>
    <col min="8" max="8" width="15.7265625" style="2" customWidth="1"/>
    <col min="9" max="16384" width="9.1796875" style="2"/>
  </cols>
  <sheetData>
    <row r="1" spans="1:15" ht="13">
      <c r="H1" s="4" t="str">
        <f>+'AG Summary'!D1</f>
        <v>Exhibit JD-1</v>
      </c>
    </row>
    <row r="2" spans="1:15" ht="13">
      <c r="G2" s="27"/>
      <c r="H2" s="27" t="s">
        <v>193</v>
      </c>
    </row>
    <row r="3" spans="1:15" ht="13">
      <c r="G3" s="27"/>
      <c r="H3" s="27"/>
    </row>
    <row r="4" spans="1:15" ht="13">
      <c r="G4" s="27"/>
      <c r="H4" s="27"/>
    </row>
    <row r="5" spans="1:15" ht="13">
      <c r="A5" s="344" t="str">
        <f>RevReq!A1</f>
        <v>TAYLOR COUNTY RECC</v>
      </c>
      <c r="B5" s="344"/>
      <c r="C5" s="344"/>
      <c r="D5" s="344"/>
      <c r="E5" s="344"/>
      <c r="F5" s="344"/>
      <c r="G5" s="344"/>
      <c r="H5" s="344"/>
      <c r="J5" s="101"/>
      <c r="K5" s="101"/>
      <c r="L5" s="101"/>
      <c r="M5" s="101"/>
      <c r="N5" s="101"/>
      <c r="O5" s="101"/>
    </row>
    <row r="6" spans="1:15" ht="13">
      <c r="A6" s="344" t="str">
        <f>RevReq!A3</f>
        <v>For the 12 Months Ended December 31, 2021</v>
      </c>
      <c r="B6" s="344"/>
      <c r="C6" s="344"/>
      <c r="D6" s="344"/>
      <c r="E6" s="344"/>
      <c r="F6" s="344"/>
      <c r="G6" s="344"/>
      <c r="H6" s="344"/>
    </row>
    <row r="8" spans="1:15" s="28" customFormat="1" ht="13">
      <c r="A8" s="345" t="s">
        <v>194</v>
      </c>
      <c r="B8" s="345"/>
      <c r="C8" s="345"/>
      <c r="D8" s="345"/>
      <c r="E8" s="345"/>
      <c r="F8" s="345"/>
      <c r="G8" s="345"/>
      <c r="H8" s="345"/>
    </row>
    <row r="10" spans="1:15">
      <c r="A10" s="5" t="s">
        <v>7</v>
      </c>
      <c r="C10" s="5" t="s">
        <v>195</v>
      </c>
      <c r="D10" s="5" t="s">
        <v>196</v>
      </c>
      <c r="E10" s="5"/>
      <c r="F10" s="5" t="s">
        <v>197</v>
      </c>
      <c r="G10" s="5"/>
      <c r="H10" s="5" t="s">
        <v>198</v>
      </c>
    </row>
    <row r="11" spans="1:15">
      <c r="A11" s="32" t="s">
        <v>12</v>
      </c>
      <c r="C11" s="102" t="s">
        <v>88</v>
      </c>
      <c r="D11" s="102" t="s">
        <v>89</v>
      </c>
      <c r="E11" s="5"/>
      <c r="F11" s="102" t="s">
        <v>90</v>
      </c>
      <c r="G11" s="102"/>
      <c r="H11" s="102" t="s">
        <v>13</v>
      </c>
    </row>
    <row r="12" spans="1:15">
      <c r="A12" s="5"/>
    </row>
    <row r="13" spans="1:15">
      <c r="A13" s="5"/>
    </row>
    <row r="14" spans="1:15">
      <c r="A14" s="5">
        <v>1</v>
      </c>
      <c r="C14" s="5">
        <v>2021</v>
      </c>
      <c r="D14" s="5" t="s">
        <v>105</v>
      </c>
      <c r="E14" s="35"/>
      <c r="F14" s="186">
        <v>-304364.01</v>
      </c>
      <c r="G14" s="186"/>
      <c r="H14" s="186">
        <v>-258449</v>
      </c>
    </row>
    <row r="15" spans="1:15">
      <c r="A15" s="5">
        <v>2</v>
      </c>
      <c r="C15" s="5">
        <f>C14</f>
        <v>2021</v>
      </c>
      <c r="D15" s="5" t="s">
        <v>106</v>
      </c>
      <c r="E15" s="35"/>
      <c r="F15" s="186">
        <v>-230691.07</v>
      </c>
      <c r="G15" s="186"/>
      <c r="H15" s="186">
        <v>-214193</v>
      </c>
    </row>
    <row r="16" spans="1:15">
      <c r="A16" s="5">
        <v>3</v>
      </c>
      <c r="C16" s="5">
        <f t="shared" ref="C16:C25" si="0">C15</f>
        <v>2021</v>
      </c>
      <c r="D16" s="5" t="s">
        <v>107</v>
      </c>
      <c r="E16" s="35"/>
      <c r="F16" s="186">
        <v>-127424.24</v>
      </c>
      <c r="G16" s="186"/>
      <c r="H16" s="186">
        <v>-263147</v>
      </c>
    </row>
    <row r="17" spans="1:8">
      <c r="A17" s="5">
        <v>4</v>
      </c>
      <c r="C17" s="5">
        <f t="shared" si="0"/>
        <v>2021</v>
      </c>
      <c r="D17" s="5" t="s">
        <v>108</v>
      </c>
      <c r="E17" s="35"/>
      <c r="F17" s="186">
        <v>-180005.17</v>
      </c>
      <c r="G17" s="186"/>
      <c r="H17" s="186">
        <v>82786</v>
      </c>
    </row>
    <row r="18" spans="1:8">
      <c r="A18" s="5">
        <v>5</v>
      </c>
      <c r="C18" s="5">
        <f t="shared" si="0"/>
        <v>2021</v>
      </c>
      <c r="D18" s="5" t="s">
        <v>109</v>
      </c>
      <c r="E18" s="35"/>
      <c r="F18" s="186">
        <v>72327.11</v>
      </c>
      <c r="G18" s="186"/>
      <c r="H18" s="186">
        <v>-137930</v>
      </c>
    </row>
    <row r="19" spans="1:8">
      <c r="A19" s="5">
        <v>6</v>
      </c>
      <c r="C19" s="5">
        <f t="shared" si="0"/>
        <v>2021</v>
      </c>
      <c r="D19" s="5" t="s">
        <v>110</v>
      </c>
      <c r="E19" s="35"/>
      <c r="F19" s="186">
        <v>-209572.04</v>
      </c>
      <c r="G19" s="186"/>
      <c r="H19" s="186">
        <v>-231017</v>
      </c>
    </row>
    <row r="20" spans="1:8">
      <c r="A20" s="5">
        <v>7</v>
      </c>
      <c r="C20" s="5">
        <f t="shared" si="0"/>
        <v>2021</v>
      </c>
      <c r="D20" s="5" t="s">
        <v>111</v>
      </c>
      <c r="E20" s="35"/>
      <c r="F20" s="186">
        <v>-265113.09999999998</v>
      </c>
      <c r="G20" s="186"/>
      <c r="H20" s="186">
        <v>-187091</v>
      </c>
    </row>
    <row r="21" spans="1:8">
      <c r="A21" s="5">
        <v>8</v>
      </c>
      <c r="C21" s="5">
        <f t="shared" si="0"/>
        <v>2021</v>
      </c>
      <c r="D21" s="5" t="s">
        <v>112</v>
      </c>
      <c r="E21" s="35"/>
      <c r="F21" s="186">
        <v>-209457.34</v>
      </c>
      <c r="G21" s="186"/>
      <c r="H21" s="186">
        <v>-177573</v>
      </c>
    </row>
    <row r="22" spans="1:8">
      <c r="A22" s="5">
        <v>9</v>
      </c>
      <c r="C22" s="5">
        <f t="shared" si="0"/>
        <v>2021</v>
      </c>
      <c r="D22" s="5" t="s">
        <v>113</v>
      </c>
      <c r="E22" s="35"/>
      <c r="F22" s="186">
        <v>-134540.12</v>
      </c>
      <c r="G22" s="186"/>
      <c r="H22" s="186">
        <v>-155991</v>
      </c>
    </row>
    <row r="23" spans="1:8">
      <c r="A23" s="5">
        <v>10</v>
      </c>
      <c r="C23" s="5">
        <f t="shared" si="0"/>
        <v>2021</v>
      </c>
      <c r="D23" s="5" t="s">
        <v>114</v>
      </c>
      <c r="E23" s="35"/>
      <c r="F23" s="186">
        <v>-104093.72</v>
      </c>
      <c r="G23" s="186"/>
      <c r="H23" s="186">
        <v>-92051</v>
      </c>
    </row>
    <row r="24" spans="1:8">
      <c r="A24" s="5">
        <v>11</v>
      </c>
      <c r="C24" s="5">
        <f t="shared" si="0"/>
        <v>2021</v>
      </c>
      <c r="D24" s="5" t="s">
        <v>115</v>
      </c>
      <c r="E24" s="35"/>
      <c r="F24" s="186">
        <v>-85149.25</v>
      </c>
      <c r="G24" s="186"/>
      <c r="H24" s="186">
        <v>-29779</v>
      </c>
    </row>
    <row r="25" spans="1:8">
      <c r="A25" s="5">
        <v>12</v>
      </c>
      <c r="C25" s="5">
        <f t="shared" si="0"/>
        <v>2021</v>
      </c>
      <c r="D25" s="5" t="s">
        <v>116</v>
      </c>
      <c r="E25" s="35"/>
      <c r="F25" s="186">
        <v>-78728.41</v>
      </c>
      <c r="G25" s="186"/>
      <c r="H25" s="186">
        <v>481309</v>
      </c>
    </row>
    <row r="26" spans="1:8">
      <c r="A26" s="5">
        <v>13</v>
      </c>
      <c r="C26" s="11"/>
      <c r="D26" s="103" t="s">
        <v>199</v>
      </c>
      <c r="E26" s="104"/>
      <c r="F26" s="104">
        <f>SUM(F14:F25)</f>
        <v>-1856811.3599999999</v>
      </c>
      <c r="G26" s="104"/>
      <c r="H26" s="104">
        <f>SUM(H14:H25)</f>
        <v>-1183126</v>
      </c>
    </row>
    <row r="27" spans="1:8">
      <c r="A27" s="5">
        <v>14</v>
      </c>
      <c r="E27" s="105"/>
      <c r="F27" s="105"/>
      <c r="G27" s="105"/>
    </row>
    <row r="28" spans="1:8">
      <c r="A28" s="5">
        <v>15</v>
      </c>
      <c r="C28" s="2" t="s">
        <v>200</v>
      </c>
      <c r="E28" s="105"/>
      <c r="F28" s="106">
        <f>F26</f>
        <v>-1856811.3599999999</v>
      </c>
      <c r="G28" s="106"/>
      <c r="H28" s="106">
        <f>H26</f>
        <v>-1183126</v>
      </c>
    </row>
    <row r="29" spans="1:8">
      <c r="A29" s="5">
        <v>16</v>
      </c>
      <c r="E29" s="105"/>
      <c r="F29" s="105"/>
      <c r="G29" s="105"/>
    </row>
    <row r="30" spans="1:8">
      <c r="A30" s="5">
        <v>17</v>
      </c>
      <c r="C30" s="2" t="s">
        <v>201</v>
      </c>
      <c r="E30" s="35"/>
      <c r="F30" s="35">
        <v>0</v>
      </c>
      <c r="G30" s="35"/>
      <c r="H30" s="35">
        <v>0</v>
      </c>
    </row>
    <row r="31" spans="1:8">
      <c r="A31" s="5">
        <v>18</v>
      </c>
    </row>
    <row r="32" spans="1:8" ht="13" thickBot="1">
      <c r="A32" s="5">
        <v>19</v>
      </c>
      <c r="C32" s="17" t="s">
        <v>10</v>
      </c>
      <c r="D32" s="17"/>
      <c r="E32" s="107"/>
      <c r="F32" s="108">
        <f>ROUND(F30-F28,2)</f>
        <v>1856811.36</v>
      </c>
      <c r="G32" s="107"/>
      <c r="H32" s="108">
        <f>ROUND(H30-H28,2)</f>
        <v>1183126</v>
      </c>
    </row>
    <row r="33" spans="3:8" ht="13" thickTop="1"/>
    <row r="35" spans="3:8" ht="31.15" customHeight="1">
      <c r="C35" s="346" t="s">
        <v>202</v>
      </c>
      <c r="D35" s="346"/>
      <c r="E35" s="346"/>
      <c r="F35" s="346"/>
      <c r="G35" s="346"/>
      <c r="H35" s="346"/>
    </row>
  </sheetData>
  <mergeCells count="4">
    <mergeCell ref="A5:H5"/>
    <mergeCell ref="A6:H6"/>
    <mergeCell ref="A8:H8"/>
    <mergeCell ref="C35:H3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C11:H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5"/>
  <sheetViews>
    <sheetView view="pageBreakPreview" zoomScale="60" zoomScaleNormal="100" workbookViewId="0">
      <selection activeCell="H1" sqref="H1"/>
    </sheetView>
  </sheetViews>
  <sheetFormatPr defaultColWidth="9.1796875" defaultRowHeight="12.5"/>
  <cols>
    <col min="1" max="1" width="5.81640625" style="2" customWidth="1"/>
    <col min="2" max="2" width="2.26953125" style="2" customWidth="1"/>
    <col min="3" max="3" width="11.7265625" style="2" customWidth="1"/>
    <col min="4" max="4" width="10.81640625" style="2" customWidth="1"/>
    <col min="5" max="5" width="3.453125" style="2" customWidth="1"/>
    <col min="6" max="6" width="15.26953125" style="2" customWidth="1"/>
    <col min="7" max="7" width="3.26953125" style="2" customWidth="1"/>
    <col min="8" max="8" width="14.453125" style="2" customWidth="1"/>
    <col min="9" max="16384" width="9.1796875" style="2"/>
  </cols>
  <sheetData>
    <row r="1" spans="1:8" ht="13">
      <c r="H1" s="4" t="str">
        <f>+'AG Summary'!D1</f>
        <v>Exhibit JD-1</v>
      </c>
    </row>
    <row r="2" spans="1:8" ht="13">
      <c r="G2" s="27"/>
      <c r="H2" s="27" t="s">
        <v>203</v>
      </c>
    </row>
    <row r="3" spans="1:8" ht="13">
      <c r="G3" s="27"/>
      <c r="H3" s="27"/>
    </row>
    <row r="4" spans="1:8" ht="13">
      <c r="G4" s="27"/>
      <c r="H4" s="27"/>
    </row>
    <row r="5" spans="1:8" ht="13">
      <c r="A5" s="344" t="str">
        <f>RevReq!A1</f>
        <v>TAYLOR COUNTY RECC</v>
      </c>
      <c r="B5" s="344"/>
      <c r="C5" s="344"/>
      <c r="D5" s="344"/>
      <c r="E5" s="344"/>
      <c r="F5" s="344"/>
      <c r="G5" s="344"/>
      <c r="H5" s="344"/>
    </row>
    <row r="6" spans="1:8" ht="13">
      <c r="A6" s="344" t="str">
        <f>RevReq!A3</f>
        <v>For the 12 Months Ended December 31, 2021</v>
      </c>
      <c r="B6" s="344"/>
      <c r="C6" s="344"/>
      <c r="D6" s="344"/>
      <c r="E6" s="344"/>
      <c r="F6" s="344"/>
      <c r="G6" s="344"/>
      <c r="H6" s="344"/>
    </row>
    <row r="8" spans="1:8" s="28" customFormat="1" ht="13">
      <c r="A8" s="345" t="s">
        <v>204</v>
      </c>
      <c r="B8" s="345"/>
      <c r="C8" s="345"/>
      <c r="D8" s="345"/>
      <c r="E8" s="345"/>
      <c r="F8" s="345"/>
      <c r="G8" s="345"/>
      <c r="H8" s="345"/>
    </row>
    <row r="10" spans="1:8">
      <c r="A10" s="5" t="s">
        <v>7</v>
      </c>
      <c r="C10" s="5" t="s">
        <v>195</v>
      </c>
      <c r="D10" s="5" t="s">
        <v>196</v>
      </c>
      <c r="E10" s="5"/>
      <c r="F10" s="5" t="s">
        <v>197</v>
      </c>
      <c r="G10" s="5"/>
      <c r="H10" s="5" t="s">
        <v>198</v>
      </c>
    </row>
    <row r="11" spans="1:8">
      <c r="A11" s="32" t="s">
        <v>12</v>
      </c>
      <c r="C11" s="102" t="s">
        <v>88</v>
      </c>
      <c r="D11" s="102" t="s">
        <v>89</v>
      </c>
      <c r="E11" s="5"/>
      <c r="F11" s="102" t="s">
        <v>90</v>
      </c>
      <c r="G11" s="102"/>
      <c r="H11" s="102" t="s">
        <v>13</v>
      </c>
    </row>
    <row r="12" spans="1:8">
      <c r="A12" s="5"/>
    </row>
    <row r="13" spans="1:8">
      <c r="A13" s="5"/>
    </row>
    <row r="14" spans="1:8">
      <c r="A14" s="5">
        <v>1</v>
      </c>
      <c r="C14" s="5">
        <v>2021</v>
      </c>
      <c r="D14" s="5" t="s">
        <v>105</v>
      </c>
      <c r="E14" s="35"/>
      <c r="F14" s="186">
        <v>667829.63</v>
      </c>
      <c r="G14" s="186"/>
      <c r="H14" s="186">
        <v>681785</v>
      </c>
    </row>
    <row r="15" spans="1:8">
      <c r="A15" s="5">
        <v>2</v>
      </c>
      <c r="C15" s="5">
        <f>C14</f>
        <v>2021</v>
      </c>
      <c r="D15" s="5" t="s">
        <v>106</v>
      </c>
      <c r="E15" s="35"/>
      <c r="F15" s="186">
        <v>619822.78</v>
      </c>
      <c r="G15" s="186"/>
      <c r="H15" s="186">
        <v>623330</v>
      </c>
    </row>
    <row r="16" spans="1:8">
      <c r="A16" s="5">
        <v>3</v>
      </c>
      <c r="C16" s="5">
        <f t="shared" ref="C16:C25" si="0">C15</f>
        <v>2021</v>
      </c>
      <c r="D16" s="5" t="s">
        <v>107</v>
      </c>
      <c r="E16" s="35"/>
      <c r="F16" s="186">
        <v>442305.18</v>
      </c>
      <c r="G16" s="186"/>
      <c r="H16" s="186">
        <v>424950</v>
      </c>
    </row>
    <row r="17" spans="1:8">
      <c r="A17" s="5">
        <v>4</v>
      </c>
      <c r="C17" s="5">
        <f t="shared" si="0"/>
        <v>2021</v>
      </c>
      <c r="D17" s="5" t="s">
        <v>108</v>
      </c>
      <c r="E17" s="35"/>
      <c r="F17" s="186">
        <v>301221.88</v>
      </c>
      <c r="G17" s="186"/>
      <c r="H17" s="186">
        <v>333393</v>
      </c>
    </row>
    <row r="18" spans="1:8">
      <c r="A18" s="5">
        <v>5</v>
      </c>
      <c r="C18" s="5">
        <f t="shared" si="0"/>
        <v>2021</v>
      </c>
      <c r="D18" s="5" t="s">
        <v>109</v>
      </c>
      <c r="E18" s="35"/>
      <c r="F18" s="186">
        <v>371557.22</v>
      </c>
      <c r="G18" s="186"/>
      <c r="H18" s="186">
        <v>336589</v>
      </c>
    </row>
    <row r="19" spans="1:8">
      <c r="A19" s="5">
        <v>6</v>
      </c>
      <c r="C19" s="5">
        <f t="shared" si="0"/>
        <v>2021</v>
      </c>
      <c r="D19" s="5" t="s">
        <v>110</v>
      </c>
      <c r="E19" s="35"/>
      <c r="F19" s="186">
        <v>365240.32000000001</v>
      </c>
      <c r="G19" s="186"/>
      <c r="H19" s="186">
        <v>351107</v>
      </c>
    </row>
    <row r="20" spans="1:8">
      <c r="A20" s="5">
        <v>7</v>
      </c>
      <c r="C20" s="5">
        <f t="shared" si="0"/>
        <v>2021</v>
      </c>
      <c r="D20" s="5" t="s">
        <v>111</v>
      </c>
      <c r="E20" s="35"/>
      <c r="F20" s="186">
        <v>595431.47</v>
      </c>
      <c r="G20" s="186"/>
      <c r="H20" s="186">
        <v>615641</v>
      </c>
    </row>
    <row r="21" spans="1:8">
      <c r="A21" s="5">
        <v>8</v>
      </c>
      <c r="C21" s="5">
        <f t="shared" si="0"/>
        <v>2021</v>
      </c>
      <c r="D21" s="5" t="s">
        <v>112</v>
      </c>
      <c r="E21" s="35"/>
      <c r="F21" s="186">
        <v>605696.36</v>
      </c>
      <c r="G21" s="186"/>
      <c r="H21" s="186">
        <v>594904</v>
      </c>
    </row>
    <row r="22" spans="1:8">
      <c r="A22" s="5">
        <v>9</v>
      </c>
      <c r="C22" s="5">
        <f t="shared" si="0"/>
        <v>2021</v>
      </c>
      <c r="D22" s="5" t="s">
        <v>113</v>
      </c>
      <c r="E22" s="35"/>
      <c r="F22" s="186">
        <v>565831.5</v>
      </c>
      <c r="G22" s="186"/>
      <c r="H22" s="186">
        <v>557773</v>
      </c>
    </row>
    <row r="23" spans="1:8">
      <c r="A23" s="5">
        <v>10</v>
      </c>
      <c r="C23" s="5">
        <f t="shared" si="0"/>
        <v>2021</v>
      </c>
      <c r="D23" s="5" t="s">
        <v>114</v>
      </c>
      <c r="E23" s="35"/>
      <c r="F23" s="186">
        <v>407233.4</v>
      </c>
      <c r="G23" s="186"/>
      <c r="H23" s="186">
        <v>407683</v>
      </c>
    </row>
    <row r="24" spans="1:8">
      <c r="A24" s="5">
        <v>11</v>
      </c>
      <c r="C24" s="5">
        <f t="shared" si="0"/>
        <v>2021</v>
      </c>
      <c r="D24" s="5" t="s">
        <v>115</v>
      </c>
      <c r="E24" s="35"/>
      <c r="F24" s="186">
        <v>390321.24</v>
      </c>
      <c r="G24" s="186"/>
      <c r="H24" s="186">
        <v>382266</v>
      </c>
    </row>
    <row r="25" spans="1:8">
      <c r="A25" s="5">
        <v>12</v>
      </c>
      <c r="C25" s="5">
        <f t="shared" si="0"/>
        <v>2021</v>
      </c>
      <c r="D25" s="5" t="s">
        <v>116</v>
      </c>
      <c r="E25" s="35"/>
      <c r="F25" s="186">
        <v>577218.59</v>
      </c>
      <c r="G25" s="186"/>
      <c r="H25" s="186">
        <v>703411</v>
      </c>
    </row>
    <row r="26" spans="1:8">
      <c r="A26" s="5">
        <v>13</v>
      </c>
      <c r="C26" s="11"/>
      <c r="D26" s="103" t="s">
        <v>199</v>
      </c>
      <c r="E26" s="104"/>
      <c r="F26" s="104">
        <f>SUM(F14:F25)</f>
        <v>5909709.5700000003</v>
      </c>
      <c r="G26" s="104"/>
      <c r="H26" s="104">
        <f>SUM(H14:H25)</f>
        <v>6012832</v>
      </c>
    </row>
    <row r="27" spans="1:8">
      <c r="A27" s="5">
        <v>14</v>
      </c>
      <c r="E27" s="105"/>
      <c r="F27" s="105"/>
      <c r="G27" s="105"/>
    </row>
    <row r="28" spans="1:8">
      <c r="A28" s="5">
        <v>15</v>
      </c>
      <c r="C28" s="2" t="s">
        <v>200</v>
      </c>
      <c r="E28" s="105"/>
      <c r="F28" s="106">
        <f>F26</f>
        <v>5909709.5700000003</v>
      </c>
      <c r="G28" s="106"/>
      <c r="H28" s="106">
        <f>H26</f>
        <v>6012832</v>
      </c>
    </row>
    <row r="29" spans="1:8">
      <c r="A29" s="5">
        <v>16</v>
      </c>
      <c r="E29" s="105"/>
      <c r="F29" s="106"/>
      <c r="G29" s="106"/>
    </row>
    <row r="30" spans="1:8">
      <c r="A30" s="5">
        <v>17</v>
      </c>
      <c r="C30" s="2" t="s">
        <v>201</v>
      </c>
      <c r="E30" s="35"/>
      <c r="F30" s="35">
        <v>0</v>
      </c>
      <c r="G30" s="35"/>
      <c r="H30" s="35">
        <v>0</v>
      </c>
    </row>
    <row r="31" spans="1:8">
      <c r="A31" s="5">
        <v>18</v>
      </c>
    </row>
    <row r="32" spans="1:8" ht="13" thickBot="1">
      <c r="A32" s="5">
        <v>19</v>
      </c>
      <c r="C32" s="17" t="s">
        <v>10</v>
      </c>
      <c r="D32" s="17"/>
      <c r="E32" s="107"/>
      <c r="F32" s="108">
        <f>ROUND(F30-F28,2)</f>
        <v>-5909709.5700000003</v>
      </c>
      <c r="G32" s="107"/>
      <c r="H32" s="108">
        <f>ROUND(H30-H28,2)</f>
        <v>-6012832</v>
      </c>
    </row>
    <row r="33" spans="3:8" ht="13" thickTop="1"/>
    <row r="35" spans="3:8" ht="32.5" customHeight="1">
      <c r="C35" s="346" t="s">
        <v>205</v>
      </c>
      <c r="D35" s="346"/>
      <c r="E35" s="346"/>
      <c r="F35" s="346"/>
      <c r="G35" s="346"/>
      <c r="H35" s="346"/>
    </row>
  </sheetData>
  <mergeCells count="4">
    <mergeCell ref="A5:H5"/>
    <mergeCell ref="A6:H6"/>
    <mergeCell ref="A8:H8"/>
    <mergeCell ref="C35:H3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C11:H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view="pageBreakPreview" zoomScale="60" zoomScaleNormal="100" workbookViewId="0">
      <selection activeCell="F1" sqref="F1"/>
    </sheetView>
  </sheetViews>
  <sheetFormatPr defaultColWidth="9.1796875" defaultRowHeight="12.5"/>
  <cols>
    <col min="1" max="1" width="4" style="66" customWidth="1"/>
    <col min="2" max="2" width="23.7265625" style="66" bestFit="1" customWidth="1"/>
    <col min="3" max="3" width="20.7265625" style="66" customWidth="1"/>
    <col min="4" max="4" width="12.26953125" style="66" customWidth="1"/>
    <col min="5" max="5" width="11.54296875" style="68" customWidth="1"/>
    <col min="6" max="6" width="16.7265625" style="66" customWidth="1"/>
    <col min="7" max="12" width="18.1796875" style="66" customWidth="1"/>
    <col min="13" max="13" width="10.54296875" style="66" bestFit="1" customWidth="1"/>
    <col min="14" max="16384" width="9.1796875" style="66"/>
  </cols>
  <sheetData>
    <row r="1" spans="1:15" ht="13">
      <c r="F1" s="163" t="str">
        <f>+'AG Summary'!D1</f>
        <v>Exhibit JD-1</v>
      </c>
    </row>
    <row r="2" spans="1:15" ht="15" customHeight="1">
      <c r="E2" s="86"/>
      <c r="F2" s="26" t="s">
        <v>219</v>
      </c>
      <c r="G2" s="26"/>
    </row>
    <row r="3" spans="1:15" ht="15" customHeight="1">
      <c r="F3" s="147"/>
      <c r="G3" s="26"/>
      <c r="H3" s="26"/>
    </row>
    <row r="4" spans="1:15" ht="13">
      <c r="G4" s="26"/>
      <c r="H4" s="26"/>
    </row>
    <row r="5" spans="1:15" ht="13">
      <c r="B5" s="347" t="str">
        <f>RevReq!A1</f>
        <v>TAYLOR COUNTY RECC</v>
      </c>
      <c r="C5" s="347"/>
      <c r="D5" s="347"/>
      <c r="E5" s="347"/>
      <c r="F5" s="347"/>
      <c r="G5" s="41"/>
      <c r="H5" s="41"/>
      <c r="I5" s="41"/>
      <c r="J5" s="41"/>
      <c r="K5" s="41"/>
      <c r="L5" s="41"/>
      <c r="M5" s="41"/>
      <c r="N5" s="41"/>
      <c r="O5" s="41"/>
    </row>
    <row r="6" spans="1:15" ht="13">
      <c r="B6" s="347" t="str">
        <f>RevReq!A3</f>
        <v>For the 12 Months Ended December 31, 2021</v>
      </c>
      <c r="C6" s="347"/>
      <c r="D6" s="347"/>
      <c r="E6" s="347"/>
      <c r="F6" s="347"/>
      <c r="G6" s="41"/>
      <c r="H6" s="41"/>
      <c r="I6" s="41"/>
      <c r="J6" s="41"/>
      <c r="K6" s="41"/>
      <c r="L6" s="41"/>
    </row>
    <row r="8" spans="1:15" s="42" customFormat="1" ht="15" customHeight="1">
      <c r="B8" s="345" t="s">
        <v>206</v>
      </c>
      <c r="C8" s="345"/>
      <c r="D8" s="345"/>
      <c r="E8" s="345"/>
      <c r="F8" s="345"/>
      <c r="G8" s="48"/>
      <c r="H8" s="48"/>
      <c r="I8" s="48"/>
      <c r="J8" s="48"/>
      <c r="K8" s="48"/>
      <c r="L8" s="48"/>
    </row>
    <row r="10" spans="1:15" ht="28.9" customHeight="1">
      <c r="A10" s="109" t="s">
        <v>12</v>
      </c>
      <c r="B10" s="110" t="s">
        <v>207</v>
      </c>
      <c r="C10" s="111" t="s">
        <v>220</v>
      </c>
      <c r="D10" s="112" t="s">
        <v>208</v>
      </c>
      <c r="E10" s="113" t="s">
        <v>209</v>
      </c>
      <c r="F10" s="114" t="s">
        <v>210</v>
      </c>
    </row>
    <row r="11" spans="1:15" ht="13">
      <c r="A11" s="77">
        <v>1</v>
      </c>
      <c r="B11" s="115" t="s">
        <v>211</v>
      </c>
      <c r="C11" s="116">
        <v>4265906.04</v>
      </c>
      <c r="D11" s="117" t="s">
        <v>221</v>
      </c>
      <c r="E11" s="118">
        <v>3.3059999999999999E-2</v>
      </c>
      <c r="F11" s="119">
        <f>ROUND(C11*E11,20)</f>
        <v>141030.85368239999</v>
      </c>
      <c r="G11" s="120"/>
      <c r="H11" s="120"/>
      <c r="I11" s="120"/>
      <c r="J11" s="120"/>
      <c r="K11" s="120"/>
      <c r="L11" s="120"/>
    </row>
    <row r="12" spans="1:15" ht="13">
      <c r="A12" s="77">
        <f>A11+1</f>
        <v>2</v>
      </c>
      <c r="B12" s="115" t="s">
        <v>212</v>
      </c>
      <c r="C12" s="116">
        <v>4752708.9800000004</v>
      </c>
      <c r="D12" s="117" t="s">
        <v>221</v>
      </c>
      <c r="E12" s="118">
        <v>3.3950000000000001E-2</v>
      </c>
      <c r="F12" s="119">
        <f t="shared" ref="F12:F31" si="0">ROUND(C12*E12,20)</f>
        <v>161354.46987100001</v>
      </c>
      <c r="G12" s="121"/>
      <c r="H12" s="121"/>
      <c r="I12" s="121"/>
      <c r="J12" s="121"/>
      <c r="K12" s="121"/>
      <c r="L12" s="121"/>
    </row>
    <row r="13" spans="1:15">
      <c r="A13" s="77">
        <f t="shared" ref="A13:A40" si="1">A12+1</f>
        <v>3</v>
      </c>
      <c r="B13" s="122" t="s">
        <v>213</v>
      </c>
      <c r="C13" s="116">
        <v>3649134.95</v>
      </c>
      <c r="D13" s="117" t="s">
        <v>221</v>
      </c>
      <c r="E13" s="118">
        <v>3.3950000000000001E-2</v>
      </c>
      <c r="F13" s="119">
        <f t="shared" si="0"/>
        <v>123888.1315525</v>
      </c>
      <c r="G13" s="116"/>
      <c r="H13" s="116"/>
      <c r="I13" s="116"/>
      <c r="J13" s="116"/>
      <c r="K13" s="116"/>
      <c r="L13" s="116"/>
      <c r="M13" s="116"/>
    </row>
    <row r="14" spans="1:15">
      <c r="A14" s="77">
        <f t="shared" si="1"/>
        <v>4</v>
      </c>
      <c r="B14" s="115" t="s">
        <v>214</v>
      </c>
      <c r="C14" s="116">
        <v>3144353.11</v>
      </c>
      <c r="D14" s="117" t="s">
        <v>221</v>
      </c>
      <c r="E14" s="118">
        <v>3.3950000000000001E-2</v>
      </c>
      <c r="F14" s="119">
        <f t="shared" si="0"/>
        <v>106750.7880845</v>
      </c>
      <c r="G14" s="116"/>
      <c r="H14" s="116"/>
      <c r="I14" s="116"/>
      <c r="J14" s="116"/>
      <c r="K14" s="116"/>
      <c r="L14" s="116"/>
    </row>
    <row r="15" spans="1:15">
      <c r="A15" s="77">
        <f t="shared" si="1"/>
        <v>5</v>
      </c>
      <c r="B15" s="123" t="s">
        <v>224</v>
      </c>
      <c r="C15" s="116">
        <v>2986356.66</v>
      </c>
      <c r="D15" s="117" t="s">
        <v>221</v>
      </c>
      <c r="E15" s="118">
        <v>0.03</v>
      </c>
      <c r="F15" s="119">
        <f t="shared" si="0"/>
        <v>89590.699800000002</v>
      </c>
      <c r="G15" s="116"/>
      <c r="H15" s="116"/>
      <c r="I15" s="116"/>
      <c r="J15" s="116"/>
      <c r="K15" s="116"/>
      <c r="L15" s="116"/>
    </row>
    <row r="16" spans="1:15">
      <c r="A16" s="77">
        <f t="shared" si="1"/>
        <v>6</v>
      </c>
      <c r="B16" s="123" t="s">
        <v>225</v>
      </c>
      <c r="C16" s="116">
        <v>434386.49</v>
      </c>
      <c r="D16" s="117" t="s">
        <v>226</v>
      </c>
      <c r="E16" s="118">
        <v>1.375E-2</v>
      </c>
      <c r="F16" s="119">
        <f t="shared" si="0"/>
        <v>5972.8142374999998</v>
      </c>
      <c r="G16" s="116"/>
      <c r="H16" s="116"/>
      <c r="I16" s="116"/>
      <c r="J16" s="116"/>
      <c r="K16" s="116"/>
      <c r="L16" s="116"/>
    </row>
    <row r="17" spans="1:13">
      <c r="A17" s="77">
        <f t="shared" si="1"/>
        <v>7</v>
      </c>
      <c r="B17" s="123" t="s">
        <v>222</v>
      </c>
      <c r="C17" s="116">
        <v>337308.31</v>
      </c>
      <c r="D17" s="117" t="s">
        <v>226</v>
      </c>
      <c r="E17" s="118">
        <v>5.3749999999999999E-2</v>
      </c>
      <c r="F17" s="119">
        <f t="shared" si="0"/>
        <v>18130.321662499999</v>
      </c>
      <c r="G17" s="116"/>
      <c r="H17" s="116"/>
      <c r="I17" s="116"/>
      <c r="J17" s="116"/>
      <c r="K17" s="116"/>
      <c r="L17" s="116"/>
    </row>
    <row r="18" spans="1:13">
      <c r="A18" s="77">
        <f t="shared" si="1"/>
        <v>8</v>
      </c>
      <c r="B18" s="123" t="s">
        <v>227</v>
      </c>
      <c r="C18" s="144">
        <v>148.46</v>
      </c>
      <c r="D18" s="117" t="s">
        <v>226</v>
      </c>
      <c r="E18" s="145">
        <v>1.375E-2</v>
      </c>
      <c r="F18" s="146">
        <f t="shared" si="0"/>
        <v>2.0413250000000001</v>
      </c>
      <c r="G18" s="144"/>
      <c r="H18" s="144"/>
      <c r="I18" s="144"/>
      <c r="J18" s="144"/>
      <c r="K18" s="144"/>
      <c r="L18" s="144"/>
    </row>
    <row r="19" spans="1:13">
      <c r="A19" s="77">
        <f t="shared" si="1"/>
        <v>9</v>
      </c>
      <c r="B19" s="148" t="s">
        <v>228</v>
      </c>
      <c r="C19" s="116">
        <v>557721.87</v>
      </c>
      <c r="D19" s="117" t="s">
        <v>226</v>
      </c>
      <c r="E19" s="118">
        <v>1.375E-2</v>
      </c>
      <c r="F19" s="119">
        <f t="shared" si="0"/>
        <v>7668.6757125000004</v>
      </c>
      <c r="G19" s="116"/>
      <c r="H19" s="116"/>
      <c r="I19" s="116"/>
      <c r="J19" s="116"/>
      <c r="K19" s="116"/>
      <c r="L19" s="116"/>
    </row>
    <row r="20" spans="1:13">
      <c r="A20" s="77">
        <f t="shared" si="1"/>
        <v>10</v>
      </c>
      <c r="B20" s="148" t="s">
        <v>229</v>
      </c>
      <c r="C20" s="116">
        <v>103977.91</v>
      </c>
      <c r="D20" s="117" t="s">
        <v>226</v>
      </c>
      <c r="E20" s="118">
        <v>1.6250000000000001E-2</v>
      </c>
      <c r="F20" s="119">
        <f t="shared" si="0"/>
        <v>1689.6410375</v>
      </c>
      <c r="G20" s="116"/>
      <c r="H20" s="116"/>
      <c r="I20" s="116"/>
      <c r="J20" s="116"/>
      <c r="K20" s="116"/>
      <c r="L20" s="116"/>
    </row>
    <row r="21" spans="1:13">
      <c r="A21" s="77">
        <f t="shared" si="1"/>
        <v>11</v>
      </c>
      <c r="B21" s="148" t="s">
        <v>230</v>
      </c>
      <c r="C21" s="116">
        <v>732421.68</v>
      </c>
      <c r="D21" s="117" t="s">
        <v>226</v>
      </c>
      <c r="E21" s="118">
        <v>1.8749999999999999E-2</v>
      </c>
      <c r="F21" s="119">
        <f t="shared" si="0"/>
        <v>13732.906499999999</v>
      </c>
      <c r="G21" s="116"/>
      <c r="H21" s="116"/>
      <c r="I21" s="116"/>
      <c r="J21" s="116"/>
      <c r="K21" s="116"/>
      <c r="L21" s="116"/>
    </row>
    <row r="22" spans="1:13">
      <c r="A22" s="77">
        <f t="shared" si="1"/>
        <v>12</v>
      </c>
      <c r="B22" s="149" t="s">
        <v>223</v>
      </c>
      <c r="C22" s="124">
        <v>227.67</v>
      </c>
      <c r="D22" s="117" t="s">
        <v>226</v>
      </c>
      <c r="E22" s="125">
        <v>2.5000000000000001E-3</v>
      </c>
      <c r="F22" s="119">
        <f t="shared" si="0"/>
        <v>0.56917499999999999</v>
      </c>
      <c r="G22" s="116"/>
      <c r="H22" s="116"/>
      <c r="I22" s="116"/>
      <c r="J22" s="116"/>
      <c r="K22" s="116"/>
      <c r="L22" s="116"/>
    </row>
    <row r="23" spans="1:13">
      <c r="A23" s="77">
        <f t="shared" si="1"/>
        <v>13</v>
      </c>
      <c r="B23" s="148" t="s">
        <v>231</v>
      </c>
      <c r="C23" s="124">
        <v>806836.56</v>
      </c>
      <c r="D23" s="117" t="s">
        <v>226</v>
      </c>
      <c r="E23" s="125">
        <v>2.5000000000000001E-3</v>
      </c>
      <c r="F23" s="119">
        <f t="shared" si="0"/>
        <v>2017.0914</v>
      </c>
      <c r="G23" s="116"/>
      <c r="H23" s="116"/>
      <c r="I23" s="116"/>
      <c r="J23" s="116"/>
      <c r="K23" s="116"/>
      <c r="L23" s="116"/>
    </row>
    <row r="24" spans="1:13">
      <c r="A24" s="77">
        <f t="shared" si="1"/>
        <v>14</v>
      </c>
      <c r="B24" s="148" t="s">
        <v>232</v>
      </c>
      <c r="C24" s="124">
        <v>450763.77</v>
      </c>
      <c r="D24" s="117" t="s">
        <v>226</v>
      </c>
      <c r="E24" s="125">
        <v>2.5000000000000001E-3</v>
      </c>
      <c r="F24" s="119">
        <f t="shared" si="0"/>
        <v>1126.9094250000001</v>
      </c>
      <c r="G24" s="116"/>
      <c r="H24" s="116"/>
      <c r="I24" s="116"/>
      <c r="J24" s="116"/>
      <c r="K24" s="116"/>
      <c r="L24" s="116"/>
    </row>
    <row r="25" spans="1:13">
      <c r="A25" s="77">
        <f t="shared" si="1"/>
        <v>15</v>
      </c>
      <c r="B25" s="150" t="s">
        <v>233</v>
      </c>
      <c r="C25" s="126">
        <v>432660.04</v>
      </c>
      <c r="D25" s="117" t="s">
        <v>226</v>
      </c>
      <c r="E25" s="127">
        <v>2.5000000000000001E-3</v>
      </c>
      <c r="F25" s="119">
        <f t="shared" si="0"/>
        <v>1081.6501000000001</v>
      </c>
      <c r="G25" s="116"/>
      <c r="H25" s="116"/>
      <c r="I25" s="116"/>
      <c r="J25" s="116"/>
      <c r="K25" s="116"/>
      <c r="L25" s="116"/>
    </row>
    <row r="26" spans="1:13" ht="14.5">
      <c r="A26" s="77">
        <f t="shared" si="1"/>
        <v>16</v>
      </c>
      <c r="B26" s="39" t="s">
        <v>234</v>
      </c>
      <c r="C26" s="128">
        <v>106773.57</v>
      </c>
      <c r="D26" s="117" t="s">
        <v>215</v>
      </c>
      <c r="E26" s="129">
        <v>3.3099999999999997E-2</v>
      </c>
      <c r="F26" s="119">
        <f t="shared" si="0"/>
        <v>3534.2051670000001</v>
      </c>
      <c r="G26" s="116"/>
      <c r="H26" s="116"/>
      <c r="I26" s="116"/>
      <c r="J26" s="116"/>
      <c r="K26" s="116"/>
      <c r="L26" s="116"/>
    </row>
    <row r="27" spans="1:13" ht="14.5">
      <c r="A27" s="77">
        <f t="shared" si="1"/>
        <v>17</v>
      </c>
      <c r="B27" s="39" t="s">
        <v>235</v>
      </c>
      <c r="C27" s="128">
        <v>335931.71</v>
      </c>
      <c r="D27" s="117" t="s">
        <v>215</v>
      </c>
      <c r="E27" s="129">
        <v>3.8300000000000001E-2</v>
      </c>
      <c r="F27" s="119">
        <f t="shared" si="0"/>
        <v>12866.184493000001</v>
      </c>
      <c r="G27" s="124"/>
      <c r="H27" s="124"/>
      <c r="I27" s="124"/>
      <c r="J27" s="116"/>
      <c r="K27" s="116"/>
      <c r="L27" s="116"/>
      <c r="M27" s="116"/>
    </row>
    <row r="28" spans="1:13" ht="14.5">
      <c r="A28" s="77">
        <f t="shared" si="1"/>
        <v>18</v>
      </c>
      <c r="B28" s="39" t="s">
        <v>236</v>
      </c>
      <c r="C28" s="128">
        <v>1156125.77</v>
      </c>
      <c r="D28" s="117" t="s">
        <v>215</v>
      </c>
      <c r="E28" s="130">
        <v>6.2100000000000002E-2</v>
      </c>
      <c r="F28" s="119">
        <f t="shared" si="0"/>
        <v>71795.410317000002</v>
      </c>
      <c r="G28" s="124"/>
      <c r="H28" s="124"/>
      <c r="I28" s="124"/>
      <c r="J28" s="116"/>
      <c r="K28" s="116"/>
      <c r="L28" s="116"/>
    </row>
    <row r="29" spans="1:13" ht="14.5">
      <c r="A29" s="77">
        <f t="shared" si="1"/>
        <v>19</v>
      </c>
      <c r="B29" s="39" t="s">
        <v>237</v>
      </c>
      <c r="C29" s="128">
        <v>988960.52</v>
      </c>
      <c r="D29" s="117" t="s">
        <v>215</v>
      </c>
      <c r="E29" s="130">
        <v>4.2599999999999999E-2</v>
      </c>
      <c r="F29" s="119">
        <f t="shared" si="0"/>
        <v>42129.718152000001</v>
      </c>
      <c r="G29" s="124"/>
      <c r="H29" s="124"/>
      <c r="I29" s="124"/>
      <c r="J29" s="116"/>
      <c r="K29" s="116"/>
      <c r="L29" s="116"/>
    </row>
    <row r="30" spans="1:13" ht="14.5">
      <c r="A30" s="77">
        <f t="shared" si="1"/>
        <v>20</v>
      </c>
      <c r="B30" s="39" t="s">
        <v>238</v>
      </c>
      <c r="C30" s="128">
        <v>945570.57</v>
      </c>
      <c r="D30" s="117" t="s">
        <v>215</v>
      </c>
      <c r="E30" s="130">
        <v>4.5199999999999997E-2</v>
      </c>
      <c r="F30" s="119">
        <f t="shared" si="0"/>
        <v>42739.789764000001</v>
      </c>
      <c r="G30" s="131"/>
      <c r="H30" s="131"/>
    </row>
    <row r="31" spans="1:13" ht="14.5">
      <c r="A31" s="77">
        <f>A30+1</f>
        <v>21</v>
      </c>
      <c r="B31" s="151" t="s">
        <v>239</v>
      </c>
      <c r="C31" s="133">
        <v>3699317.79</v>
      </c>
      <c r="D31" s="134" t="s">
        <v>215</v>
      </c>
      <c r="E31" s="135">
        <v>4.58E-2</v>
      </c>
      <c r="F31" s="136">
        <f t="shared" si="0"/>
        <v>169428.754782</v>
      </c>
      <c r="G31" s="131"/>
      <c r="H31" s="131"/>
    </row>
    <row r="32" spans="1:13">
      <c r="A32" s="77">
        <f t="shared" si="1"/>
        <v>22</v>
      </c>
      <c r="B32" s="122" t="s">
        <v>216</v>
      </c>
      <c r="C32" s="137">
        <f>SUM(C11:C31)</f>
        <v>29887592.429999996</v>
      </c>
      <c r="D32" s="131"/>
      <c r="E32" s="138"/>
      <c r="F32" s="139">
        <f>SUM(F11:F31)</f>
        <v>1016531.6262404</v>
      </c>
      <c r="G32" s="131"/>
      <c r="H32" s="131"/>
    </row>
    <row r="33" spans="1:15">
      <c r="A33" s="77">
        <f t="shared" si="1"/>
        <v>23</v>
      </c>
      <c r="B33" s="97" t="s">
        <v>240</v>
      </c>
      <c r="C33" s="308">
        <v>11475844</v>
      </c>
      <c r="D33" s="309" t="s">
        <v>221</v>
      </c>
      <c r="E33" s="310">
        <v>0.04</v>
      </c>
      <c r="F33" s="311">
        <v>459033</v>
      </c>
      <c r="G33" s="131"/>
      <c r="H33" s="131"/>
    </row>
    <row r="34" spans="1:15">
      <c r="A34" s="77">
        <f t="shared" si="1"/>
        <v>24</v>
      </c>
      <c r="B34" s="122"/>
      <c r="C34" s="137">
        <f>SUM(C32:C33)</f>
        <v>41363436.429999992</v>
      </c>
      <c r="D34" s="131"/>
      <c r="E34" s="138"/>
      <c r="F34" s="139">
        <f>SUM(F32:F33)</f>
        <v>1475564.6262404001</v>
      </c>
      <c r="G34" s="131"/>
      <c r="H34" s="131"/>
    </row>
    <row r="35" spans="1:15">
      <c r="A35" s="77">
        <f t="shared" si="1"/>
        <v>25</v>
      </c>
      <c r="B35" s="140"/>
      <c r="C35" s="131"/>
      <c r="D35" s="131"/>
      <c r="E35" s="138"/>
      <c r="F35" s="131"/>
      <c r="G35" s="131"/>
      <c r="H35" s="131"/>
    </row>
    <row r="36" spans="1:15">
      <c r="A36" s="77">
        <f t="shared" si="1"/>
        <v>26</v>
      </c>
      <c r="B36" s="138" t="s">
        <v>200</v>
      </c>
      <c r="F36" s="75">
        <f>62787.58+172196.54+407685.65</f>
        <v>642669.77</v>
      </c>
    </row>
    <row r="37" spans="1:15">
      <c r="A37" s="77">
        <f t="shared" si="1"/>
        <v>27</v>
      </c>
      <c r="B37" s="138"/>
    </row>
    <row r="38" spans="1:15">
      <c r="A38" s="77">
        <f t="shared" si="1"/>
        <v>28</v>
      </c>
      <c r="B38" s="138" t="s">
        <v>201</v>
      </c>
      <c r="F38" s="139">
        <f>F34</f>
        <v>1475564.6262404001</v>
      </c>
    </row>
    <row r="39" spans="1:15">
      <c r="A39" s="77">
        <f t="shared" si="1"/>
        <v>29</v>
      </c>
      <c r="B39" s="138"/>
    </row>
    <row r="40" spans="1:15" ht="13" thickBot="1">
      <c r="A40" s="77">
        <f t="shared" si="1"/>
        <v>30</v>
      </c>
      <c r="B40" s="141" t="s">
        <v>217</v>
      </c>
      <c r="C40" s="82"/>
      <c r="D40" s="82"/>
      <c r="E40" s="141"/>
      <c r="F40" s="142">
        <f>+F38-F36</f>
        <v>832894.85624040011</v>
      </c>
    </row>
    <row r="41" spans="1:15" ht="13" thickTop="1">
      <c r="A41" s="77"/>
      <c r="B41" s="140"/>
      <c r="C41" s="131"/>
      <c r="D41" s="131"/>
      <c r="E41" s="138"/>
      <c r="F41" s="131"/>
      <c r="G41" s="131"/>
      <c r="H41" s="131"/>
    </row>
    <row r="42" spans="1:15" ht="19.149999999999999" customHeight="1">
      <c r="B42" s="348" t="s">
        <v>218</v>
      </c>
      <c r="C42" s="348"/>
      <c r="D42" s="348"/>
      <c r="E42" s="348"/>
      <c r="F42" s="348"/>
      <c r="G42" s="143"/>
      <c r="H42" s="143"/>
      <c r="I42" s="143"/>
      <c r="J42" s="143"/>
      <c r="K42" s="143"/>
      <c r="L42" s="143"/>
      <c r="M42" s="143"/>
      <c r="N42" s="143"/>
      <c r="O42" s="143"/>
    </row>
    <row r="43" spans="1:15">
      <c r="C43" s="131"/>
      <c r="D43" s="131"/>
      <c r="E43" s="138"/>
      <c r="F43" s="131"/>
      <c r="G43" s="131"/>
      <c r="H43" s="131"/>
    </row>
    <row r="44" spans="1:15">
      <c r="C44" s="131"/>
      <c r="D44" s="131"/>
      <c r="E44" s="138"/>
      <c r="F44" s="131"/>
      <c r="G44" s="131"/>
      <c r="H44" s="131"/>
    </row>
    <row r="45" spans="1:15">
      <c r="C45" s="131"/>
      <c r="D45" s="131"/>
      <c r="E45" s="138"/>
      <c r="F45" s="131"/>
      <c r="G45" s="131"/>
      <c r="H45" s="131"/>
    </row>
  </sheetData>
  <mergeCells count="4">
    <mergeCell ref="B5:F5"/>
    <mergeCell ref="B6:F6"/>
    <mergeCell ref="B8:F8"/>
    <mergeCell ref="B42:F4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F11:F31" unlockedFormula="1"/>
    <ignoredError sqref="F32" formula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0"/>
  <sheetViews>
    <sheetView view="pageBreakPreview" topLeftCell="A11" zoomScale="80" zoomScaleNormal="100" zoomScaleSheetLayoutView="80" workbookViewId="0">
      <selection activeCell="C40" sqref="C40"/>
    </sheetView>
  </sheetViews>
  <sheetFormatPr defaultColWidth="9.1796875" defaultRowHeight="12.5"/>
  <cols>
    <col min="1" max="1" width="5.81640625" style="281" customWidth="1"/>
    <col min="2" max="2" width="2.26953125" style="66" customWidth="1"/>
    <col min="3" max="3" width="9.26953125" style="66" customWidth="1"/>
    <col min="4" max="4" width="30.54296875" style="66" bestFit="1" customWidth="1"/>
    <col min="5" max="5" width="14.453125" style="66" customWidth="1"/>
    <col min="6" max="6" width="11.26953125" style="66" bestFit="1" customWidth="1"/>
    <col min="7" max="7" width="9.7265625" style="66" customWidth="1"/>
    <col min="8" max="8" width="12.26953125" style="66" bestFit="1" customWidth="1"/>
    <col min="9" max="9" width="13" style="66" customWidth="1"/>
    <col min="10" max="10" width="12" style="66" customWidth="1"/>
    <col min="11" max="13" width="9.1796875" style="66"/>
    <col min="14" max="14" width="10.453125" style="66" bestFit="1" customWidth="1"/>
    <col min="15" max="16384" width="9.1796875" style="66"/>
  </cols>
  <sheetData>
    <row r="1" spans="1:10" ht="13">
      <c r="G1" s="26"/>
      <c r="J1" s="26" t="s">
        <v>275</v>
      </c>
    </row>
    <row r="2" spans="1:10" ht="14.25" customHeight="1">
      <c r="G2" s="26"/>
      <c r="J2" s="163" t="str">
        <f>+'AG Summary'!D1</f>
        <v>Exhibit JD-1</v>
      </c>
    </row>
    <row r="3" spans="1:10" ht="13">
      <c r="A3" s="347" t="str">
        <f>RevReq!A1</f>
        <v>TAYLOR COUNTY RECC</v>
      </c>
      <c r="B3" s="347"/>
      <c r="C3" s="347"/>
      <c r="D3" s="347"/>
      <c r="E3" s="347"/>
      <c r="F3" s="347"/>
      <c r="G3" s="347"/>
      <c r="H3" s="347"/>
      <c r="I3" s="347"/>
      <c r="J3" s="347"/>
    </row>
    <row r="4" spans="1:10" ht="13">
      <c r="A4" s="347" t="str">
        <f>RevReq!A3</f>
        <v>For the 12 Months Ended December 31, 2021</v>
      </c>
      <c r="B4" s="347"/>
      <c r="C4" s="347"/>
      <c r="D4" s="347"/>
      <c r="E4" s="347"/>
      <c r="F4" s="347"/>
      <c r="G4" s="347"/>
      <c r="H4" s="347"/>
      <c r="I4" s="347"/>
      <c r="J4" s="347"/>
    </row>
    <row r="6" spans="1:10" s="42" customFormat="1" ht="15" customHeight="1">
      <c r="A6" s="345" t="s">
        <v>241</v>
      </c>
      <c r="B6" s="345"/>
      <c r="C6" s="345"/>
      <c r="D6" s="345"/>
      <c r="E6" s="345"/>
      <c r="F6" s="345"/>
      <c r="G6" s="345"/>
      <c r="H6" s="345"/>
      <c r="I6" s="345"/>
      <c r="J6" s="345"/>
    </row>
    <row r="8" spans="1:10" s="152" customFormat="1" ht="38.25" customHeight="1">
      <c r="A8" s="282" t="s">
        <v>7</v>
      </c>
      <c r="C8" s="152" t="s">
        <v>242</v>
      </c>
      <c r="D8" s="152" t="s">
        <v>8</v>
      </c>
      <c r="E8" s="152" t="s">
        <v>487</v>
      </c>
      <c r="F8" s="152" t="s">
        <v>243</v>
      </c>
      <c r="G8" s="152" t="s">
        <v>209</v>
      </c>
      <c r="H8" s="152" t="s">
        <v>244</v>
      </c>
      <c r="I8" s="152" t="s">
        <v>245</v>
      </c>
      <c r="J8" s="152" t="s">
        <v>246</v>
      </c>
    </row>
    <row r="9" spans="1:10">
      <c r="A9" s="283" t="s">
        <v>12</v>
      </c>
      <c r="B9" s="68"/>
      <c r="C9" s="97" t="s">
        <v>88</v>
      </c>
      <c r="D9" s="97" t="s">
        <v>89</v>
      </c>
      <c r="E9" s="97" t="s">
        <v>90</v>
      </c>
      <c r="F9" s="97" t="s">
        <v>13</v>
      </c>
      <c r="G9" s="97" t="s">
        <v>14</v>
      </c>
      <c r="H9" s="97" t="s">
        <v>48</v>
      </c>
      <c r="I9" s="97" t="s">
        <v>100</v>
      </c>
      <c r="J9" s="97" t="s">
        <v>101</v>
      </c>
    </row>
    <row r="10" spans="1:10">
      <c r="A10" s="284"/>
      <c r="B10" s="68"/>
    </row>
    <row r="11" spans="1:10">
      <c r="A11" s="284">
        <v>1</v>
      </c>
      <c r="B11" s="68"/>
      <c r="C11" s="153" t="s">
        <v>247</v>
      </c>
    </row>
    <row r="12" spans="1:10">
      <c r="A12" s="284">
        <f>A11+1</f>
        <v>2</v>
      </c>
      <c r="B12" s="68"/>
      <c r="C12" s="154">
        <v>360</v>
      </c>
      <c r="D12" s="2" t="s">
        <v>248</v>
      </c>
      <c r="E12" s="155">
        <v>0</v>
      </c>
      <c r="F12" s="155">
        <v>0</v>
      </c>
      <c r="G12" s="156"/>
      <c r="H12" s="155"/>
      <c r="I12" s="155"/>
      <c r="J12" s="105"/>
    </row>
    <row r="13" spans="1:10">
      <c r="A13" s="284">
        <f t="shared" ref="A13:A46" si="0">A12+1</f>
        <v>3</v>
      </c>
      <c r="B13" s="68"/>
      <c r="C13" s="154">
        <v>362</v>
      </c>
      <c r="D13" s="2" t="s">
        <v>249</v>
      </c>
      <c r="E13" s="155">
        <v>0</v>
      </c>
      <c r="F13" s="155">
        <v>0</v>
      </c>
      <c r="G13" s="156"/>
      <c r="H13" s="155">
        <f>ROUND(((+E13-F13)*G13),2)</f>
        <v>0</v>
      </c>
      <c r="I13" s="155"/>
      <c r="J13" s="105">
        <f>+H13-I13</f>
        <v>0</v>
      </c>
    </row>
    <row r="14" spans="1:10">
      <c r="A14" s="284">
        <f t="shared" si="0"/>
        <v>4</v>
      </c>
      <c r="B14" s="68"/>
      <c r="C14" s="154">
        <v>364</v>
      </c>
      <c r="D14" s="2" t="s">
        <v>250</v>
      </c>
      <c r="E14" s="155">
        <v>33707887</v>
      </c>
      <c r="F14" s="155">
        <v>0</v>
      </c>
      <c r="G14" s="156">
        <v>0.03</v>
      </c>
      <c r="H14" s="155">
        <f t="shared" ref="H14:H22" si="1">ROUND(((+E14-F14)*G14),2)</f>
        <v>1011236.61</v>
      </c>
      <c r="I14" s="155">
        <v>992536.37</v>
      </c>
      <c r="J14" s="105">
        <f t="shared" ref="J14:J22" si="2">+H14-I14</f>
        <v>18700.239999999991</v>
      </c>
    </row>
    <row r="15" spans="1:10">
      <c r="A15" s="284">
        <f t="shared" si="0"/>
        <v>5</v>
      </c>
      <c r="B15" s="68"/>
      <c r="C15" s="154">
        <v>365</v>
      </c>
      <c r="D15" s="2" t="s">
        <v>251</v>
      </c>
      <c r="E15" s="155">
        <v>21945854</v>
      </c>
      <c r="F15" s="155">
        <v>0</v>
      </c>
      <c r="G15" s="156">
        <v>0.03</v>
      </c>
      <c r="H15" s="155">
        <f t="shared" si="1"/>
        <v>658375.62</v>
      </c>
      <c r="I15" s="155">
        <v>648101.99</v>
      </c>
      <c r="J15" s="105">
        <f t="shared" si="2"/>
        <v>10273.630000000005</v>
      </c>
    </row>
    <row r="16" spans="1:10">
      <c r="A16" s="284">
        <f t="shared" si="0"/>
        <v>6</v>
      </c>
      <c r="B16" s="68"/>
      <c r="C16" s="154">
        <v>366</v>
      </c>
      <c r="D16" s="2" t="s">
        <v>252</v>
      </c>
      <c r="E16" s="155">
        <v>1669352</v>
      </c>
      <c r="F16" s="155">
        <v>0</v>
      </c>
      <c r="G16" s="156">
        <v>2.4E-2</v>
      </c>
      <c r="H16" s="155">
        <f t="shared" si="1"/>
        <v>40064.449999999997</v>
      </c>
      <c r="I16" s="155">
        <v>37973.71</v>
      </c>
      <c r="J16" s="105">
        <f t="shared" si="2"/>
        <v>2090.739999999998</v>
      </c>
    </row>
    <row r="17" spans="1:14">
      <c r="A17" s="284">
        <f t="shared" si="0"/>
        <v>7</v>
      </c>
      <c r="B17" s="68"/>
      <c r="C17" s="154">
        <v>367</v>
      </c>
      <c r="D17" s="2" t="s">
        <v>253</v>
      </c>
      <c r="E17" s="155">
        <v>5607717</v>
      </c>
      <c r="F17" s="155">
        <v>0</v>
      </c>
      <c r="G17" s="156">
        <v>2.8799999999999999E-2</v>
      </c>
      <c r="H17" s="155">
        <f t="shared" si="1"/>
        <v>161502.25</v>
      </c>
      <c r="I17" s="155">
        <v>156081.04</v>
      </c>
      <c r="J17" s="105">
        <f t="shared" si="2"/>
        <v>5421.2099999999919</v>
      </c>
    </row>
    <row r="18" spans="1:14">
      <c r="A18" s="284">
        <f t="shared" si="0"/>
        <v>8</v>
      </c>
      <c r="B18" s="68"/>
      <c r="C18" s="154">
        <v>368</v>
      </c>
      <c r="D18" s="2" t="s">
        <v>254</v>
      </c>
      <c r="E18" s="155">
        <v>17738778</v>
      </c>
      <c r="F18" s="155">
        <v>0</v>
      </c>
      <c r="G18" s="156">
        <v>0.03</v>
      </c>
      <c r="H18" s="155">
        <f t="shared" si="1"/>
        <v>532163.34</v>
      </c>
      <c r="I18" s="155">
        <v>527714.63</v>
      </c>
      <c r="J18" s="105">
        <f t="shared" si="2"/>
        <v>4448.7099999999627</v>
      </c>
    </row>
    <row r="19" spans="1:14">
      <c r="A19" s="284">
        <f t="shared" si="0"/>
        <v>9</v>
      </c>
      <c r="C19" s="154">
        <v>369</v>
      </c>
      <c r="D19" s="2" t="s">
        <v>255</v>
      </c>
      <c r="E19" s="155">
        <v>6464847</v>
      </c>
      <c r="F19" s="155">
        <v>0</v>
      </c>
      <c r="G19" s="156">
        <v>3.5999999999999997E-2</v>
      </c>
      <c r="H19" s="155">
        <f t="shared" si="1"/>
        <v>232734.49</v>
      </c>
      <c r="I19" s="155">
        <v>229714.17</v>
      </c>
      <c r="J19" s="105">
        <f t="shared" si="2"/>
        <v>3020.3199999999779</v>
      </c>
    </row>
    <row r="20" spans="1:14">
      <c r="A20" s="284">
        <f t="shared" si="0"/>
        <v>10</v>
      </c>
      <c r="C20" s="154">
        <v>370</v>
      </c>
      <c r="D20" s="2" t="s">
        <v>256</v>
      </c>
      <c r="E20" s="155">
        <v>6364645</v>
      </c>
      <c r="F20" s="155">
        <v>0</v>
      </c>
      <c r="G20" s="156">
        <v>6.7199999999999996E-2</v>
      </c>
      <c r="H20" s="155">
        <f t="shared" si="1"/>
        <v>427704.14</v>
      </c>
      <c r="I20" s="155">
        <v>425123.71</v>
      </c>
      <c r="J20" s="105">
        <f t="shared" si="2"/>
        <v>2580.429999999993</v>
      </c>
    </row>
    <row r="21" spans="1:14">
      <c r="A21" s="284">
        <f t="shared" si="0"/>
        <v>11</v>
      </c>
      <c r="C21" s="154" t="s">
        <v>257</v>
      </c>
      <c r="D21" s="2" t="s">
        <v>258</v>
      </c>
      <c r="E21" s="155">
        <v>3124375</v>
      </c>
      <c r="F21" s="155">
        <v>0</v>
      </c>
      <c r="G21" s="156">
        <v>4.3200000000000002E-2</v>
      </c>
      <c r="H21" s="155">
        <f t="shared" ref="H21" si="3">ROUND(((+E21-F21)*G21),2)</f>
        <v>134973</v>
      </c>
      <c r="I21" s="155">
        <v>131034.88</v>
      </c>
      <c r="J21" s="105">
        <f t="shared" ref="J21" si="4">+H21-I21</f>
        <v>3938.1199999999953</v>
      </c>
    </row>
    <row r="22" spans="1:14">
      <c r="A22" s="284">
        <f t="shared" si="0"/>
        <v>12</v>
      </c>
      <c r="C22" s="154">
        <v>373</v>
      </c>
      <c r="D22" s="2" t="s">
        <v>259</v>
      </c>
      <c r="E22" s="155">
        <v>414638</v>
      </c>
      <c r="F22" s="155">
        <v>0</v>
      </c>
      <c r="G22" s="156">
        <v>4.3200000000000002E-2</v>
      </c>
      <c r="H22" s="155">
        <f t="shared" si="1"/>
        <v>17912.36</v>
      </c>
      <c r="I22" s="155">
        <v>17680.64</v>
      </c>
      <c r="J22" s="105">
        <f t="shared" si="2"/>
        <v>231.72000000000116</v>
      </c>
    </row>
    <row r="23" spans="1:14">
      <c r="A23" s="284">
        <f t="shared" si="0"/>
        <v>13</v>
      </c>
      <c r="D23" s="157" t="s">
        <v>260</v>
      </c>
      <c r="E23" s="158">
        <f>SUM(E12:E22)</f>
        <v>97038093</v>
      </c>
      <c r="F23" s="158">
        <f>SUM(F12:F22)</f>
        <v>0</v>
      </c>
      <c r="G23" s="158"/>
      <c r="H23" s="158">
        <f>SUM(H12:H22)</f>
        <v>3216666.26</v>
      </c>
      <c r="I23" s="158">
        <f>SUM(I12:I22)</f>
        <v>3165961.1399999997</v>
      </c>
      <c r="J23" s="158">
        <f>SUM(J12:J22)</f>
        <v>50705.119999999915</v>
      </c>
    </row>
    <row r="24" spans="1:14">
      <c r="A24" s="284">
        <f t="shared" si="0"/>
        <v>14</v>
      </c>
    </row>
    <row r="25" spans="1:14">
      <c r="A25" s="284">
        <f t="shared" si="0"/>
        <v>15</v>
      </c>
      <c r="C25" s="153" t="s">
        <v>261</v>
      </c>
    </row>
    <row r="26" spans="1:14">
      <c r="A26" s="284">
        <f t="shared" si="0"/>
        <v>16</v>
      </c>
      <c r="C26" s="154">
        <v>389</v>
      </c>
      <c r="D26" s="2" t="s">
        <v>248</v>
      </c>
      <c r="E26" s="155">
        <v>59845</v>
      </c>
      <c r="F26" s="155"/>
      <c r="G26" s="159"/>
      <c r="H26" s="155"/>
      <c r="I26" s="155"/>
      <c r="J26" s="160"/>
    </row>
    <row r="27" spans="1:14">
      <c r="A27" s="284">
        <f t="shared" si="0"/>
        <v>17</v>
      </c>
      <c r="C27" s="154">
        <v>390</v>
      </c>
      <c r="D27" s="2" t="s">
        <v>262</v>
      </c>
      <c r="E27" s="155">
        <v>601770</v>
      </c>
      <c r="F27" s="155"/>
      <c r="G27" s="156">
        <v>0.02</v>
      </c>
      <c r="H27" s="155">
        <f>ROUND(((+E27-F27)*G27),2)</f>
        <v>12035.4</v>
      </c>
      <c r="I27" s="155">
        <v>10485</v>
      </c>
      <c r="J27" s="160">
        <f>+H27-I27</f>
        <v>1550.3999999999996</v>
      </c>
      <c r="N27" s="161"/>
    </row>
    <row r="28" spans="1:14">
      <c r="A28" s="284">
        <f t="shared" si="0"/>
        <v>18</v>
      </c>
      <c r="C28" s="154">
        <v>391</v>
      </c>
      <c r="D28" s="2" t="s">
        <v>263</v>
      </c>
      <c r="E28" s="155">
        <v>1025391</v>
      </c>
      <c r="F28" s="155"/>
      <c r="G28" s="156">
        <v>0.06</v>
      </c>
      <c r="H28" s="155">
        <f t="shared" ref="H28:H36" si="5">ROUND(((+E28-F28)*G28),2)</f>
        <v>61523.46</v>
      </c>
      <c r="I28" s="155">
        <v>13748.8</v>
      </c>
      <c r="J28" s="160">
        <f t="shared" ref="J28:J36" si="6">+H28-I28</f>
        <v>47774.66</v>
      </c>
      <c r="N28" s="161"/>
    </row>
    <row r="29" spans="1:14">
      <c r="A29" s="284">
        <f t="shared" si="0"/>
        <v>19</v>
      </c>
      <c r="C29" s="154">
        <v>391.1</v>
      </c>
      <c r="D29" s="2" t="s">
        <v>264</v>
      </c>
      <c r="E29" s="155">
        <v>0</v>
      </c>
      <c r="F29" s="155"/>
      <c r="G29" s="156">
        <v>0.06</v>
      </c>
      <c r="H29" s="155">
        <f t="shared" si="5"/>
        <v>0</v>
      </c>
      <c r="I29" s="155">
        <v>31329.73</v>
      </c>
      <c r="J29" s="160">
        <f t="shared" si="6"/>
        <v>-31329.73</v>
      </c>
      <c r="N29" s="161"/>
    </row>
    <row r="30" spans="1:14">
      <c r="A30" s="284">
        <f t="shared" si="0"/>
        <v>20</v>
      </c>
      <c r="C30" s="154">
        <v>392</v>
      </c>
      <c r="D30" s="2" t="s">
        <v>265</v>
      </c>
      <c r="E30" s="155">
        <v>2915042</v>
      </c>
      <c r="F30" s="155"/>
      <c r="G30" s="156">
        <v>0.16</v>
      </c>
      <c r="H30" s="155">
        <f t="shared" si="5"/>
        <v>466406.72</v>
      </c>
      <c r="I30" s="155">
        <v>242373.78</v>
      </c>
      <c r="J30" s="160">
        <f t="shared" si="6"/>
        <v>224032.93999999997</v>
      </c>
      <c r="N30" s="161"/>
    </row>
    <row r="31" spans="1:14">
      <c r="A31" s="284">
        <f t="shared" si="0"/>
        <v>21</v>
      </c>
      <c r="C31" s="154">
        <v>393</v>
      </c>
      <c r="D31" s="2" t="s">
        <v>266</v>
      </c>
      <c r="E31" s="155">
        <v>9385</v>
      </c>
      <c r="F31" s="155"/>
      <c r="G31" s="156">
        <v>0.06</v>
      </c>
      <c r="H31" s="155">
        <f t="shared" si="5"/>
        <v>563.1</v>
      </c>
      <c r="I31" s="155">
        <v>563.16</v>
      </c>
      <c r="J31" s="160">
        <f t="shared" si="6"/>
        <v>-5.999999999994543E-2</v>
      </c>
      <c r="N31" s="161"/>
    </row>
    <row r="32" spans="1:14">
      <c r="A32" s="284">
        <f t="shared" si="0"/>
        <v>22</v>
      </c>
      <c r="C32" s="154">
        <v>394</v>
      </c>
      <c r="D32" s="2" t="s">
        <v>267</v>
      </c>
      <c r="E32" s="155">
        <v>45039</v>
      </c>
      <c r="F32" s="155"/>
      <c r="G32" s="156">
        <v>7.0000000000000007E-2</v>
      </c>
      <c r="H32" s="155">
        <f t="shared" si="5"/>
        <v>3152.73</v>
      </c>
      <c r="I32" s="155">
        <v>2875.44</v>
      </c>
      <c r="J32" s="160">
        <f t="shared" si="6"/>
        <v>277.28999999999996</v>
      </c>
      <c r="N32" s="161"/>
    </row>
    <row r="33" spans="1:14">
      <c r="A33" s="284">
        <f t="shared" si="0"/>
        <v>23</v>
      </c>
      <c r="C33" s="154">
        <v>395</v>
      </c>
      <c r="D33" s="2" t="s">
        <v>268</v>
      </c>
      <c r="E33" s="155">
        <v>102154</v>
      </c>
      <c r="F33" s="155"/>
      <c r="G33" s="156">
        <v>0.06</v>
      </c>
      <c r="H33" s="155">
        <f t="shared" si="5"/>
        <v>6129.24</v>
      </c>
      <c r="I33" s="155"/>
      <c r="J33" s="160">
        <f t="shared" si="6"/>
        <v>6129.24</v>
      </c>
      <c r="N33" s="161"/>
    </row>
    <row r="34" spans="1:14">
      <c r="A34" s="284">
        <f t="shared" si="0"/>
        <v>24</v>
      </c>
      <c r="C34" s="154">
        <v>396</v>
      </c>
      <c r="D34" s="2" t="s">
        <v>269</v>
      </c>
      <c r="E34" s="155">
        <v>167024</v>
      </c>
      <c r="F34" s="155"/>
      <c r="G34" s="156">
        <v>0.16</v>
      </c>
      <c r="H34" s="155">
        <f t="shared" si="5"/>
        <v>26723.84</v>
      </c>
      <c r="I34" s="155"/>
      <c r="J34" s="160">
        <f t="shared" si="6"/>
        <v>26723.84</v>
      </c>
      <c r="N34" s="161"/>
    </row>
    <row r="35" spans="1:14">
      <c r="A35" s="284">
        <f t="shared" si="0"/>
        <v>25</v>
      </c>
      <c r="C35" s="154">
        <v>397</v>
      </c>
      <c r="D35" s="2" t="s">
        <v>270</v>
      </c>
      <c r="E35" s="155">
        <v>186279</v>
      </c>
      <c r="F35" s="155"/>
      <c r="G35" s="156">
        <v>0.08</v>
      </c>
      <c r="H35" s="155">
        <f t="shared" si="5"/>
        <v>14902.32</v>
      </c>
      <c r="I35" s="155">
        <v>14887.44</v>
      </c>
      <c r="J35" s="160">
        <f t="shared" si="6"/>
        <v>14.8799999999992</v>
      </c>
      <c r="N35" s="161"/>
    </row>
    <row r="36" spans="1:14">
      <c r="A36" s="284">
        <f t="shared" si="0"/>
        <v>26</v>
      </c>
      <c r="C36" s="154">
        <v>398</v>
      </c>
      <c r="D36" s="2" t="s">
        <v>271</v>
      </c>
      <c r="E36" s="155">
        <v>340410</v>
      </c>
      <c r="F36" s="155"/>
      <c r="G36" s="156">
        <v>0.06</v>
      </c>
      <c r="H36" s="155">
        <f t="shared" si="5"/>
        <v>20424.599999999999</v>
      </c>
      <c r="I36" s="155">
        <v>20019.740000000002</v>
      </c>
      <c r="J36" s="160">
        <f t="shared" si="6"/>
        <v>404.85999999999694</v>
      </c>
      <c r="N36" s="161"/>
    </row>
    <row r="37" spans="1:14">
      <c r="A37" s="284">
        <f t="shared" si="0"/>
        <v>27</v>
      </c>
      <c r="D37" s="157" t="s">
        <v>260</v>
      </c>
      <c r="E37" s="162">
        <f>SUM(E26:E36)</f>
        <v>5452339</v>
      </c>
      <c r="F37" s="162">
        <f>SUM(F26:F36)</f>
        <v>0</v>
      </c>
      <c r="G37" s="162"/>
      <c r="H37" s="162">
        <f>SUM(H26:H36)</f>
        <v>611861.4099999998</v>
      </c>
      <c r="I37" s="162">
        <f>SUM(I27:I36)</f>
        <v>336283.08999999997</v>
      </c>
      <c r="J37" s="162">
        <f>+H37-I37</f>
        <v>275578.31999999983</v>
      </c>
    </row>
    <row r="38" spans="1:14">
      <c r="A38" s="284">
        <f t="shared" si="0"/>
        <v>28</v>
      </c>
      <c r="C38" s="90"/>
      <c r="D38" s="157" t="s">
        <v>272</v>
      </c>
      <c r="E38" s="158">
        <f>E23+E37</f>
        <v>102490432</v>
      </c>
      <c r="F38" s="158">
        <f>F23+F37</f>
        <v>0</v>
      </c>
      <c r="G38" s="158"/>
      <c r="H38" s="158">
        <f>H23+H37</f>
        <v>3828527.6699999995</v>
      </c>
      <c r="I38" s="158">
        <f>I23+I37</f>
        <v>3502244.2299999995</v>
      </c>
      <c r="J38" s="158">
        <f>J23+J37</f>
        <v>326283.43999999977</v>
      </c>
    </row>
    <row r="39" spans="1:14" ht="13">
      <c r="A39" s="284">
        <f t="shared" si="0"/>
        <v>29</v>
      </c>
      <c r="D39" s="163"/>
      <c r="E39" s="164"/>
      <c r="F39" s="164"/>
      <c r="G39" s="164"/>
      <c r="H39" s="164"/>
      <c r="I39" s="164"/>
      <c r="J39" s="164"/>
    </row>
    <row r="40" spans="1:14">
      <c r="A40" s="284">
        <f t="shared" si="0"/>
        <v>30</v>
      </c>
      <c r="C40" s="66" t="s">
        <v>521</v>
      </c>
      <c r="D40" s="77"/>
      <c r="E40" s="161"/>
      <c r="F40" s="161"/>
      <c r="G40" s="161"/>
      <c r="H40" s="161"/>
      <c r="I40" s="161"/>
      <c r="J40" s="161"/>
    </row>
    <row r="41" spans="1:14">
      <c r="A41" s="284">
        <f t="shared" si="0"/>
        <v>31</v>
      </c>
      <c r="N41" s="161"/>
    </row>
    <row r="42" spans="1:14" ht="27.65" customHeight="1">
      <c r="A42" s="284">
        <f t="shared" si="0"/>
        <v>32</v>
      </c>
      <c r="C42" s="346" t="s">
        <v>273</v>
      </c>
      <c r="D42" s="346"/>
      <c r="E42" s="346"/>
      <c r="F42" s="346"/>
      <c r="G42" s="346"/>
      <c r="H42" s="346"/>
      <c r="I42" s="346"/>
      <c r="J42" s="346"/>
      <c r="N42" s="161"/>
    </row>
    <row r="43" spans="1:14">
      <c r="A43" s="284">
        <f t="shared" si="0"/>
        <v>33</v>
      </c>
      <c r="C43" s="87"/>
      <c r="D43" s="87"/>
      <c r="E43" s="87"/>
      <c r="F43" s="87"/>
      <c r="G43" s="87"/>
      <c r="H43" s="87"/>
      <c r="I43" s="87"/>
      <c r="J43" s="87"/>
      <c r="N43" s="161"/>
    </row>
    <row r="44" spans="1:14">
      <c r="A44" s="284">
        <f t="shared" si="0"/>
        <v>34</v>
      </c>
      <c r="D44" s="66" t="s">
        <v>276</v>
      </c>
      <c r="E44" s="160"/>
      <c r="J44" s="165">
        <f>J23</f>
        <v>50705.119999999915</v>
      </c>
      <c r="N44" s="161"/>
    </row>
    <row r="45" spans="1:14">
      <c r="A45" s="284">
        <f t="shared" si="0"/>
        <v>35</v>
      </c>
      <c r="D45" s="66" t="s">
        <v>261</v>
      </c>
      <c r="E45" s="160"/>
      <c r="I45" s="161"/>
      <c r="J45" s="165">
        <f>J37</f>
        <v>275578.31999999983</v>
      </c>
    </row>
    <row r="46" spans="1:14">
      <c r="A46" s="284">
        <f t="shared" si="0"/>
        <v>36</v>
      </c>
      <c r="D46" s="66" t="s">
        <v>274</v>
      </c>
      <c r="E46" s="160"/>
      <c r="J46" s="314">
        <f>+J44+J45</f>
        <v>326283.43999999977</v>
      </c>
    </row>
    <row r="47" spans="1:14">
      <c r="A47" s="284"/>
    </row>
    <row r="48" spans="1:14">
      <c r="A48" s="284"/>
      <c r="D48" s="166"/>
      <c r="E48" s="161"/>
      <c r="F48" s="161"/>
      <c r="G48" s="161"/>
      <c r="H48" s="161"/>
      <c r="I48" s="161"/>
      <c r="J48" s="161"/>
    </row>
    <row r="49" spans="1:10">
      <c r="A49" s="284"/>
    </row>
    <row r="50" spans="1:10" ht="13">
      <c r="A50" s="284"/>
      <c r="D50" s="93"/>
      <c r="E50" s="161"/>
      <c r="F50" s="167"/>
      <c r="G50" s="92"/>
      <c r="H50" s="167"/>
      <c r="I50" s="167"/>
      <c r="J50" s="164"/>
    </row>
  </sheetData>
  <mergeCells count="4">
    <mergeCell ref="A3:J3"/>
    <mergeCell ref="A4:J4"/>
    <mergeCell ref="A6:J6"/>
    <mergeCell ref="C42:J42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  <ignoredErrors>
    <ignoredError sqref="C9:J9 C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13</vt:i4>
      </vt:variant>
    </vt:vector>
  </HeadingPairs>
  <TitlesOfParts>
    <vt:vector size="38" baseType="lpstr">
      <vt:lpstr>AG Summary</vt:lpstr>
      <vt:lpstr>RevReq</vt:lpstr>
      <vt:lpstr>Adj List</vt:lpstr>
      <vt:lpstr>Adj BS</vt:lpstr>
      <vt:lpstr>Adj IS</vt:lpstr>
      <vt:lpstr>1.01 FAC</vt:lpstr>
      <vt:lpstr>1.02 ES</vt:lpstr>
      <vt:lpstr>1.03 Int Exp</vt:lpstr>
      <vt:lpstr>1.04 Depr</vt:lpstr>
      <vt:lpstr>1.05 ROW</vt:lpstr>
      <vt:lpstr>1.06 YearEndCust</vt:lpstr>
      <vt:lpstr>1.07 FEMA</vt:lpstr>
      <vt:lpstr>1.08 DonAdsDues</vt:lpstr>
      <vt:lpstr>1.09 Directors</vt:lpstr>
      <vt:lpstr>1.10 Wages &amp; Salaries</vt:lpstr>
      <vt:lpstr>1.11 401K</vt:lpstr>
      <vt:lpstr>1.12 Health</vt:lpstr>
      <vt:lpstr>1.13 RateCase</vt:lpstr>
      <vt:lpstr>1.14 PPP Loan</vt:lpstr>
      <vt:lpstr>1.15 GTCC</vt:lpstr>
      <vt:lpstr>1.16</vt:lpstr>
      <vt:lpstr>1.17</vt:lpstr>
      <vt:lpstr>1.18</vt:lpstr>
      <vt:lpstr>1.19</vt:lpstr>
      <vt:lpstr>1.20</vt:lpstr>
      <vt:lpstr>'1.08 DonAdsDues'!Print_Area</vt:lpstr>
      <vt:lpstr>'1.14 PPP Loan'!Print_Area</vt:lpstr>
      <vt:lpstr>'1.15 GTCC'!Print_Area</vt:lpstr>
      <vt:lpstr>'1.16'!Print_Area</vt:lpstr>
      <vt:lpstr>'Adj BS'!Print_Area</vt:lpstr>
      <vt:lpstr>'Adj IS'!Print_Area</vt:lpstr>
      <vt:lpstr>'Adj List'!Print_Area</vt:lpstr>
      <vt:lpstr>'AG Summary'!Print_Area</vt:lpstr>
      <vt:lpstr>RevReq!Print_Area</vt:lpstr>
      <vt:lpstr>'1.06 YearEndCust'!Print_Titles</vt:lpstr>
      <vt:lpstr>'1.10 Wages &amp; Salaries'!Print_Titles</vt:lpstr>
      <vt:lpstr>'1.11 401K'!Print_Titles</vt:lpstr>
      <vt:lpstr>'1.12 Health'!Print_Titles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angela.goad</cp:lastModifiedBy>
  <cp:lastPrinted>2023-08-16T19:04:44Z</cp:lastPrinted>
  <dcterms:created xsi:type="dcterms:W3CDTF">2022-03-04T20:02:55Z</dcterms:created>
  <dcterms:modified xsi:type="dcterms:W3CDTF">2023-08-17T02:11:25Z</dcterms:modified>
</cp:coreProperties>
</file>