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Taylor/2021 COS ^0 Rates 2023-00147/COSS ^0 Rates/"/>
    </mc:Choice>
  </mc:AlternateContent>
  <xr:revisionPtr revIDLastSave="33" documentId="8_{9273D32F-0137-46B8-B4AD-178C751BB0CF}" xr6:coauthVersionLast="47" xr6:coauthVersionMax="47" xr10:uidLastSave="{C1A8DB9A-FA7B-4A57-AB38-06DE659689F5}"/>
  <bookViews>
    <workbookView xWindow="-108" yWindow="-108" windowWidth="23256" windowHeight="12456" tabRatio="741" activeTab="3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externalReferences>
    <externalReference r:id="rId11"/>
  </externalReferences>
  <definedNames>
    <definedName name="_xlnm.Print_Area" localSheetId="3">'Alloc &amp; Returns'!$A$1:$L$653</definedName>
    <definedName name="_xlnm.Print_Area" localSheetId="4">'Billing Det'!$A$1:$T$205</definedName>
    <definedName name="_xlnm.Print_Area" localSheetId="2">'Func &amp; Classif'!$A$1:$AA$490</definedName>
    <definedName name="_xlnm.Print_Area" localSheetId="6">Meters!$A$1:$G$32</definedName>
    <definedName name="_xlnm.Print_Area" localSheetId="5">'Purchased Power'!$A$1:$O$81</definedName>
    <definedName name="_xlnm.Print_Area" localSheetId="7">Services!$A$1:$G$33</definedName>
    <definedName name="_xlnm.Print_Area" localSheetId="1">'Summary of Rates'!$A$1:$G$17</definedName>
    <definedName name="_xlnm.Print_Area" localSheetId="0">'Summary of Returns'!$A$1:$I$50</definedName>
    <definedName name="_xlnm.Print_Area" localSheetId="9">ZeroInt!$A$1:$M$167</definedName>
    <definedName name="_xlnm.Print_Titles" localSheetId="3">'Alloc &amp; Returns'!$A:$D,'Alloc &amp; Returns'!$1:$3</definedName>
    <definedName name="_xlnm.Print_Titles" localSheetId="4">'Billing Det'!$A:$B,'Billing Det'!$32:$36</definedName>
    <definedName name="_xlnm.Print_Titles" localSheetId="2">'Func &amp; Classif'!$A:$E,'Func &amp; Classif'!$1:$3</definedName>
    <definedName name="_xlnm.Print_Titles" localSheetId="5">'Purchased Power'!$1:$4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2" i="2" l="1"/>
  <c r="E521" i="2"/>
  <c r="E328" i="2"/>
  <c r="D84" i="18" l="1"/>
  <c r="D88" i="18"/>
  <c r="AB346" i="1" l="1"/>
  <c r="AC346" i="1"/>
  <c r="H343" i="1" l="1"/>
  <c r="I343" i="1"/>
  <c r="H344" i="1"/>
  <c r="I344" i="1"/>
  <c r="O48" i="15" l="1"/>
  <c r="H316" i="2" l="1"/>
  <c r="G316" i="2"/>
  <c r="F316" i="2"/>
  <c r="AM320" i="2"/>
  <c r="E316" i="2" s="1"/>
  <c r="E326" i="2" l="1"/>
  <c r="J344" i="1"/>
  <c r="G344" i="1"/>
  <c r="H156" i="1"/>
  <c r="AJ350" i="17"/>
  <c r="AJ351" i="17" s="1"/>
  <c r="AJ302" i="2" l="1"/>
  <c r="AJ352" i="17"/>
  <c r="AJ327" i="2"/>
  <c r="E302" i="2" l="1"/>
  <c r="AJ303" i="2"/>
  <c r="AJ304" i="2" s="1"/>
  <c r="AJ353" i="17"/>
  <c r="E327" i="2"/>
  <c r="AJ328" i="2"/>
  <c r="E303" i="2" l="1"/>
  <c r="I304" i="2"/>
  <c r="H304" i="2"/>
  <c r="F304" i="2"/>
  <c r="E304" i="2"/>
  <c r="AJ329" i="2"/>
  <c r="AJ354" i="17"/>
  <c r="AJ355" i="17" l="1"/>
  <c r="AJ356" i="17" s="1"/>
  <c r="AJ330" i="2"/>
  <c r="AJ331" i="2" l="1"/>
  <c r="E330" i="2"/>
  <c r="AJ357" i="17"/>
  <c r="I331" i="2" l="1"/>
  <c r="E331" i="2"/>
  <c r="H331" i="2"/>
  <c r="F331" i="2"/>
  <c r="AJ332" i="2"/>
  <c r="AJ358" i="17"/>
  <c r="AJ333" i="2"/>
  <c r="E332" i="2"/>
  <c r="AJ334" i="2" l="1"/>
  <c r="E333" i="2"/>
  <c r="AJ359" i="17"/>
  <c r="AJ360" i="17" l="1"/>
  <c r="E334" i="2"/>
  <c r="AJ335" i="2"/>
  <c r="AJ336" i="2" l="1"/>
  <c r="E335" i="2"/>
  <c r="AJ361" i="17"/>
  <c r="AJ362" i="17" l="1"/>
  <c r="E336" i="2"/>
  <c r="AJ337" i="2"/>
  <c r="AJ338" i="2" l="1"/>
  <c r="AJ363" i="17"/>
  <c r="AJ364" i="17" s="1"/>
  <c r="AJ339" i="2" l="1"/>
  <c r="E338" i="2"/>
  <c r="AJ340" i="2" l="1"/>
  <c r="E339" i="2"/>
  <c r="F12" i="9"/>
  <c r="F11" i="9"/>
  <c r="F10" i="9"/>
  <c r="F9" i="9"/>
  <c r="F8" i="9"/>
  <c r="F6" i="9"/>
  <c r="F33" i="9" l="1"/>
  <c r="G12" i="9" s="1"/>
  <c r="F8" i="8"/>
  <c r="F9" i="8"/>
  <c r="F10" i="8"/>
  <c r="F11" i="8"/>
  <c r="F12" i="8"/>
  <c r="F6" i="8"/>
  <c r="G13" i="9" l="1"/>
  <c r="G11" i="9"/>
  <c r="G10" i="9"/>
  <c r="G9" i="9"/>
  <c r="G7" i="9"/>
  <c r="G8" i="9"/>
  <c r="G14" i="9"/>
  <c r="G6" i="9"/>
  <c r="G33" i="9" s="1"/>
  <c r="E376" i="2" s="1"/>
  <c r="J465" i="2"/>
  <c r="J458" i="2"/>
  <c r="A70" i="16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J611" i="2"/>
  <c r="F116" i="15"/>
  <c r="F112" i="15"/>
  <c r="F114" i="15" s="1"/>
  <c r="N110" i="15"/>
  <c r="N116" i="15" s="1"/>
  <c r="M110" i="15"/>
  <c r="M116" i="15" s="1"/>
  <c r="L110" i="15"/>
  <c r="L112" i="15" s="1"/>
  <c r="L114" i="15" s="1"/>
  <c r="K110" i="15"/>
  <c r="K116" i="15" s="1"/>
  <c r="J110" i="15"/>
  <c r="J116" i="15" s="1"/>
  <c r="I110" i="15"/>
  <c r="I116" i="15" s="1"/>
  <c r="H110" i="15"/>
  <c r="H116" i="15" s="1"/>
  <c r="G110" i="15"/>
  <c r="G116" i="15" s="1"/>
  <c r="F110" i="15"/>
  <c r="E110" i="15"/>
  <c r="E116" i="15" s="1"/>
  <c r="D110" i="15"/>
  <c r="D116" i="15" s="1"/>
  <c r="C110" i="15"/>
  <c r="C116" i="15" s="1"/>
  <c r="N90" i="15"/>
  <c r="N96" i="15" s="1"/>
  <c r="M90" i="15"/>
  <c r="M96" i="15" s="1"/>
  <c r="L90" i="15"/>
  <c r="L96" i="15" s="1"/>
  <c r="K90" i="15"/>
  <c r="K96" i="15" s="1"/>
  <c r="J90" i="15"/>
  <c r="J96" i="15" s="1"/>
  <c r="I90" i="15"/>
  <c r="I96" i="15" s="1"/>
  <c r="H90" i="15"/>
  <c r="H96" i="15" s="1"/>
  <c r="G90" i="15"/>
  <c r="G96" i="15" s="1"/>
  <c r="F90" i="15"/>
  <c r="F96" i="15" s="1"/>
  <c r="E90" i="15"/>
  <c r="E96" i="15" s="1"/>
  <c r="D90" i="15"/>
  <c r="D96" i="15" s="1"/>
  <c r="C90" i="15"/>
  <c r="C96" i="15" s="1"/>
  <c r="L116" i="15" l="1"/>
  <c r="M112" i="15"/>
  <c r="M114" i="15" s="1"/>
  <c r="N112" i="15"/>
  <c r="N114" i="15" s="1"/>
  <c r="C112" i="15"/>
  <c r="C114" i="15" s="1"/>
  <c r="D112" i="15"/>
  <c r="D114" i="15" s="1"/>
  <c r="E112" i="15"/>
  <c r="E114" i="15" s="1"/>
  <c r="K112" i="15"/>
  <c r="K114" i="15" s="1"/>
  <c r="G112" i="15"/>
  <c r="G114" i="15" s="1"/>
  <c r="H112" i="15"/>
  <c r="H114" i="15" s="1"/>
  <c r="I112" i="15"/>
  <c r="I114" i="15" s="1"/>
  <c r="J112" i="15"/>
  <c r="J114" i="15" s="1"/>
  <c r="E92" i="15"/>
  <c r="E94" i="15" s="1"/>
  <c r="M92" i="15"/>
  <c r="M94" i="15" s="1"/>
  <c r="F92" i="15"/>
  <c r="F94" i="15" s="1"/>
  <c r="N92" i="15"/>
  <c r="N94" i="15" s="1"/>
  <c r="G92" i="15"/>
  <c r="G94" i="15" s="1"/>
  <c r="H92" i="15"/>
  <c r="H94" i="15" s="1"/>
  <c r="I92" i="15"/>
  <c r="I94" i="15" s="1"/>
  <c r="J92" i="15"/>
  <c r="J94" i="15" s="1"/>
  <c r="C92" i="15"/>
  <c r="C94" i="15" s="1"/>
  <c r="K92" i="15"/>
  <c r="K94" i="15" s="1"/>
  <c r="D92" i="15"/>
  <c r="D94" i="15" s="1"/>
  <c r="L92" i="15"/>
  <c r="L94" i="15" s="1"/>
  <c r="E444" i="2" l="1"/>
  <c r="E438" i="2"/>
  <c r="E445" i="2" s="1"/>
  <c r="E447" i="2" s="1"/>
  <c r="E448" i="2" s="1"/>
  <c r="E440" i="2" l="1"/>
  <c r="E441" i="2" l="1"/>
  <c r="E101" i="15" l="1"/>
  <c r="G101" i="15"/>
  <c r="K101" i="15"/>
  <c r="C101" i="15"/>
  <c r="K105" i="15"/>
  <c r="G105" i="15"/>
  <c r="C105" i="15"/>
  <c r="N100" i="15"/>
  <c r="N105" i="15" s="1"/>
  <c r="N101" i="15" s="1"/>
  <c r="M100" i="15"/>
  <c r="M105" i="15" s="1"/>
  <c r="M101" i="15" s="1"/>
  <c r="L100" i="15"/>
  <c r="L105" i="15" s="1"/>
  <c r="L101" i="15" s="1"/>
  <c r="K100" i="15"/>
  <c r="J100" i="15"/>
  <c r="J105" i="15" s="1"/>
  <c r="J101" i="15" s="1"/>
  <c r="I100" i="15"/>
  <c r="H100" i="15"/>
  <c r="G100" i="15"/>
  <c r="F100" i="15"/>
  <c r="F105" i="15" s="1"/>
  <c r="F101" i="15" s="1"/>
  <c r="E100" i="15"/>
  <c r="E105" i="15" s="1"/>
  <c r="D100" i="15"/>
  <c r="D105" i="15" s="1"/>
  <c r="D101" i="15" s="1"/>
  <c r="C100" i="15"/>
  <c r="D201" i="15"/>
  <c r="E201" i="15"/>
  <c r="F201" i="15"/>
  <c r="G201" i="15"/>
  <c r="H201" i="15"/>
  <c r="I201" i="15"/>
  <c r="J201" i="15"/>
  <c r="K201" i="15"/>
  <c r="L201" i="15"/>
  <c r="M201" i="15"/>
  <c r="N201" i="15"/>
  <c r="C201" i="15"/>
  <c r="D200" i="15"/>
  <c r="E200" i="15"/>
  <c r="F200" i="15"/>
  <c r="G200" i="15"/>
  <c r="H200" i="15"/>
  <c r="I200" i="15"/>
  <c r="J200" i="15"/>
  <c r="K200" i="15"/>
  <c r="L200" i="15"/>
  <c r="M200" i="15"/>
  <c r="N200" i="15"/>
  <c r="C200" i="15"/>
  <c r="O70" i="16"/>
  <c r="L74" i="16"/>
  <c r="O59" i="16"/>
  <c r="L458" i="2" s="1"/>
  <c r="E458" i="2" s="1"/>
  <c r="O58" i="16"/>
  <c r="O57" i="16"/>
  <c r="O56" i="16"/>
  <c r="O55" i="16"/>
  <c r="L465" i="2" s="1"/>
  <c r="E465" i="2" s="1"/>
  <c r="O54" i="16"/>
  <c r="O53" i="16"/>
  <c r="O52" i="16"/>
  <c r="O50" i="16"/>
  <c r="O46" i="16"/>
  <c r="M74" i="16"/>
  <c r="K74" i="16"/>
  <c r="J74" i="16"/>
  <c r="G74" i="16"/>
  <c r="E74" i="16"/>
  <c r="N73" i="16"/>
  <c r="M73" i="16"/>
  <c r="I73" i="16"/>
  <c r="H73" i="16"/>
  <c r="F73" i="16"/>
  <c r="E73" i="16"/>
  <c r="O42" i="16"/>
  <c r="O39" i="16"/>
  <c r="O38" i="16"/>
  <c r="O37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D65" i="15"/>
  <c r="E65" i="15" s="1"/>
  <c r="F65" i="15" s="1"/>
  <c r="G65" i="15" s="1"/>
  <c r="H65" i="15" s="1"/>
  <c r="I65" i="15" s="1"/>
  <c r="J65" i="15" s="1"/>
  <c r="K65" i="15" s="1"/>
  <c r="L65" i="15" s="1"/>
  <c r="M65" i="15" s="1"/>
  <c r="N65" i="15" s="1"/>
  <c r="D63" i="15"/>
  <c r="D73" i="15" s="1"/>
  <c r="D83" i="15" s="1"/>
  <c r="C62" i="15"/>
  <c r="C64" i="15" s="1"/>
  <c r="N61" i="15"/>
  <c r="M61" i="15"/>
  <c r="L61" i="15"/>
  <c r="K61" i="15"/>
  <c r="J61" i="15"/>
  <c r="I61" i="15"/>
  <c r="H61" i="15"/>
  <c r="G61" i="15"/>
  <c r="F61" i="15"/>
  <c r="E61" i="15"/>
  <c r="D61" i="15"/>
  <c r="N60" i="15"/>
  <c r="N62" i="15" s="1"/>
  <c r="M60" i="15"/>
  <c r="M62" i="15" s="1"/>
  <c r="L60" i="15"/>
  <c r="L62" i="15" s="1"/>
  <c r="K60" i="15"/>
  <c r="J60" i="15"/>
  <c r="J62" i="15" s="1"/>
  <c r="I60" i="15"/>
  <c r="H60" i="15"/>
  <c r="H62" i="15" s="1"/>
  <c r="G60" i="15"/>
  <c r="G62" i="15" s="1"/>
  <c r="F60" i="15"/>
  <c r="F62" i="15" s="1"/>
  <c r="E60" i="15"/>
  <c r="E62" i="15" s="1"/>
  <c r="D60" i="15"/>
  <c r="D62" i="15" s="1"/>
  <c r="D64" i="15" s="1"/>
  <c r="C60" i="15"/>
  <c r="C52" i="15"/>
  <c r="C54" i="15" s="1"/>
  <c r="N50" i="15"/>
  <c r="N52" i="15" s="1"/>
  <c r="N54" i="15" s="1"/>
  <c r="M50" i="15"/>
  <c r="M52" i="15" s="1"/>
  <c r="M54" i="15" s="1"/>
  <c r="L50" i="15"/>
  <c r="L52" i="15" s="1"/>
  <c r="L54" i="15" s="1"/>
  <c r="K50" i="15"/>
  <c r="K52" i="15" s="1"/>
  <c r="K54" i="15" s="1"/>
  <c r="J50" i="15"/>
  <c r="J52" i="15" s="1"/>
  <c r="J54" i="15" s="1"/>
  <c r="I50" i="15"/>
  <c r="I52" i="15" s="1"/>
  <c r="I54" i="15" s="1"/>
  <c r="H50" i="15"/>
  <c r="H52" i="15" s="1"/>
  <c r="H54" i="15" s="1"/>
  <c r="G50" i="15"/>
  <c r="G52" i="15" s="1"/>
  <c r="G54" i="15" s="1"/>
  <c r="F50" i="15"/>
  <c r="F52" i="15" s="1"/>
  <c r="F54" i="15" s="1"/>
  <c r="E50" i="15"/>
  <c r="E52" i="15" s="1"/>
  <c r="E54" i="15" s="1"/>
  <c r="D50" i="15"/>
  <c r="D52" i="15" s="1"/>
  <c r="D54" i="15" s="1"/>
  <c r="C50" i="15"/>
  <c r="N40" i="15"/>
  <c r="N42" i="15" s="1"/>
  <c r="N44" i="15" s="1"/>
  <c r="M40" i="15"/>
  <c r="M42" i="15" s="1"/>
  <c r="M44" i="15" s="1"/>
  <c r="L40" i="15"/>
  <c r="L42" i="15" s="1"/>
  <c r="L44" i="15" s="1"/>
  <c r="K40" i="15"/>
  <c r="K42" i="15" s="1"/>
  <c r="K44" i="15" s="1"/>
  <c r="J40" i="15"/>
  <c r="J42" i="15" s="1"/>
  <c r="J44" i="15" s="1"/>
  <c r="I40" i="15"/>
  <c r="I42" i="15" s="1"/>
  <c r="I44" i="15" s="1"/>
  <c r="H40" i="15"/>
  <c r="H42" i="15" s="1"/>
  <c r="H44" i="15" s="1"/>
  <c r="G40" i="15"/>
  <c r="G42" i="15" s="1"/>
  <c r="G44" i="15" s="1"/>
  <c r="F40" i="15"/>
  <c r="F42" i="15" s="1"/>
  <c r="F44" i="15" s="1"/>
  <c r="E40" i="15"/>
  <c r="E42" i="15" s="1"/>
  <c r="E44" i="15" s="1"/>
  <c r="D40" i="15"/>
  <c r="D42" i="15" s="1"/>
  <c r="D44" i="15" s="1"/>
  <c r="C40" i="15"/>
  <c r="C42" i="15" s="1"/>
  <c r="C44" i="15" s="1"/>
  <c r="N85" i="15"/>
  <c r="N81" i="15" s="1"/>
  <c r="M85" i="15"/>
  <c r="M81" i="15" s="1"/>
  <c r="L85" i="15"/>
  <c r="L81" i="15" s="1"/>
  <c r="F85" i="15"/>
  <c r="F81" i="15" s="1"/>
  <c r="E85" i="15"/>
  <c r="E81" i="15" s="1"/>
  <c r="D85" i="15"/>
  <c r="D81" i="15" s="1"/>
  <c r="N80" i="15"/>
  <c r="M80" i="15"/>
  <c r="M82" i="15" s="1"/>
  <c r="L80" i="15"/>
  <c r="K80" i="15"/>
  <c r="K85" i="15" s="1"/>
  <c r="K81" i="15" s="1"/>
  <c r="J80" i="15"/>
  <c r="J85" i="15" s="1"/>
  <c r="J81" i="15" s="1"/>
  <c r="I80" i="15"/>
  <c r="H80" i="15"/>
  <c r="G80" i="15"/>
  <c r="F80" i="15"/>
  <c r="F82" i="15" s="1"/>
  <c r="E80" i="15"/>
  <c r="D80" i="15"/>
  <c r="D82" i="15" s="1"/>
  <c r="C80" i="15"/>
  <c r="C85" i="15" s="1"/>
  <c r="C81" i="15" s="1"/>
  <c r="F75" i="15"/>
  <c r="F71" i="15" s="1"/>
  <c r="E75" i="15"/>
  <c r="E71" i="15" s="1"/>
  <c r="D75" i="15"/>
  <c r="D71" i="15" s="1"/>
  <c r="N70" i="15"/>
  <c r="N75" i="15" s="1"/>
  <c r="N71" i="15" s="1"/>
  <c r="M70" i="15"/>
  <c r="M75" i="15" s="1"/>
  <c r="M71" i="15" s="1"/>
  <c r="L70" i="15"/>
  <c r="L75" i="15" s="1"/>
  <c r="L71" i="15" s="1"/>
  <c r="K70" i="15"/>
  <c r="K75" i="15" s="1"/>
  <c r="K71" i="15" s="1"/>
  <c r="J70" i="15"/>
  <c r="J75" i="15" s="1"/>
  <c r="J71" i="15" s="1"/>
  <c r="I70" i="15"/>
  <c r="I75" i="15" s="1"/>
  <c r="I71" i="15" s="1"/>
  <c r="H70" i="15"/>
  <c r="H75" i="15" s="1"/>
  <c r="H71" i="15" s="1"/>
  <c r="G70" i="15"/>
  <c r="F70" i="15"/>
  <c r="E70" i="15"/>
  <c r="D70" i="15"/>
  <c r="C70" i="15"/>
  <c r="C75" i="15" s="1"/>
  <c r="C71" i="15" s="1"/>
  <c r="L72" i="15" l="1"/>
  <c r="M72" i="15"/>
  <c r="N72" i="15"/>
  <c r="K62" i="15"/>
  <c r="I62" i="15"/>
  <c r="G102" i="15"/>
  <c r="G104" i="15" s="1"/>
  <c r="K102" i="15"/>
  <c r="K104" i="15" s="1"/>
  <c r="C102" i="15"/>
  <c r="C104" i="15" s="1"/>
  <c r="H105" i="15"/>
  <c r="J102" i="15"/>
  <c r="J104" i="15" s="1"/>
  <c r="D102" i="15"/>
  <c r="D104" i="15" s="1"/>
  <c r="L102" i="15"/>
  <c r="L104" i="15" s="1"/>
  <c r="I105" i="15"/>
  <c r="M102" i="15"/>
  <c r="M104" i="15" s="1"/>
  <c r="F102" i="15"/>
  <c r="F104" i="15" s="1"/>
  <c r="N102" i="15"/>
  <c r="N104" i="15" s="1"/>
  <c r="E102" i="15"/>
  <c r="E104" i="15" s="1"/>
  <c r="C74" i="16"/>
  <c r="O64" i="16"/>
  <c r="O66" i="16"/>
  <c r="O68" i="16"/>
  <c r="O71" i="16"/>
  <c r="O79" i="16" s="1"/>
  <c r="O81" i="16" s="1"/>
  <c r="F74" i="16"/>
  <c r="N74" i="16"/>
  <c r="N75" i="16" s="1"/>
  <c r="N76" i="16" s="1"/>
  <c r="G73" i="16"/>
  <c r="C73" i="16"/>
  <c r="O63" i="16"/>
  <c r="K73" i="16"/>
  <c r="O67" i="16"/>
  <c r="J73" i="16"/>
  <c r="O61" i="16"/>
  <c r="D73" i="16"/>
  <c r="L73" i="16"/>
  <c r="H74" i="16"/>
  <c r="H75" i="16" s="1"/>
  <c r="H76" i="16" s="1"/>
  <c r="O65" i="16"/>
  <c r="O69" i="16"/>
  <c r="D74" i="16"/>
  <c r="E75" i="16"/>
  <c r="E76" i="16" s="1"/>
  <c r="M75" i="16"/>
  <c r="M76" i="16" s="1"/>
  <c r="I74" i="16"/>
  <c r="O41" i="16"/>
  <c r="O45" i="16"/>
  <c r="O49" i="16"/>
  <c r="O44" i="16"/>
  <c r="O48" i="16"/>
  <c r="O43" i="16"/>
  <c r="O47" i="16"/>
  <c r="O62" i="16"/>
  <c r="E64" i="15"/>
  <c r="E63" i="15"/>
  <c r="F63" i="15" s="1"/>
  <c r="F73" i="15"/>
  <c r="F83" i="15" s="1"/>
  <c r="F84" i="15" s="1"/>
  <c r="D84" i="15"/>
  <c r="L82" i="15"/>
  <c r="E82" i="15"/>
  <c r="N82" i="15"/>
  <c r="G85" i="15"/>
  <c r="G81" i="15" s="1"/>
  <c r="G82" i="15" s="1"/>
  <c r="C82" i="15"/>
  <c r="C84" i="15" s="1"/>
  <c r="K82" i="15"/>
  <c r="H85" i="15"/>
  <c r="H81" i="15" s="1"/>
  <c r="H82" i="15" s="1"/>
  <c r="J82" i="15"/>
  <c r="I85" i="15"/>
  <c r="I81" i="15" s="1"/>
  <c r="I82" i="15" s="1"/>
  <c r="D72" i="15"/>
  <c r="D74" i="15" s="1"/>
  <c r="E72" i="15"/>
  <c r="F72" i="15"/>
  <c r="H72" i="15"/>
  <c r="J72" i="15"/>
  <c r="G75" i="15"/>
  <c r="G71" i="15" s="1"/>
  <c r="G72" i="15" s="1"/>
  <c r="C72" i="15"/>
  <c r="C74" i="15" s="1"/>
  <c r="K72" i="15"/>
  <c r="I72" i="15"/>
  <c r="I101" i="15" l="1"/>
  <c r="I102" i="15" s="1"/>
  <c r="I104" i="15" s="1"/>
  <c r="H101" i="15"/>
  <c r="H102" i="15" s="1"/>
  <c r="H104" i="15" s="1"/>
  <c r="M77" i="16"/>
  <c r="E77" i="16"/>
  <c r="H77" i="16"/>
  <c r="K75" i="16"/>
  <c r="K77" i="16" s="1"/>
  <c r="J75" i="16"/>
  <c r="J77" i="16" s="1"/>
  <c r="L75" i="16"/>
  <c r="L77" i="16" s="1"/>
  <c r="I75" i="16"/>
  <c r="I76" i="16" s="1"/>
  <c r="D75" i="16"/>
  <c r="D77" i="16" s="1"/>
  <c r="C75" i="16"/>
  <c r="O73" i="16"/>
  <c r="G75" i="16"/>
  <c r="G77" i="16" s="1"/>
  <c r="G76" i="16"/>
  <c r="O74" i="16"/>
  <c r="F75" i="16"/>
  <c r="F76" i="16" s="1"/>
  <c r="N77" i="16"/>
  <c r="E84" i="15"/>
  <c r="F64" i="15"/>
  <c r="G63" i="15"/>
  <c r="E73" i="15"/>
  <c r="E83" i="15" s="1"/>
  <c r="E74" i="15"/>
  <c r="F74" i="15"/>
  <c r="O75" i="16" l="1"/>
  <c r="D76" i="16"/>
  <c r="C76" i="16"/>
  <c r="J76" i="16"/>
  <c r="C77" i="16"/>
  <c r="K76" i="16"/>
  <c r="O77" i="16"/>
  <c r="I483" i="1" s="1"/>
  <c r="F77" i="16"/>
  <c r="I77" i="16"/>
  <c r="L76" i="16"/>
  <c r="O76" i="16"/>
  <c r="H483" i="1" s="1"/>
  <c r="H63" i="15"/>
  <c r="G64" i="15"/>
  <c r="G73" i="15"/>
  <c r="I63" i="15" l="1"/>
  <c r="H64" i="15"/>
  <c r="H73" i="15"/>
  <c r="G83" i="15"/>
  <c r="G84" i="15" s="1"/>
  <c r="G74" i="15"/>
  <c r="J63" i="15" l="1"/>
  <c r="I64" i="15"/>
  <c r="I73" i="15"/>
  <c r="H83" i="15"/>
  <c r="H84" i="15" s="1"/>
  <c r="H74" i="15"/>
  <c r="I83" i="15" l="1"/>
  <c r="I84" i="15" s="1"/>
  <c r="I74" i="15"/>
  <c r="K63" i="15"/>
  <c r="J64" i="15"/>
  <c r="J73" i="15"/>
  <c r="J83" i="15" l="1"/>
  <c r="J84" i="15" s="1"/>
  <c r="J74" i="15"/>
  <c r="L63" i="15"/>
  <c r="K73" i="15"/>
  <c r="K64" i="15"/>
  <c r="K83" i="15" l="1"/>
  <c r="K84" i="15" s="1"/>
  <c r="K74" i="15"/>
  <c r="M63" i="15"/>
  <c r="L64" i="15"/>
  <c r="L73" i="15"/>
  <c r="L83" i="15" l="1"/>
  <c r="L84" i="15" s="1"/>
  <c r="L74" i="15"/>
  <c r="N63" i="15"/>
  <c r="M64" i="15"/>
  <c r="M73" i="15"/>
  <c r="M83" i="15" l="1"/>
  <c r="M84" i="15" s="1"/>
  <c r="M74" i="15"/>
  <c r="N64" i="15"/>
  <c r="N73" i="15"/>
  <c r="N83" i="15" l="1"/>
  <c r="N84" i="15" s="1"/>
  <c r="N74" i="15"/>
  <c r="L121" i="18" l="1"/>
  <c r="M121" i="18" s="1"/>
  <c r="J121" i="18"/>
  <c r="I121" i="18"/>
  <c r="F121" i="18"/>
  <c r="H121" i="18" s="1"/>
  <c r="L138" i="18"/>
  <c r="M138" i="18" s="1"/>
  <c r="J138" i="18"/>
  <c r="I138" i="18"/>
  <c r="F138" i="18"/>
  <c r="H138" i="18" s="1"/>
  <c r="L137" i="18"/>
  <c r="M137" i="18" s="1"/>
  <c r="J137" i="18"/>
  <c r="I137" i="18"/>
  <c r="F137" i="18"/>
  <c r="H137" i="18" s="1"/>
  <c r="L133" i="18"/>
  <c r="M133" i="18" s="1"/>
  <c r="J133" i="18"/>
  <c r="I133" i="18"/>
  <c r="F133" i="18"/>
  <c r="H133" i="18" s="1"/>
  <c r="L132" i="18"/>
  <c r="M132" i="18" s="1"/>
  <c r="J132" i="18"/>
  <c r="I132" i="18"/>
  <c r="F132" i="18"/>
  <c r="H132" i="18" s="1"/>
  <c r="L135" i="18"/>
  <c r="M135" i="18" s="1"/>
  <c r="J135" i="18"/>
  <c r="I135" i="18"/>
  <c r="F135" i="18"/>
  <c r="H135" i="18" s="1"/>
  <c r="L134" i="18"/>
  <c r="M134" i="18" s="1"/>
  <c r="J134" i="18"/>
  <c r="I134" i="18"/>
  <c r="F134" i="18"/>
  <c r="H134" i="18" s="1"/>
  <c r="L136" i="18"/>
  <c r="M136" i="18" s="1"/>
  <c r="J136" i="18"/>
  <c r="I136" i="18"/>
  <c r="F136" i="18"/>
  <c r="H136" i="18" s="1"/>
  <c r="L116" i="18"/>
  <c r="M116" i="18" s="1"/>
  <c r="J116" i="18"/>
  <c r="I116" i="18"/>
  <c r="F116" i="18"/>
  <c r="H116" i="18" s="1"/>
  <c r="L115" i="18"/>
  <c r="M115" i="18" s="1"/>
  <c r="J115" i="18"/>
  <c r="I115" i="18"/>
  <c r="F115" i="18"/>
  <c r="H115" i="18" s="1"/>
  <c r="L114" i="18"/>
  <c r="M114" i="18" s="1"/>
  <c r="J114" i="18"/>
  <c r="I114" i="18"/>
  <c r="F114" i="18"/>
  <c r="H114" i="18" s="1"/>
  <c r="L113" i="18"/>
  <c r="M113" i="18" s="1"/>
  <c r="J113" i="18"/>
  <c r="I113" i="18"/>
  <c r="F113" i="18"/>
  <c r="H113" i="18" s="1"/>
  <c r="L112" i="18"/>
  <c r="M112" i="18" s="1"/>
  <c r="J112" i="18"/>
  <c r="I112" i="18"/>
  <c r="F112" i="18"/>
  <c r="H112" i="18" s="1"/>
  <c r="L111" i="18"/>
  <c r="M111" i="18" s="1"/>
  <c r="J111" i="18"/>
  <c r="I111" i="18"/>
  <c r="F111" i="18"/>
  <c r="H111" i="18" s="1"/>
  <c r="L110" i="18"/>
  <c r="M110" i="18" s="1"/>
  <c r="J110" i="18"/>
  <c r="I110" i="18"/>
  <c r="F110" i="18"/>
  <c r="H110" i="18" s="1"/>
  <c r="L109" i="18"/>
  <c r="M109" i="18" s="1"/>
  <c r="J109" i="18"/>
  <c r="I109" i="18"/>
  <c r="F109" i="18"/>
  <c r="H109" i="18" s="1"/>
  <c r="L108" i="18"/>
  <c r="M108" i="18" s="1"/>
  <c r="J108" i="18"/>
  <c r="I108" i="18"/>
  <c r="F108" i="18"/>
  <c r="H108" i="18" s="1"/>
  <c r="L107" i="18"/>
  <c r="M107" i="18" s="1"/>
  <c r="J107" i="18"/>
  <c r="I107" i="18"/>
  <c r="F107" i="18"/>
  <c r="H107" i="18" s="1"/>
  <c r="L106" i="18"/>
  <c r="M106" i="18" s="1"/>
  <c r="J106" i="18"/>
  <c r="I106" i="18"/>
  <c r="F106" i="18"/>
  <c r="H106" i="18" s="1"/>
  <c r="L105" i="18"/>
  <c r="M105" i="18" s="1"/>
  <c r="J105" i="18"/>
  <c r="I105" i="18"/>
  <c r="F105" i="18"/>
  <c r="H105" i="18" s="1"/>
  <c r="L104" i="18"/>
  <c r="M104" i="18" s="1"/>
  <c r="J104" i="18"/>
  <c r="I104" i="18"/>
  <c r="F104" i="18"/>
  <c r="H104" i="18" s="1"/>
  <c r="F28" i="18" l="1"/>
  <c r="J68" i="18"/>
  <c r="I68" i="18"/>
  <c r="F68" i="18"/>
  <c r="H68" i="18" s="1"/>
  <c r="J67" i="18"/>
  <c r="I67" i="18"/>
  <c r="F67" i="18"/>
  <c r="H67" i="18" s="1"/>
  <c r="J66" i="18"/>
  <c r="I66" i="18"/>
  <c r="F66" i="18"/>
  <c r="H66" i="18" s="1"/>
  <c r="J65" i="18"/>
  <c r="I65" i="18"/>
  <c r="F65" i="18"/>
  <c r="H65" i="18" s="1"/>
  <c r="J69" i="18"/>
  <c r="I69" i="18"/>
  <c r="F69" i="18"/>
  <c r="H69" i="18" s="1"/>
  <c r="J64" i="18"/>
  <c r="I64" i="18"/>
  <c r="F64" i="18"/>
  <c r="H64" i="18" s="1"/>
  <c r="J71" i="18"/>
  <c r="I71" i="18"/>
  <c r="F71" i="18"/>
  <c r="H71" i="18" s="1"/>
  <c r="J70" i="18"/>
  <c r="I70" i="18"/>
  <c r="F70" i="18"/>
  <c r="H70" i="18" s="1"/>
  <c r="J72" i="18"/>
  <c r="I72" i="18"/>
  <c r="F72" i="18"/>
  <c r="H72" i="18" s="1"/>
  <c r="J23" i="18"/>
  <c r="I23" i="18"/>
  <c r="F23" i="18"/>
  <c r="H23" i="18" s="1"/>
  <c r="J22" i="18"/>
  <c r="I22" i="18"/>
  <c r="F22" i="18"/>
  <c r="H22" i="18" s="1"/>
  <c r="J21" i="18"/>
  <c r="I21" i="18"/>
  <c r="F21" i="18"/>
  <c r="H21" i="18" s="1"/>
  <c r="I20" i="18"/>
  <c r="F20" i="18"/>
  <c r="H20" i="18" s="1"/>
  <c r="J20" i="18"/>
  <c r="J19" i="18"/>
  <c r="I19" i="18"/>
  <c r="F19" i="18"/>
  <c r="H19" i="18" s="1"/>
  <c r="J18" i="18"/>
  <c r="I18" i="18"/>
  <c r="F18" i="18"/>
  <c r="H18" i="18" s="1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F229" i="1" l="1"/>
  <c r="F222" i="1"/>
  <c r="F277" i="1" l="1"/>
  <c r="F242" i="1"/>
  <c r="F175" i="1"/>
  <c r="F65" i="1"/>
  <c r="F64" i="1"/>
  <c r="C14" i="15" l="1"/>
  <c r="C12" i="15"/>
  <c r="C11" i="15"/>
  <c r="C10" i="15"/>
  <c r="C9" i="15"/>
  <c r="O39" i="15"/>
  <c r="C11" i="17" l="1"/>
  <c r="C12" i="17"/>
  <c r="C13" i="17"/>
  <c r="C14" i="17"/>
  <c r="C15" i="17"/>
  <c r="C16" i="17"/>
  <c r="C17" i="17"/>
  <c r="B11" i="17" l="1"/>
  <c r="B12" i="17"/>
  <c r="B13" i="17"/>
  <c r="B14" i="17"/>
  <c r="B15" i="17"/>
  <c r="B16" i="17"/>
  <c r="B17" i="17"/>
  <c r="B40" i="4"/>
  <c r="C40" i="4"/>
  <c r="B39" i="4"/>
  <c r="C39" i="4"/>
  <c r="AG316" i="2" l="1"/>
  <c r="L101" i="18" l="1"/>
  <c r="L102" i="18"/>
  <c r="L103" i="18"/>
  <c r="L117" i="18"/>
  <c r="L118" i="18"/>
  <c r="L119" i="18"/>
  <c r="L120" i="18"/>
  <c r="L122" i="18"/>
  <c r="L123" i="18"/>
  <c r="L124" i="18"/>
  <c r="L125" i="18"/>
  <c r="L126" i="18"/>
  <c r="L127" i="18"/>
  <c r="L128" i="18"/>
  <c r="L129" i="18"/>
  <c r="L130" i="18"/>
  <c r="L131" i="18"/>
  <c r="L139" i="18"/>
  <c r="L140" i="18"/>
  <c r="I99" i="18" l="1"/>
  <c r="I100" i="18"/>
  <c r="I101" i="18"/>
  <c r="I102" i="18"/>
  <c r="I103" i="18"/>
  <c r="I117" i="18"/>
  <c r="I118" i="18"/>
  <c r="I119" i="18"/>
  <c r="I120" i="18"/>
  <c r="I122" i="18"/>
  <c r="I123" i="18"/>
  <c r="I124" i="18"/>
  <c r="I125" i="18"/>
  <c r="I126" i="18"/>
  <c r="I127" i="18"/>
  <c r="I128" i="18"/>
  <c r="I129" i="18"/>
  <c r="I130" i="18"/>
  <c r="I131" i="18"/>
  <c r="I139" i="18"/>
  <c r="I140" i="18"/>
  <c r="J37" i="18"/>
  <c r="I37" i="18"/>
  <c r="F37" i="18"/>
  <c r="H37" i="18" s="1"/>
  <c r="F8" i="18"/>
  <c r="J30" i="18" l="1"/>
  <c r="I30" i="18"/>
  <c r="F30" i="18"/>
  <c r="H30" i="18" s="1"/>
  <c r="J29" i="18"/>
  <c r="I29" i="18"/>
  <c r="F29" i="18"/>
  <c r="H29" i="18" s="1"/>
  <c r="J28" i="18"/>
  <c r="I28" i="18"/>
  <c r="H28" i="18"/>
  <c r="J27" i="18"/>
  <c r="I27" i="18"/>
  <c r="F27" i="18"/>
  <c r="H27" i="18" s="1"/>
  <c r="J26" i="18"/>
  <c r="I26" i="18"/>
  <c r="F26" i="18"/>
  <c r="H26" i="18" s="1"/>
  <c r="J25" i="18"/>
  <c r="I25" i="18"/>
  <c r="F25" i="18"/>
  <c r="H25" i="18" s="1"/>
  <c r="J24" i="18"/>
  <c r="I24" i="18"/>
  <c r="F24" i="18"/>
  <c r="H24" i="18" s="1"/>
  <c r="J36" i="18"/>
  <c r="I36" i="18"/>
  <c r="F36" i="18"/>
  <c r="H36" i="18" s="1"/>
  <c r="J35" i="18"/>
  <c r="I35" i="18"/>
  <c r="F35" i="18"/>
  <c r="H35" i="18" s="1"/>
  <c r="J34" i="18"/>
  <c r="I34" i="18"/>
  <c r="F34" i="18"/>
  <c r="H34" i="18" s="1"/>
  <c r="J33" i="18"/>
  <c r="I33" i="18"/>
  <c r="F33" i="18"/>
  <c r="H33" i="18" s="1"/>
  <c r="J32" i="18"/>
  <c r="I32" i="18"/>
  <c r="F32" i="18"/>
  <c r="H32" i="18" s="1"/>
  <c r="J31" i="18"/>
  <c r="I31" i="18"/>
  <c r="F31" i="18"/>
  <c r="H31" i="18" s="1"/>
  <c r="M119" i="18"/>
  <c r="J119" i="18"/>
  <c r="F119" i="18"/>
  <c r="H119" i="18" s="1"/>
  <c r="M118" i="18"/>
  <c r="J118" i="18"/>
  <c r="F118" i="18"/>
  <c r="H118" i="18" s="1"/>
  <c r="M117" i="18"/>
  <c r="J117" i="18"/>
  <c r="F117" i="18"/>
  <c r="H117" i="18" s="1"/>
  <c r="M103" i="18"/>
  <c r="J103" i="18"/>
  <c r="F103" i="18"/>
  <c r="H103" i="18" s="1"/>
  <c r="M102" i="18"/>
  <c r="J102" i="18"/>
  <c r="F102" i="18"/>
  <c r="H102" i="18" s="1"/>
  <c r="M101" i="18"/>
  <c r="J101" i="18"/>
  <c r="F101" i="18"/>
  <c r="H101" i="18" s="1"/>
  <c r="L100" i="18"/>
  <c r="M100" i="18" s="1"/>
  <c r="J100" i="18"/>
  <c r="F100" i="18"/>
  <c r="H100" i="18" s="1"/>
  <c r="M126" i="18"/>
  <c r="J126" i="18"/>
  <c r="F126" i="18"/>
  <c r="H126" i="18" s="1"/>
  <c r="M125" i="18"/>
  <c r="J125" i="18"/>
  <c r="F125" i="18"/>
  <c r="H125" i="18" s="1"/>
  <c r="M124" i="18"/>
  <c r="J124" i="18"/>
  <c r="F124" i="18"/>
  <c r="H124" i="18" s="1"/>
  <c r="M123" i="18"/>
  <c r="J123" i="18"/>
  <c r="F123" i="18"/>
  <c r="H123" i="18" s="1"/>
  <c r="M122" i="18"/>
  <c r="J122" i="18"/>
  <c r="F122" i="18"/>
  <c r="H122" i="18" s="1"/>
  <c r="M120" i="18"/>
  <c r="J120" i="18"/>
  <c r="F120" i="18"/>
  <c r="H120" i="18" s="1"/>
  <c r="H611" i="2" l="1"/>
  <c r="E398" i="2"/>
  <c r="A1" i="15" l="1"/>
  <c r="C8" i="17" l="1"/>
  <c r="C8" i="4"/>
  <c r="S520" i="2" l="1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331" i="2"/>
  <c r="AH331" i="2" s="1"/>
  <c r="AG304" i="2"/>
  <c r="AH304" i="2" s="1"/>
  <c r="A34" i="4" l="1"/>
  <c r="A35" i="4" s="1"/>
  <c r="A36" i="4" s="1"/>
  <c r="A37" i="4" s="1"/>
  <c r="G11" i="17"/>
  <c r="G10" i="17"/>
  <c r="A38" i="4" l="1"/>
  <c r="A43" i="4"/>
  <c r="A49" i="4" s="1"/>
  <c r="A42" i="4"/>
  <c r="A48" i="4" s="1"/>
  <c r="A39" i="4" l="1"/>
  <c r="A44" i="4"/>
  <c r="N120" i="15"/>
  <c r="M120" i="15"/>
  <c r="L120" i="15"/>
  <c r="K120" i="15"/>
  <c r="J120" i="15"/>
  <c r="I120" i="15"/>
  <c r="H120" i="15"/>
  <c r="H122" i="15" s="1"/>
  <c r="H124" i="15" s="1"/>
  <c r="G120" i="15"/>
  <c r="F120" i="15"/>
  <c r="E120" i="15"/>
  <c r="D120" i="15"/>
  <c r="C120" i="15"/>
  <c r="H126" i="15" l="1"/>
  <c r="A45" i="4"/>
  <c r="A40" i="4"/>
  <c r="F126" i="15"/>
  <c r="F122" i="15"/>
  <c r="F124" i="15" s="1"/>
  <c r="N126" i="15"/>
  <c r="N122" i="15"/>
  <c r="N124" i="15" s="1"/>
  <c r="C126" i="15"/>
  <c r="C122" i="15"/>
  <c r="C124" i="15" s="1"/>
  <c r="K126" i="15"/>
  <c r="K122" i="15"/>
  <c r="K124" i="15" s="1"/>
  <c r="D126" i="15"/>
  <c r="D122" i="15"/>
  <c r="D124" i="15" s="1"/>
  <c r="L126" i="15"/>
  <c r="L122" i="15"/>
  <c r="L124" i="15" s="1"/>
  <c r="J126" i="15"/>
  <c r="J122" i="15"/>
  <c r="J124" i="15" s="1"/>
  <c r="G126" i="15"/>
  <c r="G122" i="15"/>
  <c r="G124" i="15" s="1"/>
  <c r="E126" i="15"/>
  <c r="E122" i="15"/>
  <c r="E124" i="15" s="1"/>
  <c r="I126" i="15"/>
  <c r="I122" i="15"/>
  <c r="I124" i="15" s="1"/>
  <c r="M126" i="15"/>
  <c r="M122" i="15"/>
  <c r="M124" i="15" s="1"/>
  <c r="A41" i="4" l="1"/>
  <c r="A46" i="4"/>
  <c r="A47" i="4" l="1"/>
  <c r="F73" i="18" l="1"/>
  <c r="H73" i="18" s="1"/>
  <c r="I73" i="18"/>
  <c r="J73" i="18"/>
  <c r="F140" i="18"/>
  <c r="H140" i="18" s="1"/>
  <c r="J140" i="18"/>
  <c r="M140" i="18"/>
  <c r="M131" i="18"/>
  <c r="J131" i="18"/>
  <c r="F131" i="18"/>
  <c r="H131" i="18" s="1"/>
  <c r="M130" i="18"/>
  <c r="J130" i="18"/>
  <c r="F130" i="18"/>
  <c r="H130" i="18" s="1"/>
  <c r="M129" i="18"/>
  <c r="J129" i="18"/>
  <c r="F129" i="18"/>
  <c r="H129" i="18" s="1"/>
  <c r="M128" i="18"/>
  <c r="J128" i="18"/>
  <c r="F128" i="18"/>
  <c r="H128" i="18" s="1"/>
  <c r="M139" i="18"/>
  <c r="J139" i="18"/>
  <c r="F139" i="18"/>
  <c r="H139" i="18" s="1"/>
  <c r="M127" i="18"/>
  <c r="J127" i="18"/>
  <c r="F127" i="18"/>
  <c r="H127" i="18" s="1"/>
  <c r="A1" i="18" l="1"/>
  <c r="A1" i="9"/>
  <c r="A1" i="8"/>
  <c r="A1" i="16"/>
  <c r="A1" i="17"/>
  <c r="F246" i="1" l="1"/>
  <c r="J8" i="18" l="1"/>
  <c r="I8" i="18"/>
  <c r="H8" i="18"/>
  <c r="AA456" i="2" l="1"/>
  <c r="AB456" i="2"/>
  <c r="AC456" i="2"/>
  <c r="AD456" i="2"/>
  <c r="AE456" i="2"/>
  <c r="AF456" i="2"/>
  <c r="N56" i="15" l="1"/>
  <c r="M56" i="15"/>
  <c r="L56" i="15"/>
  <c r="K56" i="15"/>
  <c r="J56" i="15"/>
  <c r="I56" i="15"/>
  <c r="H56" i="15"/>
  <c r="G56" i="15"/>
  <c r="F56" i="15"/>
  <c r="E56" i="15"/>
  <c r="D56" i="15"/>
  <c r="C56" i="15"/>
  <c r="H167" i="18" l="1"/>
  <c r="H166" i="18"/>
  <c r="H165" i="18"/>
  <c r="E141" i="18"/>
  <c r="J63" i="18" l="1"/>
  <c r="I63" i="18"/>
  <c r="F63" i="18"/>
  <c r="H63" i="18" s="1"/>
  <c r="C10" i="17" l="1"/>
  <c r="B35" i="4"/>
  <c r="C35" i="4"/>
  <c r="B36" i="4"/>
  <c r="C36" i="4"/>
  <c r="B37" i="4"/>
  <c r="C37" i="4"/>
  <c r="B38" i="4"/>
  <c r="C38" i="4"/>
  <c r="C34" i="4"/>
  <c r="B34" i="4"/>
  <c r="B10" i="17" l="1"/>
  <c r="O128" i="15" l="1"/>
  <c r="C17" i="15" s="1"/>
  <c r="O108" i="15"/>
  <c r="O118" i="15"/>
  <c r="C16" i="15" s="1"/>
  <c r="D16" i="9" l="1"/>
  <c r="D15" i="9"/>
  <c r="D14" i="9"/>
  <c r="D13" i="9"/>
  <c r="C12" i="9"/>
  <c r="C13" i="9"/>
  <c r="C14" i="9"/>
  <c r="C15" i="9"/>
  <c r="C16" i="9"/>
  <c r="B12" i="9"/>
  <c r="B13" i="9"/>
  <c r="B14" i="9"/>
  <c r="B15" i="9"/>
  <c r="B16" i="9"/>
  <c r="D13" i="8"/>
  <c r="C12" i="8"/>
  <c r="C13" i="8"/>
  <c r="B12" i="8"/>
  <c r="B13" i="8"/>
  <c r="P2" i="2"/>
  <c r="O2" i="2"/>
  <c r="N2" i="2"/>
  <c r="M2" i="2"/>
  <c r="L2" i="2"/>
  <c r="P3" i="2"/>
  <c r="F99" i="18" l="1"/>
  <c r="H99" i="18" s="1"/>
  <c r="L99" i="18"/>
  <c r="J99" i="18" l="1"/>
  <c r="M99" i="18"/>
  <c r="L23" i="15" l="1"/>
  <c r="L22" i="15"/>
  <c r="L21" i="15"/>
  <c r="L20" i="15"/>
  <c r="L19" i="15"/>
  <c r="L18" i="15"/>
  <c r="D141" i="18"/>
  <c r="D156" i="18" s="1"/>
  <c r="E74" i="18"/>
  <c r="D74" i="18"/>
  <c r="D89" i="18" s="1"/>
  <c r="E38" i="18"/>
  <c r="D48" i="18" s="1"/>
  <c r="D38" i="18"/>
  <c r="D53" i="18" s="1"/>
  <c r="N190" i="15"/>
  <c r="N196" i="15" s="1"/>
  <c r="M190" i="15"/>
  <c r="M196" i="15" s="1"/>
  <c r="L190" i="15"/>
  <c r="L196" i="15" s="1"/>
  <c r="K190" i="15"/>
  <c r="K196" i="15" s="1"/>
  <c r="J190" i="15"/>
  <c r="J196" i="15" s="1"/>
  <c r="I190" i="15"/>
  <c r="I196" i="15" s="1"/>
  <c r="H190" i="15"/>
  <c r="H196" i="15" s="1"/>
  <c r="G190" i="15"/>
  <c r="G196" i="15" s="1"/>
  <c r="F190" i="15"/>
  <c r="F196" i="15" s="1"/>
  <c r="E190" i="15"/>
  <c r="E196" i="15" s="1"/>
  <c r="D190" i="15"/>
  <c r="D196" i="15" s="1"/>
  <c r="C190" i="15"/>
  <c r="C196" i="15" s="1"/>
  <c r="N180" i="15"/>
  <c r="N186" i="15" s="1"/>
  <c r="M180" i="15"/>
  <c r="M186" i="15" s="1"/>
  <c r="L180" i="15"/>
  <c r="L186" i="15" s="1"/>
  <c r="K180" i="15"/>
  <c r="K186" i="15" s="1"/>
  <c r="J180" i="15"/>
  <c r="J186" i="15" s="1"/>
  <c r="I180" i="15"/>
  <c r="I186" i="15" s="1"/>
  <c r="H180" i="15"/>
  <c r="H186" i="15" s="1"/>
  <c r="G180" i="15"/>
  <c r="G186" i="15" s="1"/>
  <c r="F180" i="15"/>
  <c r="F186" i="15" s="1"/>
  <c r="E180" i="15"/>
  <c r="E186" i="15" s="1"/>
  <c r="D180" i="15"/>
  <c r="D186" i="15" s="1"/>
  <c r="C180" i="15"/>
  <c r="C186" i="15" s="1"/>
  <c r="N170" i="15"/>
  <c r="N176" i="15" s="1"/>
  <c r="M170" i="15"/>
  <c r="M176" i="15" s="1"/>
  <c r="L170" i="15"/>
  <c r="L176" i="15" s="1"/>
  <c r="K170" i="15"/>
  <c r="K176" i="15" s="1"/>
  <c r="J170" i="15"/>
  <c r="J176" i="15" s="1"/>
  <c r="I170" i="15"/>
  <c r="I176" i="15" s="1"/>
  <c r="H170" i="15"/>
  <c r="H176" i="15" s="1"/>
  <c r="G170" i="15"/>
  <c r="G176" i="15" s="1"/>
  <c r="F170" i="15"/>
  <c r="F176" i="15" s="1"/>
  <c r="E170" i="15"/>
  <c r="E176" i="15" s="1"/>
  <c r="D170" i="15"/>
  <c r="D176" i="15" s="1"/>
  <c r="C170" i="15"/>
  <c r="C176" i="15" s="1"/>
  <c r="N160" i="15"/>
  <c r="N166" i="15" s="1"/>
  <c r="M160" i="15"/>
  <c r="M166" i="15" s="1"/>
  <c r="L160" i="15"/>
  <c r="L166" i="15" s="1"/>
  <c r="K160" i="15"/>
  <c r="K166" i="15" s="1"/>
  <c r="J160" i="15"/>
  <c r="J166" i="15" s="1"/>
  <c r="I160" i="15"/>
  <c r="I166" i="15" s="1"/>
  <c r="H160" i="15"/>
  <c r="H166" i="15" s="1"/>
  <c r="G160" i="15"/>
  <c r="G166" i="15" s="1"/>
  <c r="F160" i="15"/>
  <c r="F166" i="15" s="1"/>
  <c r="E160" i="15"/>
  <c r="E166" i="15" s="1"/>
  <c r="D160" i="15"/>
  <c r="D166" i="15" s="1"/>
  <c r="C160" i="15"/>
  <c r="C166" i="15" s="1"/>
  <c r="N150" i="15"/>
  <c r="N156" i="15" s="1"/>
  <c r="M150" i="15"/>
  <c r="M156" i="15" s="1"/>
  <c r="L150" i="15"/>
  <c r="L156" i="15" s="1"/>
  <c r="K150" i="15"/>
  <c r="K156" i="15" s="1"/>
  <c r="J150" i="15"/>
  <c r="J156" i="15" s="1"/>
  <c r="I150" i="15"/>
  <c r="I156" i="15" s="1"/>
  <c r="H150" i="15"/>
  <c r="H156" i="15" s="1"/>
  <c r="G150" i="15"/>
  <c r="G156" i="15" s="1"/>
  <c r="F150" i="15"/>
  <c r="F156" i="15" s="1"/>
  <c r="E150" i="15"/>
  <c r="E156" i="15" s="1"/>
  <c r="D150" i="15"/>
  <c r="D156" i="15" s="1"/>
  <c r="C150" i="15"/>
  <c r="C156" i="15" s="1"/>
  <c r="N140" i="15"/>
  <c r="N146" i="15" s="1"/>
  <c r="M140" i="15"/>
  <c r="M146" i="15" s="1"/>
  <c r="L140" i="15"/>
  <c r="L146" i="15" s="1"/>
  <c r="K140" i="15"/>
  <c r="K146" i="15" s="1"/>
  <c r="J140" i="15"/>
  <c r="J146" i="15" s="1"/>
  <c r="I140" i="15"/>
  <c r="I146" i="15" s="1"/>
  <c r="H140" i="15"/>
  <c r="H146" i="15" s="1"/>
  <c r="G140" i="15"/>
  <c r="G146" i="15" s="1"/>
  <c r="F140" i="15"/>
  <c r="F146" i="15" s="1"/>
  <c r="E140" i="15"/>
  <c r="E146" i="15" s="1"/>
  <c r="D140" i="15"/>
  <c r="D146" i="15" s="1"/>
  <c r="C140" i="15"/>
  <c r="C146" i="15" s="1"/>
  <c r="N130" i="15"/>
  <c r="N136" i="15" s="1"/>
  <c r="M130" i="15"/>
  <c r="M136" i="15" s="1"/>
  <c r="L130" i="15"/>
  <c r="L136" i="15" s="1"/>
  <c r="K130" i="15"/>
  <c r="K136" i="15" s="1"/>
  <c r="J130" i="15"/>
  <c r="J136" i="15" s="1"/>
  <c r="I130" i="15"/>
  <c r="I136" i="15" s="1"/>
  <c r="H130" i="15"/>
  <c r="H136" i="15" s="1"/>
  <c r="G130" i="15"/>
  <c r="G136" i="15" s="1"/>
  <c r="F130" i="15"/>
  <c r="F136" i="15" s="1"/>
  <c r="E130" i="15"/>
  <c r="E136" i="15" s="1"/>
  <c r="D130" i="15"/>
  <c r="D136" i="15" s="1"/>
  <c r="C130" i="15"/>
  <c r="C136" i="15" s="1"/>
  <c r="M198" i="15"/>
  <c r="K198" i="15"/>
  <c r="I198" i="15"/>
  <c r="E198" i="15"/>
  <c r="I46" i="15"/>
  <c r="H46" i="15"/>
  <c r="D46" i="15"/>
  <c r="O88" i="15"/>
  <c r="E317" i="2"/>
  <c r="O78" i="15"/>
  <c r="M12" i="15" s="1"/>
  <c r="O98" i="15"/>
  <c r="O68" i="15"/>
  <c r="O58" i="15"/>
  <c r="D8" i="9" s="1"/>
  <c r="D7" i="9"/>
  <c r="F7" i="9" s="1"/>
  <c r="O38" i="15"/>
  <c r="C46" i="15"/>
  <c r="F283" i="1"/>
  <c r="C11" i="8"/>
  <c r="B11" i="8"/>
  <c r="C10" i="8"/>
  <c r="B10" i="8"/>
  <c r="C9" i="8"/>
  <c r="B9" i="8"/>
  <c r="C8" i="8"/>
  <c r="B8" i="8"/>
  <c r="C7" i="8"/>
  <c r="B7" i="8"/>
  <c r="C6" i="8"/>
  <c r="B6" i="8"/>
  <c r="B7" i="9"/>
  <c r="C7" i="9"/>
  <c r="B8" i="9"/>
  <c r="C8" i="9"/>
  <c r="B9" i="9"/>
  <c r="C9" i="9"/>
  <c r="B10" i="9"/>
  <c r="C10" i="9"/>
  <c r="B11" i="9"/>
  <c r="C11" i="9"/>
  <c r="C6" i="9"/>
  <c r="B6" i="9"/>
  <c r="A32" i="15"/>
  <c r="O109" i="15"/>
  <c r="O110" i="15" s="1"/>
  <c r="F262" i="1"/>
  <c r="Y258" i="1"/>
  <c r="W258" i="1"/>
  <c r="U258" i="1"/>
  <c r="S258" i="1"/>
  <c r="R258" i="1"/>
  <c r="P258" i="1"/>
  <c r="O258" i="1"/>
  <c r="M258" i="1"/>
  <c r="K258" i="1"/>
  <c r="I258" i="1"/>
  <c r="H258" i="1"/>
  <c r="O59" i="15"/>
  <c r="D10" i="15" s="1"/>
  <c r="B8" i="15"/>
  <c r="B38" i="15" s="1"/>
  <c r="B9" i="15"/>
  <c r="B48" i="15" s="1"/>
  <c r="B10" i="15"/>
  <c r="B58" i="15" s="1"/>
  <c r="B11" i="15"/>
  <c r="B68" i="15" s="1"/>
  <c r="B12" i="15"/>
  <c r="B78" i="15" s="1"/>
  <c r="B13" i="15"/>
  <c r="B14" i="15"/>
  <c r="B15" i="15"/>
  <c r="B16" i="15"/>
  <c r="B118" i="15" s="1"/>
  <c r="B17" i="15"/>
  <c r="B128" i="15" s="1"/>
  <c r="B18" i="15"/>
  <c r="B138" i="15" s="1"/>
  <c r="B19" i="15"/>
  <c r="B148" i="15" s="1"/>
  <c r="B20" i="15"/>
  <c r="B158" i="15" s="1"/>
  <c r="B21" i="15"/>
  <c r="B168" i="15" s="1"/>
  <c r="B22" i="15"/>
  <c r="B178" i="15" s="1"/>
  <c r="B23" i="15"/>
  <c r="B188" i="15" s="1"/>
  <c r="A23" i="15"/>
  <c r="A188" i="15" s="1"/>
  <c r="A22" i="15"/>
  <c r="A178" i="15" s="1"/>
  <c r="A21" i="15"/>
  <c r="A168" i="15" s="1"/>
  <c r="A20" i="15"/>
  <c r="A158" i="15" s="1"/>
  <c r="A19" i="15"/>
  <c r="A148" i="15" s="1"/>
  <c r="A18" i="15"/>
  <c r="A138" i="15" s="1"/>
  <c r="A17" i="15"/>
  <c r="A16" i="15"/>
  <c r="A15" i="15"/>
  <c r="A108" i="15" s="1"/>
  <c r="A14" i="15"/>
  <c r="A13" i="15"/>
  <c r="L13" i="15" s="1"/>
  <c r="A12" i="15"/>
  <c r="L12" i="15" s="1"/>
  <c r="A11" i="15"/>
  <c r="L11" i="15" s="1"/>
  <c r="A10" i="15"/>
  <c r="L10" i="15" s="1"/>
  <c r="A9" i="15"/>
  <c r="L9" i="15" s="1"/>
  <c r="A8" i="15"/>
  <c r="L8" i="15" s="1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Q182" i="15"/>
  <c r="H22" i="15" s="1"/>
  <c r="T404" i="2" s="1"/>
  <c r="O182" i="15"/>
  <c r="O179" i="15"/>
  <c r="O180" i="15" s="1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Q172" i="15"/>
  <c r="H21" i="15" s="1"/>
  <c r="S404" i="2" s="1"/>
  <c r="O172" i="15"/>
  <c r="O169" i="15"/>
  <c r="O170" i="15" s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Q162" i="15"/>
  <c r="H20" i="15" s="1"/>
  <c r="R404" i="2" s="1"/>
  <c r="O162" i="15"/>
  <c r="O159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Q152" i="15"/>
  <c r="H19" i="15" s="1"/>
  <c r="Q404" i="2" s="1"/>
  <c r="O152" i="15"/>
  <c r="O149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Q142" i="15"/>
  <c r="H18" i="15" s="1"/>
  <c r="P404" i="2" s="1"/>
  <c r="O142" i="15"/>
  <c r="O139" i="15"/>
  <c r="O140" i="15" s="1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Q132" i="15"/>
  <c r="H17" i="15" s="1"/>
  <c r="O404" i="2" s="1"/>
  <c r="O132" i="15"/>
  <c r="O129" i="15"/>
  <c r="D17" i="15" s="1"/>
  <c r="O119" i="15"/>
  <c r="N6" i="15"/>
  <c r="O6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M6" i="15"/>
  <c r="M15" i="15"/>
  <c r="M16" i="15"/>
  <c r="M17" i="15"/>
  <c r="M18" i="15"/>
  <c r="M19" i="15"/>
  <c r="M20" i="15"/>
  <c r="M21" i="15"/>
  <c r="M22" i="15"/>
  <c r="M23" i="15"/>
  <c r="M5" i="15"/>
  <c r="E352" i="2"/>
  <c r="AF616" i="2"/>
  <c r="AE616" i="2"/>
  <c r="AD616" i="2"/>
  <c r="AC616" i="2"/>
  <c r="AB616" i="2"/>
  <c r="AA616" i="2"/>
  <c r="Z616" i="2"/>
  <c r="Y616" i="2"/>
  <c r="X616" i="2"/>
  <c r="W616" i="2"/>
  <c r="V616" i="2"/>
  <c r="U616" i="2"/>
  <c r="T616" i="2"/>
  <c r="S616" i="2"/>
  <c r="AF592" i="2"/>
  <c r="AE592" i="2"/>
  <c r="AD592" i="2"/>
  <c r="AC592" i="2"/>
  <c r="AB592" i="2"/>
  <c r="AA592" i="2"/>
  <c r="Z592" i="2"/>
  <c r="Y592" i="2"/>
  <c r="X592" i="2"/>
  <c r="W592" i="2"/>
  <c r="V592" i="2"/>
  <c r="U592" i="2"/>
  <c r="T592" i="2"/>
  <c r="S592" i="2"/>
  <c r="Q287" i="1"/>
  <c r="S649" i="2"/>
  <c r="S639" i="2"/>
  <c r="S637" i="2"/>
  <c r="O201" i="15"/>
  <c r="Y385" i="2"/>
  <c r="X385" i="2"/>
  <c r="W385" i="2"/>
  <c r="V385" i="2"/>
  <c r="P397" i="2"/>
  <c r="P384" i="2" s="1"/>
  <c r="Z384" i="2"/>
  <c r="U393" i="2"/>
  <c r="U394" i="2" s="1"/>
  <c r="U396" i="2" s="1"/>
  <c r="T393" i="2"/>
  <c r="T394" i="2" s="1"/>
  <c r="S393" i="2"/>
  <c r="S394" i="2" s="1"/>
  <c r="S396" i="2" s="1"/>
  <c r="R393" i="2"/>
  <c r="R398" i="2" s="1"/>
  <c r="Q393" i="2"/>
  <c r="Q398" i="2" s="1"/>
  <c r="P393" i="2"/>
  <c r="P394" i="2" s="1"/>
  <c r="P395" i="2" s="1"/>
  <c r="P399" i="2" s="1"/>
  <c r="O393" i="2"/>
  <c r="O394" i="2" s="1"/>
  <c r="O396" i="2" s="1"/>
  <c r="O398" i="2" s="1"/>
  <c r="N393" i="2"/>
  <c r="N394" i="2" s="1"/>
  <c r="N396" i="2" s="1"/>
  <c r="N398" i="2" s="1"/>
  <c r="M393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D198" i="15"/>
  <c r="F198" i="15"/>
  <c r="H198" i="15"/>
  <c r="J198" i="15"/>
  <c r="L198" i="15"/>
  <c r="N198" i="15"/>
  <c r="O200" i="15"/>
  <c r="V392" i="2"/>
  <c r="V370" i="2" s="1"/>
  <c r="W392" i="2"/>
  <c r="W370" i="2" s="1"/>
  <c r="X392" i="2"/>
  <c r="X370" i="2" s="1"/>
  <c r="Y392" i="2"/>
  <c r="Y370" i="2" s="1"/>
  <c r="Z392" i="2"/>
  <c r="Z370" i="2" s="1"/>
  <c r="AA392" i="2"/>
  <c r="AA370" i="2" s="1"/>
  <c r="AB392" i="2"/>
  <c r="AB370" i="2" s="1"/>
  <c r="AC392" i="2"/>
  <c r="AC370" i="2" s="1"/>
  <c r="AD392" i="2"/>
  <c r="AD370" i="2" s="1"/>
  <c r="AE392" i="2"/>
  <c r="AE370" i="2" s="1"/>
  <c r="AF392" i="2"/>
  <c r="AF370" i="2" s="1"/>
  <c r="V383" i="2"/>
  <c r="W383" i="2"/>
  <c r="X383" i="2"/>
  <c r="Y383" i="2"/>
  <c r="Z383" i="2"/>
  <c r="AA383" i="2"/>
  <c r="AB383" i="2"/>
  <c r="AC383" i="2"/>
  <c r="AD383" i="2"/>
  <c r="AE383" i="2"/>
  <c r="AF383" i="2"/>
  <c r="V376" i="2"/>
  <c r="V377" i="2" s="1"/>
  <c r="W376" i="2"/>
  <c r="W377" i="2" s="1"/>
  <c r="X376" i="2"/>
  <c r="X377" i="2" s="1"/>
  <c r="Y376" i="2"/>
  <c r="Y377" i="2" s="1"/>
  <c r="Z376" i="2"/>
  <c r="Z377" i="2" s="1"/>
  <c r="AA376" i="2"/>
  <c r="AA377" i="2" s="1"/>
  <c r="AB376" i="2"/>
  <c r="AB377" i="2" s="1"/>
  <c r="AC376" i="2"/>
  <c r="AC377" i="2" s="1"/>
  <c r="AD376" i="2"/>
  <c r="AD377" i="2" s="1"/>
  <c r="AE376" i="2"/>
  <c r="AE377" i="2" s="1"/>
  <c r="AF376" i="2"/>
  <c r="AF377" i="2" s="1"/>
  <c r="V409" i="2"/>
  <c r="V416" i="2" s="1"/>
  <c r="V423" i="2"/>
  <c r="V430" i="2" s="1"/>
  <c r="V437" i="2"/>
  <c r="V444" i="2" s="1"/>
  <c r="V456" i="2"/>
  <c r="V463" i="2"/>
  <c r="V566" i="2"/>
  <c r="V568" i="2"/>
  <c r="V577" i="2"/>
  <c r="V582" i="2"/>
  <c r="V601" i="2"/>
  <c r="V625" i="2" s="1"/>
  <c r="V606" i="2"/>
  <c r="V630" i="2" s="1"/>
  <c r="Q328" i="1"/>
  <c r="Q330" i="1" s="1"/>
  <c r="F356" i="1"/>
  <c r="F347" i="1"/>
  <c r="AA354" i="1"/>
  <c r="Y354" i="1"/>
  <c r="W354" i="1"/>
  <c r="U354" i="1"/>
  <c r="S354" i="1"/>
  <c r="R354" i="1"/>
  <c r="P354" i="1"/>
  <c r="O354" i="1"/>
  <c r="M354" i="1"/>
  <c r="K354" i="1"/>
  <c r="I354" i="1"/>
  <c r="H354" i="1"/>
  <c r="AA353" i="1"/>
  <c r="Y353" i="1"/>
  <c r="W353" i="1"/>
  <c r="U353" i="1"/>
  <c r="S353" i="1"/>
  <c r="R353" i="1"/>
  <c r="P353" i="1"/>
  <c r="O353" i="1"/>
  <c r="M353" i="1"/>
  <c r="K353" i="1"/>
  <c r="I353" i="1"/>
  <c r="H353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5" i="1"/>
  <c r="Y345" i="1"/>
  <c r="W345" i="1"/>
  <c r="U345" i="1"/>
  <c r="S345" i="1"/>
  <c r="R345" i="1"/>
  <c r="P345" i="1"/>
  <c r="O345" i="1"/>
  <c r="M345" i="1"/>
  <c r="K345" i="1"/>
  <c r="I345" i="1"/>
  <c r="H345" i="1"/>
  <c r="AA344" i="1"/>
  <c r="Y344" i="1"/>
  <c r="W344" i="1"/>
  <c r="U344" i="1"/>
  <c r="S344" i="1"/>
  <c r="R344" i="1"/>
  <c r="P344" i="1"/>
  <c r="O344" i="1"/>
  <c r="M344" i="1"/>
  <c r="K344" i="1"/>
  <c r="AA343" i="1"/>
  <c r="Y343" i="1"/>
  <c r="W343" i="1"/>
  <c r="U343" i="1"/>
  <c r="S343" i="1"/>
  <c r="R343" i="1"/>
  <c r="P343" i="1"/>
  <c r="O343" i="1"/>
  <c r="M343" i="1"/>
  <c r="K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177" i="1"/>
  <c r="Y177" i="1"/>
  <c r="W177" i="1"/>
  <c r="U177" i="1"/>
  <c r="S177" i="1"/>
  <c r="R177" i="1"/>
  <c r="P177" i="1"/>
  <c r="O177" i="1"/>
  <c r="M177" i="1"/>
  <c r="K177" i="1"/>
  <c r="AB489" i="1"/>
  <c r="AC489" i="1" s="1"/>
  <c r="AA156" i="1"/>
  <c r="Y156" i="1"/>
  <c r="W156" i="1"/>
  <c r="U156" i="1"/>
  <c r="S156" i="1"/>
  <c r="R156" i="1"/>
  <c r="P156" i="1"/>
  <c r="O156" i="1"/>
  <c r="M156" i="1"/>
  <c r="K156" i="1"/>
  <c r="I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K16" i="1"/>
  <c r="I16" i="1"/>
  <c r="H16" i="1"/>
  <c r="AA15" i="1"/>
  <c r="Y15" i="1"/>
  <c r="W15" i="1"/>
  <c r="U15" i="1"/>
  <c r="S15" i="1"/>
  <c r="R15" i="1"/>
  <c r="P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90" i="2"/>
  <c r="AE614" i="2" s="1"/>
  <c r="AE591" i="2"/>
  <c r="AE615" i="2" s="1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F418" i="2"/>
  <c r="E418" i="2"/>
  <c r="F389" i="2"/>
  <c r="N194" i="15"/>
  <c r="M194" i="15"/>
  <c r="K194" i="15"/>
  <c r="G194" i="15"/>
  <c r="F194" i="15"/>
  <c r="E194" i="15"/>
  <c r="C194" i="15"/>
  <c r="O189" i="15"/>
  <c r="O190" i="15" s="1"/>
  <c r="O99" i="15"/>
  <c r="O100" i="15" s="1"/>
  <c r="O69" i="15"/>
  <c r="O70" i="15" s="1"/>
  <c r="O49" i="15"/>
  <c r="O50" i="15" s="1"/>
  <c r="N46" i="15"/>
  <c r="G46" i="15"/>
  <c r="E46" i="15"/>
  <c r="D8" i="15"/>
  <c r="F390" i="2" s="1"/>
  <c r="E25" i="15"/>
  <c r="M40" i="1"/>
  <c r="L54" i="1"/>
  <c r="L56" i="1" s="1"/>
  <c r="L58" i="1" s="1"/>
  <c r="F54" i="1"/>
  <c r="F394" i="1"/>
  <c r="J56" i="1"/>
  <c r="J58" i="1" s="1"/>
  <c r="Q56" i="1"/>
  <c r="Q58" i="1" s="1"/>
  <c r="T56" i="1"/>
  <c r="T58" i="1" s="1"/>
  <c r="V56" i="1"/>
  <c r="V58" i="1"/>
  <c r="X56" i="1"/>
  <c r="X58" i="1" s="1"/>
  <c r="Z56" i="1"/>
  <c r="Q425" i="2"/>
  <c r="AG425" i="2" s="1"/>
  <c r="AH425" i="2" s="1"/>
  <c r="N8" i="10"/>
  <c r="O8" i="10"/>
  <c r="F8" i="10"/>
  <c r="K7" i="10"/>
  <c r="K8" i="10"/>
  <c r="L7" i="10"/>
  <c r="L8" i="10" s="1"/>
  <c r="R7" i="10"/>
  <c r="R8" i="10"/>
  <c r="Q7" i="10"/>
  <c r="Q8" i="10" s="1"/>
  <c r="M7" i="10"/>
  <c r="M8" i="10"/>
  <c r="J7" i="10"/>
  <c r="J8" i="10" s="1"/>
  <c r="I7" i="10"/>
  <c r="I8" i="10" s="1"/>
  <c r="H7" i="10"/>
  <c r="H8" i="10" s="1"/>
  <c r="G7" i="10"/>
  <c r="S6" i="10"/>
  <c r="T6" i="10"/>
  <c r="AG458" i="2"/>
  <c r="AH458" i="2" s="1"/>
  <c r="K175" i="1"/>
  <c r="M175" i="1"/>
  <c r="O175" i="1"/>
  <c r="P175" i="1"/>
  <c r="R175" i="1"/>
  <c r="S175" i="1"/>
  <c r="U175" i="1"/>
  <c r="W175" i="1"/>
  <c r="Y175" i="1"/>
  <c r="AA175" i="1"/>
  <c r="AA434" i="1"/>
  <c r="W434" i="1"/>
  <c r="U434" i="1"/>
  <c r="S434" i="1"/>
  <c r="R434" i="1"/>
  <c r="P434" i="1"/>
  <c r="O434" i="1"/>
  <c r="M434" i="1"/>
  <c r="K434" i="1"/>
  <c r="I434" i="1"/>
  <c r="H434" i="1"/>
  <c r="Y434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23" i="2"/>
  <c r="AD453" i="2" s="1"/>
  <c r="AC423" i="2"/>
  <c r="AC453" i="2" s="1"/>
  <c r="AA423" i="2"/>
  <c r="AA453" i="2" s="1"/>
  <c r="Z394" i="2"/>
  <c r="Z395" i="2" s="1"/>
  <c r="AB394" i="2"/>
  <c r="AB396" i="2" s="1"/>
  <c r="AD394" i="2"/>
  <c r="AD396" i="2" s="1"/>
  <c r="AA394" i="2"/>
  <c r="AA396" i="2" s="1"/>
  <c r="AC394" i="2"/>
  <c r="AC396" i="2" s="1"/>
  <c r="AE394" i="2"/>
  <c r="AE395" i="2" s="1"/>
  <c r="AF394" i="2"/>
  <c r="AF396" i="2" s="1"/>
  <c r="AE409" i="2"/>
  <c r="AE416" i="2" s="1"/>
  <c r="AF409" i="2"/>
  <c r="AF416" i="2" s="1"/>
  <c r="AG411" i="2"/>
  <c r="AH411" i="2" s="1"/>
  <c r="AE423" i="2"/>
  <c r="AE453" i="2" s="1"/>
  <c r="AF423" i="2"/>
  <c r="AF453" i="2" s="1"/>
  <c r="E430" i="2"/>
  <c r="AD432" i="2"/>
  <c r="AG432" i="2" s="1"/>
  <c r="AH432" i="2" s="1"/>
  <c r="AF437" i="2"/>
  <c r="AF444" i="2" s="1"/>
  <c r="AG439" i="2"/>
  <c r="AH439" i="2" s="1"/>
  <c r="AE444" i="2"/>
  <c r="AG446" i="2"/>
  <c r="AH446" i="2" s="1"/>
  <c r="E453" i="2"/>
  <c r="AF463" i="2"/>
  <c r="AF625" i="2"/>
  <c r="AF630" i="2"/>
  <c r="AE631" i="2"/>
  <c r="Z423" i="2"/>
  <c r="Z453" i="2" s="1"/>
  <c r="Z437" i="2"/>
  <c r="Z444" i="2" s="1"/>
  <c r="AD444" i="2"/>
  <c r="AB409" i="2"/>
  <c r="AB416" i="2" s="1"/>
  <c r="AB437" i="2"/>
  <c r="AB444" i="2" s="1"/>
  <c r="K28" i="1"/>
  <c r="K29" i="1"/>
  <c r="K30" i="1"/>
  <c r="K31" i="1"/>
  <c r="K32" i="1"/>
  <c r="K33" i="1"/>
  <c r="M41" i="1"/>
  <c r="M295" i="1" s="1"/>
  <c r="M42" i="1"/>
  <c r="M43" i="1"/>
  <c r="M44" i="1"/>
  <c r="M45" i="1"/>
  <c r="M299" i="1" s="1"/>
  <c r="M46" i="1"/>
  <c r="M47" i="1"/>
  <c r="M301" i="1" s="1"/>
  <c r="M166" i="1"/>
  <c r="M48" i="1"/>
  <c r="M390" i="1" s="1"/>
  <c r="M49" i="1"/>
  <c r="M50" i="1"/>
  <c r="M51" i="1"/>
  <c r="M52" i="1"/>
  <c r="M305" i="1" s="1"/>
  <c r="O40" i="1"/>
  <c r="O41" i="1"/>
  <c r="O109" i="1" s="1"/>
  <c r="O42" i="1"/>
  <c r="O48" i="1"/>
  <c r="O390" i="1" s="1"/>
  <c r="O49" i="1"/>
  <c r="O117" i="1" s="1"/>
  <c r="O50" i="1"/>
  <c r="O118" i="1" s="1"/>
  <c r="O154" i="1"/>
  <c r="O51" i="1"/>
  <c r="O52" i="1"/>
  <c r="O225" i="1" s="1"/>
  <c r="U27" i="1"/>
  <c r="U28" i="1"/>
  <c r="U29" i="1"/>
  <c r="U30" i="1"/>
  <c r="U31" i="1"/>
  <c r="U32" i="1"/>
  <c r="U33" i="1"/>
  <c r="U40" i="1"/>
  <c r="U41" i="1"/>
  <c r="U42" i="1"/>
  <c r="U43" i="1"/>
  <c r="U44" i="1"/>
  <c r="U205" i="1" s="1"/>
  <c r="U45" i="1"/>
  <c r="U113" i="1" s="1"/>
  <c r="U46" i="1"/>
  <c r="U300" i="1" s="1"/>
  <c r="U47" i="1"/>
  <c r="U224" i="1" s="1"/>
  <c r="U48" i="1"/>
  <c r="U49" i="1"/>
  <c r="U226" i="1" s="1"/>
  <c r="U50" i="1"/>
  <c r="U207" i="1" s="1"/>
  <c r="U51" i="1"/>
  <c r="U52" i="1"/>
  <c r="U406" i="1" s="1"/>
  <c r="S27" i="1"/>
  <c r="S28" i="1"/>
  <c r="S29" i="1"/>
  <c r="S30" i="1"/>
  <c r="S31" i="1"/>
  <c r="S32" i="1"/>
  <c r="S33" i="1"/>
  <c r="S40" i="1"/>
  <c r="S41" i="1"/>
  <c r="S109" i="1" s="1"/>
  <c r="S42" i="1"/>
  <c r="S43" i="1"/>
  <c r="S44" i="1"/>
  <c r="S205" i="1" s="1"/>
  <c r="S45" i="1"/>
  <c r="S299" i="1" s="1"/>
  <c r="S46" i="1"/>
  <c r="S404" i="1" s="1"/>
  <c r="S47" i="1"/>
  <c r="S405" i="1" s="1"/>
  <c r="S48" i="1"/>
  <c r="S210" i="1" s="1"/>
  <c r="S49" i="1"/>
  <c r="S117" i="1" s="1"/>
  <c r="S50" i="1"/>
  <c r="S207" i="1" s="1"/>
  <c r="S51" i="1"/>
  <c r="S52" i="1"/>
  <c r="S225" i="1" s="1"/>
  <c r="R27" i="1"/>
  <c r="R28" i="1"/>
  <c r="R29" i="1"/>
  <c r="R30" i="1"/>
  <c r="R31" i="1"/>
  <c r="R32" i="1"/>
  <c r="R33" i="1"/>
  <c r="R40" i="1"/>
  <c r="R41" i="1"/>
  <c r="R42" i="1"/>
  <c r="R43" i="1"/>
  <c r="R297" i="1" s="1"/>
  <c r="R44" i="1"/>
  <c r="R45" i="1"/>
  <c r="R299" i="1" s="1"/>
  <c r="R46" i="1"/>
  <c r="R404" i="1" s="1"/>
  <c r="R47" i="1"/>
  <c r="R224" i="1" s="1"/>
  <c r="R48" i="1"/>
  <c r="R116" i="1" s="1"/>
  <c r="R49" i="1"/>
  <c r="R303" i="1" s="1"/>
  <c r="R50" i="1"/>
  <c r="R387" i="1" s="1"/>
  <c r="R51" i="1"/>
  <c r="R52" i="1"/>
  <c r="R30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43" i="1"/>
  <c r="Y111" i="1" s="1"/>
  <c r="Y44" i="1"/>
  <c r="Y45" i="1"/>
  <c r="Y299" i="1" s="1"/>
  <c r="Y46" i="1"/>
  <c r="Y386" i="1" s="1"/>
  <c r="Y47" i="1"/>
  <c r="Y48" i="1"/>
  <c r="Y49" i="1"/>
  <c r="Y303" i="1" s="1"/>
  <c r="Y50" i="1"/>
  <c r="Y387" i="1" s="1"/>
  <c r="Y52" i="1"/>
  <c r="Y40" i="1"/>
  <c r="Y51" i="1"/>
  <c r="F75" i="1"/>
  <c r="AA27" i="1"/>
  <c r="AA28" i="1"/>
  <c r="AA29" i="1"/>
  <c r="AA30" i="1"/>
  <c r="AA31" i="1"/>
  <c r="AA32" i="1"/>
  <c r="AA33" i="1"/>
  <c r="AA40" i="1"/>
  <c r="AA41" i="1"/>
  <c r="AA42" i="1"/>
  <c r="AA43" i="1"/>
  <c r="AA111" i="1" s="1"/>
  <c r="AA44" i="1"/>
  <c r="AA45" i="1"/>
  <c r="AA299" i="1" s="1"/>
  <c r="AA46" i="1"/>
  <c r="AA206" i="1" s="1"/>
  <c r="AA47" i="1"/>
  <c r="AA224" i="1" s="1"/>
  <c r="AA48" i="1"/>
  <c r="AA390" i="1" s="1"/>
  <c r="AA157" i="1"/>
  <c r="AA49" i="1"/>
  <c r="AA407" i="1" s="1"/>
  <c r="AA50" i="1"/>
  <c r="AA154" i="1"/>
  <c r="AA51" i="1"/>
  <c r="AA52" i="1"/>
  <c r="AA305" i="1" s="1"/>
  <c r="P27" i="1"/>
  <c r="P28" i="1"/>
  <c r="P29" i="1"/>
  <c r="P30" i="1"/>
  <c r="P31" i="1"/>
  <c r="P32" i="1"/>
  <c r="P33" i="1"/>
  <c r="P40" i="1"/>
  <c r="P41" i="1"/>
  <c r="P109" i="1" s="1"/>
  <c r="P42" i="1"/>
  <c r="P48" i="1"/>
  <c r="P302" i="1" s="1"/>
  <c r="P49" i="1"/>
  <c r="P303" i="1" s="1"/>
  <c r="P50" i="1"/>
  <c r="P118" i="1" s="1"/>
  <c r="P51" i="1"/>
  <c r="P52" i="1"/>
  <c r="P406" i="1" s="1"/>
  <c r="W27" i="1"/>
  <c r="W28" i="1"/>
  <c r="W29" i="1"/>
  <c r="W30" i="1"/>
  <c r="W31" i="1"/>
  <c r="W32" i="1"/>
  <c r="W33" i="1"/>
  <c r="W41" i="1"/>
  <c r="W42" i="1"/>
  <c r="W43" i="1"/>
  <c r="W297" i="1" s="1"/>
  <c r="W44" i="1"/>
  <c r="W45" i="1"/>
  <c r="W299" i="1" s="1"/>
  <c r="W46" i="1"/>
  <c r="W223" i="1" s="1"/>
  <c r="W47" i="1"/>
  <c r="W115" i="1" s="1"/>
  <c r="W48" i="1"/>
  <c r="W210" i="1" s="1"/>
  <c r="W49" i="1"/>
  <c r="W407" i="1" s="1"/>
  <c r="W50" i="1"/>
  <c r="W387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99" i="1" s="1"/>
  <c r="F124" i="1"/>
  <c r="Y389" i="1"/>
  <c r="Y364" i="1"/>
  <c r="Y365" i="1"/>
  <c r="Y419" i="1"/>
  <c r="Y420" i="1"/>
  <c r="Y421" i="1"/>
  <c r="Y422" i="1"/>
  <c r="Y423" i="1"/>
  <c r="Y428" i="1"/>
  <c r="Y429" i="1"/>
  <c r="Y430" i="1"/>
  <c r="Y431" i="1"/>
  <c r="Y432" i="1"/>
  <c r="Y433" i="1"/>
  <c r="Y435" i="1"/>
  <c r="Y436" i="1"/>
  <c r="Y437" i="1"/>
  <c r="Y438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10" i="1"/>
  <c r="F379" i="1"/>
  <c r="F425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9" i="1"/>
  <c r="W419" i="1"/>
  <c r="W420" i="1"/>
  <c r="W421" i="1"/>
  <c r="W422" i="1"/>
  <c r="W423" i="1"/>
  <c r="W428" i="1"/>
  <c r="W429" i="1"/>
  <c r="W430" i="1"/>
  <c r="W431" i="1"/>
  <c r="W432" i="1"/>
  <c r="W433" i="1"/>
  <c r="W435" i="1"/>
  <c r="W436" i="1"/>
  <c r="W437" i="1"/>
  <c r="W438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9" i="1"/>
  <c r="U419" i="1"/>
  <c r="U420" i="1"/>
  <c r="U421" i="1"/>
  <c r="U422" i="1"/>
  <c r="U423" i="1"/>
  <c r="U428" i="1"/>
  <c r="U429" i="1"/>
  <c r="U430" i="1"/>
  <c r="U431" i="1"/>
  <c r="U432" i="1"/>
  <c r="U433" i="1"/>
  <c r="U435" i="1"/>
  <c r="U436" i="1"/>
  <c r="U437" i="1"/>
  <c r="U438" i="1"/>
  <c r="U364" i="1"/>
  <c r="U365" i="1"/>
  <c r="R389" i="1"/>
  <c r="R364" i="1"/>
  <c r="R365" i="1"/>
  <c r="R419" i="1"/>
  <c r="R420" i="1"/>
  <c r="R421" i="1"/>
  <c r="R422" i="1"/>
  <c r="R423" i="1"/>
  <c r="R428" i="1"/>
  <c r="R429" i="1"/>
  <c r="R430" i="1"/>
  <c r="R431" i="1"/>
  <c r="R432" i="1"/>
  <c r="R433" i="1"/>
  <c r="R435" i="1"/>
  <c r="R436" i="1"/>
  <c r="R437" i="1"/>
  <c r="R438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4" i="1"/>
  <c r="W365" i="1"/>
  <c r="K202" i="1"/>
  <c r="K42" i="1"/>
  <c r="K44" i="1"/>
  <c r="K46" i="1"/>
  <c r="K223" i="1" s="1"/>
  <c r="K50" i="1"/>
  <c r="K304" i="1" s="1"/>
  <c r="K49" i="1"/>
  <c r="K209" i="1"/>
  <c r="K48" i="1"/>
  <c r="K302" i="1" s="1"/>
  <c r="K211" i="1"/>
  <c r="K212" i="1"/>
  <c r="K213" i="1"/>
  <c r="K220" i="1"/>
  <c r="K47" i="1"/>
  <c r="K405" i="1" s="1"/>
  <c r="K52" i="1"/>
  <c r="K406" i="1" s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2" i="1"/>
  <c r="K389" i="1"/>
  <c r="K391" i="1"/>
  <c r="K392" i="1"/>
  <c r="K401" i="1"/>
  <c r="K408" i="1"/>
  <c r="K419" i="1"/>
  <c r="K420" i="1"/>
  <c r="K421" i="1"/>
  <c r="K422" i="1"/>
  <c r="K423" i="1"/>
  <c r="K428" i="1"/>
  <c r="K429" i="1"/>
  <c r="K430" i="1"/>
  <c r="K431" i="1"/>
  <c r="K432" i="1"/>
  <c r="K433" i="1"/>
  <c r="K435" i="1"/>
  <c r="K436" i="1"/>
  <c r="K437" i="1"/>
  <c r="K438" i="1"/>
  <c r="K78" i="1"/>
  <c r="K41" i="1"/>
  <c r="K43" i="1"/>
  <c r="K297" i="1" s="1"/>
  <c r="K45" i="1"/>
  <c r="K108" i="1"/>
  <c r="S389" i="1"/>
  <c r="S364" i="1"/>
  <c r="S365" i="1"/>
  <c r="S419" i="1"/>
  <c r="S420" i="1"/>
  <c r="S421" i="1"/>
  <c r="S422" i="1"/>
  <c r="S423" i="1"/>
  <c r="S428" i="1"/>
  <c r="S429" i="1"/>
  <c r="S430" i="1"/>
  <c r="S431" i="1"/>
  <c r="S432" i="1"/>
  <c r="S433" i="1"/>
  <c r="S435" i="1"/>
  <c r="S436" i="1"/>
  <c r="S437" i="1"/>
  <c r="S438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9" i="1"/>
  <c r="AA419" i="1"/>
  <c r="AA420" i="1"/>
  <c r="AA421" i="1"/>
  <c r="AA422" i="1"/>
  <c r="AA423" i="1"/>
  <c r="AA428" i="1"/>
  <c r="AA429" i="1"/>
  <c r="AA430" i="1"/>
  <c r="AA431" i="1"/>
  <c r="AA432" i="1"/>
  <c r="AA433" i="1"/>
  <c r="AA435" i="1"/>
  <c r="AA436" i="1"/>
  <c r="AA437" i="1"/>
  <c r="AA438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9" i="1"/>
  <c r="P419" i="1"/>
  <c r="P420" i="1"/>
  <c r="P421" i="1"/>
  <c r="P422" i="1"/>
  <c r="P423" i="1"/>
  <c r="P428" i="1"/>
  <c r="P429" i="1"/>
  <c r="P430" i="1"/>
  <c r="P431" i="1"/>
  <c r="P432" i="1"/>
  <c r="P433" i="1"/>
  <c r="P435" i="1"/>
  <c r="P436" i="1"/>
  <c r="P437" i="1"/>
  <c r="P438" i="1"/>
  <c r="I40" i="1"/>
  <c r="I41" i="1"/>
  <c r="I295" i="1" s="1"/>
  <c r="I42" i="1"/>
  <c r="I43" i="1"/>
  <c r="I111" i="1" s="1"/>
  <c r="I44" i="1"/>
  <c r="I45" i="1"/>
  <c r="I113" i="1" s="1"/>
  <c r="I46" i="1"/>
  <c r="I404" i="1" s="1"/>
  <c r="I47" i="1"/>
  <c r="I48" i="1"/>
  <c r="I302" i="1" s="1"/>
  <c r="I157" i="1"/>
  <c r="I49" i="1"/>
  <c r="I50" i="1"/>
  <c r="I118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9" i="1"/>
  <c r="I419" i="1"/>
  <c r="I420" i="1"/>
  <c r="I421" i="1"/>
  <c r="I422" i="1"/>
  <c r="I423" i="1"/>
  <c r="I428" i="1"/>
  <c r="I429" i="1"/>
  <c r="I430" i="1"/>
  <c r="I431" i="1"/>
  <c r="I432" i="1"/>
  <c r="I433" i="1"/>
  <c r="I435" i="1"/>
  <c r="I436" i="1"/>
  <c r="I437" i="1"/>
  <c r="I438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9" i="1"/>
  <c r="M419" i="1"/>
  <c r="M420" i="1"/>
  <c r="M421" i="1"/>
  <c r="M422" i="1"/>
  <c r="M423" i="1"/>
  <c r="M428" i="1"/>
  <c r="M429" i="1"/>
  <c r="M430" i="1"/>
  <c r="M431" i="1"/>
  <c r="M432" i="1"/>
  <c r="M433" i="1"/>
  <c r="M435" i="1"/>
  <c r="M436" i="1"/>
  <c r="M437" i="1"/>
  <c r="M438" i="1"/>
  <c r="AA364" i="1"/>
  <c r="AA365" i="1"/>
  <c r="M364" i="1"/>
  <c r="M365" i="1"/>
  <c r="S178" i="1"/>
  <c r="P364" i="1"/>
  <c r="P365" i="1"/>
  <c r="O389" i="1"/>
  <c r="O364" i="1"/>
  <c r="O365" i="1"/>
  <c r="O419" i="1"/>
  <c r="O420" i="1"/>
  <c r="O421" i="1"/>
  <c r="O422" i="1"/>
  <c r="O423" i="1"/>
  <c r="O428" i="1"/>
  <c r="O429" i="1"/>
  <c r="O430" i="1"/>
  <c r="O431" i="1"/>
  <c r="O432" i="1"/>
  <c r="O433" i="1"/>
  <c r="O435" i="1"/>
  <c r="O436" i="1"/>
  <c r="O437" i="1"/>
  <c r="O438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109" i="1" s="1"/>
  <c r="H42" i="1"/>
  <c r="H43" i="1"/>
  <c r="H111" i="1" s="1"/>
  <c r="H44" i="1"/>
  <c r="H205" i="1" s="1"/>
  <c r="H45" i="1"/>
  <c r="H299" i="1" s="1"/>
  <c r="H46" i="1"/>
  <c r="H114" i="1" s="1"/>
  <c r="H47" i="1"/>
  <c r="H405" i="1" s="1"/>
  <c r="H48" i="1"/>
  <c r="H390" i="1" s="1"/>
  <c r="H49" i="1"/>
  <c r="H303" i="1" s="1"/>
  <c r="H50" i="1"/>
  <c r="H118" i="1" s="1"/>
  <c r="H51" i="1"/>
  <c r="H52" i="1"/>
  <c r="H225" i="1" s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1" i="1"/>
  <c r="H252" i="1"/>
  <c r="H253" i="1"/>
  <c r="H254" i="1"/>
  <c r="H256" i="1"/>
  <c r="H257" i="1"/>
  <c r="H259" i="1"/>
  <c r="H260" i="1"/>
  <c r="H389" i="1"/>
  <c r="H419" i="1"/>
  <c r="H420" i="1"/>
  <c r="H421" i="1"/>
  <c r="H422" i="1"/>
  <c r="H423" i="1"/>
  <c r="H428" i="1"/>
  <c r="H429" i="1"/>
  <c r="H430" i="1"/>
  <c r="H431" i="1"/>
  <c r="H432" i="1"/>
  <c r="H433" i="1"/>
  <c r="H435" i="1"/>
  <c r="H436" i="1"/>
  <c r="H437" i="1"/>
  <c r="H438" i="1"/>
  <c r="K40" i="1"/>
  <c r="K51" i="1"/>
  <c r="F367" i="1"/>
  <c r="F461" i="1"/>
  <c r="F312" i="1"/>
  <c r="T328" i="1"/>
  <c r="T330" i="1" s="1"/>
  <c r="V328" i="1"/>
  <c r="V330" i="1"/>
  <c r="X328" i="1"/>
  <c r="X330" i="1" s="1"/>
  <c r="Z328" i="1"/>
  <c r="Z330" i="1" s="1"/>
  <c r="AB469" i="1"/>
  <c r="AC469" i="1" s="1"/>
  <c r="AB474" i="1"/>
  <c r="AC474" i="1" s="1"/>
  <c r="AB475" i="1"/>
  <c r="AC475" i="1" s="1"/>
  <c r="AB476" i="1"/>
  <c r="AC476" i="1" s="1"/>
  <c r="AB477" i="1"/>
  <c r="AC477" i="1" s="1"/>
  <c r="AB478" i="1"/>
  <c r="AC478" i="1" s="1"/>
  <c r="AB479" i="1"/>
  <c r="AC479" i="1" s="1"/>
  <c r="AB480" i="1"/>
  <c r="AC480" i="1" s="1"/>
  <c r="AB485" i="1"/>
  <c r="AC485" i="1" s="1"/>
  <c r="AB486" i="1"/>
  <c r="AC486" i="1" s="1"/>
  <c r="AB487" i="1"/>
  <c r="AC487" i="1" s="1"/>
  <c r="AB488" i="1"/>
  <c r="AC488" i="1" s="1"/>
  <c r="AA437" i="2"/>
  <c r="AA444" i="2" s="1"/>
  <c r="AA409" i="2"/>
  <c r="AA416" i="2" s="1"/>
  <c r="F440" i="1"/>
  <c r="Z409" i="2"/>
  <c r="Z416" i="2" s="1"/>
  <c r="AB423" i="2"/>
  <c r="AB430" i="2" s="1"/>
  <c r="AC409" i="2"/>
  <c r="AC416" i="2" s="1"/>
  <c r="AC437" i="2"/>
  <c r="AC444" i="2" s="1"/>
  <c r="AD409" i="2"/>
  <c r="AD416" i="2" s="1"/>
  <c r="K365" i="1"/>
  <c r="K364" i="1"/>
  <c r="K178" i="1"/>
  <c r="Z463" i="2"/>
  <c r="Z456" i="2"/>
  <c r="X463" i="2"/>
  <c r="Y463" i="2"/>
  <c r="W463" i="2"/>
  <c r="Y423" i="2"/>
  <c r="Y453" i="2" s="1"/>
  <c r="W437" i="2"/>
  <c r="W444" i="2" s="1"/>
  <c r="Y409" i="2"/>
  <c r="Y416" i="2" s="1"/>
  <c r="W423" i="2"/>
  <c r="W430" i="2" s="1"/>
  <c r="X423" i="2"/>
  <c r="X430" i="2" s="1"/>
  <c r="Y456" i="2"/>
  <c r="AG465" i="2"/>
  <c r="AH465" i="2" s="1"/>
  <c r="X456" i="2"/>
  <c r="X437" i="2"/>
  <c r="X444" i="2" s="1"/>
  <c r="W456" i="2"/>
  <c r="X409" i="2"/>
  <c r="X416" i="2" s="1"/>
  <c r="Y437" i="2"/>
  <c r="Y444" i="2" s="1"/>
  <c r="W409" i="2"/>
  <c r="W416" i="2" s="1"/>
  <c r="G8" i="10"/>
  <c r="P7" i="10"/>
  <c r="S7" i="10" s="1"/>
  <c r="T7" i="10" s="1"/>
  <c r="AF606" i="2"/>
  <c r="AF582" i="2"/>
  <c r="AF578" i="2"/>
  <c r="AE568" i="2"/>
  <c r="Z568" i="2"/>
  <c r="AA568" i="2"/>
  <c r="U568" i="2"/>
  <c r="Y568" i="2"/>
  <c r="AD568" i="2"/>
  <c r="T568" i="2"/>
  <c r="AB568" i="2"/>
  <c r="AC568" i="2"/>
  <c r="AF568" i="2"/>
  <c r="AF591" i="2"/>
  <c r="AF615" i="2" s="1"/>
  <c r="X568" i="2"/>
  <c r="W568" i="2"/>
  <c r="E416" i="2"/>
  <c r="U577" i="2"/>
  <c r="U601" i="2"/>
  <c r="U625" i="2" s="1"/>
  <c r="W577" i="2"/>
  <c r="W601" i="2"/>
  <c r="W625" i="2" s="1"/>
  <c r="AB601" i="2"/>
  <c r="AB625" i="2" s="1"/>
  <c r="AB577" i="2"/>
  <c r="AD582" i="2"/>
  <c r="AD606" i="2"/>
  <c r="AD630" i="2" s="1"/>
  <c r="AA577" i="2"/>
  <c r="AA601" i="2"/>
  <c r="AA625" i="2" s="1"/>
  <c r="AC606" i="2"/>
  <c r="AC630" i="2" s="1"/>
  <c r="AC582" i="2"/>
  <c r="Y606" i="2"/>
  <c r="Y630" i="2" s="1"/>
  <c r="Y582" i="2"/>
  <c r="T606" i="2"/>
  <c r="T630" i="2" s="1"/>
  <c r="T582" i="2"/>
  <c r="X582" i="2"/>
  <c r="X606" i="2"/>
  <c r="X630" i="2" s="1"/>
  <c r="Z582" i="2"/>
  <c r="Z606" i="2"/>
  <c r="Z630" i="2" s="1"/>
  <c r="AE577" i="2"/>
  <c r="AE601" i="2"/>
  <c r="AE625" i="2" s="1"/>
  <c r="AF583" i="2"/>
  <c r="AA582" i="2"/>
  <c r="AA606" i="2"/>
  <c r="AA630" i="2" s="1"/>
  <c r="Y577" i="2"/>
  <c r="Y601" i="2"/>
  <c r="Y625" i="2" s="1"/>
  <c r="X601" i="2"/>
  <c r="X625" i="2" s="1"/>
  <c r="X577" i="2"/>
  <c r="Z601" i="2"/>
  <c r="Z625" i="2" s="1"/>
  <c r="Z577" i="2"/>
  <c r="AE606" i="2"/>
  <c r="AE630" i="2" s="1"/>
  <c r="AE632" i="2" s="1"/>
  <c r="AE582" i="2"/>
  <c r="AF601" i="2"/>
  <c r="AF577" i="2"/>
  <c r="AC601" i="2"/>
  <c r="AC625" i="2" s="1"/>
  <c r="AC577" i="2"/>
  <c r="U606" i="2"/>
  <c r="U630" i="2" s="1"/>
  <c r="U582" i="2"/>
  <c r="W582" i="2"/>
  <c r="W606" i="2"/>
  <c r="W630" i="2" s="1"/>
  <c r="AB606" i="2"/>
  <c r="AB630" i="2" s="1"/>
  <c r="AB582" i="2"/>
  <c r="AD577" i="2"/>
  <c r="AD601" i="2"/>
  <c r="AD625" i="2" s="1"/>
  <c r="T601" i="2"/>
  <c r="T625" i="2" s="1"/>
  <c r="T577" i="2"/>
  <c r="AD566" i="2"/>
  <c r="AC566" i="2"/>
  <c r="AF566" i="2"/>
  <c r="AF590" i="2"/>
  <c r="AF614" i="2" s="1"/>
  <c r="T566" i="2"/>
  <c r="U566" i="2"/>
  <c r="X566" i="2"/>
  <c r="AE566" i="2"/>
  <c r="AA566" i="2"/>
  <c r="W566" i="2"/>
  <c r="Y566" i="2"/>
  <c r="AB566" i="2"/>
  <c r="Z566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4" i="15"/>
  <c r="O79" i="15"/>
  <c r="D12" i="15" s="1"/>
  <c r="N12" i="15" s="1"/>
  <c r="I194" i="15"/>
  <c r="U377" i="2"/>
  <c r="U276" i="2" s="1"/>
  <c r="L194" i="15"/>
  <c r="D194" i="15"/>
  <c r="J194" i="15"/>
  <c r="O192" i="15"/>
  <c r="Q192" i="15"/>
  <c r="H23" i="15" s="1"/>
  <c r="U404" i="2" s="1"/>
  <c r="O66" i="15"/>
  <c r="F10" i="15" s="1"/>
  <c r="P66" i="15"/>
  <c r="G10" i="15" s="1"/>
  <c r="P76" i="15"/>
  <c r="G11" i="15" s="1"/>
  <c r="O76" i="15"/>
  <c r="F11" i="15" s="1"/>
  <c r="I405" i="2" s="1"/>
  <c r="I423" i="2" s="1"/>
  <c r="O86" i="15"/>
  <c r="F12" i="15" s="1"/>
  <c r="J405" i="2" s="1"/>
  <c r="J423" i="2" s="1"/>
  <c r="P86" i="15"/>
  <c r="G12" i="15" s="1"/>
  <c r="S377" i="2"/>
  <c r="S276" i="2" s="1"/>
  <c r="T377" i="2"/>
  <c r="T276" i="2" s="1"/>
  <c r="P383" i="2"/>
  <c r="Q383" i="2"/>
  <c r="R383" i="2"/>
  <c r="K139" i="1"/>
  <c r="F35" i="1"/>
  <c r="F199" i="1"/>
  <c r="F215" i="1"/>
  <c r="Y244" i="1"/>
  <c r="K89" i="1"/>
  <c r="K137" i="1"/>
  <c r="K138" i="1"/>
  <c r="K105" i="1"/>
  <c r="AA258" i="1"/>
  <c r="F170" i="1"/>
  <c r="F358" i="1"/>
  <c r="AF384" i="2"/>
  <c r="V384" i="2"/>
  <c r="Q384" i="2"/>
  <c r="I384" i="2"/>
  <c r="AC384" i="2"/>
  <c r="J384" i="2"/>
  <c r="S384" i="2"/>
  <c r="X384" i="2"/>
  <c r="H384" i="2"/>
  <c r="G384" i="2"/>
  <c r="AA384" i="2"/>
  <c r="AE384" i="2"/>
  <c r="R384" i="2"/>
  <c r="Y384" i="2"/>
  <c r="AD384" i="2"/>
  <c r="W384" i="2"/>
  <c r="U384" i="2"/>
  <c r="T384" i="2"/>
  <c r="AB384" i="2"/>
  <c r="L384" i="2"/>
  <c r="F384" i="2"/>
  <c r="P56" i="15"/>
  <c r="G9" i="15" s="1"/>
  <c r="O56" i="15"/>
  <c r="F9" i="15" s="1"/>
  <c r="G405" i="2" s="1"/>
  <c r="G423" i="2" s="1"/>
  <c r="V453" i="2"/>
  <c r="AA395" i="2"/>
  <c r="AC395" i="2"/>
  <c r="O89" i="15"/>
  <c r="D13" i="15" s="1"/>
  <c r="C198" i="15"/>
  <c r="G198" i="15"/>
  <c r="AD385" i="2"/>
  <c r="AA430" i="2" l="1"/>
  <c r="AB395" i="2"/>
  <c r="Y430" i="2"/>
  <c r="AB453" i="2"/>
  <c r="AB344" i="1"/>
  <c r="AC344" i="1" s="1"/>
  <c r="AB338" i="1"/>
  <c r="AC338" i="1" s="1"/>
  <c r="AB340" i="1"/>
  <c r="AC340" i="1" s="1"/>
  <c r="AB342" i="1"/>
  <c r="AC342" i="1" s="1"/>
  <c r="AB345" i="1"/>
  <c r="AC345" i="1" s="1"/>
  <c r="AB339" i="1"/>
  <c r="AC339" i="1" s="1"/>
  <c r="AB341" i="1"/>
  <c r="AC341" i="1" s="1"/>
  <c r="AB343" i="1"/>
  <c r="AC343" i="1" s="1"/>
  <c r="AG418" i="2"/>
  <c r="AH418" i="2" s="1"/>
  <c r="X453" i="2"/>
  <c r="X454" i="2" s="1"/>
  <c r="M13" i="15"/>
  <c r="C13" i="15"/>
  <c r="C8" i="15"/>
  <c r="D6" i="9" s="1"/>
  <c r="AA204" i="1"/>
  <c r="R204" i="1"/>
  <c r="Y383" i="1"/>
  <c r="Y204" i="1"/>
  <c r="M402" i="1"/>
  <c r="M204" i="1"/>
  <c r="H383" i="1"/>
  <c r="H204" i="1"/>
  <c r="U203" i="1"/>
  <c r="U204" i="1"/>
  <c r="O402" i="1"/>
  <c r="P221" i="1"/>
  <c r="I402" i="1"/>
  <c r="I204" i="1"/>
  <c r="K402" i="1"/>
  <c r="K204" i="1"/>
  <c r="W203" i="1"/>
  <c r="W204" i="1"/>
  <c r="S383" i="1"/>
  <c r="S204" i="1"/>
  <c r="AA298" i="1"/>
  <c r="AA205" i="1"/>
  <c r="R112" i="1"/>
  <c r="R205" i="1"/>
  <c r="I403" i="1"/>
  <c r="I205" i="1"/>
  <c r="W385" i="1"/>
  <c r="W205" i="1"/>
  <c r="K222" i="1"/>
  <c r="K205" i="1"/>
  <c r="Y385" i="1"/>
  <c r="Y205" i="1"/>
  <c r="M403" i="1"/>
  <c r="M205" i="1"/>
  <c r="AD395" i="2"/>
  <c r="AF579" i="2"/>
  <c r="AA454" i="2"/>
  <c r="P8" i="10"/>
  <c r="S8" i="10" s="1"/>
  <c r="T8" i="10" s="1"/>
  <c r="E389" i="2"/>
  <c r="AE313" i="2" s="1"/>
  <c r="E29" i="15"/>
  <c r="E30" i="15" s="1"/>
  <c r="D18" i="15"/>
  <c r="P390" i="2" s="1"/>
  <c r="P463" i="2" s="1"/>
  <c r="H405" i="2"/>
  <c r="S174" i="15"/>
  <c r="J21" i="15" s="1"/>
  <c r="S402" i="2" s="1"/>
  <c r="Q17" i="15"/>
  <c r="Q15" i="15"/>
  <c r="Q16" i="15"/>
  <c r="Q18" i="15"/>
  <c r="D6" i="8"/>
  <c r="M8" i="15"/>
  <c r="F393" i="2"/>
  <c r="F394" i="2" s="1"/>
  <c r="F396" i="2" s="1"/>
  <c r="F398" i="2" s="1"/>
  <c r="AA356" i="1"/>
  <c r="S356" i="1"/>
  <c r="I356" i="1"/>
  <c r="A128" i="15"/>
  <c r="L17" i="15"/>
  <c r="A118" i="15"/>
  <c r="L16" i="15"/>
  <c r="A98" i="15"/>
  <c r="L14" i="15"/>
  <c r="L15" i="15"/>
  <c r="M46" i="15"/>
  <c r="O390" i="2"/>
  <c r="Q9" i="15"/>
  <c r="E275" i="2"/>
  <c r="E278" i="2" s="1"/>
  <c r="E299" i="2" s="1"/>
  <c r="E319" i="2" s="1"/>
  <c r="J46" i="15"/>
  <c r="A78" i="15"/>
  <c r="A68" i="15"/>
  <c r="AD302" i="2"/>
  <c r="AD326" i="2"/>
  <c r="AC302" i="2"/>
  <c r="Z302" i="2"/>
  <c r="AE302" i="2"/>
  <c r="W453" i="2"/>
  <c r="W454" i="2" s="1"/>
  <c r="AE430" i="2"/>
  <c r="AE326" i="2"/>
  <c r="AC385" i="2"/>
  <c r="Z430" i="2"/>
  <c r="Z326" i="2"/>
  <c r="AC326" i="2"/>
  <c r="AF326" i="2"/>
  <c r="AF302" i="2"/>
  <c r="AB326" i="2"/>
  <c r="AB302" i="2"/>
  <c r="Y326" i="2"/>
  <c r="Y302" i="2"/>
  <c r="V326" i="2"/>
  <c r="V302" i="2"/>
  <c r="AA326" i="2"/>
  <c r="AA302" i="2"/>
  <c r="X326" i="2"/>
  <c r="X302" i="2"/>
  <c r="W326" i="2"/>
  <c r="W302" i="2"/>
  <c r="AA385" i="2"/>
  <c r="Z396" i="2"/>
  <c r="AD430" i="2"/>
  <c r="V454" i="2"/>
  <c r="AF395" i="2"/>
  <c r="AD454" i="2"/>
  <c r="AC454" i="2"/>
  <c r="S395" i="2"/>
  <c r="S399" i="2" s="1"/>
  <c r="AE396" i="2"/>
  <c r="AC430" i="2"/>
  <c r="AB385" i="2"/>
  <c r="AF385" i="2"/>
  <c r="Y454" i="2"/>
  <c r="AE454" i="2"/>
  <c r="AF454" i="2"/>
  <c r="AF584" i="2"/>
  <c r="AB454" i="2"/>
  <c r="AF430" i="2"/>
  <c r="Q20" i="15"/>
  <c r="Q22" i="15"/>
  <c r="N17" i="15"/>
  <c r="D11" i="15"/>
  <c r="N11" i="15" s="1"/>
  <c r="O174" i="15"/>
  <c r="R174" i="15" s="1"/>
  <c r="I21" i="15" s="1"/>
  <c r="S403" i="2" s="1"/>
  <c r="S409" i="2" s="1"/>
  <c r="F46" i="15"/>
  <c r="U395" i="2"/>
  <c r="L46" i="15"/>
  <c r="D15" i="15"/>
  <c r="U398" i="2"/>
  <c r="U385" i="2" s="1"/>
  <c r="D9" i="15"/>
  <c r="N9" i="15" s="1"/>
  <c r="O40" i="15"/>
  <c r="O130" i="15"/>
  <c r="O164" i="15"/>
  <c r="R164" i="15" s="1"/>
  <c r="I20" i="15" s="1"/>
  <c r="R403" i="2" s="1"/>
  <c r="R456" i="2" s="1"/>
  <c r="S164" i="15"/>
  <c r="J20" i="15" s="1"/>
  <c r="R402" i="2" s="1"/>
  <c r="O60" i="15"/>
  <c r="O136" i="15"/>
  <c r="F17" i="15" s="1"/>
  <c r="P136" i="15"/>
  <c r="G17" i="15" s="1"/>
  <c r="N8" i="15"/>
  <c r="O80" i="15"/>
  <c r="G393" i="2"/>
  <c r="G394" i="2" s="1"/>
  <c r="O395" i="2"/>
  <c r="N395" i="2"/>
  <c r="G430" i="2"/>
  <c r="G453" i="2"/>
  <c r="G454" i="2" s="1"/>
  <c r="P146" i="15"/>
  <c r="G18" i="15" s="1"/>
  <c r="O134" i="15"/>
  <c r="R134" i="15" s="1"/>
  <c r="M9" i="15"/>
  <c r="K46" i="15"/>
  <c r="D23" i="15"/>
  <c r="N23" i="15" s="1"/>
  <c r="D22" i="15"/>
  <c r="O166" i="15"/>
  <c r="F20" i="15" s="1"/>
  <c r="O90" i="15"/>
  <c r="R394" i="2"/>
  <c r="R395" i="2" s="1"/>
  <c r="R399" i="2" s="1"/>
  <c r="S194" i="15"/>
  <c r="J23" i="15" s="1"/>
  <c r="U402" i="2" s="1"/>
  <c r="O154" i="15"/>
  <c r="R154" i="15" s="1"/>
  <c r="I19" i="15" s="1"/>
  <c r="Q403" i="2" s="1"/>
  <c r="A38" i="15"/>
  <c r="K393" i="2"/>
  <c r="K394" i="2" s="1"/>
  <c r="D8" i="8"/>
  <c r="H393" i="2"/>
  <c r="M10" i="15"/>
  <c r="D7" i="8"/>
  <c r="F7" i="8" s="1"/>
  <c r="D14" i="15"/>
  <c r="N14" i="15" s="1"/>
  <c r="P96" i="15"/>
  <c r="G13" i="15" s="1"/>
  <c r="J390" i="2"/>
  <c r="N10" i="15"/>
  <c r="H390" i="2"/>
  <c r="H463" i="2" s="1"/>
  <c r="S64" i="15"/>
  <c r="J10" i="15" s="1"/>
  <c r="H402" i="2" s="1"/>
  <c r="F463" i="2"/>
  <c r="F392" i="2"/>
  <c r="F370" i="2" s="1"/>
  <c r="F412" i="1"/>
  <c r="F414" i="1" s="1"/>
  <c r="F442" i="1" s="1"/>
  <c r="O356" i="1"/>
  <c r="O144" i="15"/>
  <c r="R144" i="15" s="1"/>
  <c r="S144" i="15"/>
  <c r="J18" i="15" s="1"/>
  <c r="P402" i="2" s="1"/>
  <c r="O184" i="15"/>
  <c r="R184" i="15" s="1"/>
  <c r="I22" i="15" s="1"/>
  <c r="T403" i="2" s="1"/>
  <c r="T456" i="2" s="1"/>
  <c r="S154" i="15"/>
  <c r="J19" i="15" s="1"/>
  <c r="Q402" i="2" s="1"/>
  <c r="P186" i="15"/>
  <c r="G22" i="15" s="1"/>
  <c r="D21" i="15"/>
  <c r="N21" i="15" s="1"/>
  <c r="N18" i="15"/>
  <c r="P166" i="15"/>
  <c r="G20" i="15" s="1"/>
  <c r="O196" i="15"/>
  <c r="F23" i="15" s="1"/>
  <c r="O186" i="15"/>
  <c r="F22" i="15" s="1"/>
  <c r="T437" i="2"/>
  <c r="T444" i="2" s="1"/>
  <c r="T409" i="2"/>
  <c r="T416" i="2" s="1"/>
  <c r="O146" i="15"/>
  <c r="F18" i="15" s="1"/>
  <c r="O156" i="15"/>
  <c r="F19" i="15" s="1"/>
  <c r="D16" i="15"/>
  <c r="O120" i="15"/>
  <c r="O150" i="15"/>
  <c r="D19" i="15"/>
  <c r="D20" i="15"/>
  <c r="O160" i="15"/>
  <c r="L393" i="2"/>
  <c r="C25" i="15"/>
  <c r="C26" i="15" s="1"/>
  <c r="C29" i="15" s="1"/>
  <c r="M14" i="15"/>
  <c r="P176" i="15"/>
  <c r="G21" i="15" s="1"/>
  <c r="O176" i="15"/>
  <c r="F21" i="15" s="1"/>
  <c r="S184" i="15"/>
  <c r="J22" i="15" s="1"/>
  <c r="T402" i="2" s="1"/>
  <c r="O198" i="15"/>
  <c r="P156" i="15"/>
  <c r="G19" i="15" s="1"/>
  <c r="O194" i="15"/>
  <c r="R194" i="15" s="1"/>
  <c r="I23" i="15" s="1"/>
  <c r="U403" i="2" s="1"/>
  <c r="U456" i="2" s="1"/>
  <c r="P196" i="15"/>
  <c r="G23" i="15" s="1"/>
  <c r="S134" i="15"/>
  <c r="J17" i="15" s="1"/>
  <c r="O402" i="2" s="1"/>
  <c r="AG389" i="2"/>
  <c r="P396" i="2"/>
  <c r="Q10" i="15"/>
  <c r="Q19" i="15"/>
  <c r="Q11" i="15"/>
  <c r="Q13" i="15"/>
  <c r="Q25" i="15"/>
  <c r="Q23" i="15"/>
  <c r="Q8" i="15"/>
  <c r="O25" i="15"/>
  <c r="Q21" i="15"/>
  <c r="Q12" i="15"/>
  <c r="Q14" i="15"/>
  <c r="M394" i="2"/>
  <c r="S398" i="2"/>
  <c r="S385" i="2" s="1"/>
  <c r="Q394" i="2"/>
  <c r="A58" i="15"/>
  <c r="D86" i="18"/>
  <c r="H78" i="18" a="1"/>
  <c r="H79" i="18" s="1"/>
  <c r="M141" i="18"/>
  <c r="D151" i="18" s="1"/>
  <c r="F328" i="1"/>
  <c r="K356" i="1"/>
  <c r="Y356" i="1"/>
  <c r="M356" i="1"/>
  <c r="O24" i="1"/>
  <c r="O149" i="1" s="1"/>
  <c r="O159" i="1" s="1"/>
  <c r="P356" i="1"/>
  <c r="W356" i="1"/>
  <c r="F82" i="1"/>
  <c r="F56" i="1"/>
  <c r="F58" i="1" s="1"/>
  <c r="U24" i="1"/>
  <c r="U149" i="1" s="1"/>
  <c r="U159" i="1" s="1"/>
  <c r="P304" i="1"/>
  <c r="M406" i="1"/>
  <c r="M302" i="1"/>
  <c r="M116" i="1"/>
  <c r="M109" i="1"/>
  <c r="M119" i="1"/>
  <c r="K221" i="1"/>
  <c r="P207" i="1"/>
  <c r="M210" i="1"/>
  <c r="W111" i="1"/>
  <c r="M225" i="1"/>
  <c r="R301" i="1"/>
  <c r="M113" i="1"/>
  <c r="W301" i="1"/>
  <c r="P387" i="1"/>
  <c r="W405" i="1"/>
  <c r="Y113" i="1"/>
  <c r="O110" i="1"/>
  <c r="Y180" i="1"/>
  <c r="K115" i="1"/>
  <c r="R24" i="1"/>
  <c r="R106" i="1" s="1"/>
  <c r="Y24" i="1"/>
  <c r="Y80" i="1" s="1"/>
  <c r="H301" i="1"/>
  <c r="R402" i="1"/>
  <c r="H224" i="1"/>
  <c r="K300" i="1"/>
  <c r="S221" i="1"/>
  <c r="I305" i="1"/>
  <c r="M298" i="1"/>
  <c r="AA383" i="1"/>
  <c r="W206" i="1"/>
  <c r="AA367" i="1"/>
  <c r="H119" i="1"/>
  <c r="P208" i="1"/>
  <c r="R203" i="1"/>
  <c r="AA221" i="1"/>
  <c r="K114" i="1"/>
  <c r="W114" i="1"/>
  <c r="W207" i="1"/>
  <c r="U383" i="1"/>
  <c r="AB16" i="1"/>
  <c r="AC16" i="1" s="1"/>
  <c r="AB20" i="1"/>
  <c r="AC20" i="1" s="1"/>
  <c r="M24" i="1"/>
  <c r="M149" i="1" s="1"/>
  <c r="M159" i="1" s="1"/>
  <c r="S24" i="1"/>
  <c r="S293" i="1" s="1"/>
  <c r="AA24" i="1"/>
  <c r="AA149" i="1" s="1"/>
  <c r="AA159" i="1" s="1"/>
  <c r="AB156" i="1"/>
  <c r="AC156" i="1" s="1"/>
  <c r="AB351" i="1"/>
  <c r="AC351" i="1" s="1"/>
  <c r="AB352" i="1"/>
  <c r="AC352" i="1" s="1"/>
  <c r="AB353" i="1"/>
  <c r="AC353" i="1" s="1"/>
  <c r="AB354" i="1"/>
  <c r="AC354" i="1" s="1"/>
  <c r="U223" i="1"/>
  <c r="AA203" i="1"/>
  <c r="K386" i="1"/>
  <c r="P117" i="1"/>
  <c r="W386" i="1"/>
  <c r="AA404" i="1"/>
  <c r="U386" i="1"/>
  <c r="O221" i="1"/>
  <c r="O383" i="1"/>
  <c r="M222" i="1"/>
  <c r="M112" i="1"/>
  <c r="S304" i="1"/>
  <c r="U296" i="1"/>
  <c r="U110" i="1"/>
  <c r="U168" i="1"/>
  <c r="O180" i="1"/>
  <c r="K296" i="1"/>
  <c r="W24" i="1"/>
  <c r="W85" i="1" s="1"/>
  <c r="P388" i="1"/>
  <c r="K206" i="1"/>
  <c r="U114" i="1"/>
  <c r="O203" i="1"/>
  <c r="M385" i="1"/>
  <c r="K404" i="1"/>
  <c r="Y168" i="1"/>
  <c r="AB240" i="1"/>
  <c r="AC240" i="1" s="1"/>
  <c r="S425" i="1"/>
  <c r="AB17" i="1"/>
  <c r="AC17" i="1" s="1"/>
  <c r="AB19" i="1"/>
  <c r="AC19" i="1" s="1"/>
  <c r="AB22" i="1"/>
  <c r="AC22" i="1" s="1"/>
  <c r="H115" i="1"/>
  <c r="U404" i="1"/>
  <c r="S118" i="1"/>
  <c r="S402" i="1"/>
  <c r="AA386" i="1"/>
  <c r="O384" i="1"/>
  <c r="O296" i="1"/>
  <c r="U387" i="1"/>
  <c r="R383" i="1"/>
  <c r="W304" i="1"/>
  <c r="K24" i="1"/>
  <c r="S119" i="1"/>
  <c r="M383" i="1"/>
  <c r="P402" i="1"/>
  <c r="H117" i="1"/>
  <c r="I297" i="1"/>
  <c r="AA116" i="1"/>
  <c r="R385" i="1"/>
  <c r="O388" i="1"/>
  <c r="H35" i="1"/>
  <c r="H371" i="1" s="1"/>
  <c r="AA403" i="1"/>
  <c r="H407" i="1"/>
  <c r="S302" i="1"/>
  <c r="U299" i="1"/>
  <c r="AA440" i="1"/>
  <c r="R225" i="1"/>
  <c r="W388" i="1"/>
  <c r="K112" i="1"/>
  <c r="AB251" i="1"/>
  <c r="AC251" i="1" s="1"/>
  <c r="M367" i="1"/>
  <c r="R406" i="1"/>
  <c r="U305" i="1"/>
  <c r="R302" i="1"/>
  <c r="H296" i="1"/>
  <c r="I206" i="1"/>
  <c r="U403" i="1"/>
  <c r="O305" i="1"/>
  <c r="U117" i="1"/>
  <c r="H300" i="1"/>
  <c r="O304" i="1"/>
  <c r="S113" i="1"/>
  <c r="W222" i="1"/>
  <c r="U208" i="1"/>
  <c r="Y304" i="1"/>
  <c r="M296" i="1"/>
  <c r="W113" i="1"/>
  <c r="O303" i="1"/>
  <c r="Y296" i="1"/>
  <c r="AA113" i="1"/>
  <c r="S390" i="1"/>
  <c r="R117" i="1"/>
  <c r="H404" i="1"/>
  <c r="K111" i="1"/>
  <c r="Y246" i="1"/>
  <c r="K403" i="1"/>
  <c r="I223" i="1"/>
  <c r="S115" i="1"/>
  <c r="O406" i="1"/>
  <c r="W117" i="1"/>
  <c r="W303" i="1"/>
  <c r="H168" i="1"/>
  <c r="K168" i="1"/>
  <c r="W54" i="1"/>
  <c r="W310" i="1" s="1"/>
  <c r="K385" i="1"/>
  <c r="R111" i="1"/>
  <c r="P110" i="1"/>
  <c r="AA110" i="1"/>
  <c r="AA402" i="1"/>
  <c r="S387" i="1"/>
  <c r="S296" i="1"/>
  <c r="H116" i="1"/>
  <c r="H295" i="1"/>
  <c r="S110" i="1"/>
  <c r="O208" i="1"/>
  <c r="U206" i="1"/>
  <c r="Y208" i="1"/>
  <c r="I384" i="1"/>
  <c r="U221" i="1"/>
  <c r="U402" i="1"/>
  <c r="R296" i="1"/>
  <c r="AA405" i="1"/>
  <c r="U384" i="1"/>
  <c r="H302" i="1"/>
  <c r="O207" i="1"/>
  <c r="U367" i="1"/>
  <c r="Y367" i="1"/>
  <c r="P35" i="1"/>
  <c r="P294" i="1" s="1"/>
  <c r="M35" i="1"/>
  <c r="M183" i="1" s="1"/>
  <c r="S35" i="1"/>
  <c r="S377" i="1" s="1"/>
  <c r="AA180" i="1"/>
  <c r="H208" i="1"/>
  <c r="I221" i="1"/>
  <c r="H262" i="1"/>
  <c r="Y425" i="1"/>
  <c r="K180" i="1"/>
  <c r="K298" i="1"/>
  <c r="P296" i="1"/>
  <c r="AA296" i="1"/>
  <c r="AA384" i="1"/>
  <c r="R221" i="1"/>
  <c r="H112" i="1"/>
  <c r="S384" i="1"/>
  <c r="S203" i="1"/>
  <c r="Y295" i="1"/>
  <c r="AA297" i="1"/>
  <c r="P384" i="1"/>
  <c r="O407" i="1"/>
  <c r="O226" i="1"/>
  <c r="O387" i="1"/>
  <c r="I299" i="1"/>
  <c r="AA223" i="1"/>
  <c r="P210" i="1"/>
  <c r="O119" i="1"/>
  <c r="I296" i="1"/>
  <c r="U304" i="1"/>
  <c r="U118" i="1"/>
  <c r="R384" i="1"/>
  <c r="H298" i="1"/>
  <c r="R110" i="1"/>
  <c r="H385" i="1"/>
  <c r="P383" i="1"/>
  <c r="AA246" i="1"/>
  <c r="U262" i="1"/>
  <c r="W262" i="1"/>
  <c r="W246" i="1"/>
  <c r="AB50" i="1"/>
  <c r="AC50" i="1" s="1"/>
  <c r="AB28" i="1"/>
  <c r="AC28" i="1" s="1"/>
  <c r="S440" i="1"/>
  <c r="P180" i="1"/>
  <c r="U388" i="1"/>
  <c r="H206" i="1"/>
  <c r="I390" i="1"/>
  <c r="I210" i="1"/>
  <c r="P116" i="1"/>
  <c r="AA302" i="1"/>
  <c r="W298" i="1"/>
  <c r="AB433" i="1"/>
  <c r="AC433" i="1" s="1"/>
  <c r="AB421" i="1"/>
  <c r="AC421" i="1" s="1"/>
  <c r="AB242" i="1"/>
  <c r="AC242" i="1" s="1"/>
  <c r="W440" i="1"/>
  <c r="AA35" i="1"/>
  <c r="AA195" i="1" s="1"/>
  <c r="R119" i="1"/>
  <c r="U225" i="1"/>
  <c r="U407" i="1"/>
  <c r="Y114" i="1"/>
  <c r="P295" i="1"/>
  <c r="W224" i="1"/>
  <c r="H113" i="1"/>
  <c r="M207" i="1"/>
  <c r="I116" i="1"/>
  <c r="H305" i="1"/>
  <c r="Y221" i="1"/>
  <c r="P390" i="1"/>
  <c r="AA210" i="1"/>
  <c r="K224" i="1"/>
  <c r="S295" i="1"/>
  <c r="H304" i="1"/>
  <c r="R226" i="1"/>
  <c r="I298" i="1"/>
  <c r="M168" i="1"/>
  <c r="AA168" i="1"/>
  <c r="AB155" i="1"/>
  <c r="AC155" i="1" s="1"/>
  <c r="W168" i="1"/>
  <c r="P168" i="1"/>
  <c r="P203" i="1"/>
  <c r="AB253" i="1"/>
  <c r="AC253" i="1" s="1"/>
  <c r="AB32" i="1"/>
  <c r="AC32" i="1" s="1"/>
  <c r="S262" i="1"/>
  <c r="S180" i="1"/>
  <c r="M180" i="1"/>
  <c r="P262" i="1"/>
  <c r="W112" i="1"/>
  <c r="U303" i="1"/>
  <c r="P119" i="1"/>
  <c r="I385" i="1"/>
  <c r="R388" i="1"/>
  <c r="AB428" i="1"/>
  <c r="AC428" i="1" s="1"/>
  <c r="AB438" i="1"/>
  <c r="AC438" i="1" s="1"/>
  <c r="U119" i="1"/>
  <c r="M425" i="1"/>
  <c r="H388" i="1"/>
  <c r="M387" i="1"/>
  <c r="P225" i="1"/>
  <c r="H406" i="1"/>
  <c r="H297" i="1"/>
  <c r="U222" i="1"/>
  <c r="K301" i="1"/>
  <c r="S116" i="1"/>
  <c r="P305" i="1"/>
  <c r="W403" i="1"/>
  <c r="H387" i="1"/>
  <c r="H207" i="1"/>
  <c r="K226" i="1"/>
  <c r="K388" i="1"/>
  <c r="K208" i="1"/>
  <c r="K303" i="1"/>
  <c r="K407" i="1"/>
  <c r="Y406" i="1"/>
  <c r="Y305" i="1"/>
  <c r="Y225" i="1"/>
  <c r="R295" i="1"/>
  <c r="R109" i="1"/>
  <c r="U295" i="1"/>
  <c r="U109" i="1"/>
  <c r="Y440" i="1"/>
  <c r="R54" i="1"/>
  <c r="R89" i="1" s="1"/>
  <c r="H384" i="1"/>
  <c r="H221" i="1"/>
  <c r="H203" i="1"/>
  <c r="I387" i="1"/>
  <c r="I304" i="1"/>
  <c r="I207" i="1"/>
  <c r="AB257" i="1"/>
  <c r="AC257" i="1" s="1"/>
  <c r="K387" i="1"/>
  <c r="K118" i="1"/>
  <c r="K207" i="1"/>
  <c r="K110" i="1"/>
  <c r="K383" i="1"/>
  <c r="K203" i="1"/>
  <c r="K384" i="1"/>
  <c r="R425" i="1"/>
  <c r="U246" i="1"/>
  <c r="W305" i="1"/>
  <c r="W225" i="1"/>
  <c r="AA304" i="1"/>
  <c r="AA387" i="1"/>
  <c r="AA118" i="1"/>
  <c r="AA112" i="1"/>
  <c r="AA222" i="1"/>
  <c r="AA54" i="1"/>
  <c r="AA401" i="1" s="1"/>
  <c r="Y207" i="1"/>
  <c r="Y118" i="1"/>
  <c r="Y404" i="1"/>
  <c r="Y206" i="1"/>
  <c r="Y300" i="1"/>
  <c r="Y223" i="1"/>
  <c r="R390" i="1"/>
  <c r="R210" i="1"/>
  <c r="S385" i="1"/>
  <c r="S112" i="1"/>
  <c r="S298" i="1"/>
  <c r="S403" i="1"/>
  <c r="S222" i="1"/>
  <c r="U116" i="1"/>
  <c r="U302" i="1"/>
  <c r="U54" i="1"/>
  <c r="U310" i="1" s="1"/>
  <c r="M203" i="1"/>
  <c r="M110" i="1"/>
  <c r="M384" i="1"/>
  <c r="M221" i="1"/>
  <c r="R180" i="1"/>
  <c r="U440" i="1"/>
  <c r="Y115" i="1"/>
  <c r="Y405" i="1"/>
  <c r="S388" i="1"/>
  <c r="S303" i="1"/>
  <c r="O302" i="1"/>
  <c r="O116" i="1"/>
  <c r="M405" i="1"/>
  <c r="M115" i="1"/>
  <c r="Y262" i="1"/>
  <c r="AB15" i="1"/>
  <c r="AC15" i="1" s="1"/>
  <c r="H24" i="1"/>
  <c r="H80" i="1" s="1"/>
  <c r="W302" i="1"/>
  <c r="S226" i="1"/>
  <c r="K117" i="1"/>
  <c r="Y119" i="1"/>
  <c r="AB212" i="1"/>
  <c r="AC212" i="1" s="1"/>
  <c r="R262" i="1"/>
  <c r="H54" i="1"/>
  <c r="H401" i="1" s="1"/>
  <c r="AB41" i="1"/>
  <c r="AC41" i="1" s="1"/>
  <c r="S407" i="1"/>
  <c r="Y54" i="1"/>
  <c r="Y137" i="1" s="1"/>
  <c r="AB249" i="1"/>
  <c r="AC249" i="1" s="1"/>
  <c r="AB42" i="1"/>
  <c r="AC42" i="1" s="1"/>
  <c r="Y301" i="1"/>
  <c r="M224" i="1"/>
  <c r="O210" i="1"/>
  <c r="O295" i="1"/>
  <c r="S208" i="1"/>
  <c r="Y297" i="1"/>
  <c r="H110" i="1"/>
  <c r="H402" i="1"/>
  <c r="AB21" i="1"/>
  <c r="AC21" i="1" s="1"/>
  <c r="Y224" i="1"/>
  <c r="K35" i="1"/>
  <c r="K372" i="1" s="1"/>
  <c r="W406" i="1"/>
  <c r="R403" i="1"/>
  <c r="AA385" i="1"/>
  <c r="AA207" i="1"/>
  <c r="R113" i="1"/>
  <c r="AA262" i="1"/>
  <c r="AB420" i="1"/>
  <c r="AC420" i="1" s="1"/>
  <c r="H210" i="1"/>
  <c r="AB48" i="1"/>
  <c r="AC48" i="1" s="1"/>
  <c r="O262" i="1"/>
  <c r="AB241" i="1"/>
  <c r="AC241" i="1" s="1"/>
  <c r="AB389" i="1"/>
  <c r="AC389" i="1" s="1"/>
  <c r="AB256" i="1"/>
  <c r="AC256" i="1" s="1"/>
  <c r="AB33" i="1"/>
  <c r="AC33" i="1" s="1"/>
  <c r="I114" i="1"/>
  <c r="I386" i="1"/>
  <c r="I300" i="1"/>
  <c r="I110" i="1"/>
  <c r="I203" i="1"/>
  <c r="I383" i="1"/>
  <c r="S367" i="1"/>
  <c r="AB429" i="1"/>
  <c r="AC429" i="1" s="1"/>
  <c r="K390" i="1"/>
  <c r="K116" i="1"/>
  <c r="K210" i="1"/>
  <c r="W404" i="1"/>
  <c r="W300" i="1"/>
  <c r="W221" i="1"/>
  <c r="W296" i="1"/>
  <c r="W402" i="1"/>
  <c r="W110" i="1"/>
  <c r="W384" i="1"/>
  <c r="AA406" i="1"/>
  <c r="AA225" i="1"/>
  <c r="AA119" i="1"/>
  <c r="AA303" i="1"/>
  <c r="AA117" i="1"/>
  <c r="AA226" i="1"/>
  <c r="AA208" i="1"/>
  <c r="AA388" i="1"/>
  <c r="AA115" i="1"/>
  <c r="AA301" i="1"/>
  <c r="R115" i="1"/>
  <c r="R405" i="1"/>
  <c r="S301" i="1"/>
  <c r="S224" i="1"/>
  <c r="AB51" i="1"/>
  <c r="AC51" i="1" s="1"/>
  <c r="H425" i="1"/>
  <c r="H222" i="1"/>
  <c r="H403" i="1"/>
  <c r="W226" i="1"/>
  <c r="W208" i="1"/>
  <c r="W109" i="1"/>
  <c r="W295" i="1"/>
  <c r="P226" i="1"/>
  <c r="P407" i="1"/>
  <c r="Y403" i="1"/>
  <c r="Y222" i="1"/>
  <c r="Y112" i="1"/>
  <c r="Y298" i="1"/>
  <c r="R207" i="1"/>
  <c r="R304" i="1"/>
  <c r="R118" i="1"/>
  <c r="S300" i="1"/>
  <c r="S223" i="1"/>
  <c r="AB260" i="1"/>
  <c r="AC260" i="1" s="1"/>
  <c r="AB254" i="1"/>
  <c r="AC254" i="1" s="1"/>
  <c r="AB250" i="1"/>
  <c r="AC250" i="1" s="1"/>
  <c r="O246" i="1"/>
  <c r="O425" i="1"/>
  <c r="O367" i="1"/>
  <c r="P367" i="1"/>
  <c r="R35" i="1"/>
  <c r="R191" i="1" s="1"/>
  <c r="W367" i="1"/>
  <c r="K141" i="1"/>
  <c r="I168" i="1"/>
  <c r="AB163" i="1"/>
  <c r="AC163" i="1" s="1"/>
  <c r="AB154" i="1"/>
  <c r="AC154" i="1" s="1"/>
  <c r="AB164" i="1"/>
  <c r="AC164" i="1" s="1"/>
  <c r="O168" i="1"/>
  <c r="AB151" i="1"/>
  <c r="AC151" i="1" s="1"/>
  <c r="AB157" i="1"/>
  <c r="AC157" i="1" s="1"/>
  <c r="AB166" i="1"/>
  <c r="AC166" i="1" s="1"/>
  <c r="R168" i="1"/>
  <c r="AB165" i="1"/>
  <c r="AC165" i="1" s="1"/>
  <c r="I115" i="1"/>
  <c r="I224" i="1"/>
  <c r="I405" i="1"/>
  <c r="I301" i="1"/>
  <c r="K299" i="1"/>
  <c r="K113" i="1"/>
  <c r="K262" i="1"/>
  <c r="K246" i="1"/>
  <c r="M297" i="1"/>
  <c r="M111" i="1"/>
  <c r="M54" i="1"/>
  <c r="AB255" i="1"/>
  <c r="AC255" i="1" s="1"/>
  <c r="M262" i="1"/>
  <c r="AB434" i="1"/>
  <c r="AC434" i="1" s="1"/>
  <c r="M440" i="1"/>
  <c r="AB258" i="1"/>
  <c r="AC258" i="1" s="1"/>
  <c r="AB430" i="1"/>
  <c r="AC430" i="1" s="1"/>
  <c r="I440" i="1"/>
  <c r="I425" i="1"/>
  <c r="AB422" i="1"/>
  <c r="AC422" i="1" s="1"/>
  <c r="I262" i="1"/>
  <c r="AB243" i="1"/>
  <c r="AC243" i="1" s="1"/>
  <c r="I246" i="1"/>
  <c r="AB29" i="1"/>
  <c r="AC29" i="1" s="1"/>
  <c r="I35" i="1"/>
  <c r="I184" i="1" s="1"/>
  <c r="I208" i="1"/>
  <c r="I117" i="1"/>
  <c r="I388" i="1"/>
  <c r="I226" i="1"/>
  <c r="AB49" i="1"/>
  <c r="AC49" i="1" s="1"/>
  <c r="I303" i="1"/>
  <c r="S111" i="1"/>
  <c r="S54" i="1"/>
  <c r="S227" i="1" s="1"/>
  <c r="S297" i="1"/>
  <c r="U301" i="1"/>
  <c r="U115" i="1"/>
  <c r="U405" i="1"/>
  <c r="U297" i="1"/>
  <c r="U111" i="1"/>
  <c r="U35" i="1"/>
  <c r="AB30" i="1"/>
  <c r="AC30" i="1" s="1"/>
  <c r="M117" i="1"/>
  <c r="M226" i="1"/>
  <c r="M303" i="1"/>
  <c r="M388" i="1"/>
  <c r="M407" i="1"/>
  <c r="M404" i="1"/>
  <c r="M386" i="1"/>
  <c r="M300" i="1"/>
  <c r="M114" i="1"/>
  <c r="M223" i="1"/>
  <c r="M206" i="1"/>
  <c r="M208" i="1"/>
  <c r="I407" i="1"/>
  <c r="Y388" i="1"/>
  <c r="Y407" i="1"/>
  <c r="Y226" i="1"/>
  <c r="Y117" i="1"/>
  <c r="Y402" i="1"/>
  <c r="Y110" i="1"/>
  <c r="Y384" i="1"/>
  <c r="Y203" i="1"/>
  <c r="Y35" i="1"/>
  <c r="Y191" i="1" s="1"/>
  <c r="R386" i="1"/>
  <c r="R223" i="1"/>
  <c r="R206" i="1"/>
  <c r="R300" i="1"/>
  <c r="R114" i="1"/>
  <c r="S305" i="1"/>
  <c r="S406" i="1"/>
  <c r="AB52" i="1"/>
  <c r="AC52" i="1" s="1"/>
  <c r="H386" i="1"/>
  <c r="H223" i="1"/>
  <c r="AB40" i="1"/>
  <c r="AC40" i="1" s="1"/>
  <c r="AB209" i="1"/>
  <c r="AC209" i="1" s="1"/>
  <c r="AB435" i="1"/>
  <c r="AC435" i="1" s="1"/>
  <c r="M246" i="1"/>
  <c r="I225" i="1"/>
  <c r="I406" i="1"/>
  <c r="K440" i="1"/>
  <c r="AA109" i="1"/>
  <c r="AA295" i="1"/>
  <c r="Y116" i="1"/>
  <c r="Y210" i="1"/>
  <c r="Y302" i="1"/>
  <c r="Y390" i="1"/>
  <c r="R407" i="1"/>
  <c r="R208" i="1"/>
  <c r="AB152" i="1"/>
  <c r="AC152" i="1" s="1"/>
  <c r="K367" i="1"/>
  <c r="AB437" i="1"/>
  <c r="AC437" i="1" s="1"/>
  <c r="AB432" i="1"/>
  <c r="AC432" i="1" s="1"/>
  <c r="AB259" i="1"/>
  <c r="AC259" i="1" s="1"/>
  <c r="AB31" i="1"/>
  <c r="AC31" i="1" s="1"/>
  <c r="AB436" i="1"/>
  <c r="AC436" i="1" s="1"/>
  <c r="AB244" i="1"/>
  <c r="AC244" i="1" s="1"/>
  <c r="K225" i="1"/>
  <c r="K119" i="1"/>
  <c r="K305" i="1"/>
  <c r="R367" i="1"/>
  <c r="W118" i="1"/>
  <c r="AB18" i="1"/>
  <c r="AC18" i="1" s="1"/>
  <c r="AB350" i="1"/>
  <c r="AC350" i="1" s="1"/>
  <c r="AB423" i="1"/>
  <c r="AC423" i="1" s="1"/>
  <c r="H246" i="1"/>
  <c r="W383" i="1"/>
  <c r="AA300" i="1"/>
  <c r="AA114" i="1"/>
  <c r="R222" i="1"/>
  <c r="R298" i="1"/>
  <c r="S114" i="1"/>
  <c r="S206" i="1"/>
  <c r="U210" i="1"/>
  <c r="U390" i="1"/>
  <c r="U385" i="1"/>
  <c r="U298" i="1"/>
  <c r="U112" i="1"/>
  <c r="M118" i="1"/>
  <c r="M304" i="1"/>
  <c r="AB162" i="1"/>
  <c r="AC162" i="1" s="1"/>
  <c r="S168" i="1"/>
  <c r="AA425" i="1"/>
  <c r="I24" i="1"/>
  <c r="H356" i="1"/>
  <c r="U356" i="1"/>
  <c r="P24" i="1"/>
  <c r="R356" i="1"/>
  <c r="O440" i="1"/>
  <c r="I54" i="1"/>
  <c r="I109" i="1"/>
  <c r="AB431" i="1"/>
  <c r="AC431" i="1" s="1"/>
  <c r="P440" i="1"/>
  <c r="P425" i="1"/>
  <c r="AB419" i="1"/>
  <c r="AC419" i="1" s="1"/>
  <c r="R440" i="1"/>
  <c r="O35" i="1"/>
  <c r="AB27" i="1"/>
  <c r="AC27" i="1" s="1"/>
  <c r="W116" i="1"/>
  <c r="W390" i="1"/>
  <c r="T396" i="2"/>
  <c r="T395" i="2"/>
  <c r="K390" i="2"/>
  <c r="K463" i="2" s="1"/>
  <c r="N13" i="15"/>
  <c r="J430" i="2"/>
  <c r="J453" i="2"/>
  <c r="J454" i="2" s="1"/>
  <c r="I430" i="2"/>
  <c r="I453" i="2"/>
  <c r="O96" i="15"/>
  <c r="F13" i="15" s="1"/>
  <c r="K405" i="2" s="1"/>
  <c r="K423" i="2" s="1"/>
  <c r="F231" i="1"/>
  <c r="U437" i="2"/>
  <c r="U409" i="2"/>
  <c r="AB252" i="1"/>
  <c r="AC252" i="1" s="1"/>
  <c r="I112" i="1"/>
  <c r="I222" i="1"/>
  <c r="W35" i="1"/>
  <c r="AB153" i="1"/>
  <c r="AC153" i="1" s="1"/>
  <c r="W425" i="1"/>
  <c r="D9" i="9"/>
  <c r="M11" i="15"/>
  <c r="I393" i="2"/>
  <c r="D9" i="8"/>
  <c r="AB150" i="1"/>
  <c r="AC150" i="1" s="1"/>
  <c r="H440" i="1"/>
  <c r="P246" i="1"/>
  <c r="S246" i="1"/>
  <c r="K295" i="1"/>
  <c r="K109" i="1"/>
  <c r="K425" i="1"/>
  <c r="U425" i="1"/>
  <c r="U180" i="1"/>
  <c r="D10" i="9"/>
  <c r="D10" i="8"/>
  <c r="J393" i="2"/>
  <c r="H42" i="18" a="1"/>
  <c r="D50" i="18"/>
  <c r="W180" i="1"/>
  <c r="A48" i="15"/>
  <c r="S386" i="1"/>
  <c r="Z454" i="2"/>
  <c r="A88" i="15"/>
  <c r="D153" i="18"/>
  <c r="H145" i="18" a="1"/>
  <c r="N314" i="2" l="1"/>
  <c r="T314" i="2"/>
  <c r="U315" i="2"/>
  <c r="S315" i="2"/>
  <c r="M315" i="2"/>
  <c r="Y315" i="2"/>
  <c r="R312" i="2"/>
  <c r="P312" i="2"/>
  <c r="V312" i="2"/>
  <c r="Q312" i="2"/>
  <c r="P315" i="2"/>
  <c r="U312" i="2"/>
  <c r="W314" i="2"/>
  <c r="O315" i="2"/>
  <c r="I390" i="2"/>
  <c r="I392" i="2" s="1"/>
  <c r="I370" i="2" s="1"/>
  <c r="F32" i="8"/>
  <c r="G7" i="8"/>
  <c r="K396" i="2"/>
  <c r="K398" i="2" s="1"/>
  <c r="Y312" i="2"/>
  <c r="T315" i="2"/>
  <c r="O314" i="2"/>
  <c r="X314" i="2"/>
  <c r="AD314" i="2"/>
  <c r="AH389" i="2"/>
  <c r="O312" i="2"/>
  <c r="AF312" i="2"/>
  <c r="N313" i="2"/>
  <c r="AE315" i="2"/>
  <c r="T312" i="2"/>
  <c r="AB315" i="2"/>
  <c r="AA314" i="2"/>
  <c r="AB314" i="2"/>
  <c r="AA315" i="2"/>
  <c r="V314" i="2"/>
  <c r="P314" i="2"/>
  <c r="S314" i="2"/>
  <c r="AE312" i="2"/>
  <c r="U313" i="2"/>
  <c r="V313" i="2"/>
  <c r="AB312" i="2"/>
  <c r="O313" i="2"/>
  <c r="AF315" i="2"/>
  <c r="U314" i="2"/>
  <c r="Y314" i="2"/>
  <c r="Q314" i="2"/>
  <c r="M314" i="2"/>
  <c r="AC313" i="2"/>
  <c r="Z313" i="2"/>
  <c r="AA312" i="2"/>
  <c r="Q313" i="2"/>
  <c r="W313" i="2"/>
  <c r="AC314" i="2"/>
  <c r="X312" i="2"/>
  <c r="Z312" i="2"/>
  <c r="R314" i="2"/>
  <c r="Z314" i="2"/>
  <c r="AA275" i="2"/>
  <c r="T313" i="2"/>
  <c r="Z315" i="2"/>
  <c r="AD313" i="2"/>
  <c r="P313" i="2"/>
  <c r="Y313" i="2"/>
  <c r="AA313" i="2"/>
  <c r="AF314" i="2"/>
  <c r="AE314" i="2"/>
  <c r="Q315" i="2"/>
  <c r="AD315" i="2"/>
  <c r="AF313" i="2"/>
  <c r="V315" i="2"/>
  <c r="X315" i="2"/>
  <c r="F306" i="2"/>
  <c r="I307" i="2"/>
  <c r="G309" i="2"/>
  <c r="H312" i="2"/>
  <c r="F314" i="2"/>
  <c r="I315" i="2"/>
  <c r="I311" i="2"/>
  <c r="F315" i="2"/>
  <c r="G306" i="2"/>
  <c r="H309" i="2"/>
  <c r="F311" i="2"/>
  <c r="I312" i="2"/>
  <c r="G314" i="2"/>
  <c r="H314" i="2"/>
  <c r="G313" i="2"/>
  <c r="H313" i="2"/>
  <c r="AH316" i="2"/>
  <c r="H306" i="2"/>
  <c r="F308" i="2"/>
  <c r="I309" i="2"/>
  <c r="G311" i="2"/>
  <c r="I306" i="2"/>
  <c r="G308" i="2"/>
  <c r="H311" i="2"/>
  <c r="F313" i="2"/>
  <c r="I314" i="2"/>
  <c r="H308" i="2"/>
  <c r="F310" i="2"/>
  <c r="F307" i="2"/>
  <c r="I308" i="2"/>
  <c r="G310" i="2"/>
  <c r="G307" i="2"/>
  <c r="H310" i="2"/>
  <c r="F312" i="2"/>
  <c r="I313" i="2"/>
  <c r="G315" i="2"/>
  <c r="H307" i="2"/>
  <c r="F309" i="2"/>
  <c r="I310" i="2"/>
  <c r="G312" i="2"/>
  <c r="H315" i="2"/>
  <c r="C30" i="15"/>
  <c r="T174" i="15"/>
  <c r="K21" i="15" s="1"/>
  <c r="S401" i="2" s="1"/>
  <c r="W312" i="2"/>
  <c r="AB313" i="2"/>
  <c r="M313" i="2"/>
  <c r="R315" i="2"/>
  <c r="M312" i="2"/>
  <c r="AC312" i="2"/>
  <c r="R313" i="2"/>
  <c r="W315" i="2"/>
  <c r="S312" i="2"/>
  <c r="X313" i="2"/>
  <c r="AC315" i="2"/>
  <c r="N315" i="2"/>
  <c r="N312" i="2"/>
  <c r="AD312" i="2"/>
  <c r="S313" i="2"/>
  <c r="X275" i="2"/>
  <c r="O463" i="2"/>
  <c r="O397" i="2"/>
  <c r="O384" i="2" s="1"/>
  <c r="M395" i="2"/>
  <c r="M396" i="2"/>
  <c r="M398" i="2" s="1"/>
  <c r="N385" i="2"/>
  <c r="N399" i="2"/>
  <c r="O399" i="2"/>
  <c r="O385" i="2"/>
  <c r="G395" i="2"/>
  <c r="G396" i="2"/>
  <c r="G398" i="2" s="1"/>
  <c r="H423" i="2"/>
  <c r="H430" i="2" s="1"/>
  <c r="S405" i="2"/>
  <c r="S423" i="2" s="1"/>
  <c r="P405" i="2"/>
  <c r="P423" i="2" s="1"/>
  <c r="U405" i="2"/>
  <c r="U423" i="2" s="1"/>
  <c r="R405" i="2"/>
  <c r="R423" i="2" s="1"/>
  <c r="Q405" i="2"/>
  <c r="Q423" i="2" s="1"/>
  <c r="T405" i="2"/>
  <c r="T423" i="2" s="1"/>
  <c r="S124" i="15"/>
  <c r="J16" i="15" s="1"/>
  <c r="N402" i="2" s="1"/>
  <c r="AE275" i="2"/>
  <c r="F275" i="2"/>
  <c r="F378" i="2" s="1"/>
  <c r="O275" i="2"/>
  <c r="Y275" i="2"/>
  <c r="G275" i="2"/>
  <c r="G378" i="2" s="1"/>
  <c r="U275" i="2"/>
  <c r="AD275" i="2"/>
  <c r="M275" i="2"/>
  <c r="J275" i="2"/>
  <c r="K275" i="2"/>
  <c r="K378" i="2" s="1"/>
  <c r="W275" i="2"/>
  <c r="AF275" i="2"/>
  <c r="Q275" i="2"/>
  <c r="AB275" i="2"/>
  <c r="H275" i="2"/>
  <c r="P275" i="2"/>
  <c r="Z275" i="2"/>
  <c r="L275" i="2"/>
  <c r="I275" i="2"/>
  <c r="S275" i="2"/>
  <c r="V275" i="2"/>
  <c r="N275" i="2"/>
  <c r="AC275" i="2"/>
  <c r="R275" i="2"/>
  <c r="T275" i="2"/>
  <c r="O392" i="2"/>
  <c r="O370" i="2" s="1"/>
  <c r="O126" i="15"/>
  <c r="F16" i="15" s="1"/>
  <c r="N405" i="2" s="1"/>
  <c r="N423" i="2" s="1"/>
  <c r="O116" i="15"/>
  <c r="F15" i="15" s="1"/>
  <c r="M405" i="2" s="1"/>
  <c r="M423" i="2" s="1"/>
  <c r="S94" i="15"/>
  <c r="J13" i="15" s="1"/>
  <c r="K402" i="2" s="1"/>
  <c r="P46" i="15"/>
  <c r="G8" i="15" s="1"/>
  <c r="F395" i="2"/>
  <c r="F399" i="2" s="1"/>
  <c r="I79" i="18"/>
  <c r="P126" i="15"/>
  <c r="G16" i="15" s="1"/>
  <c r="P116" i="15"/>
  <c r="G15" i="15" s="1"/>
  <c r="S114" i="15"/>
  <c r="J15" i="15" s="1"/>
  <c r="M402" i="2" s="1"/>
  <c r="O46" i="15"/>
  <c r="F8" i="15" s="1"/>
  <c r="F405" i="2" s="1"/>
  <c r="F423" i="2" s="1"/>
  <c r="M25" i="15"/>
  <c r="M26" i="15"/>
  <c r="O405" i="2"/>
  <c r="O423" i="2" s="1"/>
  <c r="O124" i="15"/>
  <c r="R124" i="15" s="1"/>
  <c r="I16" i="15" s="1"/>
  <c r="N403" i="2" s="1"/>
  <c r="N456" i="2" s="1"/>
  <c r="O122" i="15"/>
  <c r="Q122" i="15"/>
  <c r="H16" i="15" s="1"/>
  <c r="N404" i="2" s="1"/>
  <c r="O114" i="15"/>
  <c r="R114" i="15" s="1"/>
  <c r="I15" i="15" s="1"/>
  <c r="M403" i="2" s="1"/>
  <c r="M456" i="2" s="1"/>
  <c r="Q112" i="15"/>
  <c r="H15" i="15" s="1"/>
  <c r="M404" i="2" s="1"/>
  <c r="O112" i="15"/>
  <c r="Q82" i="15"/>
  <c r="H12" i="15" s="1"/>
  <c r="J404" i="2" s="1"/>
  <c r="O82" i="15"/>
  <c r="G390" i="2"/>
  <c r="R409" i="2"/>
  <c r="R416" i="2" s="1"/>
  <c r="R437" i="2" s="1"/>
  <c r="R444" i="2" s="1"/>
  <c r="F326" i="2"/>
  <c r="F302" i="2"/>
  <c r="AE385" i="2"/>
  <c r="Z385" i="2"/>
  <c r="N15" i="15"/>
  <c r="M390" i="2"/>
  <c r="O54" i="15"/>
  <c r="R54" i="15" s="1"/>
  <c r="I9" i="15" s="1"/>
  <c r="G403" i="2" s="1"/>
  <c r="Q52" i="15"/>
  <c r="R396" i="2"/>
  <c r="U390" i="2"/>
  <c r="U463" i="2" s="1"/>
  <c r="S54" i="15"/>
  <c r="J9" i="15" s="1"/>
  <c r="G402" i="2" s="1"/>
  <c r="Q409" i="2"/>
  <c r="Q416" i="2" s="1"/>
  <c r="Q456" i="2"/>
  <c r="L390" i="2"/>
  <c r="T164" i="15"/>
  <c r="K20" i="15" s="1"/>
  <c r="R401" i="2" s="1"/>
  <c r="T134" i="15"/>
  <c r="K17" i="15" s="1"/>
  <c r="O401" i="2" s="1"/>
  <c r="Q92" i="15"/>
  <c r="H13" i="15" s="1"/>
  <c r="K404" i="2" s="1"/>
  <c r="I17" i="15"/>
  <c r="O403" i="2" s="1"/>
  <c r="O456" i="2" s="1"/>
  <c r="S390" i="2"/>
  <c r="T390" i="2"/>
  <c r="N22" i="15"/>
  <c r="T194" i="15"/>
  <c r="K23" i="15" s="1"/>
  <c r="U401" i="2" s="1"/>
  <c r="T154" i="15"/>
  <c r="K19" i="15" s="1"/>
  <c r="Q401" i="2" s="1"/>
  <c r="T184" i="15"/>
  <c r="K22" i="15" s="1"/>
  <c r="T401" i="2" s="1"/>
  <c r="S44" i="15"/>
  <c r="J8" i="15" s="1"/>
  <c r="F402" i="2" s="1"/>
  <c r="O52" i="15"/>
  <c r="K395" i="2"/>
  <c r="H394" i="2"/>
  <c r="H396" i="2" s="1"/>
  <c r="H398" i="2" s="1"/>
  <c r="E394" i="2"/>
  <c r="Z381" i="2" s="1"/>
  <c r="O92" i="15"/>
  <c r="J392" i="2"/>
  <c r="J370" i="2" s="1"/>
  <c r="H392" i="2"/>
  <c r="H370" i="2" s="1"/>
  <c r="O42" i="15"/>
  <c r="Q42" i="15"/>
  <c r="H8" i="15" s="1"/>
  <c r="F404" i="2" s="1"/>
  <c r="F416" i="1"/>
  <c r="F463" i="1" s="1"/>
  <c r="F465" i="1" s="1"/>
  <c r="T144" i="15"/>
  <c r="K18" i="15" s="1"/>
  <c r="P401" i="2" s="1"/>
  <c r="I18" i="15"/>
  <c r="P403" i="2" s="1"/>
  <c r="S456" i="2"/>
  <c r="R390" i="2"/>
  <c r="N20" i="15"/>
  <c r="N390" i="2"/>
  <c r="N16" i="15"/>
  <c r="Q390" i="2"/>
  <c r="N19" i="15"/>
  <c r="P392" i="2"/>
  <c r="P370" i="2" s="1"/>
  <c r="E393" i="2"/>
  <c r="L394" i="2"/>
  <c r="L398" i="2" s="1"/>
  <c r="D25" i="15"/>
  <c r="Q396" i="2"/>
  <c r="Q395" i="2"/>
  <c r="Q399" i="2" s="1"/>
  <c r="P398" i="2"/>
  <c r="P385" i="2" s="1"/>
  <c r="H80" i="18"/>
  <c r="D80" i="18" s="1"/>
  <c r="I78" i="18"/>
  <c r="D79" i="18" s="1"/>
  <c r="D85" i="18" s="1"/>
  <c r="D90" i="18" s="1"/>
  <c r="D91" i="18" s="1"/>
  <c r="D92" i="18" s="1"/>
  <c r="D166" i="18" s="1"/>
  <c r="O472" i="1" s="1"/>
  <c r="H78" i="18"/>
  <c r="D78" i="18" s="1"/>
  <c r="I80" i="18"/>
  <c r="F98" i="1"/>
  <c r="F101" i="1" s="1"/>
  <c r="F126" i="1" s="1"/>
  <c r="H197" i="1"/>
  <c r="O337" i="1"/>
  <c r="O347" i="1" s="1"/>
  <c r="O358" i="1" s="1"/>
  <c r="O85" i="1"/>
  <c r="O80" i="1"/>
  <c r="O293" i="1"/>
  <c r="O106" i="1"/>
  <c r="F93" i="1"/>
  <c r="U293" i="1"/>
  <c r="U106" i="1"/>
  <c r="U85" i="1"/>
  <c r="U337" i="1"/>
  <c r="U347" i="1" s="1"/>
  <c r="U358" i="1" s="1"/>
  <c r="U80" i="1"/>
  <c r="R337" i="1"/>
  <c r="R347" i="1" s="1"/>
  <c r="R358" i="1" s="1"/>
  <c r="W80" i="1"/>
  <c r="AA85" i="1"/>
  <c r="R80" i="1"/>
  <c r="W149" i="1"/>
  <c r="W159" i="1" s="1"/>
  <c r="R85" i="1"/>
  <c r="AA293" i="1"/>
  <c r="R293" i="1"/>
  <c r="AA337" i="1"/>
  <c r="AA347" i="1" s="1"/>
  <c r="AA358" i="1" s="1"/>
  <c r="R149" i="1"/>
  <c r="R159" i="1" s="1"/>
  <c r="R170" i="1" s="1"/>
  <c r="Y337" i="1"/>
  <c r="Y347" i="1" s="1"/>
  <c r="Y358" i="1" s="1"/>
  <c r="Y149" i="1"/>
  <c r="Y159" i="1" s="1"/>
  <c r="Y170" i="1" s="1"/>
  <c r="Y85" i="1"/>
  <c r="Y106" i="1"/>
  <c r="Y293" i="1"/>
  <c r="S149" i="1"/>
  <c r="S159" i="1" s="1"/>
  <c r="S170" i="1" s="1"/>
  <c r="M293" i="1"/>
  <c r="S187" i="1"/>
  <c r="W106" i="1"/>
  <c r="AA80" i="1"/>
  <c r="W337" i="1"/>
  <c r="W347" i="1" s="1"/>
  <c r="AA106" i="1"/>
  <c r="U170" i="1"/>
  <c r="W293" i="1"/>
  <c r="M80" i="1"/>
  <c r="S106" i="1"/>
  <c r="S337" i="1"/>
  <c r="S347" i="1" s="1"/>
  <c r="S358" i="1" s="1"/>
  <c r="M85" i="1"/>
  <c r="S80" i="1"/>
  <c r="M106" i="1"/>
  <c r="M337" i="1"/>
  <c r="M347" i="1" s="1"/>
  <c r="M358" i="1" s="1"/>
  <c r="S85" i="1"/>
  <c r="S192" i="1"/>
  <c r="H188" i="1"/>
  <c r="K85" i="1"/>
  <c r="K149" i="1"/>
  <c r="K159" i="1" s="1"/>
  <c r="K170" i="1" s="1"/>
  <c r="K337" i="1"/>
  <c r="K347" i="1" s="1"/>
  <c r="K358" i="1" s="1"/>
  <c r="K106" i="1"/>
  <c r="K80" i="1"/>
  <c r="K293" i="1"/>
  <c r="S370" i="1"/>
  <c r="K410" i="1"/>
  <c r="S372" i="1"/>
  <c r="H194" i="1"/>
  <c r="S184" i="1"/>
  <c r="H196" i="1"/>
  <c r="H85" i="1"/>
  <c r="R382" i="1"/>
  <c r="R220" i="1"/>
  <c r="Y392" i="1"/>
  <c r="M193" i="1"/>
  <c r="M188" i="1"/>
  <c r="M191" i="1"/>
  <c r="R137" i="1"/>
  <c r="S185" i="1"/>
  <c r="S190" i="1"/>
  <c r="S188" i="1"/>
  <c r="S376" i="1"/>
  <c r="H190" i="1"/>
  <c r="H189" i="1"/>
  <c r="H372" i="1"/>
  <c r="I371" i="1"/>
  <c r="S306" i="1"/>
  <c r="M196" i="1"/>
  <c r="S186" i="1"/>
  <c r="S194" i="1"/>
  <c r="K188" i="1"/>
  <c r="S193" i="1"/>
  <c r="S374" i="1"/>
  <c r="S189" i="1"/>
  <c r="S373" i="1"/>
  <c r="H185" i="1"/>
  <c r="H376" i="1"/>
  <c r="H375" i="1"/>
  <c r="H377" i="1"/>
  <c r="H195" i="1"/>
  <c r="H186" i="1"/>
  <c r="H191" i="1"/>
  <c r="H193" i="1"/>
  <c r="S294" i="1"/>
  <c r="S56" i="1"/>
  <c r="S9" i="1" s="1"/>
  <c r="S371" i="1"/>
  <c r="S375" i="1"/>
  <c r="S86" i="1"/>
  <c r="H187" i="1"/>
  <c r="H183" i="1"/>
  <c r="H184" i="1"/>
  <c r="H373" i="1"/>
  <c r="S195" i="1"/>
  <c r="S105" i="1"/>
  <c r="M192" i="1"/>
  <c r="Y227" i="1"/>
  <c r="S107" i="1"/>
  <c r="S197" i="1"/>
  <c r="S183" i="1"/>
  <c r="S196" i="1"/>
  <c r="U105" i="1"/>
  <c r="H370" i="1"/>
  <c r="H294" i="1"/>
  <c r="H107" i="1"/>
  <c r="H192" i="1"/>
  <c r="M187" i="1"/>
  <c r="H86" i="1"/>
  <c r="S191" i="1"/>
  <c r="H374" i="1"/>
  <c r="U227" i="1"/>
  <c r="AA375" i="1"/>
  <c r="H220" i="1"/>
  <c r="R370" i="1"/>
  <c r="AA108" i="1"/>
  <c r="AB168" i="1"/>
  <c r="AC168" i="1" s="1"/>
  <c r="U211" i="1"/>
  <c r="W202" i="1"/>
  <c r="W408" i="1"/>
  <c r="W227" i="1"/>
  <c r="P86" i="1"/>
  <c r="R374" i="1"/>
  <c r="S408" i="1"/>
  <c r="M170" i="1"/>
  <c r="U408" i="1"/>
  <c r="P371" i="1"/>
  <c r="R375" i="1"/>
  <c r="R188" i="1"/>
  <c r="P191" i="1"/>
  <c r="AA107" i="1"/>
  <c r="R376" i="1"/>
  <c r="S220" i="1"/>
  <c r="S229" i="1" s="1"/>
  <c r="AA183" i="1"/>
  <c r="U220" i="1"/>
  <c r="W391" i="1"/>
  <c r="W105" i="1"/>
  <c r="W392" i="1"/>
  <c r="K229" i="1"/>
  <c r="P187" i="1"/>
  <c r="K373" i="1"/>
  <c r="W382" i="1"/>
  <c r="P190" i="1"/>
  <c r="P185" i="1"/>
  <c r="R373" i="1"/>
  <c r="R377" i="1"/>
  <c r="R190" i="1"/>
  <c r="P107" i="1"/>
  <c r="U138" i="1"/>
  <c r="U137" i="1"/>
  <c r="U136" i="1"/>
  <c r="W108" i="1"/>
  <c r="O170" i="1"/>
  <c r="K215" i="1"/>
  <c r="AB304" i="1"/>
  <c r="AC304" i="1" s="1"/>
  <c r="P183" i="1"/>
  <c r="W211" i="1"/>
  <c r="P186" i="1"/>
  <c r="P373" i="1"/>
  <c r="W401" i="1"/>
  <c r="P195" i="1"/>
  <c r="R197" i="1"/>
  <c r="R187" i="1"/>
  <c r="R194" i="1"/>
  <c r="P196" i="1"/>
  <c r="AA190" i="1"/>
  <c r="U382" i="1"/>
  <c r="U391" i="1"/>
  <c r="P376" i="1"/>
  <c r="P375" i="1"/>
  <c r="AA306" i="1"/>
  <c r="R211" i="1"/>
  <c r="R56" i="1"/>
  <c r="R71" i="1" s="1"/>
  <c r="Y56" i="1"/>
  <c r="Y71" i="1" s="1"/>
  <c r="P188" i="1"/>
  <c r="P184" i="1"/>
  <c r="R392" i="1"/>
  <c r="M375" i="1"/>
  <c r="M86" i="1"/>
  <c r="H227" i="1"/>
  <c r="H408" i="1"/>
  <c r="H410" i="1" s="1"/>
  <c r="AA192" i="1"/>
  <c r="AA377" i="1"/>
  <c r="H149" i="1"/>
  <c r="H159" i="1" s="1"/>
  <c r="H170" i="1" s="1"/>
  <c r="AB262" i="1"/>
  <c r="AC262" i="1" s="1"/>
  <c r="Y310" i="1"/>
  <c r="P194" i="1"/>
  <c r="W137" i="1"/>
  <c r="M371" i="1"/>
  <c r="W87" i="1"/>
  <c r="W306" i="1"/>
  <c r="W213" i="1"/>
  <c r="M373" i="1"/>
  <c r="M195" i="1"/>
  <c r="P197" i="1"/>
  <c r="M197" i="1"/>
  <c r="M370" i="1"/>
  <c r="M294" i="1"/>
  <c r="H56" i="1"/>
  <c r="AB296" i="1"/>
  <c r="AC296" i="1" s="1"/>
  <c r="M186" i="1"/>
  <c r="M374" i="1"/>
  <c r="M190" i="1"/>
  <c r="AB387" i="1"/>
  <c r="AC387" i="1" s="1"/>
  <c r="AB225" i="1"/>
  <c r="AC225" i="1" s="1"/>
  <c r="AA170" i="1"/>
  <c r="W220" i="1"/>
  <c r="W139" i="1"/>
  <c r="AA371" i="1"/>
  <c r="W89" i="1"/>
  <c r="W78" i="1"/>
  <c r="P192" i="1"/>
  <c r="P372" i="1"/>
  <c r="R78" i="1"/>
  <c r="AA310" i="1"/>
  <c r="AB110" i="1"/>
  <c r="AC110" i="1" s="1"/>
  <c r="P370" i="1"/>
  <c r="P374" i="1"/>
  <c r="R408" i="1"/>
  <c r="M377" i="1"/>
  <c r="M189" i="1"/>
  <c r="M185" i="1"/>
  <c r="AA86" i="1"/>
  <c r="M56" i="1"/>
  <c r="M71" i="1" s="1"/>
  <c r="M376" i="1"/>
  <c r="P377" i="1"/>
  <c r="W136" i="1"/>
  <c r="M372" i="1"/>
  <c r="M107" i="1"/>
  <c r="W138" i="1"/>
  <c r="M194" i="1"/>
  <c r="M184" i="1"/>
  <c r="P189" i="1"/>
  <c r="P193" i="1"/>
  <c r="AB425" i="1"/>
  <c r="AC425" i="1" s="1"/>
  <c r="I190" i="1"/>
  <c r="AA392" i="1"/>
  <c r="AA139" i="1"/>
  <c r="S139" i="1"/>
  <c r="S78" i="1"/>
  <c r="S213" i="1"/>
  <c r="AB383" i="1"/>
  <c r="AC383" i="1" s="1"/>
  <c r="AB305" i="1"/>
  <c r="AC305" i="1" s="1"/>
  <c r="AB406" i="1"/>
  <c r="AC406" i="1" s="1"/>
  <c r="K294" i="1"/>
  <c r="K370" i="1"/>
  <c r="AA196" i="1"/>
  <c r="AA197" i="1"/>
  <c r="AA376" i="1"/>
  <c r="AA370" i="1"/>
  <c r="AA372" i="1"/>
  <c r="AA189" i="1"/>
  <c r="AA294" i="1"/>
  <c r="K107" i="1"/>
  <c r="AA193" i="1"/>
  <c r="E410" i="2"/>
  <c r="E417" i="2" s="1"/>
  <c r="R136" i="1"/>
  <c r="R202" i="1"/>
  <c r="AA211" i="1"/>
  <c r="AA105" i="1"/>
  <c r="R186" i="1"/>
  <c r="R294" i="1"/>
  <c r="R189" i="1"/>
  <c r="R184" i="1"/>
  <c r="R183" i="1"/>
  <c r="R107" i="1"/>
  <c r="Y184" i="1"/>
  <c r="S138" i="1"/>
  <c r="S211" i="1"/>
  <c r="S310" i="1"/>
  <c r="S108" i="1"/>
  <c r="AB119" i="1"/>
  <c r="AC119" i="1" s="1"/>
  <c r="R105" i="1"/>
  <c r="AA185" i="1"/>
  <c r="AA191" i="1"/>
  <c r="AA187" i="1"/>
  <c r="AA186" i="1"/>
  <c r="AB303" i="1"/>
  <c r="AC303" i="1" s="1"/>
  <c r="AB117" i="1"/>
  <c r="AC117" i="1" s="1"/>
  <c r="K195" i="1"/>
  <c r="K185" i="1"/>
  <c r="U108" i="1"/>
  <c r="U202" i="1"/>
  <c r="U306" i="1"/>
  <c r="U139" i="1"/>
  <c r="U89" i="1"/>
  <c r="U213" i="1"/>
  <c r="AA188" i="1"/>
  <c r="K197" i="1"/>
  <c r="AA382" i="1"/>
  <c r="S202" i="1"/>
  <c r="S391" i="1"/>
  <c r="K374" i="1"/>
  <c r="K193" i="1"/>
  <c r="K187" i="1"/>
  <c r="R306" i="1"/>
  <c r="AA136" i="1"/>
  <c r="AA220" i="1"/>
  <c r="R372" i="1"/>
  <c r="R86" i="1"/>
  <c r="R371" i="1"/>
  <c r="R193" i="1"/>
  <c r="R195" i="1"/>
  <c r="Y377" i="1"/>
  <c r="S392" i="1"/>
  <c r="S89" i="1"/>
  <c r="S382" i="1"/>
  <c r="R139" i="1"/>
  <c r="AA194" i="1"/>
  <c r="AA374" i="1"/>
  <c r="AA56" i="1"/>
  <c r="AA71" i="1" s="1"/>
  <c r="AA184" i="1"/>
  <c r="K376" i="1"/>
  <c r="U87" i="1"/>
  <c r="U392" i="1"/>
  <c r="U78" i="1"/>
  <c r="U401" i="1"/>
  <c r="AA373" i="1"/>
  <c r="AB384" i="1"/>
  <c r="AC384" i="1" s="1"/>
  <c r="AB221" i="1"/>
  <c r="AC221" i="1" s="1"/>
  <c r="Y78" i="1"/>
  <c r="Y211" i="1"/>
  <c r="Y139" i="1"/>
  <c r="AB207" i="1"/>
  <c r="AC207" i="1" s="1"/>
  <c r="H293" i="1"/>
  <c r="Y202" i="1"/>
  <c r="Y87" i="1"/>
  <c r="K192" i="1"/>
  <c r="K196" i="1"/>
  <c r="K86" i="1"/>
  <c r="K191" i="1"/>
  <c r="K371" i="1"/>
  <c r="AA137" i="1"/>
  <c r="AA78" i="1"/>
  <c r="AA138" i="1"/>
  <c r="AA202" i="1"/>
  <c r="AA213" i="1"/>
  <c r="Y194" i="1"/>
  <c r="AB118" i="1"/>
  <c r="AC118" i="1" s="1"/>
  <c r="AB302" i="1"/>
  <c r="AC302" i="1" s="1"/>
  <c r="AB203" i="1"/>
  <c r="AC203" i="1" s="1"/>
  <c r="AB402" i="1"/>
  <c r="AC402" i="1" s="1"/>
  <c r="Y89" i="1"/>
  <c r="H337" i="1"/>
  <c r="H347" i="1" s="1"/>
  <c r="H358" i="1" s="1"/>
  <c r="Y105" i="1"/>
  <c r="K184" i="1"/>
  <c r="K186" i="1"/>
  <c r="K194" i="1"/>
  <c r="Y401" i="1"/>
  <c r="Y213" i="1"/>
  <c r="Y136" i="1"/>
  <c r="Y408" i="1"/>
  <c r="R192" i="1"/>
  <c r="R196" i="1"/>
  <c r="R185" i="1"/>
  <c r="K394" i="1"/>
  <c r="R87" i="1"/>
  <c r="R401" i="1"/>
  <c r="R138" i="1"/>
  <c r="R108" i="1"/>
  <c r="R213" i="1"/>
  <c r="R391" i="1"/>
  <c r="R227" i="1"/>
  <c r="R310" i="1"/>
  <c r="AB24" i="1"/>
  <c r="AC24" i="1" s="1"/>
  <c r="Y306" i="1"/>
  <c r="K190" i="1"/>
  <c r="K189" i="1"/>
  <c r="AA89" i="1"/>
  <c r="AA227" i="1"/>
  <c r="AA87" i="1"/>
  <c r="AA391" i="1"/>
  <c r="AA408" i="1"/>
  <c r="AA410" i="1" s="1"/>
  <c r="AB210" i="1"/>
  <c r="AC210" i="1" s="1"/>
  <c r="AB208" i="1"/>
  <c r="AC208" i="1" s="1"/>
  <c r="Y108" i="1"/>
  <c r="H106" i="1"/>
  <c r="Y220" i="1"/>
  <c r="AB388" i="1"/>
  <c r="AC388" i="1" s="1"/>
  <c r="K377" i="1"/>
  <c r="K56" i="1"/>
  <c r="K73" i="1" s="1"/>
  <c r="K375" i="1"/>
  <c r="K183" i="1"/>
  <c r="Y138" i="1"/>
  <c r="Y391" i="1"/>
  <c r="Y382" i="1"/>
  <c r="H306" i="1"/>
  <c r="H391" i="1"/>
  <c r="H136" i="1"/>
  <c r="H211" i="1"/>
  <c r="H310" i="1"/>
  <c r="H139" i="1"/>
  <c r="H392" i="1"/>
  <c r="H382" i="1"/>
  <c r="H137" i="1"/>
  <c r="H105" i="1"/>
  <c r="H89" i="1"/>
  <c r="H213" i="1"/>
  <c r="H78" i="1"/>
  <c r="H108" i="1"/>
  <c r="H202" i="1"/>
  <c r="H138" i="1"/>
  <c r="H87" i="1"/>
  <c r="Y197" i="1"/>
  <c r="Y189" i="1"/>
  <c r="Y107" i="1"/>
  <c r="Y188" i="1"/>
  <c r="Y190" i="1"/>
  <c r="Y374" i="1"/>
  <c r="Y187" i="1"/>
  <c r="Y193" i="1"/>
  <c r="Y375" i="1"/>
  <c r="Y192" i="1"/>
  <c r="Y372" i="1"/>
  <c r="Y185" i="1"/>
  <c r="AB390" i="1"/>
  <c r="AC390" i="1" s="1"/>
  <c r="Y294" i="1"/>
  <c r="Y186" i="1"/>
  <c r="Y371" i="1"/>
  <c r="Y183" i="1"/>
  <c r="Y376" i="1"/>
  <c r="P85" i="1"/>
  <c r="P337" i="1"/>
  <c r="P347" i="1" s="1"/>
  <c r="P358" i="1" s="1"/>
  <c r="P293" i="1"/>
  <c r="P80" i="1"/>
  <c r="P149" i="1"/>
  <c r="P159" i="1" s="1"/>
  <c r="P170" i="1" s="1"/>
  <c r="P106" i="1"/>
  <c r="AB356" i="1"/>
  <c r="AC356" i="1" s="1"/>
  <c r="AB407" i="1"/>
  <c r="AC407" i="1" s="1"/>
  <c r="M213" i="1"/>
  <c r="M408" i="1"/>
  <c r="M310" i="1"/>
  <c r="M391" i="1"/>
  <c r="M137" i="1"/>
  <c r="M401" i="1"/>
  <c r="M108" i="1"/>
  <c r="M306" i="1"/>
  <c r="M139" i="1"/>
  <c r="M211" i="1"/>
  <c r="M227" i="1"/>
  <c r="M382" i="1"/>
  <c r="M220" i="1"/>
  <c r="M392" i="1"/>
  <c r="M202" i="1"/>
  <c r="M78" i="1"/>
  <c r="M87" i="1"/>
  <c r="M89" i="1"/>
  <c r="M136" i="1"/>
  <c r="M105" i="1"/>
  <c r="M138" i="1"/>
  <c r="U374" i="1"/>
  <c r="U187" i="1"/>
  <c r="U370" i="1"/>
  <c r="U376" i="1"/>
  <c r="U197" i="1"/>
  <c r="U191" i="1"/>
  <c r="U193" i="1"/>
  <c r="U194" i="1"/>
  <c r="U375" i="1"/>
  <c r="U196" i="1"/>
  <c r="U188" i="1"/>
  <c r="U56" i="1"/>
  <c r="U86" i="1"/>
  <c r="U377" i="1"/>
  <c r="U183" i="1"/>
  <c r="U190" i="1"/>
  <c r="U195" i="1"/>
  <c r="U184" i="1"/>
  <c r="U373" i="1"/>
  <c r="U189" i="1"/>
  <c r="U371" i="1"/>
  <c r="U192" i="1"/>
  <c r="U107" i="1"/>
  <c r="U372" i="1"/>
  <c r="U186" i="1"/>
  <c r="U294" i="1"/>
  <c r="U185" i="1"/>
  <c r="AB116" i="1"/>
  <c r="AC116" i="1" s="1"/>
  <c r="Y195" i="1"/>
  <c r="Y196" i="1"/>
  <c r="Y370" i="1"/>
  <c r="Y86" i="1"/>
  <c r="Y373" i="1"/>
  <c r="I293" i="1"/>
  <c r="I337" i="1"/>
  <c r="I347" i="1" s="1"/>
  <c r="I358" i="1" s="1"/>
  <c r="I106" i="1"/>
  <c r="I85" i="1"/>
  <c r="I149" i="1"/>
  <c r="I159" i="1" s="1"/>
  <c r="I170" i="1" s="1"/>
  <c r="I80" i="1"/>
  <c r="S136" i="1"/>
  <c r="S87" i="1"/>
  <c r="S401" i="1"/>
  <c r="S137" i="1"/>
  <c r="AB226" i="1"/>
  <c r="AC226" i="1" s="1"/>
  <c r="I187" i="1"/>
  <c r="I370" i="1"/>
  <c r="I188" i="1"/>
  <c r="I186" i="1"/>
  <c r="I191" i="1"/>
  <c r="I377" i="1"/>
  <c r="I194" i="1"/>
  <c r="I86" i="1"/>
  <c r="I183" i="1"/>
  <c r="I197" i="1"/>
  <c r="I189" i="1"/>
  <c r="I374" i="1"/>
  <c r="I196" i="1"/>
  <c r="I192" i="1"/>
  <c r="I195" i="1"/>
  <c r="I376" i="1"/>
  <c r="I294" i="1"/>
  <c r="I107" i="1"/>
  <c r="I185" i="1"/>
  <c r="I373" i="1"/>
  <c r="I372" i="1"/>
  <c r="I193" i="1"/>
  <c r="I375" i="1"/>
  <c r="H146" i="18"/>
  <c r="I147" i="18"/>
  <c r="H147" i="18"/>
  <c r="D147" i="18" s="1"/>
  <c r="I146" i="18"/>
  <c r="H145" i="18"/>
  <c r="D145" i="18" s="1"/>
  <c r="I145" i="18"/>
  <c r="D146" i="18" s="1"/>
  <c r="D152" i="18" s="1"/>
  <c r="D155" i="18" s="1"/>
  <c r="D157" i="18" s="1"/>
  <c r="D158" i="18" s="1"/>
  <c r="I394" i="2"/>
  <c r="I396" i="2" s="1"/>
  <c r="I398" i="2" s="1"/>
  <c r="AG393" i="2"/>
  <c r="F233" i="1"/>
  <c r="F264" i="1" s="1"/>
  <c r="F237" i="1"/>
  <c r="F285" i="1" s="1"/>
  <c r="F129" i="1" s="1"/>
  <c r="S416" i="2"/>
  <c r="AB109" i="1"/>
  <c r="AC109" i="1" s="1"/>
  <c r="D33" i="9"/>
  <c r="O44" i="15"/>
  <c r="R44" i="15" s="1"/>
  <c r="H42" i="18"/>
  <c r="D42" i="18" s="1"/>
  <c r="I44" i="18"/>
  <c r="I43" i="18"/>
  <c r="H44" i="18"/>
  <c r="D44" i="18" s="1"/>
  <c r="H43" i="18"/>
  <c r="I42" i="18"/>
  <c r="D43" i="18" s="1"/>
  <c r="D49" i="18" s="1"/>
  <c r="D52" i="18" s="1"/>
  <c r="D54" i="18" s="1"/>
  <c r="D55" i="18" s="1"/>
  <c r="O62" i="15"/>
  <c r="Q62" i="15"/>
  <c r="O94" i="15"/>
  <c r="R94" i="15" s="1"/>
  <c r="I454" i="2"/>
  <c r="K392" i="2"/>
  <c r="K370" i="2" s="1"/>
  <c r="I105" i="1"/>
  <c r="I213" i="1"/>
  <c r="I220" i="1"/>
  <c r="I306" i="1"/>
  <c r="I108" i="1"/>
  <c r="I139" i="1"/>
  <c r="I392" i="1"/>
  <c r="I138" i="1"/>
  <c r="I78" i="1"/>
  <c r="I89" i="1"/>
  <c r="I211" i="1"/>
  <c r="I401" i="1"/>
  <c r="I202" i="1"/>
  <c r="I87" i="1"/>
  <c r="I227" i="1"/>
  <c r="I137" i="1"/>
  <c r="I408" i="1"/>
  <c r="I56" i="1"/>
  <c r="I136" i="1"/>
  <c r="I391" i="1"/>
  <c r="I382" i="1"/>
  <c r="I310" i="1"/>
  <c r="S74" i="15"/>
  <c r="J11" i="15" s="1"/>
  <c r="AB440" i="1"/>
  <c r="AC440" i="1" s="1"/>
  <c r="W371" i="1"/>
  <c r="W192" i="1"/>
  <c r="W194" i="1"/>
  <c r="W372" i="1"/>
  <c r="W189" i="1"/>
  <c r="W376" i="1"/>
  <c r="W183" i="1"/>
  <c r="W188" i="1"/>
  <c r="W185" i="1"/>
  <c r="W193" i="1"/>
  <c r="W184" i="1"/>
  <c r="W191" i="1"/>
  <c r="W294" i="1"/>
  <c r="W86" i="1"/>
  <c r="W107" i="1"/>
  <c r="W186" i="1"/>
  <c r="W196" i="1"/>
  <c r="W190" i="1"/>
  <c r="W187" i="1"/>
  <c r="W370" i="1"/>
  <c r="W375" i="1"/>
  <c r="W377" i="1"/>
  <c r="W56" i="1"/>
  <c r="W374" i="1"/>
  <c r="W373" i="1"/>
  <c r="W197" i="1"/>
  <c r="W195" i="1"/>
  <c r="F235" i="1"/>
  <c r="U416" i="2"/>
  <c r="T398" i="2"/>
  <c r="T385" i="2" s="1"/>
  <c r="O192" i="1"/>
  <c r="O372" i="1"/>
  <c r="O374" i="1"/>
  <c r="O186" i="1"/>
  <c r="O107" i="1"/>
  <c r="O184" i="1"/>
  <c r="O371" i="1"/>
  <c r="O187" i="1"/>
  <c r="O193" i="1"/>
  <c r="O197" i="1"/>
  <c r="O194" i="1"/>
  <c r="O195" i="1"/>
  <c r="O191" i="1"/>
  <c r="O185" i="1"/>
  <c r="O373" i="1"/>
  <c r="O370" i="1"/>
  <c r="O188" i="1"/>
  <c r="O375" i="1"/>
  <c r="O377" i="1"/>
  <c r="O183" i="1"/>
  <c r="O196" i="1"/>
  <c r="O376" i="1"/>
  <c r="AB35" i="1"/>
  <c r="AC35" i="1" s="1"/>
  <c r="O86" i="1"/>
  <c r="O189" i="1"/>
  <c r="O190" i="1"/>
  <c r="O294" i="1"/>
  <c r="J394" i="2"/>
  <c r="J396" i="2" s="1"/>
  <c r="O72" i="15"/>
  <c r="Q72" i="15"/>
  <c r="AB246" i="1"/>
  <c r="AC246" i="1" s="1"/>
  <c r="AB295" i="1"/>
  <c r="AC295" i="1" s="1"/>
  <c r="D32" i="8"/>
  <c r="U444" i="2"/>
  <c r="I463" i="2" l="1"/>
  <c r="M376" i="2"/>
  <c r="M377" i="2" s="1"/>
  <c r="G11" i="8"/>
  <c r="G6" i="8"/>
  <c r="G8" i="8"/>
  <c r="G10" i="8"/>
  <c r="G12" i="8"/>
  <c r="G9" i="8"/>
  <c r="H58" i="1"/>
  <c r="AG310" i="2"/>
  <c r="AH310" i="2" s="1"/>
  <c r="AG311" i="2"/>
  <c r="AH311" i="2" s="1"/>
  <c r="AG306" i="2"/>
  <c r="AH306" i="2" s="1"/>
  <c r="AG308" i="2"/>
  <c r="AH308" i="2" s="1"/>
  <c r="AG309" i="2"/>
  <c r="AH309" i="2" s="1"/>
  <c r="AG307" i="2"/>
  <c r="AH307" i="2" s="1"/>
  <c r="D29" i="15"/>
  <c r="D30" i="15" s="1"/>
  <c r="E390" i="2"/>
  <c r="E378" i="2"/>
  <c r="P376" i="2"/>
  <c r="P377" i="2" s="1"/>
  <c r="P276" i="2" s="1"/>
  <c r="P278" i="2" s="1"/>
  <c r="P299" i="2" s="1"/>
  <c r="Q376" i="2"/>
  <c r="Q377" i="2" s="1"/>
  <c r="Q276" i="2" s="1"/>
  <c r="Q278" i="2" s="1"/>
  <c r="Q299" i="2" s="1"/>
  <c r="R376" i="2"/>
  <c r="R377" i="2" s="1"/>
  <c r="R276" i="2" s="1"/>
  <c r="R278" i="2" s="1"/>
  <c r="R299" i="2" s="1"/>
  <c r="G376" i="2"/>
  <c r="G377" i="2" s="1"/>
  <c r="H376" i="2"/>
  <c r="H377" i="2" s="1"/>
  <c r="I376" i="2"/>
  <c r="I377" i="2" s="1"/>
  <c r="G13" i="8"/>
  <c r="H9" i="15"/>
  <c r="G404" i="2" s="1"/>
  <c r="J398" i="2"/>
  <c r="H10" i="15"/>
  <c r="H404" i="2" s="1"/>
  <c r="H11" i="15"/>
  <c r="I404" i="2" s="1"/>
  <c r="AG314" i="2"/>
  <c r="AH314" i="2" s="1"/>
  <c r="AG315" i="2"/>
  <c r="AH315" i="2" s="1"/>
  <c r="AG313" i="2"/>
  <c r="AH313" i="2" s="1"/>
  <c r="AG312" i="2"/>
  <c r="AH312" i="2" s="1"/>
  <c r="N463" i="2"/>
  <c r="N397" i="2"/>
  <c r="N384" i="2" s="1"/>
  <c r="M463" i="2"/>
  <c r="T381" i="2"/>
  <c r="M399" i="2"/>
  <c r="M385" i="2"/>
  <c r="L392" i="2"/>
  <c r="L370" i="2" s="1"/>
  <c r="L302" i="2" s="1"/>
  <c r="K385" i="2"/>
  <c r="K399" i="2"/>
  <c r="G392" i="2"/>
  <c r="G370" i="2" s="1"/>
  <c r="G463" i="2"/>
  <c r="G385" i="2"/>
  <c r="G399" i="2"/>
  <c r="O381" i="2"/>
  <c r="F381" i="2"/>
  <c r="P381" i="2"/>
  <c r="G381" i="2"/>
  <c r="W381" i="2"/>
  <c r="X381" i="2"/>
  <c r="Y381" i="2"/>
  <c r="V381" i="2"/>
  <c r="AD381" i="2"/>
  <c r="AC381" i="2"/>
  <c r="AF381" i="2"/>
  <c r="S381" i="2"/>
  <c r="AA381" i="2"/>
  <c r="AB381" i="2"/>
  <c r="U381" i="2"/>
  <c r="AE381" i="2"/>
  <c r="N381" i="2"/>
  <c r="H453" i="2"/>
  <c r="H454" i="2" s="1"/>
  <c r="G409" i="2"/>
  <c r="G416" i="2" s="1"/>
  <c r="G437" i="2" s="1"/>
  <c r="G456" i="2"/>
  <c r="AG378" i="2"/>
  <c r="AE278" i="2"/>
  <c r="AE299" i="2" s="1"/>
  <c r="R453" i="2"/>
  <c r="R454" i="2" s="1"/>
  <c r="R430" i="2"/>
  <c r="T430" i="2"/>
  <c r="T453" i="2"/>
  <c r="T454" i="2" s="1"/>
  <c r="P453" i="2"/>
  <c r="P454" i="2" s="1"/>
  <c r="P430" i="2"/>
  <c r="U453" i="2"/>
  <c r="U454" i="2" s="1"/>
  <c r="U430" i="2"/>
  <c r="Q430" i="2"/>
  <c r="Q453" i="2"/>
  <c r="Q454" i="2" s="1"/>
  <c r="S453" i="2"/>
  <c r="S454" i="2" s="1"/>
  <c r="S430" i="2"/>
  <c r="AG275" i="2"/>
  <c r="AH275" i="2" s="1"/>
  <c r="O326" i="2"/>
  <c r="O302" i="2"/>
  <c r="N409" i="2"/>
  <c r="N416" i="2" s="1"/>
  <c r="T124" i="15"/>
  <c r="K16" i="15" s="1"/>
  <c r="N401" i="2" s="1"/>
  <c r="T114" i="15"/>
  <c r="K15" i="15" s="1"/>
  <c r="M401" i="2" s="1"/>
  <c r="F385" i="2"/>
  <c r="E166" i="18"/>
  <c r="P472" i="1" s="1"/>
  <c r="M453" i="2"/>
  <c r="M454" i="2" s="1"/>
  <c r="M430" i="2"/>
  <c r="P15" i="15"/>
  <c r="P16" i="15"/>
  <c r="P17" i="15"/>
  <c r="AH393" i="2"/>
  <c r="O453" i="2"/>
  <c r="O454" i="2" s="1"/>
  <c r="O430" i="2"/>
  <c r="N453" i="2"/>
  <c r="N454" i="2" s="1"/>
  <c r="N430" i="2"/>
  <c r="M409" i="2"/>
  <c r="M416" i="2" s="1"/>
  <c r="M437" i="2" s="1"/>
  <c r="F430" i="2"/>
  <c r="F453" i="2"/>
  <c r="F454" i="2" s="1"/>
  <c r="AA9" i="1"/>
  <c r="S215" i="1"/>
  <c r="S231" i="1" s="1"/>
  <c r="O45" i="1"/>
  <c r="O46" i="1"/>
  <c r="M381" i="2"/>
  <c r="K326" i="2"/>
  <c r="K302" i="2"/>
  <c r="P326" i="2"/>
  <c r="P302" i="2"/>
  <c r="J326" i="2"/>
  <c r="J302" i="2"/>
  <c r="I326" i="2"/>
  <c r="I302" i="2"/>
  <c r="H326" i="2"/>
  <c r="H302" i="2"/>
  <c r="T54" i="15"/>
  <c r="K9" i="15" s="1"/>
  <c r="G401" i="2" s="1"/>
  <c r="O409" i="2"/>
  <c r="O416" i="2" s="1"/>
  <c r="O437" i="2" s="1"/>
  <c r="R381" i="2"/>
  <c r="R385" i="2"/>
  <c r="M392" i="2"/>
  <c r="M370" i="2" s="1"/>
  <c r="U392" i="2"/>
  <c r="U370" i="2" s="1"/>
  <c r="AG390" i="2"/>
  <c r="T463" i="2"/>
  <c r="T392" i="2"/>
  <c r="T370" i="2" s="1"/>
  <c r="S463" i="2"/>
  <c r="S392" i="2"/>
  <c r="S370" i="2" s="1"/>
  <c r="E395" i="2"/>
  <c r="K381" i="2"/>
  <c r="H395" i="2"/>
  <c r="X278" i="2"/>
  <c r="X299" i="2" s="1"/>
  <c r="P409" i="2"/>
  <c r="P416" i="2" s="1"/>
  <c r="P437" i="2" s="1"/>
  <c r="P444" i="2" s="1"/>
  <c r="P456" i="2"/>
  <c r="K376" i="2"/>
  <c r="K377" i="2" s="1"/>
  <c r="L376" i="2"/>
  <c r="L377" i="2" s="1"/>
  <c r="N376" i="2"/>
  <c r="N377" i="2" s="1"/>
  <c r="O376" i="2"/>
  <c r="O377" i="2" s="1"/>
  <c r="Y278" i="2"/>
  <c r="Y299" i="2" s="1"/>
  <c r="T278" i="2"/>
  <c r="T299" i="2" s="1"/>
  <c r="S278" i="2"/>
  <c r="S299" i="2" s="1"/>
  <c r="W278" i="2"/>
  <c r="W299" i="2" s="1"/>
  <c r="AD278" i="2"/>
  <c r="AD299" i="2" s="1"/>
  <c r="AF278" i="2"/>
  <c r="AF299" i="2" s="1"/>
  <c r="AC278" i="2"/>
  <c r="AC299" i="2" s="1"/>
  <c r="AB278" i="2"/>
  <c r="AB299" i="2" s="1"/>
  <c r="V278" i="2"/>
  <c r="V299" i="2" s="1"/>
  <c r="Z278" i="2"/>
  <c r="Z299" i="2" s="1"/>
  <c r="U278" i="2"/>
  <c r="U299" i="2" s="1"/>
  <c r="AA278" i="2"/>
  <c r="AA299" i="2" s="1"/>
  <c r="L395" i="2"/>
  <c r="Q463" i="2"/>
  <c r="Q392" i="2"/>
  <c r="Q370" i="2" s="1"/>
  <c r="R463" i="2"/>
  <c r="R392" i="2"/>
  <c r="R370" i="2" s="1"/>
  <c r="N392" i="2"/>
  <c r="P10" i="15"/>
  <c r="E36" i="4" s="1"/>
  <c r="P8" i="15"/>
  <c r="E34" i="4" s="1"/>
  <c r="P11" i="15"/>
  <c r="E37" i="4" s="1"/>
  <c r="P18" i="15"/>
  <c r="P25" i="15"/>
  <c r="P9" i="15"/>
  <c r="E35" i="4" s="1"/>
  <c r="N25" i="15"/>
  <c r="P22" i="15"/>
  <c r="P21" i="15"/>
  <c r="P14" i="15"/>
  <c r="E40" i="4" s="1"/>
  <c r="P23" i="15"/>
  <c r="P13" i="15"/>
  <c r="E39" i="4" s="1"/>
  <c r="P12" i="15"/>
  <c r="E38" i="4" s="1"/>
  <c r="P20" i="15"/>
  <c r="P19" i="15"/>
  <c r="J376" i="2"/>
  <c r="J377" i="2" s="1"/>
  <c r="Q381" i="2"/>
  <c r="Q385" i="2"/>
  <c r="I364" i="1"/>
  <c r="U229" i="1"/>
  <c r="Y73" i="1"/>
  <c r="R229" i="1"/>
  <c r="M410" i="1"/>
  <c r="Y67" i="1"/>
  <c r="R410" i="1"/>
  <c r="Y410" i="1"/>
  <c r="S68" i="1"/>
  <c r="S69" i="1"/>
  <c r="K412" i="1"/>
  <c r="H229" i="1"/>
  <c r="S72" i="1"/>
  <c r="Y70" i="1"/>
  <c r="S379" i="1"/>
  <c r="S73" i="1"/>
  <c r="Y8" i="1"/>
  <c r="S410" i="1"/>
  <c r="AB106" i="1"/>
  <c r="AC106" i="1" s="1"/>
  <c r="AG410" i="2"/>
  <c r="AH410" i="2" s="1"/>
  <c r="H309" i="1"/>
  <c r="H379" i="1"/>
  <c r="H199" i="1"/>
  <c r="AA394" i="1"/>
  <c r="AA412" i="1" s="1"/>
  <c r="H8" i="1"/>
  <c r="R70" i="1"/>
  <c r="H77" i="1"/>
  <c r="H64" i="1"/>
  <c r="H73" i="1"/>
  <c r="H71" i="1"/>
  <c r="S199" i="1"/>
  <c r="S67" i="1"/>
  <c r="S77" i="1"/>
  <c r="W215" i="1"/>
  <c r="S58" i="1"/>
  <c r="S8" i="1"/>
  <c r="S71" i="1"/>
  <c r="S309" i="1"/>
  <c r="S10" i="1"/>
  <c r="S65" i="1"/>
  <c r="S66" i="1"/>
  <c r="Y58" i="1"/>
  <c r="Y65" i="1"/>
  <c r="M69" i="1"/>
  <c r="Y229" i="1"/>
  <c r="W229" i="1"/>
  <c r="S64" i="1"/>
  <c r="S70" i="1"/>
  <c r="S63" i="1"/>
  <c r="Y10" i="1"/>
  <c r="Y63" i="1"/>
  <c r="H66" i="1"/>
  <c r="H72" i="1"/>
  <c r="W410" i="1"/>
  <c r="U410" i="1"/>
  <c r="Y72" i="1"/>
  <c r="Y9" i="1"/>
  <c r="Y66" i="1"/>
  <c r="Y309" i="1"/>
  <c r="H67" i="1"/>
  <c r="H69" i="1"/>
  <c r="H68" i="1"/>
  <c r="H63" i="1"/>
  <c r="H70" i="1"/>
  <c r="K231" i="1"/>
  <c r="W394" i="1"/>
  <c r="Y68" i="1"/>
  <c r="Y64" i="1"/>
  <c r="Y69" i="1"/>
  <c r="Y77" i="1"/>
  <c r="H9" i="1"/>
  <c r="H65" i="1"/>
  <c r="H10" i="1"/>
  <c r="Y215" i="1"/>
  <c r="K58" i="1"/>
  <c r="AB293" i="1"/>
  <c r="AC293" i="1" s="1"/>
  <c r="U141" i="1"/>
  <c r="W141" i="1"/>
  <c r="P199" i="1"/>
  <c r="R10" i="1"/>
  <c r="M68" i="1"/>
  <c r="R394" i="1"/>
  <c r="R141" i="1"/>
  <c r="P379" i="1"/>
  <c r="M199" i="1"/>
  <c r="M379" i="1"/>
  <c r="R77" i="1"/>
  <c r="R9" i="1"/>
  <c r="M66" i="1"/>
  <c r="R215" i="1"/>
  <c r="U394" i="1"/>
  <c r="AB195" i="1"/>
  <c r="AC195" i="1" s="1"/>
  <c r="AB187" i="1"/>
  <c r="AC187" i="1" s="1"/>
  <c r="AB186" i="1"/>
  <c r="AC186" i="1" s="1"/>
  <c r="R67" i="1"/>
  <c r="M77" i="1"/>
  <c r="R69" i="1"/>
  <c r="R66" i="1"/>
  <c r="M67" i="1"/>
  <c r="M72" i="1"/>
  <c r="K199" i="1"/>
  <c r="AA141" i="1"/>
  <c r="AA379" i="1"/>
  <c r="R8" i="1"/>
  <c r="R58" i="1"/>
  <c r="R72" i="1"/>
  <c r="R73" i="1"/>
  <c r="M65" i="1"/>
  <c r="M309" i="1"/>
  <c r="M9" i="1"/>
  <c r="S394" i="1"/>
  <c r="R379" i="1"/>
  <c r="U215" i="1"/>
  <c r="AA199" i="1"/>
  <c r="R199" i="1"/>
  <c r="R68" i="1"/>
  <c r="R63" i="1"/>
  <c r="AB80" i="1"/>
  <c r="AC80" i="1" s="1"/>
  <c r="M73" i="1"/>
  <c r="M64" i="1"/>
  <c r="K9" i="1"/>
  <c r="AA215" i="1"/>
  <c r="AB149" i="1"/>
  <c r="AC149" i="1" s="1"/>
  <c r="R309" i="1"/>
  <c r="R64" i="1"/>
  <c r="R65" i="1"/>
  <c r="M8" i="1"/>
  <c r="M63" i="1"/>
  <c r="M58" i="1"/>
  <c r="M70" i="1"/>
  <c r="H215" i="1"/>
  <c r="AA63" i="1"/>
  <c r="AA73" i="1"/>
  <c r="AA68" i="1"/>
  <c r="AA67" i="1"/>
  <c r="AA66" i="1"/>
  <c r="AA65" i="1"/>
  <c r="K66" i="1"/>
  <c r="AA64" i="1"/>
  <c r="AB371" i="1"/>
  <c r="AC371" i="1" s="1"/>
  <c r="E412" i="2"/>
  <c r="U412" i="2" s="1"/>
  <c r="U413" i="2" s="1"/>
  <c r="I199" i="1"/>
  <c r="AB189" i="1"/>
  <c r="AC189" i="1" s="1"/>
  <c r="AA77" i="1"/>
  <c r="K63" i="1"/>
  <c r="K71" i="1"/>
  <c r="AA58" i="1"/>
  <c r="AA229" i="1"/>
  <c r="AA8" i="1"/>
  <c r="AA69" i="1"/>
  <c r="AA72" i="1"/>
  <c r="K10" i="1"/>
  <c r="AA309" i="1"/>
  <c r="K379" i="1"/>
  <c r="AA10" i="1"/>
  <c r="K72" i="1"/>
  <c r="K77" i="1"/>
  <c r="H394" i="1"/>
  <c r="H412" i="1" s="1"/>
  <c r="H141" i="1"/>
  <c r="Y394" i="1"/>
  <c r="Y141" i="1"/>
  <c r="AA70" i="1"/>
  <c r="AB337" i="1"/>
  <c r="AC337" i="1" s="1"/>
  <c r="AB85" i="1"/>
  <c r="AC85" i="1" s="1"/>
  <c r="M229" i="1"/>
  <c r="Y199" i="1"/>
  <c r="Y379" i="1"/>
  <c r="K67" i="1"/>
  <c r="K68" i="1"/>
  <c r="K69" i="1"/>
  <c r="K70" i="1"/>
  <c r="K65" i="1"/>
  <c r="I379" i="1"/>
  <c r="S141" i="1"/>
  <c r="M394" i="1"/>
  <c r="K64" i="1"/>
  <c r="K309" i="1"/>
  <c r="K8" i="1"/>
  <c r="AB376" i="1"/>
  <c r="AC376" i="1" s="1"/>
  <c r="AB375" i="1"/>
  <c r="AC375" i="1" s="1"/>
  <c r="AB185" i="1"/>
  <c r="AC185" i="1" s="1"/>
  <c r="AB197" i="1"/>
  <c r="AC197" i="1" s="1"/>
  <c r="AB184" i="1"/>
  <c r="AC184" i="1" s="1"/>
  <c r="AB372" i="1"/>
  <c r="AC372" i="1" s="1"/>
  <c r="M141" i="1"/>
  <c r="M215" i="1"/>
  <c r="U199" i="1"/>
  <c r="U379" i="1"/>
  <c r="AB190" i="1"/>
  <c r="AC190" i="1" s="1"/>
  <c r="AB377" i="1"/>
  <c r="AC377" i="1" s="1"/>
  <c r="AB373" i="1"/>
  <c r="AC373" i="1" s="1"/>
  <c r="AB194" i="1"/>
  <c r="AC194" i="1" s="1"/>
  <c r="AB374" i="1"/>
  <c r="AC374" i="1" s="1"/>
  <c r="AB86" i="1"/>
  <c r="AC86" i="1" s="1"/>
  <c r="AB196" i="1"/>
  <c r="AC196" i="1" s="1"/>
  <c r="AB188" i="1"/>
  <c r="AC188" i="1" s="1"/>
  <c r="AB191" i="1"/>
  <c r="AC191" i="1" s="1"/>
  <c r="AB193" i="1"/>
  <c r="AC193" i="1" s="1"/>
  <c r="AB107" i="1"/>
  <c r="AC107" i="1" s="1"/>
  <c r="AB192" i="1"/>
  <c r="AC192" i="1" s="1"/>
  <c r="U68" i="1"/>
  <c r="U70" i="1"/>
  <c r="U69" i="1"/>
  <c r="U10" i="1"/>
  <c r="U67" i="1"/>
  <c r="U9" i="1"/>
  <c r="U58" i="1"/>
  <c r="U65" i="1"/>
  <c r="U8" i="1"/>
  <c r="U309" i="1"/>
  <c r="U66" i="1"/>
  <c r="U63" i="1"/>
  <c r="U71" i="1"/>
  <c r="U64" i="1"/>
  <c r="U72" i="1"/>
  <c r="U77" i="1"/>
  <c r="U73" i="1"/>
  <c r="O74" i="15"/>
  <c r="R74" i="15" s="1"/>
  <c r="I276" i="2"/>
  <c r="I410" i="1"/>
  <c r="T94" i="15"/>
  <c r="K13" i="15" s="1"/>
  <c r="K401" i="2" s="1"/>
  <c r="I13" i="15"/>
  <c r="K403" i="2" s="1"/>
  <c r="K456" i="2" s="1"/>
  <c r="Q437" i="2"/>
  <c r="I402" i="2"/>
  <c r="I141" i="1"/>
  <c r="D56" i="18"/>
  <c r="D165" i="18" s="1"/>
  <c r="O471" i="1" s="1"/>
  <c r="O470" i="1" s="1"/>
  <c r="E165" i="18"/>
  <c r="J395" i="2"/>
  <c r="E419" i="2"/>
  <c r="AG417" i="2"/>
  <c r="AH417" i="2" s="1"/>
  <c r="W379" i="1"/>
  <c r="I73" i="1"/>
  <c r="I9" i="1"/>
  <c r="I65" i="1"/>
  <c r="I72" i="1"/>
  <c r="I58" i="1"/>
  <c r="I309" i="1"/>
  <c r="I66" i="1"/>
  <c r="I68" i="1"/>
  <c r="I63" i="1"/>
  <c r="I71" i="1"/>
  <c r="I67" i="1"/>
  <c r="I69" i="1"/>
  <c r="I8" i="1"/>
  <c r="I77" i="1"/>
  <c r="I64" i="1"/>
  <c r="I70" i="1"/>
  <c r="I10" i="1"/>
  <c r="I229" i="1"/>
  <c r="W358" i="1"/>
  <c r="AB347" i="1"/>
  <c r="AC347" i="1" s="1"/>
  <c r="F330" i="1"/>
  <c r="F287" i="1"/>
  <c r="F133" i="1"/>
  <c r="F144" i="1" s="1"/>
  <c r="D159" i="18"/>
  <c r="D167" i="18" s="1"/>
  <c r="O473" i="1" s="1"/>
  <c r="E167" i="18"/>
  <c r="P473" i="1" s="1"/>
  <c r="AB294" i="1"/>
  <c r="AC294" i="1" s="1"/>
  <c r="O199" i="1"/>
  <c r="AB183" i="1"/>
  <c r="AC183" i="1" s="1"/>
  <c r="O379" i="1"/>
  <c r="AB370" i="1"/>
  <c r="AC370" i="1" s="1"/>
  <c r="W170" i="1"/>
  <c r="AB159" i="1"/>
  <c r="AC159" i="1" s="1"/>
  <c r="W67" i="1"/>
  <c r="W70" i="1"/>
  <c r="W73" i="1"/>
  <c r="W77" i="1"/>
  <c r="W10" i="1"/>
  <c r="W63" i="1"/>
  <c r="W58" i="1"/>
  <c r="W65" i="1"/>
  <c r="W309" i="1"/>
  <c r="W68" i="1"/>
  <c r="W9" i="1"/>
  <c r="W69" i="1"/>
  <c r="W64" i="1"/>
  <c r="W66" i="1"/>
  <c r="W71" i="1"/>
  <c r="W72" i="1"/>
  <c r="W8" i="1"/>
  <c r="W199" i="1"/>
  <c r="I394" i="1"/>
  <c r="I215" i="1"/>
  <c r="O64" i="15"/>
  <c r="R64" i="15" s="1"/>
  <c r="I8" i="15"/>
  <c r="T44" i="15"/>
  <c r="K8" i="15" s="1"/>
  <c r="S437" i="2"/>
  <c r="I395" i="2"/>
  <c r="AG394" i="2"/>
  <c r="AH394" i="2" s="1"/>
  <c r="G444" i="2" l="1"/>
  <c r="G447" i="2" s="1"/>
  <c r="G448" i="2" s="1"/>
  <c r="G449" i="2" s="1"/>
  <c r="G440" i="2"/>
  <c r="G441" i="2" s="1"/>
  <c r="G442" i="2" s="1"/>
  <c r="M444" i="2"/>
  <c r="M447" i="2" s="1"/>
  <c r="M448" i="2" s="1"/>
  <c r="M449" i="2" s="1"/>
  <c r="M440" i="2"/>
  <c r="M441" i="2" s="1"/>
  <c r="M442" i="2" s="1"/>
  <c r="P471" i="1"/>
  <c r="P470" i="1" s="1"/>
  <c r="P43" i="1" s="1"/>
  <c r="P297" i="1" s="1"/>
  <c r="K382" i="2"/>
  <c r="E399" i="2"/>
  <c r="K386" i="2" s="1"/>
  <c r="P46" i="1"/>
  <c r="P386" i="1" s="1"/>
  <c r="P47" i="1"/>
  <c r="G326" i="2"/>
  <c r="AG384" i="2"/>
  <c r="AH384" i="2" s="1"/>
  <c r="AG397" i="2"/>
  <c r="AH397" i="2" s="1"/>
  <c r="G302" i="2"/>
  <c r="L326" i="2"/>
  <c r="L399" i="2"/>
  <c r="L385" i="2"/>
  <c r="J399" i="2"/>
  <c r="I399" i="2"/>
  <c r="H399" i="2"/>
  <c r="AB472" i="1"/>
  <c r="AC472" i="1" s="1"/>
  <c r="AH378" i="2"/>
  <c r="M419" i="2"/>
  <c r="M420" i="2" s="1"/>
  <c r="H382" i="2"/>
  <c r="X382" i="2"/>
  <c r="AA382" i="2"/>
  <c r="AD382" i="2"/>
  <c r="Y382" i="2"/>
  <c r="AC382" i="2"/>
  <c r="W382" i="2"/>
  <c r="Z382" i="2"/>
  <c r="AB382" i="2"/>
  <c r="AE382" i="2"/>
  <c r="AF382" i="2"/>
  <c r="V382" i="2"/>
  <c r="Q382" i="2"/>
  <c r="R382" i="2"/>
  <c r="S382" i="2"/>
  <c r="G382" i="2"/>
  <c r="U382" i="2"/>
  <c r="O382" i="2"/>
  <c r="N382" i="2"/>
  <c r="F382" i="2"/>
  <c r="T382" i="2"/>
  <c r="J382" i="2"/>
  <c r="I382" i="2"/>
  <c r="L382" i="2"/>
  <c r="M382" i="2"/>
  <c r="P382" i="2"/>
  <c r="P45" i="1"/>
  <c r="P113" i="1" s="1"/>
  <c r="O43" i="1"/>
  <c r="AB470" i="1"/>
  <c r="AC470" i="1" s="1"/>
  <c r="N276" i="2"/>
  <c r="N278" i="2" s="1"/>
  <c r="N299" i="2" s="1"/>
  <c r="O276" i="2"/>
  <c r="O278" i="2" s="1"/>
  <c r="O299" i="2" s="1"/>
  <c r="L276" i="2"/>
  <c r="L278" i="2" s="1"/>
  <c r="L299" i="2" s="1"/>
  <c r="M276" i="2"/>
  <c r="M278" i="2" s="1"/>
  <c r="M299" i="2" s="1"/>
  <c r="O44" i="1"/>
  <c r="AB471" i="1"/>
  <c r="AC471" i="1" s="1"/>
  <c r="O206" i="1"/>
  <c r="O386" i="1"/>
  <c r="O114" i="1"/>
  <c r="O223" i="1"/>
  <c r="O300" i="1"/>
  <c r="O404" i="1"/>
  <c r="O113" i="1"/>
  <c r="O299" i="1"/>
  <c r="O47" i="1"/>
  <c r="AB473" i="1"/>
  <c r="AC473" i="1" s="1"/>
  <c r="T326" i="2"/>
  <c r="T302" i="2"/>
  <c r="U326" i="2"/>
  <c r="U302" i="2"/>
  <c r="R326" i="2"/>
  <c r="R302" i="2"/>
  <c r="S326" i="2"/>
  <c r="S302" i="2"/>
  <c r="M326" i="2"/>
  <c r="M302" i="2"/>
  <c r="Q326" i="2"/>
  <c r="Q302" i="2"/>
  <c r="H381" i="2"/>
  <c r="H385" i="2"/>
  <c r="AG463" i="2"/>
  <c r="AH463" i="2" s="1"/>
  <c r="K276" i="2"/>
  <c r="K414" i="1"/>
  <c r="K416" i="1" s="1"/>
  <c r="J276" i="2"/>
  <c r="I383" i="2"/>
  <c r="N383" i="2"/>
  <c r="O383" i="2"/>
  <c r="L383" i="2"/>
  <c r="M383" i="2"/>
  <c r="N370" i="2"/>
  <c r="AG392" i="2"/>
  <c r="AH392" i="2" s="1"/>
  <c r="AH390" i="2"/>
  <c r="L381" i="2"/>
  <c r="H177" i="1"/>
  <c r="I365" i="1"/>
  <c r="I367" i="1" s="1"/>
  <c r="I178" i="1"/>
  <c r="I177" i="1"/>
  <c r="I175" i="1"/>
  <c r="I176" i="1"/>
  <c r="U231" i="1"/>
  <c r="U235" i="1" s="1"/>
  <c r="R231" i="1"/>
  <c r="R237" i="1" s="1"/>
  <c r="R412" i="1"/>
  <c r="R414" i="1" s="1"/>
  <c r="R442" i="1" s="1"/>
  <c r="M412" i="1"/>
  <c r="M414" i="1" s="1"/>
  <c r="M416" i="1" s="1"/>
  <c r="Y412" i="1"/>
  <c r="Y414" i="1" s="1"/>
  <c r="Y442" i="1" s="1"/>
  <c r="Y452" i="1" s="1"/>
  <c r="S12" i="1"/>
  <c r="U412" i="1"/>
  <c r="U414" i="1" s="1"/>
  <c r="U416" i="1" s="1"/>
  <c r="Y231" i="1"/>
  <c r="Y233" i="1" s="1"/>
  <c r="Y264" i="1" s="1"/>
  <c r="Y454" i="1" s="1"/>
  <c r="H231" i="1"/>
  <c r="H233" i="1" s="1"/>
  <c r="H264" i="1" s="1"/>
  <c r="H277" i="1" s="1"/>
  <c r="S412" i="1"/>
  <c r="S414" i="1" s="1"/>
  <c r="S416" i="1" s="1"/>
  <c r="H414" i="1"/>
  <c r="H442" i="1" s="1"/>
  <c r="H449" i="1" s="1"/>
  <c r="H12" i="1"/>
  <c r="Y12" i="1"/>
  <c r="Y75" i="1"/>
  <c r="Y121" i="1" s="1"/>
  <c r="S75" i="1"/>
  <c r="S122" i="1" s="1"/>
  <c r="W231" i="1"/>
  <c r="W235" i="1" s="1"/>
  <c r="S233" i="1"/>
  <c r="S264" i="1" s="1"/>
  <c r="S456" i="1" s="1"/>
  <c r="H75" i="1"/>
  <c r="H308" i="1" s="1"/>
  <c r="R12" i="1"/>
  <c r="K237" i="1"/>
  <c r="W412" i="1"/>
  <c r="W414" i="1" s="1"/>
  <c r="W416" i="1" s="1"/>
  <c r="V412" i="2"/>
  <c r="K233" i="1"/>
  <c r="K264" i="1" s="1"/>
  <c r="K275" i="1" s="1"/>
  <c r="R412" i="2"/>
  <c r="R413" i="2" s="1"/>
  <c r="K235" i="1"/>
  <c r="K12" i="1"/>
  <c r="AG438" i="2"/>
  <c r="AH438" i="2" s="1"/>
  <c r="O419" i="2"/>
  <c r="O420" i="2" s="1"/>
  <c r="AB412" i="2"/>
  <c r="AG445" i="2"/>
  <c r="AH445" i="2" s="1"/>
  <c r="R75" i="1"/>
  <c r="R279" i="1" s="1"/>
  <c r="M75" i="1"/>
  <c r="M120" i="1" s="1"/>
  <c r="S419" i="2"/>
  <c r="S420" i="2" s="1"/>
  <c r="N412" i="2"/>
  <c r="N413" i="2" s="1"/>
  <c r="AA412" i="2"/>
  <c r="Y412" i="2"/>
  <c r="M412" i="2"/>
  <c r="M413" i="2" s="1"/>
  <c r="AE412" i="2"/>
  <c r="T412" i="2"/>
  <c r="T413" i="2" s="1"/>
  <c r="X412" i="2"/>
  <c r="W412" i="2"/>
  <c r="Q412" i="2"/>
  <c r="Q413" i="2" s="1"/>
  <c r="AA414" i="1"/>
  <c r="AA12" i="1"/>
  <c r="G412" i="2"/>
  <c r="G413" i="2" s="1"/>
  <c r="AC412" i="2"/>
  <c r="E413" i="2"/>
  <c r="S235" i="1"/>
  <c r="S412" i="2"/>
  <c r="S413" i="2" s="1"/>
  <c r="O412" i="2"/>
  <c r="O413" i="2" s="1"/>
  <c r="AD412" i="2"/>
  <c r="P412" i="2"/>
  <c r="P413" i="2" s="1"/>
  <c r="AF412" i="2"/>
  <c r="Z412" i="2"/>
  <c r="AA231" i="1"/>
  <c r="AA235" i="1" s="1"/>
  <c r="S237" i="1"/>
  <c r="K75" i="1"/>
  <c r="K308" i="1" s="1"/>
  <c r="AA75" i="1"/>
  <c r="U12" i="1"/>
  <c r="AB379" i="1"/>
  <c r="AC379" i="1" s="1"/>
  <c r="M231" i="1"/>
  <c r="M235" i="1" s="1"/>
  <c r="P440" i="2"/>
  <c r="P441" i="2" s="1"/>
  <c r="W440" i="2"/>
  <c r="W441" i="2" s="1"/>
  <c r="AD440" i="2"/>
  <c r="AD441" i="2" s="1"/>
  <c r="AA440" i="2"/>
  <c r="AA441" i="2" s="1"/>
  <c r="R440" i="2"/>
  <c r="R441" i="2" s="1"/>
  <c r="AF440" i="2"/>
  <c r="AF441" i="2" s="1"/>
  <c r="AC440" i="2"/>
  <c r="AC441" i="2" s="1"/>
  <c r="V440" i="2"/>
  <c r="V441" i="2" s="1"/>
  <c r="Z440" i="2"/>
  <c r="Z441" i="2" s="1"/>
  <c r="X440" i="2"/>
  <c r="X441" i="2" s="1"/>
  <c r="Y440" i="2"/>
  <c r="Y441" i="2" s="1"/>
  <c r="AE440" i="2"/>
  <c r="AE441" i="2" s="1"/>
  <c r="AB440" i="2"/>
  <c r="AB441" i="2" s="1"/>
  <c r="T440" i="2"/>
  <c r="T441" i="2" s="1"/>
  <c r="U440" i="2"/>
  <c r="U441" i="2" s="1"/>
  <c r="I278" i="2"/>
  <c r="I299" i="2" s="1"/>
  <c r="U75" i="1"/>
  <c r="AG395" i="2"/>
  <c r="AH395" i="2" s="1"/>
  <c r="I381" i="2"/>
  <c r="I385" i="2"/>
  <c r="AG396" i="2"/>
  <c r="AH396" i="2" s="1"/>
  <c r="S444" i="2"/>
  <c r="S440" i="2"/>
  <c r="S441" i="2" s="1"/>
  <c r="I412" i="1"/>
  <c r="W75" i="1"/>
  <c r="I12" i="1"/>
  <c r="I75" i="1"/>
  <c r="V419" i="2"/>
  <c r="W419" i="2"/>
  <c r="AA419" i="2"/>
  <c r="AB419" i="2"/>
  <c r="AF419" i="2"/>
  <c r="Z419" i="2"/>
  <c r="AC419" i="2"/>
  <c r="E420" i="2"/>
  <c r="Y419" i="2"/>
  <c r="T419" i="2"/>
  <c r="T420" i="2" s="1"/>
  <c r="X419" i="2"/>
  <c r="AE419" i="2"/>
  <c r="P419" i="2"/>
  <c r="P420" i="2" s="1"/>
  <c r="AD419" i="2"/>
  <c r="R419" i="2"/>
  <c r="R420" i="2" s="1"/>
  <c r="G419" i="2"/>
  <c r="G420" i="2" s="1"/>
  <c r="T64" i="15"/>
  <c r="K10" i="15" s="1"/>
  <c r="H401" i="2" s="1"/>
  <c r="I10" i="15"/>
  <c r="H403" i="2" s="1"/>
  <c r="H456" i="2" s="1"/>
  <c r="N437" i="2"/>
  <c r="N419" i="2"/>
  <c r="N420" i="2" s="1"/>
  <c r="I231" i="1"/>
  <c r="W12" i="1"/>
  <c r="AB170" i="1"/>
  <c r="AC170" i="1" s="1"/>
  <c r="F376" i="2"/>
  <c r="U419" i="2"/>
  <c r="U420" i="2" s="1"/>
  <c r="K409" i="2"/>
  <c r="H383" i="2"/>
  <c r="G383" i="2"/>
  <c r="J383" i="2"/>
  <c r="K383" i="2"/>
  <c r="F401" i="2"/>
  <c r="O444" i="2"/>
  <c r="O440" i="2"/>
  <c r="O441" i="2" s="1"/>
  <c r="AB358" i="1"/>
  <c r="AC358" i="1" s="1"/>
  <c r="J381" i="2"/>
  <c r="J385" i="2"/>
  <c r="G276" i="2"/>
  <c r="Q419" i="2"/>
  <c r="Q420" i="2" s="1"/>
  <c r="I11" i="15"/>
  <c r="I403" i="2" s="1"/>
  <c r="T74" i="15"/>
  <c r="K11" i="15" s="1"/>
  <c r="I401" i="2" s="1"/>
  <c r="F403" i="2"/>
  <c r="K430" i="2"/>
  <c r="K453" i="2"/>
  <c r="H276" i="2"/>
  <c r="Q444" i="2"/>
  <c r="Q440" i="2"/>
  <c r="Q441" i="2" s="1"/>
  <c r="AB199" i="1"/>
  <c r="AC199" i="1" s="1"/>
  <c r="AD52" i="2" l="1"/>
  <c r="L386" i="2"/>
  <c r="P111" i="1"/>
  <c r="P44" i="1"/>
  <c r="P205" i="1" s="1"/>
  <c r="O205" i="1"/>
  <c r="O204" i="1"/>
  <c r="M386" i="2"/>
  <c r="H386" i="2"/>
  <c r="G386" i="2"/>
  <c r="J386" i="2"/>
  <c r="P404" i="1"/>
  <c r="AB404" i="1" s="1"/>
  <c r="AC404" i="1" s="1"/>
  <c r="P223" i="1"/>
  <c r="AB223" i="1" s="1"/>
  <c r="AC223" i="1" s="1"/>
  <c r="U386" i="2"/>
  <c r="O386" i="2"/>
  <c r="AB386" i="2"/>
  <c r="AF386" i="2"/>
  <c r="AD386" i="2"/>
  <c r="AC386" i="2"/>
  <c r="X386" i="2"/>
  <c r="S386" i="2"/>
  <c r="W386" i="2"/>
  <c r="F386" i="2"/>
  <c r="P386" i="2"/>
  <c r="Y386" i="2"/>
  <c r="Q386" i="2"/>
  <c r="Z386" i="2"/>
  <c r="R386" i="2"/>
  <c r="N386" i="2"/>
  <c r="AE386" i="2"/>
  <c r="AA386" i="2"/>
  <c r="T386" i="2"/>
  <c r="V386" i="2"/>
  <c r="P300" i="1"/>
  <c r="AB300" i="1" s="1"/>
  <c r="AC300" i="1" s="1"/>
  <c r="P206" i="1"/>
  <c r="AB206" i="1" s="1"/>
  <c r="AC206" i="1" s="1"/>
  <c r="P114" i="1"/>
  <c r="AB114" i="1" s="1"/>
  <c r="AC114" i="1" s="1"/>
  <c r="AB46" i="1"/>
  <c r="AC46" i="1" s="1"/>
  <c r="P301" i="1"/>
  <c r="P224" i="1"/>
  <c r="P115" i="1"/>
  <c r="P405" i="1"/>
  <c r="P299" i="1"/>
  <c r="AB299" i="1" s="1"/>
  <c r="AC299" i="1" s="1"/>
  <c r="I409" i="2"/>
  <c r="I456" i="2"/>
  <c r="AG398" i="2"/>
  <c r="AH398" i="2" s="1"/>
  <c r="AG382" i="2"/>
  <c r="AH382" i="2" s="1"/>
  <c r="AB45" i="1"/>
  <c r="AC45" i="1" s="1"/>
  <c r="O111" i="1"/>
  <c r="AB43" i="1"/>
  <c r="AC43" i="1" s="1"/>
  <c r="O297" i="1"/>
  <c r="AB297" i="1" s="1"/>
  <c r="AC297" i="1" s="1"/>
  <c r="AB113" i="1"/>
  <c r="AC113" i="1" s="1"/>
  <c r="O222" i="1"/>
  <c r="O112" i="1"/>
  <c r="O385" i="1"/>
  <c r="O403" i="1"/>
  <c r="O298" i="1"/>
  <c r="AB386" i="1"/>
  <c r="AC386" i="1" s="1"/>
  <c r="AB47" i="1"/>
  <c r="AC47" i="1" s="1"/>
  <c r="O301" i="1"/>
  <c r="O54" i="1"/>
  <c r="O224" i="1"/>
  <c r="O115" i="1"/>
  <c r="O405" i="1"/>
  <c r="N302" i="2"/>
  <c r="AG302" i="2" s="1"/>
  <c r="AH302" i="2" s="1"/>
  <c r="AG370" i="2"/>
  <c r="AH370" i="2" s="1"/>
  <c r="N326" i="2"/>
  <c r="AG326" i="2" s="1"/>
  <c r="AH326" i="2" s="1"/>
  <c r="K442" i="1"/>
  <c r="K274" i="1" s="1"/>
  <c r="AB177" i="1"/>
  <c r="AC177" i="1" s="1"/>
  <c r="H175" i="1"/>
  <c r="AB175" i="1" s="1"/>
  <c r="AC175" i="1" s="1"/>
  <c r="AB483" i="1"/>
  <c r="AC483" i="1" s="1"/>
  <c r="H178" i="1"/>
  <c r="AB178" i="1" s="1"/>
  <c r="AC178" i="1" s="1"/>
  <c r="H364" i="1"/>
  <c r="AB364" i="1" s="1"/>
  <c r="AC364" i="1" s="1"/>
  <c r="H176" i="1"/>
  <c r="AB176" i="1" s="1"/>
  <c r="AC176" i="1" s="1"/>
  <c r="H365" i="1"/>
  <c r="AB365" i="1" s="1"/>
  <c r="AC365" i="1" s="1"/>
  <c r="K278" i="2"/>
  <c r="K299" i="2" s="1"/>
  <c r="J278" i="2"/>
  <c r="J299" i="2" s="1"/>
  <c r="U237" i="1"/>
  <c r="U233" i="1"/>
  <c r="U264" i="1" s="1"/>
  <c r="U276" i="1" s="1"/>
  <c r="I180" i="1"/>
  <c r="R235" i="1"/>
  <c r="T52" i="2"/>
  <c r="Y235" i="1"/>
  <c r="H235" i="1"/>
  <c r="R233" i="1"/>
  <c r="R264" i="1" s="1"/>
  <c r="R454" i="1" s="1"/>
  <c r="Y308" i="1"/>
  <c r="Y237" i="1"/>
  <c r="H280" i="1"/>
  <c r="W233" i="1"/>
  <c r="W264" i="1" s="1"/>
  <c r="W456" i="1" s="1"/>
  <c r="Y458" i="1"/>
  <c r="S271" i="1"/>
  <c r="Y280" i="1"/>
  <c r="S275" i="1"/>
  <c r="Y122" i="1"/>
  <c r="S448" i="1"/>
  <c r="R459" i="1"/>
  <c r="Y279" i="1"/>
  <c r="Y120" i="1"/>
  <c r="S455" i="1"/>
  <c r="S454" i="1"/>
  <c r="S442" i="1"/>
  <c r="S270" i="1" s="1"/>
  <c r="S82" i="1"/>
  <c r="S142" i="1" s="1"/>
  <c r="Y459" i="1"/>
  <c r="Y88" i="1"/>
  <c r="Y91" i="1" s="1"/>
  <c r="Y99" i="1" s="1"/>
  <c r="S279" i="1"/>
  <c r="K448" i="1"/>
  <c r="S277" i="1"/>
  <c r="S269" i="1"/>
  <c r="S121" i="1"/>
  <c r="R307" i="1"/>
  <c r="Y307" i="1"/>
  <c r="S450" i="1"/>
  <c r="S276" i="1"/>
  <c r="W237" i="1"/>
  <c r="S307" i="1"/>
  <c r="K455" i="1"/>
  <c r="H448" i="1"/>
  <c r="H452" i="1"/>
  <c r="H270" i="1"/>
  <c r="S459" i="1"/>
  <c r="H458" i="1"/>
  <c r="Y82" i="1"/>
  <c r="Y130" i="1" s="1"/>
  <c r="N90" i="2"/>
  <c r="N529" i="2" s="1"/>
  <c r="K277" i="1"/>
  <c r="H120" i="1"/>
  <c r="H88" i="1"/>
  <c r="H91" i="1" s="1"/>
  <c r="H99" i="1" s="1"/>
  <c r="H453" i="1"/>
  <c r="R122" i="1"/>
  <c r="S120" i="1"/>
  <c r="K276" i="1"/>
  <c r="K450" i="1"/>
  <c r="H122" i="1"/>
  <c r="Y273" i="1"/>
  <c r="R120" i="1"/>
  <c r="S280" i="1"/>
  <c r="S308" i="1"/>
  <c r="S88" i="1"/>
  <c r="S91" i="1" s="1"/>
  <c r="S99" i="1" s="1"/>
  <c r="K269" i="1"/>
  <c r="K271" i="1"/>
  <c r="H82" i="1"/>
  <c r="E8" i="2" s="1"/>
  <c r="H459" i="1"/>
  <c r="H307" i="1"/>
  <c r="H312" i="1" s="1"/>
  <c r="E161" i="2" s="1"/>
  <c r="H276" i="1"/>
  <c r="S458" i="1"/>
  <c r="K456" i="1"/>
  <c r="K454" i="1"/>
  <c r="H121" i="1"/>
  <c r="K458" i="1"/>
  <c r="H274" i="1"/>
  <c r="H273" i="1"/>
  <c r="M459" i="1"/>
  <c r="R82" i="1"/>
  <c r="R130" i="1" s="1"/>
  <c r="U442" i="1"/>
  <c r="U452" i="1" s="1"/>
  <c r="M308" i="1"/>
  <c r="R458" i="1"/>
  <c r="R121" i="1"/>
  <c r="M458" i="1"/>
  <c r="K82" i="1"/>
  <c r="K131" i="1" s="1"/>
  <c r="M82" i="1"/>
  <c r="M142" i="1" s="1"/>
  <c r="M307" i="1"/>
  <c r="R88" i="1"/>
  <c r="R91" i="1" s="1"/>
  <c r="R99" i="1" s="1"/>
  <c r="R308" i="1"/>
  <c r="R280" i="1"/>
  <c r="M122" i="1"/>
  <c r="O447" i="2"/>
  <c r="O448" i="2" s="1"/>
  <c r="H455" i="1"/>
  <c r="Y453" i="1"/>
  <c r="K280" i="1"/>
  <c r="H454" i="1"/>
  <c r="R13" i="2"/>
  <c r="AA90" i="2"/>
  <c r="K459" i="1"/>
  <c r="H275" i="1"/>
  <c r="R274" i="1"/>
  <c r="R273" i="1"/>
  <c r="R270" i="1"/>
  <c r="R452" i="1"/>
  <c r="S414" i="2"/>
  <c r="P13" i="2"/>
  <c r="Y271" i="1"/>
  <c r="Y449" i="1"/>
  <c r="G414" i="2"/>
  <c r="AF166" i="2"/>
  <c r="J52" i="2"/>
  <c r="O166" i="2"/>
  <c r="K88" i="1"/>
  <c r="K91" i="1" s="1"/>
  <c r="K99" i="1" s="1"/>
  <c r="R416" i="1"/>
  <c r="V166" i="2"/>
  <c r="Q90" i="2"/>
  <c r="Q529" i="2" s="1"/>
  <c r="Q558" i="2" s="1"/>
  <c r="W442" i="1"/>
  <c r="W452" i="1" s="1"/>
  <c r="H90" i="2"/>
  <c r="H529" i="2" s="1"/>
  <c r="AE90" i="2"/>
  <c r="AE414" i="2"/>
  <c r="K122" i="1"/>
  <c r="M442" i="1"/>
  <c r="M452" i="1" s="1"/>
  <c r="R453" i="1"/>
  <c r="AE166" i="2"/>
  <c r="AC90" i="2"/>
  <c r="Q166" i="2"/>
  <c r="T90" i="2"/>
  <c r="R166" i="2"/>
  <c r="S166" i="2"/>
  <c r="AC52" i="2"/>
  <c r="M52" i="2"/>
  <c r="M280" i="1"/>
  <c r="M88" i="1"/>
  <c r="M91" i="1" s="1"/>
  <c r="M99" i="1" s="1"/>
  <c r="M121" i="1"/>
  <c r="H269" i="1"/>
  <c r="H456" i="1"/>
  <c r="H450" i="1"/>
  <c r="AA237" i="1"/>
  <c r="R449" i="1"/>
  <c r="Z90" i="2"/>
  <c r="P52" i="2"/>
  <c r="I13" i="2"/>
  <c r="U52" i="2"/>
  <c r="Q414" i="2"/>
  <c r="AB13" i="2"/>
  <c r="I90" i="2"/>
  <c r="I529" i="2" s="1"/>
  <c r="K166" i="2"/>
  <c r="W90" i="2"/>
  <c r="M279" i="1"/>
  <c r="H271" i="1"/>
  <c r="M237" i="1"/>
  <c r="AA442" i="1"/>
  <c r="AA416" i="1"/>
  <c r="L90" i="2"/>
  <c r="L529" i="2" s="1"/>
  <c r="I52" i="2"/>
  <c r="AE52" i="2"/>
  <c r="U166" i="2"/>
  <c r="N414" i="2"/>
  <c r="O52" i="2"/>
  <c r="AF13" i="2"/>
  <c r="O414" i="2"/>
  <c r="P414" i="2"/>
  <c r="Z414" i="2"/>
  <c r="W166" i="2"/>
  <c r="Y414" i="2"/>
  <c r="AA166" i="2"/>
  <c r="N166" i="2"/>
  <c r="J90" i="2"/>
  <c r="J529" i="2" s="1"/>
  <c r="Y166" i="2"/>
  <c r="M233" i="1"/>
  <c r="M264" i="1" s="1"/>
  <c r="M277" i="1" s="1"/>
  <c r="G166" i="2"/>
  <c r="U13" i="2"/>
  <c r="AD13" i="2"/>
  <c r="L414" i="2"/>
  <c r="S52" i="2"/>
  <c r="Q13" i="2"/>
  <c r="Z52" i="2"/>
  <c r="T414" i="2"/>
  <c r="R414" i="2"/>
  <c r="AD90" i="2"/>
  <c r="X13" i="2"/>
  <c r="X166" i="2"/>
  <c r="Z13" i="2"/>
  <c r="AF414" i="2"/>
  <c r="AC13" i="2"/>
  <c r="X52" i="2"/>
  <c r="P166" i="2"/>
  <c r="AD414" i="2"/>
  <c r="M414" i="2"/>
  <c r="L52" i="2"/>
  <c r="X414" i="2"/>
  <c r="AA52" i="2"/>
  <c r="F90" i="2"/>
  <c r="F529" i="2" s="1"/>
  <c r="G13" i="2"/>
  <c r="N52" i="2"/>
  <c r="G52" i="2"/>
  <c r="M166" i="2"/>
  <c r="H166" i="2"/>
  <c r="V90" i="2"/>
  <c r="AD166" i="2"/>
  <c r="P90" i="2"/>
  <c r="P529" i="2" s="1"/>
  <c r="Y52" i="2"/>
  <c r="T166" i="2"/>
  <c r="J166" i="2"/>
  <c r="Y455" i="1"/>
  <c r="AA233" i="1"/>
  <c r="AA264" i="1" s="1"/>
  <c r="AA276" i="1" s="1"/>
  <c r="AE13" i="2"/>
  <c r="AA414" i="2"/>
  <c r="O90" i="2"/>
  <c r="O529" i="2" s="1"/>
  <c r="L166" i="2"/>
  <c r="M90" i="2"/>
  <c r="M529" i="2" s="1"/>
  <c r="Q52" i="2"/>
  <c r="K52" i="2"/>
  <c r="AF90" i="2"/>
  <c r="Y90" i="2"/>
  <c r="W13" i="2"/>
  <c r="AB166" i="2"/>
  <c r="U90" i="2"/>
  <c r="G90" i="2"/>
  <c r="G529" i="2" s="1"/>
  <c r="AC414" i="2"/>
  <c r="Y13" i="2"/>
  <c r="F52" i="2"/>
  <c r="K414" i="2"/>
  <c r="J13" i="2"/>
  <c r="AB414" i="2"/>
  <c r="H52" i="2"/>
  <c r="S13" i="2"/>
  <c r="H13" i="2"/>
  <c r="R52" i="2"/>
  <c r="R90" i="2"/>
  <c r="R529" i="2" s="1"/>
  <c r="R558" i="2" s="1"/>
  <c r="I166" i="2"/>
  <c r="I414" i="2"/>
  <c r="F166" i="2"/>
  <c r="AA13" i="2"/>
  <c r="K13" i="2"/>
  <c r="S90" i="2"/>
  <c r="Z166" i="2"/>
  <c r="V13" i="2"/>
  <c r="AB90" i="2"/>
  <c r="V52" i="2"/>
  <c r="F414" i="2"/>
  <c r="V414" i="2"/>
  <c r="F13" i="2"/>
  <c r="X90" i="2"/>
  <c r="AB52" i="2"/>
  <c r="J414" i="2"/>
  <c r="K90" i="2"/>
  <c r="K529" i="2" s="1"/>
  <c r="W52" i="2"/>
  <c r="AC166" i="2"/>
  <c r="U414" i="2"/>
  <c r="AF52" i="2"/>
  <c r="W414" i="2"/>
  <c r="T13" i="2"/>
  <c r="H414" i="2"/>
  <c r="Y450" i="1"/>
  <c r="AA121" i="1"/>
  <c r="AA308" i="1"/>
  <c r="AA307" i="1"/>
  <c r="AA458" i="1"/>
  <c r="AA88" i="1"/>
  <c r="AA91" i="1" s="1"/>
  <c r="AA99" i="1" s="1"/>
  <c r="AA280" i="1"/>
  <c r="AA459" i="1"/>
  <c r="AA279" i="1"/>
  <c r="AA120" i="1"/>
  <c r="AA122" i="1"/>
  <c r="Y274" i="1"/>
  <c r="W82" i="1"/>
  <c r="W130" i="1" s="1"/>
  <c r="K120" i="1"/>
  <c r="K121" i="1"/>
  <c r="Y270" i="1"/>
  <c r="K279" i="1"/>
  <c r="K307" i="1"/>
  <c r="K312" i="1" s="1"/>
  <c r="E166" i="2" s="1"/>
  <c r="Y416" i="1"/>
  <c r="AA82" i="1"/>
  <c r="Y276" i="1"/>
  <c r="Y275" i="1"/>
  <c r="Q442" i="2"/>
  <c r="Y277" i="1"/>
  <c r="Y456" i="1"/>
  <c r="Y448" i="1"/>
  <c r="U442" i="2"/>
  <c r="O442" i="2"/>
  <c r="Y269" i="1"/>
  <c r="S442" i="2"/>
  <c r="U120" i="1"/>
  <c r="U279" i="1"/>
  <c r="U459" i="1"/>
  <c r="U307" i="1"/>
  <c r="U280" i="1"/>
  <c r="U308" i="1"/>
  <c r="U458" i="1"/>
  <c r="U88" i="1"/>
  <c r="U91" i="1" s="1"/>
  <c r="U99" i="1" s="1"/>
  <c r="U122" i="1"/>
  <c r="U121" i="1"/>
  <c r="U82" i="1"/>
  <c r="V442" i="2"/>
  <c r="W442" i="2"/>
  <c r="P442" i="2"/>
  <c r="AE442" i="2"/>
  <c r="Y442" i="2"/>
  <c r="Z442" i="2"/>
  <c r="AF442" i="2"/>
  <c r="X442" i="2"/>
  <c r="AB442" i="2"/>
  <c r="T442" i="2"/>
  <c r="AA442" i="2"/>
  <c r="AC442" i="2"/>
  <c r="R442" i="2"/>
  <c r="AD442" i="2"/>
  <c r="G278" i="2"/>
  <c r="N444" i="2"/>
  <c r="N440" i="2"/>
  <c r="N441" i="2" s="1"/>
  <c r="N442" i="2" s="1"/>
  <c r="I386" i="2"/>
  <c r="AG399" i="2"/>
  <c r="AH399" i="2" s="1"/>
  <c r="K454" i="2"/>
  <c r="F456" i="2"/>
  <c r="F409" i="2"/>
  <c r="H409" i="2"/>
  <c r="M204" i="2"/>
  <c r="G421" i="2"/>
  <c r="M128" i="2"/>
  <c r="V128" i="2"/>
  <c r="AE204" i="2"/>
  <c r="O204" i="2"/>
  <c r="X421" i="2"/>
  <c r="W478" i="2"/>
  <c r="U204" i="2"/>
  <c r="M421" i="2"/>
  <c r="H204" i="2"/>
  <c r="G478" i="2"/>
  <c r="P478" i="2"/>
  <c r="F421" i="2"/>
  <c r="AC242" i="2"/>
  <c r="P421" i="2"/>
  <c r="K478" i="2"/>
  <c r="I204" i="2"/>
  <c r="G128" i="2"/>
  <c r="J421" i="2"/>
  <c r="T421" i="2"/>
  <c r="AE128" i="2"/>
  <c r="H242" i="2"/>
  <c r="AC204" i="2"/>
  <c r="W242" i="2"/>
  <c r="Q421" i="2"/>
  <c r="AB204" i="2"/>
  <c r="S242" i="2"/>
  <c r="R128" i="2"/>
  <c r="V204" i="2"/>
  <c r="N478" i="2"/>
  <c r="I242" i="2"/>
  <c r="N242" i="2"/>
  <c r="O421" i="2"/>
  <c r="Y478" i="2"/>
  <c r="S204" i="2"/>
  <c r="Y242" i="2"/>
  <c r="U421" i="2"/>
  <c r="P242" i="2"/>
  <c r="AE478" i="2"/>
  <c r="H478" i="2"/>
  <c r="Y421" i="2"/>
  <c r="L421" i="2"/>
  <c r="Q128" i="2"/>
  <c r="Q204" i="2"/>
  <c r="V421" i="2"/>
  <c r="F478" i="2"/>
  <c r="O478" i="2"/>
  <c r="AD242" i="2"/>
  <c r="J478" i="2"/>
  <c r="K421" i="2"/>
  <c r="N204" i="2"/>
  <c r="AA421" i="2"/>
  <c r="G242" i="2"/>
  <c r="AA204" i="2"/>
  <c r="AA128" i="2"/>
  <c r="Y128" i="2"/>
  <c r="X204" i="2"/>
  <c r="R478" i="2"/>
  <c r="I478" i="2"/>
  <c r="P204" i="2"/>
  <c r="T242" i="2"/>
  <c r="Z421" i="2"/>
  <c r="T478" i="2"/>
  <c r="H128" i="2"/>
  <c r="AC478" i="2"/>
  <c r="T128" i="2"/>
  <c r="AF478" i="2"/>
  <c r="X128" i="2"/>
  <c r="R421" i="2"/>
  <c r="X242" i="2"/>
  <c r="W421" i="2"/>
  <c r="L204" i="2"/>
  <c r="X478" i="2"/>
  <c r="K242" i="2"/>
  <c r="AA478" i="2"/>
  <c r="G204" i="2"/>
  <c r="AB421" i="2"/>
  <c r="Z242" i="2"/>
  <c r="L478" i="2"/>
  <c r="J204" i="2"/>
  <c r="H421" i="2"/>
  <c r="N421" i="2"/>
  <c r="O128" i="2"/>
  <c r="AF204" i="2"/>
  <c r="U242" i="2"/>
  <c r="AE242" i="2"/>
  <c r="AF421" i="2"/>
  <c r="O242" i="2"/>
  <c r="Z478" i="2"/>
  <c r="K128" i="2"/>
  <c r="V242" i="2"/>
  <c r="AF128" i="2"/>
  <c r="M242" i="2"/>
  <c r="K204" i="2"/>
  <c r="AD478" i="2"/>
  <c r="AD128" i="2"/>
  <c r="AC128" i="2"/>
  <c r="AC421" i="2"/>
  <c r="AB128" i="2"/>
  <c r="J242" i="2"/>
  <c r="Q242" i="2"/>
  <c r="U128" i="2"/>
  <c r="W128" i="2"/>
  <c r="AA242" i="2"/>
  <c r="F204" i="2"/>
  <c r="AD421" i="2"/>
  <c r="U478" i="2"/>
  <c r="M478" i="2"/>
  <c r="T204" i="2"/>
  <c r="V478" i="2"/>
  <c r="S421" i="2"/>
  <c r="F128" i="2"/>
  <c r="S478" i="2"/>
  <c r="Q478" i="2"/>
  <c r="I421" i="2"/>
  <c r="AB242" i="2"/>
  <c r="S128" i="2"/>
  <c r="J128" i="2"/>
  <c r="AF242" i="2"/>
  <c r="P128" i="2"/>
  <c r="N128" i="2"/>
  <c r="Y204" i="2"/>
  <c r="F242" i="2"/>
  <c r="AE421" i="2"/>
  <c r="L242" i="2"/>
  <c r="Z128" i="2"/>
  <c r="AD204" i="2"/>
  <c r="I128" i="2"/>
  <c r="L128" i="2"/>
  <c r="Z204" i="2"/>
  <c r="R204" i="2"/>
  <c r="AB478" i="2"/>
  <c r="W204" i="2"/>
  <c r="R242" i="2"/>
  <c r="I82" i="1"/>
  <c r="W308" i="1"/>
  <c r="W121" i="1"/>
  <c r="W458" i="1"/>
  <c r="W279" i="1"/>
  <c r="W88" i="1"/>
  <c r="W91" i="1" s="1"/>
  <c r="W99" i="1" s="1"/>
  <c r="W120" i="1"/>
  <c r="W459" i="1"/>
  <c r="W280" i="1"/>
  <c r="W307" i="1"/>
  <c r="W122" i="1"/>
  <c r="I414" i="1"/>
  <c r="AG385" i="2"/>
  <c r="AH385" i="2" s="1"/>
  <c r="H278" i="2"/>
  <c r="G32" i="8"/>
  <c r="E383" i="2" s="1"/>
  <c r="F383" i="2"/>
  <c r="AG383" i="2" s="1"/>
  <c r="AG376" i="2"/>
  <c r="AH376" i="2" s="1"/>
  <c r="F377" i="2"/>
  <c r="I233" i="1"/>
  <c r="I235" i="1"/>
  <c r="AG381" i="2"/>
  <c r="AH381" i="2" s="1"/>
  <c r="K416" i="2"/>
  <c r="K437" i="2" s="1"/>
  <c r="K412" i="2"/>
  <c r="K413" i="2" s="1"/>
  <c r="I459" i="1"/>
  <c r="I280" i="1"/>
  <c r="I279" i="1"/>
  <c r="I122" i="1"/>
  <c r="I88" i="1"/>
  <c r="I120" i="1"/>
  <c r="I458" i="1"/>
  <c r="I307" i="1"/>
  <c r="I121" i="1"/>
  <c r="I308" i="1"/>
  <c r="H558" i="2" l="1"/>
  <c r="H621" i="2"/>
  <c r="AB111" i="1"/>
  <c r="AC111" i="1" s="1"/>
  <c r="J558" i="2"/>
  <c r="J621" i="2"/>
  <c r="K444" i="2"/>
  <c r="K447" i="2" s="1"/>
  <c r="K448" i="2" s="1"/>
  <c r="K449" i="2" s="1"/>
  <c r="K440" i="2"/>
  <c r="K441" i="2" s="1"/>
  <c r="K442" i="2" s="1"/>
  <c r="AB44" i="1"/>
  <c r="AC44" i="1" s="1"/>
  <c r="P54" i="1"/>
  <c r="P105" i="1" s="1"/>
  <c r="P204" i="1"/>
  <c r="AB204" i="1" s="1"/>
  <c r="AC204" i="1" s="1"/>
  <c r="P222" i="1"/>
  <c r="AB222" i="1" s="1"/>
  <c r="AC222" i="1" s="1"/>
  <c r="P385" i="1"/>
  <c r="AB385" i="1" s="1"/>
  <c r="AC385" i="1" s="1"/>
  <c r="P403" i="1"/>
  <c r="AB403" i="1" s="1"/>
  <c r="AC403" i="1" s="1"/>
  <c r="P298" i="1"/>
  <c r="AB298" i="1" s="1"/>
  <c r="AC298" i="1" s="1"/>
  <c r="P112" i="1"/>
  <c r="AB112" i="1" s="1"/>
  <c r="AC112" i="1" s="1"/>
  <c r="AB205" i="1"/>
  <c r="AC205" i="1" s="1"/>
  <c r="AB405" i="1"/>
  <c r="AC405" i="1" s="1"/>
  <c r="AB115" i="1"/>
  <c r="AC115" i="1" s="1"/>
  <c r="AB301" i="1"/>
  <c r="AC301" i="1" s="1"/>
  <c r="AB224" i="1"/>
  <c r="AC224" i="1" s="1"/>
  <c r="AG305" i="2"/>
  <c r="AH305" i="2" s="1"/>
  <c r="G558" i="2"/>
  <c r="I558" i="2"/>
  <c r="O87" i="1"/>
  <c r="O408" i="1"/>
  <c r="O89" i="1"/>
  <c r="O139" i="1"/>
  <c r="O220" i="1"/>
  <c r="E424" i="2"/>
  <c r="O392" i="1"/>
  <c r="O391" i="1"/>
  <c r="O136" i="1"/>
  <c r="O78" i="1"/>
  <c r="O211" i="1"/>
  <c r="O213" i="1"/>
  <c r="O382" i="1"/>
  <c r="O108" i="1"/>
  <c r="O137" i="1"/>
  <c r="O138" i="1"/>
  <c r="O401" i="1"/>
  <c r="O56" i="1"/>
  <c r="O227" i="1"/>
  <c r="O202" i="1"/>
  <c r="O306" i="1"/>
  <c r="O105" i="1"/>
  <c r="O310" i="1"/>
  <c r="M558" i="2"/>
  <c r="N558" i="2"/>
  <c r="K270" i="1"/>
  <c r="K453" i="1"/>
  <c r="K449" i="1"/>
  <c r="K273" i="1"/>
  <c r="K452" i="1"/>
  <c r="H180" i="1"/>
  <c r="H237" i="1" s="1"/>
  <c r="H367" i="1"/>
  <c r="U275" i="1"/>
  <c r="U277" i="1"/>
  <c r="I237" i="1"/>
  <c r="U448" i="1"/>
  <c r="U456" i="1"/>
  <c r="U455" i="1"/>
  <c r="U454" i="1"/>
  <c r="U269" i="1"/>
  <c r="U450" i="1"/>
  <c r="U271" i="1"/>
  <c r="Y312" i="1"/>
  <c r="E188" i="2" s="1"/>
  <c r="W312" i="1"/>
  <c r="E185" i="2" s="1"/>
  <c r="R275" i="1"/>
  <c r="R271" i="1"/>
  <c r="R269" i="1"/>
  <c r="R277" i="1"/>
  <c r="R276" i="1"/>
  <c r="R455" i="1"/>
  <c r="R448" i="1"/>
  <c r="R456" i="1"/>
  <c r="R450" i="1"/>
  <c r="W454" i="1"/>
  <c r="W269" i="1"/>
  <c r="W448" i="1"/>
  <c r="S453" i="1"/>
  <c r="S274" i="1"/>
  <c r="S452" i="1"/>
  <c r="E13" i="2"/>
  <c r="H130" i="1"/>
  <c r="W276" i="1"/>
  <c r="W275" i="1"/>
  <c r="W455" i="1"/>
  <c r="W277" i="1"/>
  <c r="W450" i="1"/>
  <c r="W271" i="1"/>
  <c r="AE447" i="2"/>
  <c r="AE448" i="2" s="1"/>
  <c r="K142" i="1"/>
  <c r="AB447" i="2"/>
  <c r="AB448" i="2" s="1"/>
  <c r="K130" i="1"/>
  <c r="U447" i="2"/>
  <c r="U448" i="2" s="1"/>
  <c r="AD447" i="2"/>
  <c r="AD448" i="2" s="1"/>
  <c r="S130" i="1"/>
  <c r="S273" i="1"/>
  <c r="S449" i="1"/>
  <c r="R312" i="1"/>
  <c r="E177" i="2" s="1"/>
  <c r="S312" i="1"/>
  <c r="E178" i="2" s="1"/>
  <c r="T178" i="2" s="1"/>
  <c r="S98" i="1"/>
  <c r="S101" i="1" s="1"/>
  <c r="S104" i="1" s="1"/>
  <c r="S124" i="1" s="1"/>
  <c r="S126" i="1" s="1"/>
  <c r="S131" i="1"/>
  <c r="E25" i="2"/>
  <c r="F25" i="2" s="1"/>
  <c r="Y142" i="1"/>
  <c r="U453" i="1"/>
  <c r="E35" i="2"/>
  <c r="M35" i="2" s="1"/>
  <c r="Y93" i="1"/>
  <c r="E24" i="2"/>
  <c r="R24" i="2" s="1"/>
  <c r="U274" i="1"/>
  <c r="H142" i="1"/>
  <c r="H98" i="1"/>
  <c r="H101" i="1" s="1"/>
  <c r="H104" i="1" s="1"/>
  <c r="H124" i="1" s="1"/>
  <c r="H126" i="1" s="1"/>
  <c r="Y131" i="1"/>
  <c r="Y98" i="1"/>
  <c r="Y101" i="1" s="1"/>
  <c r="Y104" i="1" s="1"/>
  <c r="Y124" i="1" s="1"/>
  <c r="Y126" i="1" s="1"/>
  <c r="H131" i="1"/>
  <c r="H93" i="1"/>
  <c r="K98" i="1"/>
  <c r="K101" i="1" s="1"/>
  <c r="K104" i="1" s="1"/>
  <c r="K124" i="1" s="1"/>
  <c r="K126" i="1" s="1"/>
  <c r="K451" i="1" s="1"/>
  <c r="Y447" i="2"/>
  <c r="Y448" i="2" s="1"/>
  <c r="W447" i="2"/>
  <c r="W448" i="2" s="1"/>
  <c r="R98" i="1"/>
  <c r="R101" i="1" s="1"/>
  <c r="R104" i="1" s="1"/>
  <c r="R124" i="1" s="1"/>
  <c r="R126" i="1" s="1"/>
  <c r="R131" i="1"/>
  <c r="R142" i="1"/>
  <c r="R93" i="1"/>
  <c r="AC447" i="2"/>
  <c r="AC448" i="2" s="1"/>
  <c r="T447" i="2"/>
  <c r="T448" i="2" s="1"/>
  <c r="Q447" i="2"/>
  <c r="Q448" i="2" s="1"/>
  <c r="M274" i="1"/>
  <c r="W98" i="1"/>
  <c r="W101" i="1" s="1"/>
  <c r="M450" i="1"/>
  <c r="W449" i="1"/>
  <c r="S93" i="1"/>
  <c r="M449" i="1"/>
  <c r="M312" i="1"/>
  <c r="E169" i="2" s="1"/>
  <c r="G169" i="2" s="1"/>
  <c r="U270" i="1"/>
  <c r="W142" i="1"/>
  <c r="U449" i="1"/>
  <c r="M131" i="1"/>
  <c r="M273" i="1"/>
  <c r="M130" i="1"/>
  <c r="E32" i="2"/>
  <c r="I32" i="2" s="1"/>
  <c r="U273" i="1"/>
  <c r="M454" i="1"/>
  <c r="AA456" i="1"/>
  <c r="P558" i="2"/>
  <c r="S447" i="2"/>
  <c r="S448" i="2" s="1"/>
  <c r="AF447" i="2"/>
  <c r="AF448" i="2" s="1"/>
  <c r="AA447" i="2"/>
  <c r="AA448" i="2" s="1"/>
  <c r="X447" i="2"/>
  <c r="X448" i="2" s="1"/>
  <c r="R447" i="2"/>
  <c r="R448" i="2" s="1"/>
  <c r="M98" i="1"/>
  <c r="M101" i="1" s="1"/>
  <c r="M104" i="1" s="1"/>
  <c r="M124" i="1" s="1"/>
  <c r="M126" i="1" s="1"/>
  <c r="N447" i="2"/>
  <c r="N448" i="2" s="1"/>
  <c r="O449" i="2"/>
  <c r="P447" i="2"/>
  <c r="P448" i="2" s="1"/>
  <c r="Z447" i="2"/>
  <c r="Z448" i="2" s="1"/>
  <c r="V447" i="2"/>
  <c r="V448" i="2" s="1"/>
  <c r="E16" i="2"/>
  <c r="W274" i="1"/>
  <c r="W453" i="1"/>
  <c r="W273" i="1"/>
  <c r="W270" i="1"/>
  <c r="AA448" i="1"/>
  <c r="M275" i="1"/>
  <c r="M271" i="1"/>
  <c r="M270" i="1"/>
  <c r="AA277" i="1"/>
  <c r="AA271" i="1"/>
  <c r="AA275" i="1"/>
  <c r="M276" i="1"/>
  <c r="K93" i="1"/>
  <c r="M453" i="1"/>
  <c r="AG414" i="2"/>
  <c r="AH414" i="2" s="1"/>
  <c r="AG166" i="2"/>
  <c r="AH166" i="2" s="1"/>
  <c r="AG52" i="2"/>
  <c r="AG13" i="2"/>
  <c r="AG90" i="2"/>
  <c r="M269" i="1"/>
  <c r="M456" i="1"/>
  <c r="M93" i="1"/>
  <c r="M448" i="1"/>
  <c r="M455" i="1"/>
  <c r="W131" i="1"/>
  <c r="AA450" i="1"/>
  <c r="AA454" i="1"/>
  <c r="AA269" i="1"/>
  <c r="AA455" i="1"/>
  <c r="AA274" i="1"/>
  <c r="AA452" i="1"/>
  <c r="AA453" i="1"/>
  <c r="AA273" i="1"/>
  <c r="AA270" i="1"/>
  <c r="AA449" i="1"/>
  <c r="AA312" i="1"/>
  <c r="E191" i="2" s="1"/>
  <c r="I191" i="2" s="1"/>
  <c r="AA130" i="1"/>
  <c r="AA142" i="1"/>
  <c r="E38" i="2"/>
  <c r="I38" i="2" s="1"/>
  <c r="AA93" i="1"/>
  <c r="AA131" i="1"/>
  <c r="AA98" i="1"/>
  <c r="AA101" i="1" s="1"/>
  <c r="AA104" i="1" s="1"/>
  <c r="AA124" i="1" s="1"/>
  <c r="AA126" i="1" s="1"/>
  <c r="I511" i="2"/>
  <c r="I520" i="2" s="1"/>
  <c r="J511" i="2"/>
  <c r="J520" i="2" s="1"/>
  <c r="J549" i="2" s="1"/>
  <c r="J572" i="2" s="1"/>
  <c r="K511" i="2"/>
  <c r="K520" i="2" s="1"/>
  <c r="G511" i="2"/>
  <c r="G520" i="2" s="1"/>
  <c r="M511" i="2"/>
  <c r="U312" i="1"/>
  <c r="E182" i="2" s="1"/>
  <c r="I182" i="2" s="1"/>
  <c r="L511" i="2"/>
  <c r="N511" i="2"/>
  <c r="U131" i="1"/>
  <c r="U142" i="1"/>
  <c r="U98" i="1"/>
  <c r="U101" i="1" s="1"/>
  <c r="U104" i="1" s="1"/>
  <c r="U124" i="1" s="1"/>
  <c r="U126" i="1" s="1"/>
  <c r="U272" i="1" s="1"/>
  <c r="E29" i="2"/>
  <c r="L29" i="2" s="1"/>
  <c r="U93" i="1"/>
  <c r="U130" i="1"/>
  <c r="O511" i="2"/>
  <c r="O520" i="2" s="1"/>
  <c r="I312" i="1"/>
  <c r="I142" i="1"/>
  <c r="E9" i="2"/>
  <c r="I98" i="1"/>
  <c r="I131" i="1"/>
  <c r="I130" i="1"/>
  <c r="P511" i="2"/>
  <c r="P520" i="2" s="1"/>
  <c r="AG128" i="2"/>
  <c r="F511" i="2"/>
  <c r="F520" i="2" s="1"/>
  <c r="H511" i="2"/>
  <c r="H520" i="2" s="1"/>
  <c r="H549" i="2" s="1"/>
  <c r="H572" i="2" s="1"/>
  <c r="R511" i="2"/>
  <c r="R520" i="2" s="1"/>
  <c r="AG529" i="2"/>
  <c r="F558" i="2"/>
  <c r="AH383" i="2"/>
  <c r="I442" i="1"/>
  <c r="I416" i="1"/>
  <c r="AG478" i="2"/>
  <c r="K419" i="2"/>
  <c r="K420" i="2" s="1"/>
  <c r="I412" i="2"/>
  <c r="I413" i="2" s="1"/>
  <c r="I416" i="2"/>
  <c r="I437" i="2" s="1"/>
  <c r="AG242" i="2"/>
  <c r="Q511" i="2"/>
  <c r="Q520" i="2" s="1"/>
  <c r="F412" i="2"/>
  <c r="F416" i="2"/>
  <c r="F437" i="2" s="1"/>
  <c r="AG386" i="2"/>
  <c r="AH386" i="2" s="1"/>
  <c r="W93" i="1"/>
  <c r="I264" i="1"/>
  <c r="F276" i="2"/>
  <c r="AG276" i="2" s="1"/>
  <c r="AH276" i="2" s="1"/>
  <c r="AG377" i="2"/>
  <c r="AH377" i="2" s="1"/>
  <c r="I91" i="1"/>
  <c r="I93" i="1" s="1"/>
  <c r="H299" i="2"/>
  <c r="AG204" i="2"/>
  <c r="AG421" i="2"/>
  <c r="AH421" i="2" s="1"/>
  <c r="H416" i="2"/>
  <c r="H437" i="2" s="1"/>
  <c r="H412" i="2"/>
  <c r="H413" i="2" s="1"/>
  <c r="G299" i="2"/>
  <c r="H620" i="2" l="1"/>
  <c r="H622" i="2" s="1"/>
  <c r="H596" i="2"/>
  <c r="Q16" i="2"/>
  <c r="H416" i="1"/>
  <c r="I444" i="2"/>
  <c r="I447" i="2" s="1"/>
  <c r="I448" i="2" s="1"/>
  <c r="I449" i="2" s="1"/>
  <c r="I440" i="2"/>
  <c r="I441" i="2" s="1"/>
  <c r="I442" i="2" s="1"/>
  <c r="H444" i="2"/>
  <c r="H447" i="2" s="1"/>
  <c r="H448" i="2" s="1"/>
  <c r="H449" i="2" s="1"/>
  <c r="H440" i="2"/>
  <c r="H441" i="2" s="1"/>
  <c r="H442" i="2" s="1"/>
  <c r="J596" i="2"/>
  <c r="J620" i="2"/>
  <c r="J622" i="2" s="1"/>
  <c r="F444" i="2"/>
  <c r="F447" i="2" s="1"/>
  <c r="F448" i="2" s="1"/>
  <c r="F449" i="2" s="1"/>
  <c r="F440" i="2"/>
  <c r="F441" i="2" s="1"/>
  <c r="F442" i="2" s="1"/>
  <c r="P137" i="1"/>
  <c r="AB137" i="1" s="1"/>
  <c r="AC137" i="1" s="1"/>
  <c r="P227" i="1"/>
  <c r="AB227" i="1" s="1"/>
  <c r="AC227" i="1" s="1"/>
  <c r="P78" i="1"/>
  <c r="AB78" i="1" s="1"/>
  <c r="AC78" i="1" s="1"/>
  <c r="P408" i="1"/>
  <c r="AB408" i="1" s="1"/>
  <c r="AC408" i="1" s="1"/>
  <c r="P139" i="1"/>
  <c r="AB139" i="1" s="1"/>
  <c r="AC139" i="1" s="1"/>
  <c r="P87" i="1"/>
  <c r="AB87" i="1" s="1"/>
  <c r="AC87" i="1" s="1"/>
  <c r="P89" i="1"/>
  <c r="AB89" i="1" s="1"/>
  <c r="AC89" i="1" s="1"/>
  <c r="AB105" i="1"/>
  <c r="AC105" i="1" s="1"/>
  <c r="AB54" i="1"/>
  <c r="AC54" i="1" s="1"/>
  <c r="P382" i="1"/>
  <c r="AB382" i="1" s="1"/>
  <c r="AC382" i="1" s="1"/>
  <c r="P392" i="1"/>
  <c r="AB392" i="1" s="1"/>
  <c r="AC392" i="1" s="1"/>
  <c r="P213" i="1"/>
  <c r="AB213" i="1" s="1"/>
  <c r="AC213" i="1" s="1"/>
  <c r="P56" i="1"/>
  <c r="P73" i="1" s="1"/>
  <c r="P391" i="1"/>
  <c r="P220" i="1"/>
  <c r="AB220" i="1" s="1"/>
  <c r="AC220" i="1" s="1"/>
  <c r="P136" i="1"/>
  <c r="AB136" i="1" s="1"/>
  <c r="AC136" i="1" s="1"/>
  <c r="P202" i="1"/>
  <c r="AB202" i="1" s="1"/>
  <c r="AC202" i="1" s="1"/>
  <c r="P108" i="1"/>
  <c r="AB108" i="1" s="1"/>
  <c r="AC108" i="1" s="1"/>
  <c r="P138" i="1"/>
  <c r="AB138" i="1" s="1"/>
  <c r="AC138" i="1" s="1"/>
  <c r="P401" i="1"/>
  <c r="P310" i="1"/>
  <c r="AB310" i="1" s="1"/>
  <c r="AC310" i="1" s="1"/>
  <c r="P211" i="1"/>
  <c r="P306" i="1"/>
  <c r="AB306" i="1" s="1"/>
  <c r="AC306" i="1" s="1"/>
  <c r="M520" i="2"/>
  <c r="M549" i="2" s="1"/>
  <c r="M572" i="2" s="1"/>
  <c r="I549" i="2"/>
  <c r="I572" i="2" s="1"/>
  <c r="N520" i="2"/>
  <c r="N549" i="2" s="1"/>
  <c r="N572" i="2" s="1"/>
  <c r="G549" i="2"/>
  <c r="G572" i="2" s="1"/>
  <c r="L520" i="2"/>
  <c r="O65" i="1"/>
  <c r="O77" i="1"/>
  <c r="O63" i="1"/>
  <c r="O8" i="1"/>
  <c r="O309" i="1"/>
  <c r="O69" i="1"/>
  <c r="O72" i="1"/>
  <c r="O68" i="1"/>
  <c r="O64" i="1"/>
  <c r="O9" i="1"/>
  <c r="O71" i="1"/>
  <c r="O67" i="1"/>
  <c r="O70" i="1"/>
  <c r="O58" i="1"/>
  <c r="O66" i="1"/>
  <c r="O73" i="1"/>
  <c r="O410" i="1"/>
  <c r="O394" i="1"/>
  <c r="O141" i="1"/>
  <c r="E426" i="2"/>
  <c r="E431" i="2"/>
  <c r="AG424" i="2"/>
  <c r="AH424" i="2" s="1"/>
  <c r="O215" i="1"/>
  <c r="O229" i="1"/>
  <c r="AB367" i="1"/>
  <c r="AC367" i="1" s="1"/>
  <c r="AB180" i="1"/>
  <c r="AC180" i="1" s="1"/>
  <c r="AF178" i="2"/>
  <c r="AC24" i="2"/>
  <c r="AH13" i="2"/>
  <c r="AB25" i="2"/>
  <c r="R25" i="2"/>
  <c r="R26" i="2" s="1"/>
  <c r="AA35" i="2"/>
  <c r="T25" i="2"/>
  <c r="AD25" i="2"/>
  <c r="J25" i="2"/>
  <c r="X25" i="2"/>
  <c r="K25" i="2"/>
  <c r="AC25" i="2"/>
  <c r="N25" i="2"/>
  <c r="AF25" i="2"/>
  <c r="M25" i="2"/>
  <c r="J35" i="2"/>
  <c r="AC35" i="2"/>
  <c r="S35" i="2"/>
  <c r="I35" i="2"/>
  <c r="X35" i="2"/>
  <c r="AD178" i="2"/>
  <c r="O178" i="2"/>
  <c r="X178" i="2"/>
  <c r="N178" i="2"/>
  <c r="AA178" i="2"/>
  <c r="W178" i="2"/>
  <c r="P24" i="2"/>
  <c r="V25" i="2"/>
  <c r="W25" i="2"/>
  <c r="L25" i="2"/>
  <c r="AE25" i="2"/>
  <c r="Q25" i="2"/>
  <c r="S25" i="2"/>
  <c r="I24" i="2"/>
  <c r="P25" i="2"/>
  <c r="I25" i="2"/>
  <c r="AA25" i="2"/>
  <c r="Y25" i="2"/>
  <c r="Z25" i="2"/>
  <c r="O25" i="2"/>
  <c r="H25" i="2"/>
  <c r="J178" i="2"/>
  <c r="U178" i="2"/>
  <c r="V178" i="2"/>
  <c r="L178" i="2"/>
  <c r="H178" i="2"/>
  <c r="Y178" i="2"/>
  <c r="Z178" i="2"/>
  <c r="AE178" i="2"/>
  <c r="S178" i="2"/>
  <c r="I178" i="2"/>
  <c r="P178" i="2"/>
  <c r="M178" i="2"/>
  <c r="Z24" i="2"/>
  <c r="U35" i="2"/>
  <c r="AE35" i="2"/>
  <c r="AC178" i="2"/>
  <c r="K178" i="2"/>
  <c r="Q178" i="2"/>
  <c r="K24" i="2"/>
  <c r="F178" i="2"/>
  <c r="R178" i="2"/>
  <c r="AB178" i="2"/>
  <c r="G178" i="2"/>
  <c r="O35" i="2"/>
  <c r="K35" i="2"/>
  <c r="E26" i="2"/>
  <c r="G24" i="2"/>
  <c r="V35" i="2"/>
  <c r="N35" i="2"/>
  <c r="F35" i="2"/>
  <c r="H24" i="2"/>
  <c r="AE24" i="2"/>
  <c r="F24" i="2"/>
  <c r="F26" i="2" s="1"/>
  <c r="AB35" i="2"/>
  <c r="Q35" i="2"/>
  <c r="AD35" i="2"/>
  <c r="W35" i="2"/>
  <c r="Y35" i="2"/>
  <c r="P35" i="2"/>
  <c r="AF24" i="2"/>
  <c r="Z182" i="2"/>
  <c r="V24" i="2"/>
  <c r="N24" i="2"/>
  <c r="AB24" i="2"/>
  <c r="Z35" i="2"/>
  <c r="H35" i="2"/>
  <c r="AF35" i="2"/>
  <c r="L35" i="2"/>
  <c r="R35" i="2"/>
  <c r="T35" i="2"/>
  <c r="G35" i="2"/>
  <c r="G25" i="2"/>
  <c r="U25" i="2"/>
  <c r="AB32" i="2"/>
  <c r="AD32" i="2"/>
  <c r="O24" i="2"/>
  <c r="AD24" i="2"/>
  <c r="T24" i="2"/>
  <c r="J24" i="2"/>
  <c r="AA24" i="2"/>
  <c r="U24" i="2"/>
  <c r="Y24" i="2"/>
  <c r="X24" i="2"/>
  <c r="Q24" i="2"/>
  <c r="W24" i="2"/>
  <c r="S24" i="2"/>
  <c r="M24" i="2"/>
  <c r="R316" i="1"/>
  <c r="E253" i="2" s="1"/>
  <c r="L253" i="2" s="1"/>
  <c r="E63" i="2"/>
  <c r="K63" i="2" s="1"/>
  <c r="R278" i="1"/>
  <c r="R318" i="1"/>
  <c r="U32" i="2"/>
  <c r="M32" i="2"/>
  <c r="AF32" i="2"/>
  <c r="K326" i="1"/>
  <c r="Q32" i="2"/>
  <c r="G32" i="2"/>
  <c r="AB449" i="2"/>
  <c r="AF16" i="2"/>
  <c r="J32" i="2"/>
  <c r="Z32" i="2"/>
  <c r="N32" i="2"/>
  <c r="R314" i="1"/>
  <c r="E215" i="2" s="1"/>
  <c r="M215" i="2" s="1"/>
  <c r="S32" i="2"/>
  <c r="O32" i="2"/>
  <c r="X32" i="2"/>
  <c r="F32" i="2"/>
  <c r="R451" i="1"/>
  <c r="R457" i="1"/>
  <c r="AC32" i="2"/>
  <c r="P32" i="2"/>
  <c r="W32" i="2"/>
  <c r="R32" i="2"/>
  <c r="T32" i="2"/>
  <c r="AE32" i="2"/>
  <c r="K32" i="2"/>
  <c r="R326" i="1"/>
  <c r="R272" i="1"/>
  <c r="R322" i="1"/>
  <c r="T449" i="2"/>
  <c r="AD16" i="2"/>
  <c r="X16" i="2"/>
  <c r="H32" i="2"/>
  <c r="Y32" i="2"/>
  <c r="AA32" i="2"/>
  <c r="V32" i="2"/>
  <c r="L32" i="2"/>
  <c r="R281" i="1"/>
  <c r="R324" i="1"/>
  <c r="R320" i="1"/>
  <c r="G16" i="2"/>
  <c r="U449" i="2"/>
  <c r="AA449" i="2"/>
  <c r="AE449" i="2"/>
  <c r="AC16" i="2"/>
  <c r="AF449" i="2"/>
  <c r="V449" i="2"/>
  <c r="AD449" i="2"/>
  <c r="Y449" i="2"/>
  <c r="Z16" i="2"/>
  <c r="V16" i="2"/>
  <c r="AB16" i="2"/>
  <c r="S449" i="2"/>
  <c r="Q449" i="2"/>
  <c r="R449" i="2"/>
  <c r="W16" i="2"/>
  <c r="AA16" i="2"/>
  <c r="Y16" i="2"/>
  <c r="P449" i="2"/>
  <c r="Z449" i="2"/>
  <c r="AC449" i="2"/>
  <c r="X449" i="2"/>
  <c r="T16" i="2"/>
  <c r="P16" i="2"/>
  <c r="AE16" i="2"/>
  <c r="R16" i="2"/>
  <c r="N449" i="2"/>
  <c r="W449" i="2"/>
  <c r="S16" i="2"/>
  <c r="U16" i="2"/>
  <c r="K320" i="1"/>
  <c r="U457" i="1"/>
  <c r="K281" i="1"/>
  <c r="K322" i="1"/>
  <c r="K272" i="1"/>
  <c r="K314" i="1"/>
  <c r="E204" i="2" s="1"/>
  <c r="AH204" i="2" s="1"/>
  <c r="K316" i="1"/>
  <c r="E242" i="2" s="1"/>
  <c r="AH242" i="2" s="1"/>
  <c r="K318" i="1"/>
  <c r="K324" i="1"/>
  <c r="K278" i="1"/>
  <c r="E52" i="2"/>
  <c r="AH52" i="2" s="1"/>
  <c r="K457" i="1"/>
  <c r="K461" i="1" s="1"/>
  <c r="K463" i="1" s="1"/>
  <c r="K465" i="1" s="1"/>
  <c r="E478" i="2" s="1"/>
  <c r="AH478" i="2" s="1"/>
  <c r="U326" i="1"/>
  <c r="L182" i="2"/>
  <c r="U316" i="1"/>
  <c r="E258" i="2" s="1"/>
  <c r="AB258" i="2" s="1"/>
  <c r="AD182" i="2"/>
  <c r="U322" i="1"/>
  <c r="J182" i="2"/>
  <c r="AC182" i="2"/>
  <c r="E68" i="2"/>
  <c r="AB68" i="2" s="1"/>
  <c r="AF182" i="2"/>
  <c r="U451" i="1"/>
  <c r="T38" i="2"/>
  <c r="K38" i="2"/>
  <c r="AC38" i="2"/>
  <c r="AB38" i="2"/>
  <c r="N38" i="2"/>
  <c r="Z38" i="2"/>
  <c r="O38" i="2"/>
  <c r="AE38" i="2"/>
  <c r="U38" i="2"/>
  <c r="X38" i="2"/>
  <c r="M38" i="2"/>
  <c r="AD38" i="2"/>
  <c r="AF38" i="2"/>
  <c r="R38" i="2"/>
  <c r="F38" i="2"/>
  <c r="G38" i="2"/>
  <c r="V38" i="2"/>
  <c r="L38" i="2"/>
  <c r="Q38" i="2"/>
  <c r="Y38" i="2"/>
  <c r="H38" i="2"/>
  <c r="J38" i="2"/>
  <c r="W38" i="2"/>
  <c r="P38" i="2"/>
  <c r="AA38" i="2"/>
  <c r="S38" i="2"/>
  <c r="AA451" i="1"/>
  <c r="AA281" i="1"/>
  <c r="AA272" i="1"/>
  <c r="AA457" i="1"/>
  <c r="AA324" i="1"/>
  <c r="AA314" i="1"/>
  <c r="AA278" i="1"/>
  <c r="AA318" i="1"/>
  <c r="AA322" i="1"/>
  <c r="E77" i="2"/>
  <c r="AA320" i="1"/>
  <c r="AA326" i="1"/>
  <c r="AA316" i="1"/>
  <c r="E267" i="2" s="1"/>
  <c r="AC191" i="2"/>
  <c r="Q191" i="2"/>
  <c r="Y191" i="2"/>
  <c r="AE191" i="2"/>
  <c r="K191" i="2"/>
  <c r="T191" i="2"/>
  <c r="R191" i="2"/>
  <c r="N191" i="2"/>
  <c r="Z191" i="2"/>
  <c r="O191" i="2"/>
  <c r="X191" i="2"/>
  <c r="AF191" i="2"/>
  <c r="AD191" i="2"/>
  <c r="G191" i="2"/>
  <c r="M191" i="2"/>
  <c r="H191" i="2"/>
  <c r="U191" i="2"/>
  <c r="W191" i="2"/>
  <c r="L191" i="2"/>
  <c r="AA191" i="2"/>
  <c r="P191" i="2"/>
  <c r="V191" i="2"/>
  <c r="J191" i="2"/>
  <c r="S191" i="2"/>
  <c r="AB191" i="2"/>
  <c r="F191" i="2"/>
  <c r="Q29" i="2"/>
  <c r="AC169" i="2"/>
  <c r="V29" i="2"/>
  <c r="AD29" i="2"/>
  <c r="P29" i="2"/>
  <c r="V182" i="2"/>
  <c r="R182" i="2"/>
  <c r="N182" i="2"/>
  <c r="K29" i="2"/>
  <c r="U182" i="2"/>
  <c r="U281" i="1"/>
  <c r="U320" i="1"/>
  <c r="U318" i="1"/>
  <c r="U278" i="1"/>
  <c r="X169" i="2"/>
  <c r="N169" i="2"/>
  <c r="W29" i="2"/>
  <c r="AB182" i="2"/>
  <c r="U29" i="2"/>
  <c r="X29" i="2"/>
  <c r="AE182" i="2"/>
  <c r="O29" i="2"/>
  <c r="U324" i="1"/>
  <c r="U314" i="1"/>
  <c r="E220" i="2" s="1"/>
  <c r="U169" i="2"/>
  <c r="S169" i="2"/>
  <c r="M169" i="2"/>
  <c r="Q169" i="2"/>
  <c r="O169" i="2"/>
  <c r="V169" i="2"/>
  <c r="P169" i="2"/>
  <c r="T169" i="2"/>
  <c r="AB169" i="2"/>
  <c r="AD169" i="2"/>
  <c r="Y169" i="2"/>
  <c r="AE169" i="2"/>
  <c r="AA169" i="2"/>
  <c r="AF169" i="2"/>
  <c r="W169" i="2"/>
  <c r="R169" i="2"/>
  <c r="Z169" i="2"/>
  <c r="I29" i="2"/>
  <c r="M182" i="2"/>
  <c r="S182" i="2"/>
  <c r="O182" i="2"/>
  <c r="Y182" i="2"/>
  <c r="AB29" i="2"/>
  <c r="Q182" i="2"/>
  <c r="F29" i="2"/>
  <c r="X182" i="2"/>
  <c r="T182" i="2"/>
  <c r="G182" i="2"/>
  <c r="R29" i="2"/>
  <c r="H182" i="2"/>
  <c r="AC29" i="2"/>
  <c r="P182" i="2"/>
  <c r="W182" i="2"/>
  <c r="AE29" i="2"/>
  <c r="H281" i="1"/>
  <c r="H451" i="1"/>
  <c r="H457" i="1"/>
  <c r="H322" i="1"/>
  <c r="E47" i="2"/>
  <c r="H318" i="1"/>
  <c r="H278" i="1"/>
  <c r="H320" i="1"/>
  <c r="H316" i="1"/>
  <c r="E237" i="2" s="1"/>
  <c r="H314" i="1"/>
  <c r="H324" i="1"/>
  <c r="H326" i="1"/>
  <c r="H272" i="1"/>
  <c r="M316" i="1"/>
  <c r="E245" i="2" s="1"/>
  <c r="M324" i="1"/>
  <c r="M278" i="1"/>
  <c r="M326" i="1"/>
  <c r="M451" i="1"/>
  <c r="E55" i="2"/>
  <c r="M272" i="1"/>
  <c r="M318" i="1"/>
  <c r="M281" i="1"/>
  <c r="M320" i="1"/>
  <c r="M457" i="1"/>
  <c r="M314" i="1"/>
  <c r="M322" i="1"/>
  <c r="AF29" i="2"/>
  <c r="Z29" i="2"/>
  <c r="AA182" i="2"/>
  <c r="K182" i="2"/>
  <c r="N29" i="2"/>
  <c r="AA29" i="2"/>
  <c r="G29" i="2"/>
  <c r="H29" i="2"/>
  <c r="F182" i="2"/>
  <c r="T29" i="2"/>
  <c r="Y29" i="2"/>
  <c r="S29" i="2"/>
  <c r="J29" i="2"/>
  <c r="M29" i="2"/>
  <c r="Y457" i="1"/>
  <c r="E74" i="2"/>
  <c r="Y326" i="1"/>
  <c r="Y314" i="1"/>
  <c r="Y451" i="1"/>
  <c r="Y316" i="1"/>
  <c r="E264" i="2" s="1"/>
  <c r="Y324" i="1"/>
  <c r="Y322" i="1"/>
  <c r="Y281" i="1"/>
  <c r="Y278" i="1"/>
  <c r="Y272" i="1"/>
  <c r="Y318" i="1"/>
  <c r="Y320" i="1"/>
  <c r="S320" i="1"/>
  <c r="S451" i="1"/>
  <c r="E64" i="2"/>
  <c r="S324" i="1"/>
  <c r="S272" i="1"/>
  <c r="S281" i="1"/>
  <c r="S314" i="1"/>
  <c r="S322" i="1"/>
  <c r="S278" i="1"/>
  <c r="S316" i="1"/>
  <c r="E254" i="2" s="1"/>
  <c r="S326" i="1"/>
  <c r="S318" i="1"/>
  <c r="S457" i="1"/>
  <c r="I185" i="2"/>
  <c r="X185" i="2"/>
  <c r="W185" i="2"/>
  <c r="G185" i="2"/>
  <c r="S185" i="2"/>
  <c r="K185" i="2"/>
  <c r="N185" i="2"/>
  <c r="F185" i="2"/>
  <c r="M185" i="2"/>
  <c r="T185" i="2"/>
  <c r="U185" i="2"/>
  <c r="AD185" i="2"/>
  <c r="R185" i="2"/>
  <c r="J185" i="2"/>
  <c r="O185" i="2"/>
  <c r="AC185" i="2"/>
  <c r="V185" i="2"/>
  <c r="AB185" i="2"/>
  <c r="AF185" i="2"/>
  <c r="P185" i="2"/>
  <c r="H185" i="2"/>
  <c r="Z185" i="2"/>
  <c r="Q185" i="2"/>
  <c r="AE185" i="2"/>
  <c r="Y185" i="2"/>
  <c r="AA185" i="2"/>
  <c r="L185" i="2"/>
  <c r="F278" i="2"/>
  <c r="F419" i="2"/>
  <c r="E10" i="2"/>
  <c r="W104" i="1"/>
  <c r="W124" i="1" s="1"/>
  <c r="W126" i="1" s="1"/>
  <c r="I419" i="2"/>
  <c r="I420" i="2" s="1"/>
  <c r="E179" i="2"/>
  <c r="AD177" i="2"/>
  <c r="W177" i="2"/>
  <c r="M177" i="2"/>
  <c r="X177" i="2"/>
  <c r="P177" i="2"/>
  <c r="H177" i="2"/>
  <c r="AF177" i="2"/>
  <c r="Q177" i="2"/>
  <c r="K177" i="2"/>
  <c r="S177" i="2"/>
  <c r="AA177" i="2"/>
  <c r="G177" i="2"/>
  <c r="T177" i="2"/>
  <c r="T179" i="2" s="1"/>
  <c r="V177" i="2"/>
  <c r="Z177" i="2"/>
  <c r="I177" i="2"/>
  <c r="Y177" i="2"/>
  <c r="R177" i="2"/>
  <c r="AB177" i="2"/>
  <c r="U177" i="2"/>
  <c r="AC177" i="2"/>
  <c r="O177" i="2"/>
  <c r="F177" i="2"/>
  <c r="AE177" i="2"/>
  <c r="N177" i="2"/>
  <c r="L177" i="2"/>
  <c r="J177" i="2"/>
  <c r="F413" i="2"/>
  <c r="I452" i="1"/>
  <c r="I274" i="1"/>
  <c r="I273" i="1"/>
  <c r="I453" i="1"/>
  <c r="I270" i="1"/>
  <c r="I449" i="1"/>
  <c r="S84" i="15"/>
  <c r="J12" i="15" s="1"/>
  <c r="H419" i="2"/>
  <c r="H420" i="2" s="1"/>
  <c r="I99" i="1"/>
  <c r="I454" i="1"/>
  <c r="I275" i="1"/>
  <c r="I269" i="1"/>
  <c r="I450" i="1"/>
  <c r="I277" i="1"/>
  <c r="I456" i="1"/>
  <c r="I455" i="1"/>
  <c r="I271" i="1"/>
  <c r="I448" i="1"/>
  <c r="I276" i="1"/>
  <c r="AF188" i="2"/>
  <c r="U188" i="2"/>
  <c r="AD188" i="2"/>
  <c r="V188" i="2"/>
  <c r="P188" i="2"/>
  <c r="L188" i="2"/>
  <c r="X188" i="2"/>
  <c r="N188" i="2"/>
  <c r="Y188" i="2"/>
  <c r="W188" i="2"/>
  <c r="AA188" i="2"/>
  <c r="O188" i="2"/>
  <c r="AC188" i="2"/>
  <c r="S188" i="2"/>
  <c r="K188" i="2"/>
  <c r="AB188" i="2"/>
  <c r="G188" i="2"/>
  <c r="AE188" i="2"/>
  <c r="Z188" i="2"/>
  <c r="F188" i="2"/>
  <c r="Q188" i="2"/>
  <c r="R188" i="2"/>
  <c r="T188" i="2"/>
  <c r="M188" i="2"/>
  <c r="H188" i="2"/>
  <c r="I188" i="2"/>
  <c r="J188" i="2"/>
  <c r="AG511" i="2"/>
  <c r="E162" i="2"/>
  <c r="P410" i="1" l="1"/>
  <c r="P65" i="1"/>
  <c r="AB65" i="1" s="1"/>
  <c r="AC65" i="1" s="1"/>
  <c r="P69" i="1"/>
  <c r="AB69" i="1" s="1"/>
  <c r="AC69" i="1" s="1"/>
  <c r="P70" i="1"/>
  <c r="AB70" i="1" s="1"/>
  <c r="AC70" i="1" s="1"/>
  <c r="P229" i="1"/>
  <c r="AB229" i="1" s="1"/>
  <c r="AC229" i="1" s="1"/>
  <c r="P10" i="1"/>
  <c r="AB10" i="1" s="1"/>
  <c r="AC10" i="1" s="1"/>
  <c r="P215" i="1"/>
  <c r="AB215" i="1" s="1"/>
  <c r="AC215" i="1" s="1"/>
  <c r="AB401" i="1"/>
  <c r="AC401" i="1" s="1"/>
  <c r="AB73" i="1"/>
  <c r="AC73" i="1" s="1"/>
  <c r="P66" i="1"/>
  <c r="AB66" i="1" s="1"/>
  <c r="AC66" i="1" s="1"/>
  <c r="P71" i="1"/>
  <c r="AB71" i="1" s="1"/>
  <c r="AC71" i="1" s="1"/>
  <c r="P8" i="1"/>
  <c r="AB8" i="1" s="1"/>
  <c r="AC8" i="1" s="1"/>
  <c r="P72" i="1"/>
  <c r="AB72" i="1" s="1"/>
  <c r="AC72" i="1" s="1"/>
  <c r="P67" i="1"/>
  <c r="AB67" i="1" s="1"/>
  <c r="AC67" i="1" s="1"/>
  <c r="P309" i="1"/>
  <c r="AB309" i="1" s="1"/>
  <c r="AC309" i="1" s="1"/>
  <c r="P394" i="1"/>
  <c r="P412" i="1" s="1"/>
  <c r="P414" i="1" s="1"/>
  <c r="P416" i="1" s="1"/>
  <c r="P63" i="1"/>
  <c r="AB63" i="1" s="1"/>
  <c r="AC63" i="1" s="1"/>
  <c r="P68" i="1"/>
  <c r="AB68" i="1" s="1"/>
  <c r="AC68" i="1" s="1"/>
  <c r="AB211" i="1"/>
  <c r="AC211" i="1" s="1"/>
  <c r="P141" i="1"/>
  <c r="AB141" i="1" s="1"/>
  <c r="AC141" i="1" s="1"/>
  <c r="AB391" i="1"/>
  <c r="AC391" i="1" s="1"/>
  <c r="AB56" i="1"/>
  <c r="AC56" i="1" s="1"/>
  <c r="P58" i="1"/>
  <c r="AB58" i="1" s="1"/>
  <c r="AC58" i="1" s="1"/>
  <c r="P9" i="1"/>
  <c r="AB9" i="1" s="1"/>
  <c r="AC9" i="1" s="1"/>
  <c r="P64" i="1"/>
  <c r="P77" i="1"/>
  <c r="AB77" i="1" s="1"/>
  <c r="AC77" i="1" s="1"/>
  <c r="AG520" i="2"/>
  <c r="I596" i="2"/>
  <c r="I620" i="2"/>
  <c r="G596" i="2"/>
  <c r="G620" i="2"/>
  <c r="AB410" i="1"/>
  <c r="AC410" i="1" s="1"/>
  <c r="Y461" i="1"/>
  <c r="Y463" i="1" s="1"/>
  <c r="Y465" i="1" s="1"/>
  <c r="E500" i="2" s="1"/>
  <c r="AF500" i="2" s="1"/>
  <c r="O75" i="1"/>
  <c r="E433" i="2"/>
  <c r="AG431" i="2"/>
  <c r="AH431" i="2" s="1"/>
  <c r="X426" i="2"/>
  <c r="X427" i="2" s="1"/>
  <c r="S426" i="2"/>
  <c r="S427" i="2" s="1"/>
  <c r="AC426" i="2"/>
  <c r="AC427" i="2" s="1"/>
  <c r="AF426" i="2"/>
  <c r="AF427" i="2" s="1"/>
  <c r="AD426" i="2"/>
  <c r="AD427" i="2" s="1"/>
  <c r="Q426" i="2"/>
  <c r="Q427" i="2" s="1"/>
  <c r="I426" i="2"/>
  <c r="I427" i="2" s="1"/>
  <c r="AB426" i="2"/>
  <c r="AB427" i="2" s="1"/>
  <c r="V426" i="2"/>
  <c r="V427" i="2" s="1"/>
  <c r="U426" i="2"/>
  <c r="U427" i="2" s="1"/>
  <c r="R426" i="2"/>
  <c r="R427" i="2" s="1"/>
  <c r="AA426" i="2"/>
  <c r="AA427" i="2" s="1"/>
  <c r="Y426" i="2"/>
  <c r="Y427" i="2" s="1"/>
  <c r="H426" i="2"/>
  <c r="H427" i="2" s="1"/>
  <c r="G426" i="2"/>
  <c r="G427" i="2" s="1"/>
  <c r="N426" i="2"/>
  <c r="N427" i="2" s="1"/>
  <c r="Z426" i="2"/>
  <c r="Z427" i="2" s="1"/>
  <c r="E427" i="2"/>
  <c r="W426" i="2"/>
  <c r="W427" i="2" s="1"/>
  <c r="AE426" i="2"/>
  <c r="AE427" i="2" s="1"/>
  <c r="O426" i="2"/>
  <c r="O427" i="2" s="1"/>
  <c r="F426" i="2"/>
  <c r="J426" i="2"/>
  <c r="J427" i="2" s="1"/>
  <c r="T426" i="2"/>
  <c r="T427" i="2" s="1"/>
  <c r="P426" i="2"/>
  <c r="P427" i="2" s="1"/>
  <c r="M426" i="2"/>
  <c r="M427" i="2" s="1"/>
  <c r="K426" i="2"/>
  <c r="K427" i="2" s="1"/>
  <c r="O412" i="1"/>
  <c r="O231" i="1"/>
  <c r="M620" i="2"/>
  <c r="M596" i="2"/>
  <c r="N596" i="2"/>
  <c r="N620" i="2"/>
  <c r="AF179" i="2"/>
  <c r="Z26" i="2"/>
  <c r="AB253" i="2"/>
  <c r="U253" i="2"/>
  <c r="S253" i="2"/>
  <c r="E255" i="2"/>
  <c r="R253" i="2"/>
  <c r="I253" i="2"/>
  <c r="M253" i="2"/>
  <c r="H253" i="2"/>
  <c r="AD253" i="2"/>
  <c r="J253" i="2"/>
  <c r="AA253" i="2"/>
  <c r="F253" i="2"/>
  <c r="AC26" i="2"/>
  <c r="Z253" i="2"/>
  <c r="V253" i="2"/>
  <c r="X253" i="2"/>
  <c r="AA179" i="2"/>
  <c r="T26" i="2"/>
  <c r="AE26" i="2"/>
  <c r="S26" i="2"/>
  <c r="X26" i="2"/>
  <c r="AF26" i="2"/>
  <c r="P179" i="2"/>
  <c r="P215" i="2"/>
  <c r="AB26" i="2"/>
  <c r="L179" i="2"/>
  <c r="G63" i="2"/>
  <c r="K179" i="2"/>
  <c r="M26" i="2"/>
  <c r="AA26" i="2"/>
  <c r="K26" i="2"/>
  <c r="W63" i="2"/>
  <c r="G179" i="2"/>
  <c r="E65" i="2"/>
  <c r="Z63" i="2"/>
  <c r="O179" i="2"/>
  <c r="W179" i="2"/>
  <c r="H26" i="2"/>
  <c r="J26" i="2"/>
  <c r="AE179" i="2"/>
  <c r="Q179" i="2"/>
  <c r="AC215" i="2"/>
  <c r="Z179" i="2"/>
  <c r="N215" i="2"/>
  <c r="AD26" i="2"/>
  <c r="N179" i="2"/>
  <c r="Q26" i="2"/>
  <c r="V26" i="2"/>
  <c r="J179" i="2"/>
  <c r="H179" i="2"/>
  <c r="N26" i="2"/>
  <c r="U179" i="2"/>
  <c r="O26" i="2"/>
  <c r="AD179" i="2"/>
  <c r="X179" i="2"/>
  <c r="AB179" i="2"/>
  <c r="AC179" i="2"/>
  <c r="I179" i="2"/>
  <c r="Y26" i="2"/>
  <c r="K283" i="1"/>
  <c r="K285" i="1" s="1"/>
  <c r="K129" i="1" s="1"/>
  <c r="K133" i="1" s="1"/>
  <c r="K144" i="1" s="1"/>
  <c r="E90" i="2" s="1"/>
  <c r="E529" i="2" s="1"/>
  <c r="AH529" i="2" s="1"/>
  <c r="AG25" i="2"/>
  <c r="AH25" i="2" s="1"/>
  <c r="AG178" i="2"/>
  <c r="AH178" i="2" s="1"/>
  <c r="I26" i="2"/>
  <c r="M179" i="2"/>
  <c r="H215" i="2"/>
  <c r="V215" i="2"/>
  <c r="P26" i="2"/>
  <c r="R179" i="2"/>
  <c r="L215" i="2"/>
  <c r="Z215" i="2"/>
  <c r="W26" i="2"/>
  <c r="AG35" i="2"/>
  <c r="AH35" i="2" s="1"/>
  <c r="V179" i="2"/>
  <c r="S179" i="2"/>
  <c r="Y179" i="2"/>
  <c r="M63" i="2"/>
  <c r="V63" i="2"/>
  <c r="AF63" i="2"/>
  <c r="X63" i="2"/>
  <c r="AE63" i="2"/>
  <c r="G253" i="2"/>
  <c r="AC253" i="2"/>
  <c r="K253" i="2"/>
  <c r="O253" i="2"/>
  <c r="W253" i="2"/>
  <c r="AE253" i="2"/>
  <c r="N253" i="2"/>
  <c r="G26" i="2"/>
  <c r="AD245" i="2"/>
  <c r="AD63" i="2"/>
  <c r="U26" i="2"/>
  <c r="J63" i="2"/>
  <c r="U63" i="2"/>
  <c r="T63" i="2"/>
  <c r="AB63" i="2"/>
  <c r="T253" i="2"/>
  <c r="Y253" i="2"/>
  <c r="Q253" i="2"/>
  <c r="P253" i="2"/>
  <c r="AF253" i="2"/>
  <c r="R258" i="2"/>
  <c r="N63" i="2"/>
  <c r="Q63" i="2"/>
  <c r="AA63" i="2"/>
  <c r="H63" i="2"/>
  <c r="O63" i="2"/>
  <c r="Y63" i="2"/>
  <c r="I63" i="2"/>
  <c r="R63" i="2"/>
  <c r="F63" i="2"/>
  <c r="AC63" i="2"/>
  <c r="P63" i="2"/>
  <c r="S63" i="2"/>
  <c r="G258" i="2"/>
  <c r="F215" i="2"/>
  <c r="J215" i="2"/>
  <c r="I215" i="2"/>
  <c r="AF215" i="2"/>
  <c r="K215" i="2"/>
  <c r="AD215" i="2"/>
  <c r="U215" i="2"/>
  <c r="O215" i="2"/>
  <c r="T215" i="2"/>
  <c r="Y215" i="2"/>
  <c r="X215" i="2"/>
  <c r="AB215" i="2"/>
  <c r="G215" i="2"/>
  <c r="S215" i="2"/>
  <c r="AG32" i="2"/>
  <c r="AH32" i="2" s="1"/>
  <c r="W215" i="2"/>
  <c r="R215" i="2"/>
  <c r="AA215" i="2"/>
  <c r="Q215" i="2"/>
  <c r="AE215" i="2"/>
  <c r="R461" i="1"/>
  <c r="R463" i="1" s="1"/>
  <c r="R465" i="1" s="1"/>
  <c r="E489" i="2" s="1"/>
  <c r="W489" i="2" s="1"/>
  <c r="T245" i="2"/>
  <c r="AC258" i="2"/>
  <c r="R283" i="1"/>
  <c r="R285" i="1" s="1"/>
  <c r="R129" i="1" s="1"/>
  <c r="R133" i="1" s="1"/>
  <c r="R144" i="1" s="1"/>
  <c r="E101" i="2" s="1"/>
  <c r="V258" i="2"/>
  <c r="R328" i="1"/>
  <c r="U461" i="1"/>
  <c r="U463" i="1" s="1"/>
  <c r="U465" i="1" s="1"/>
  <c r="E494" i="2" s="1"/>
  <c r="W494" i="2" s="1"/>
  <c r="L68" i="2"/>
  <c r="G68" i="2"/>
  <c r="M68" i="2"/>
  <c r="U68" i="2"/>
  <c r="AF68" i="2"/>
  <c r="J68" i="2"/>
  <c r="J258" i="2"/>
  <c r="K258" i="2"/>
  <c r="K328" i="1"/>
  <c r="Y68" i="2"/>
  <c r="F68" i="2"/>
  <c r="I68" i="2"/>
  <c r="P258" i="2"/>
  <c r="N68" i="2"/>
  <c r="U258" i="2"/>
  <c r="W68" i="2"/>
  <c r="Z68" i="2"/>
  <c r="X68" i="2"/>
  <c r="S68" i="2"/>
  <c r="AA68" i="2"/>
  <c r="N258" i="2"/>
  <c r="AA258" i="2"/>
  <c r="T258" i="2"/>
  <c r="L258" i="2"/>
  <c r="AE68" i="2"/>
  <c r="I258" i="2"/>
  <c r="Q258" i="2"/>
  <c r="AE258" i="2"/>
  <c r="S258" i="2"/>
  <c r="O68" i="2"/>
  <c r="V68" i="2"/>
  <c r="AD258" i="2"/>
  <c r="M258" i="2"/>
  <c r="F258" i="2"/>
  <c r="U328" i="1"/>
  <c r="X258" i="2"/>
  <c r="AG191" i="2"/>
  <c r="AH191" i="2" s="1"/>
  <c r="AD68" i="2"/>
  <c r="P68" i="2"/>
  <c r="T68" i="2"/>
  <c r="AC68" i="2"/>
  <c r="W258" i="2"/>
  <c r="O258" i="2"/>
  <c r="AF258" i="2"/>
  <c r="Y258" i="2"/>
  <c r="Z258" i="2"/>
  <c r="H258" i="2"/>
  <c r="AA461" i="1"/>
  <c r="AA463" i="1" s="1"/>
  <c r="AA465" i="1" s="1"/>
  <c r="E503" i="2" s="1"/>
  <c r="AA503" i="2" s="1"/>
  <c r="M461" i="1"/>
  <c r="M463" i="1" s="1"/>
  <c r="M465" i="1" s="1"/>
  <c r="E481" i="2" s="1"/>
  <c r="G481" i="2" s="1"/>
  <c r="H283" i="1"/>
  <c r="H285" i="1" s="1"/>
  <c r="E123" i="2" s="1"/>
  <c r="AG38" i="2"/>
  <c r="AH38" i="2" s="1"/>
  <c r="H68" i="2"/>
  <c r="Q68" i="2"/>
  <c r="K68" i="2"/>
  <c r="R68" i="2"/>
  <c r="I77" i="2"/>
  <c r="Q77" i="2"/>
  <c r="AB77" i="2"/>
  <c r="Y77" i="2"/>
  <c r="AA77" i="2"/>
  <c r="L77" i="2"/>
  <c r="M77" i="2"/>
  <c r="AC77" i="2"/>
  <c r="T77" i="2"/>
  <c r="W77" i="2"/>
  <c r="F77" i="2"/>
  <c r="K77" i="2"/>
  <c r="O77" i="2"/>
  <c r="H77" i="2"/>
  <c r="G77" i="2"/>
  <c r="AD77" i="2"/>
  <c r="AF77" i="2"/>
  <c r="N77" i="2"/>
  <c r="V77" i="2"/>
  <c r="P77" i="2"/>
  <c r="S77" i="2"/>
  <c r="U77" i="2"/>
  <c r="Z77" i="2"/>
  <c r="AE77" i="2"/>
  <c r="X77" i="2"/>
  <c r="R77" i="2"/>
  <c r="J77" i="2"/>
  <c r="E229" i="2"/>
  <c r="AA328" i="1"/>
  <c r="O267" i="2"/>
  <c r="AE267" i="2"/>
  <c r="K267" i="2"/>
  <c r="N267" i="2"/>
  <c r="T267" i="2"/>
  <c r="Y267" i="2"/>
  <c r="I267" i="2"/>
  <c r="X267" i="2"/>
  <c r="V267" i="2"/>
  <c r="G267" i="2"/>
  <c r="AB267" i="2"/>
  <c r="AC267" i="2"/>
  <c r="R267" i="2"/>
  <c r="H267" i="2"/>
  <c r="L267" i="2"/>
  <c r="S267" i="2"/>
  <c r="U267" i="2"/>
  <c r="P267" i="2"/>
  <c r="W267" i="2"/>
  <c r="M267" i="2"/>
  <c r="F267" i="2"/>
  <c r="AF267" i="2"/>
  <c r="Q267" i="2"/>
  <c r="J267" i="2"/>
  <c r="AA267" i="2"/>
  <c r="Z267" i="2"/>
  <c r="AD267" i="2"/>
  <c r="U283" i="1"/>
  <c r="U285" i="1" s="1"/>
  <c r="E144" i="2" s="1"/>
  <c r="AA283" i="1"/>
  <c r="AA285" i="1" s="1"/>
  <c r="I101" i="1"/>
  <c r="I104" i="1" s="1"/>
  <c r="AG29" i="2"/>
  <c r="AH29" i="2" s="1"/>
  <c r="AG182" i="2"/>
  <c r="AH182" i="2" s="1"/>
  <c r="M283" i="1"/>
  <c r="M285" i="1" s="1"/>
  <c r="R245" i="2"/>
  <c r="X245" i="2"/>
  <c r="AC245" i="2"/>
  <c r="Z245" i="2"/>
  <c r="Y283" i="1"/>
  <c r="Y285" i="1" s="1"/>
  <c r="Y287" i="1" s="1"/>
  <c r="V245" i="2"/>
  <c r="O55" i="2"/>
  <c r="U55" i="2"/>
  <c r="Q55" i="2"/>
  <c r="S55" i="2"/>
  <c r="M55" i="2"/>
  <c r="R55" i="2"/>
  <c r="AC55" i="2"/>
  <c r="AD55" i="2"/>
  <c r="Z55" i="2"/>
  <c r="AF55" i="2"/>
  <c r="G55" i="2"/>
  <c r="X55" i="2"/>
  <c r="V55" i="2"/>
  <c r="T55" i="2"/>
  <c r="Y55" i="2"/>
  <c r="AE55" i="2"/>
  <c r="AB55" i="2"/>
  <c r="W55" i="2"/>
  <c r="N55" i="2"/>
  <c r="P55" i="2"/>
  <c r="AA55" i="2"/>
  <c r="E199" i="2"/>
  <c r="H328" i="1"/>
  <c r="H461" i="1"/>
  <c r="H463" i="1" s="1"/>
  <c r="H465" i="1" s="1"/>
  <c r="E473" i="2" s="1"/>
  <c r="AE245" i="2"/>
  <c r="AB245" i="2"/>
  <c r="S245" i="2"/>
  <c r="M245" i="2"/>
  <c r="W245" i="2"/>
  <c r="AF245" i="2"/>
  <c r="Q245" i="2"/>
  <c r="N245" i="2"/>
  <c r="U245" i="2"/>
  <c r="O245" i="2"/>
  <c r="G245" i="2"/>
  <c r="Y245" i="2"/>
  <c r="E207" i="2"/>
  <c r="K207" i="2" s="1"/>
  <c r="M328" i="1"/>
  <c r="AA245" i="2"/>
  <c r="P245" i="2"/>
  <c r="W278" i="1"/>
  <c r="W451" i="1"/>
  <c r="W314" i="1"/>
  <c r="W457" i="1"/>
  <c r="W281" i="1"/>
  <c r="W272" i="1"/>
  <c r="W320" i="1"/>
  <c r="W318" i="1"/>
  <c r="W324" i="1"/>
  <c r="W322" i="1"/>
  <c r="E71" i="2"/>
  <c r="W326" i="1"/>
  <c r="W316" i="1"/>
  <c r="E261" i="2" s="1"/>
  <c r="F299" i="2"/>
  <c r="AG278" i="2"/>
  <c r="AH278" i="2" s="1"/>
  <c r="E226" i="2"/>
  <c r="Y328" i="1"/>
  <c r="F179" i="2"/>
  <c r="AG177" i="2"/>
  <c r="AH177" i="2" s="1"/>
  <c r="E216" i="2"/>
  <c r="S328" i="1"/>
  <c r="F64" i="2"/>
  <c r="AC64" i="2"/>
  <c r="P64" i="2"/>
  <c r="S64" i="2"/>
  <c r="AF64" i="2"/>
  <c r="Y64" i="2"/>
  <c r="T64" i="2"/>
  <c r="Z64" i="2"/>
  <c r="L64" i="2"/>
  <c r="W64" i="2"/>
  <c r="V64" i="2"/>
  <c r="M64" i="2"/>
  <c r="K64" i="2"/>
  <c r="K65" i="2" s="1"/>
  <c r="X64" i="2"/>
  <c r="AE64" i="2"/>
  <c r="O64" i="2"/>
  <c r="AB64" i="2"/>
  <c r="J64" i="2"/>
  <c r="U64" i="2"/>
  <c r="I64" i="2"/>
  <c r="Q64" i="2"/>
  <c r="AA64" i="2"/>
  <c r="R64" i="2"/>
  <c r="G64" i="2"/>
  <c r="AD64" i="2"/>
  <c r="H64" i="2"/>
  <c r="N64" i="2"/>
  <c r="AB220" i="2"/>
  <c r="AE220" i="2"/>
  <c r="O220" i="2"/>
  <c r="Q220" i="2"/>
  <c r="R220" i="2"/>
  <c r="AF220" i="2"/>
  <c r="X220" i="2"/>
  <c r="M220" i="2"/>
  <c r="Y220" i="2"/>
  <c r="L220" i="2"/>
  <c r="V220" i="2"/>
  <c r="AC220" i="2"/>
  <c r="I220" i="2"/>
  <c r="AA220" i="2"/>
  <c r="T220" i="2"/>
  <c r="Z220" i="2"/>
  <c r="W220" i="2"/>
  <c r="U220" i="2"/>
  <c r="P220" i="2"/>
  <c r="K220" i="2"/>
  <c r="F220" i="2"/>
  <c r="G220" i="2"/>
  <c r="H220" i="2"/>
  <c r="J220" i="2"/>
  <c r="N220" i="2"/>
  <c r="AD220" i="2"/>
  <c r="S220" i="2"/>
  <c r="E163" i="2"/>
  <c r="AG188" i="2"/>
  <c r="AH188" i="2" s="1"/>
  <c r="K169" i="2"/>
  <c r="K16" i="2"/>
  <c r="K55" i="2"/>
  <c r="J402" i="2"/>
  <c r="F420" i="2"/>
  <c r="AC254" i="2"/>
  <c r="I254" i="2"/>
  <c r="N254" i="2"/>
  <c r="T254" i="2"/>
  <c r="AB254" i="2"/>
  <c r="G254" i="2"/>
  <c r="AF254" i="2"/>
  <c r="M254" i="2"/>
  <c r="Q254" i="2"/>
  <c r="W254" i="2"/>
  <c r="K254" i="2"/>
  <c r="V254" i="2"/>
  <c r="J254" i="2"/>
  <c r="X254" i="2"/>
  <c r="Y254" i="2"/>
  <c r="AA254" i="2"/>
  <c r="H254" i="2"/>
  <c r="AD254" i="2"/>
  <c r="Z254" i="2"/>
  <c r="O254" i="2"/>
  <c r="AE254" i="2"/>
  <c r="R254" i="2"/>
  <c r="S254" i="2"/>
  <c r="U254" i="2"/>
  <c r="L254" i="2"/>
  <c r="L255" i="2" s="1"/>
  <c r="P254" i="2"/>
  <c r="F254" i="2"/>
  <c r="S461" i="1"/>
  <c r="S463" i="1" s="1"/>
  <c r="S465" i="1" s="1"/>
  <c r="E490" i="2" s="1"/>
  <c r="U264" i="2"/>
  <c r="X264" i="2"/>
  <c r="AD264" i="2"/>
  <c r="Y264" i="2"/>
  <c r="W264" i="2"/>
  <c r="AF264" i="2"/>
  <c r="S264" i="2"/>
  <c r="N264" i="2"/>
  <c r="AC264" i="2"/>
  <c r="AB264" i="2"/>
  <c r="P264" i="2"/>
  <c r="L264" i="2"/>
  <c r="AA264" i="2"/>
  <c r="K264" i="2"/>
  <c r="Z264" i="2"/>
  <c r="O264" i="2"/>
  <c r="V264" i="2"/>
  <c r="G264" i="2"/>
  <c r="AE264" i="2"/>
  <c r="F264" i="2"/>
  <c r="Q264" i="2"/>
  <c r="R264" i="2"/>
  <c r="T264" i="2"/>
  <c r="M264" i="2"/>
  <c r="H264" i="2"/>
  <c r="I264" i="2"/>
  <c r="J264" i="2"/>
  <c r="AA74" i="2"/>
  <c r="X74" i="2"/>
  <c r="AD74" i="2"/>
  <c r="U74" i="2"/>
  <c r="N74" i="2"/>
  <c r="Z74" i="2"/>
  <c r="S74" i="2"/>
  <c r="AB74" i="2"/>
  <c r="L74" i="2"/>
  <c r="Y74" i="2"/>
  <c r="AC74" i="2"/>
  <c r="AE74" i="2"/>
  <c r="W74" i="2"/>
  <c r="AF74" i="2"/>
  <c r="O74" i="2"/>
  <c r="K74" i="2"/>
  <c r="P74" i="2"/>
  <c r="V74" i="2"/>
  <c r="G74" i="2"/>
  <c r="F74" i="2"/>
  <c r="R74" i="2"/>
  <c r="Q74" i="2"/>
  <c r="M74" i="2"/>
  <c r="H74" i="2"/>
  <c r="T74" i="2"/>
  <c r="J74" i="2"/>
  <c r="I74" i="2"/>
  <c r="F549" i="2"/>
  <c r="F572" i="2" s="1"/>
  <c r="K245" i="2"/>
  <c r="AG185" i="2"/>
  <c r="AH185" i="2" s="1"/>
  <c r="S283" i="1"/>
  <c r="S285" i="1" s="1"/>
  <c r="AB394" i="1" l="1"/>
  <c r="AC394" i="1" s="1"/>
  <c r="P231" i="1"/>
  <c r="P235" i="1" s="1"/>
  <c r="P75" i="1"/>
  <c r="P307" i="1" s="1"/>
  <c r="AB64" i="1"/>
  <c r="AC64" i="1" s="1"/>
  <c r="P12" i="1"/>
  <c r="AB12" i="1" s="1"/>
  <c r="AC12" i="1" s="1"/>
  <c r="AE489" i="2"/>
  <c r="E509" i="2"/>
  <c r="E518" i="2" s="1"/>
  <c r="P442" i="1"/>
  <c r="P273" i="1" s="1"/>
  <c r="AA500" i="2"/>
  <c r="F500" i="2"/>
  <c r="U500" i="2"/>
  <c r="H500" i="2"/>
  <c r="V500" i="2"/>
  <c r="N500" i="2"/>
  <c r="J500" i="2"/>
  <c r="Z500" i="2"/>
  <c r="R500" i="2"/>
  <c r="AD500" i="2"/>
  <c r="W500" i="2"/>
  <c r="T500" i="2"/>
  <c r="G500" i="2"/>
  <c r="X500" i="2"/>
  <c r="M500" i="2"/>
  <c r="K500" i="2"/>
  <c r="AE500" i="2"/>
  <c r="AB500" i="2"/>
  <c r="P500" i="2"/>
  <c r="O500" i="2"/>
  <c r="I500" i="2"/>
  <c r="Q500" i="2"/>
  <c r="L500" i="2"/>
  <c r="Y500" i="2"/>
  <c r="S500" i="2"/>
  <c r="AC500" i="2"/>
  <c r="K428" i="2"/>
  <c r="E434" i="2"/>
  <c r="X433" i="2"/>
  <c r="X434" i="2" s="1"/>
  <c r="H433" i="2"/>
  <c r="H434" i="2" s="1"/>
  <c r="AD433" i="2"/>
  <c r="AD434" i="2" s="1"/>
  <c r="AB433" i="2"/>
  <c r="AB434" i="2" s="1"/>
  <c r="R433" i="2"/>
  <c r="R434" i="2" s="1"/>
  <c r="J433" i="2"/>
  <c r="J434" i="2" s="1"/>
  <c r="AC433" i="2"/>
  <c r="AC434" i="2" s="1"/>
  <c r="O433" i="2"/>
  <c r="O434" i="2" s="1"/>
  <c r="G433" i="2"/>
  <c r="G434" i="2" s="1"/>
  <c r="K433" i="2"/>
  <c r="K434" i="2" s="1"/>
  <c r="AE433" i="2"/>
  <c r="AE434" i="2" s="1"/>
  <c r="V433" i="2"/>
  <c r="V434" i="2" s="1"/>
  <c r="P433" i="2"/>
  <c r="P434" i="2" s="1"/>
  <c r="AA433" i="2"/>
  <c r="AA434" i="2" s="1"/>
  <c r="U433" i="2"/>
  <c r="U434" i="2" s="1"/>
  <c r="F433" i="2"/>
  <c r="M433" i="2"/>
  <c r="M434" i="2" s="1"/>
  <c r="Z433" i="2"/>
  <c r="Z434" i="2" s="1"/>
  <c r="S433" i="2"/>
  <c r="S434" i="2" s="1"/>
  <c r="Y433" i="2"/>
  <c r="Y434" i="2" s="1"/>
  <c r="AF433" i="2"/>
  <c r="AF434" i="2" s="1"/>
  <c r="I433" i="2"/>
  <c r="I434" i="2" s="1"/>
  <c r="N433" i="2"/>
  <c r="N434" i="2" s="1"/>
  <c r="T433" i="2"/>
  <c r="T434" i="2" s="1"/>
  <c r="W433" i="2"/>
  <c r="W434" i="2" s="1"/>
  <c r="Q433" i="2"/>
  <c r="Q434" i="2" s="1"/>
  <c r="O82" i="1"/>
  <c r="O235" i="1"/>
  <c r="AB235" i="1" s="1"/>
  <c r="AC235" i="1" s="1"/>
  <c r="AB231" i="1"/>
  <c r="AC231" i="1" s="1"/>
  <c r="O237" i="1"/>
  <c r="O233" i="1"/>
  <c r="F427" i="2"/>
  <c r="O428" i="2"/>
  <c r="AF428" i="2"/>
  <c r="AA428" i="2"/>
  <c r="T428" i="2"/>
  <c r="V428" i="2"/>
  <c r="Q428" i="2"/>
  <c r="M428" i="2"/>
  <c r="AE428" i="2"/>
  <c r="S428" i="2"/>
  <c r="X428" i="2"/>
  <c r="Z428" i="2"/>
  <c r="R428" i="2"/>
  <c r="G428" i="2"/>
  <c r="P428" i="2"/>
  <c r="AD428" i="2"/>
  <c r="J428" i="2"/>
  <c r="AB428" i="2"/>
  <c r="AC428" i="2"/>
  <c r="U428" i="2"/>
  <c r="Y428" i="2"/>
  <c r="N428" i="2"/>
  <c r="I428" i="2"/>
  <c r="W428" i="2"/>
  <c r="H428" i="2"/>
  <c r="O414" i="1"/>
  <c r="AB412" i="1"/>
  <c r="AC412" i="1" s="1"/>
  <c r="O121" i="1"/>
  <c r="O280" i="1"/>
  <c r="O458" i="1"/>
  <c r="AB75" i="1"/>
  <c r="AC75" i="1" s="1"/>
  <c r="O279" i="1"/>
  <c r="O307" i="1"/>
  <c r="O122" i="1"/>
  <c r="O88" i="1"/>
  <c r="O459" i="1"/>
  <c r="O308" i="1"/>
  <c r="O120" i="1"/>
  <c r="M255" i="2"/>
  <c r="AD255" i="2"/>
  <c r="R255" i="2"/>
  <c r="H255" i="2"/>
  <c r="S255" i="2"/>
  <c r="AB255" i="2"/>
  <c r="I255" i="2"/>
  <c r="U255" i="2"/>
  <c r="AA255" i="2"/>
  <c r="V255" i="2"/>
  <c r="F255" i="2"/>
  <c r="J255" i="2"/>
  <c r="Z255" i="2"/>
  <c r="X255" i="2"/>
  <c r="K330" i="1"/>
  <c r="G65" i="2"/>
  <c r="W65" i="2"/>
  <c r="Z65" i="2"/>
  <c r="K287" i="1"/>
  <c r="E128" i="2"/>
  <c r="E511" i="2" s="1"/>
  <c r="E520" i="2" s="1"/>
  <c r="E139" i="2"/>
  <c r="S139" i="2" s="1"/>
  <c r="AD65" i="2"/>
  <c r="AB65" i="2"/>
  <c r="AF65" i="2"/>
  <c r="AF255" i="2"/>
  <c r="V481" i="2"/>
  <c r="AH90" i="2"/>
  <c r="N481" i="2"/>
  <c r="Y494" i="2"/>
  <c r="AA494" i="2"/>
  <c r="P481" i="2"/>
  <c r="Y255" i="2"/>
  <c r="K255" i="2"/>
  <c r="N255" i="2"/>
  <c r="I65" i="2"/>
  <c r="M65" i="2"/>
  <c r="O255" i="2"/>
  <c r="AC489" i="2"/>
  <c r="P255" i="2"/>
  <c r="W255" i="2"/>
  <c r="G255" i="2"/>
  <c r="U65" i="2"/>
  <c r="AE65" i="2"/>
  <c r="V65" i="2"/>
  <c r="T65" i="2"/>
  <c r="P65" i="2"/>
  <c r="AG179" i="2"/>
  <c r="AH179" i="2" s="1"/>
  <c r="Q255" i="2"/>
  <c r="AA65" i="2"/>
  <c r="AB494" i="2"/>
  <c r="K494" i="2"/>
  <c r="AB489" i="2"/>
  <c r="AG253" i="2"/>
  <c r="AH253" i="2" s="1"/>
  <c r="AE255" i="2"/>
  <c r="AC255" i="2"/>
  <c r="T255" i="2"/>
  <c r="J65" i="2"/>
  <c r="X65" i="2"/>
  <c r="Y65" i="2"/>
  <c r="AC65" i="2"/>
  <c r="O65" i="2"/>
  <c r="N65" i="2"/>
  <c r="AD489" i="2"/>
  <c r="U489" i="2"/>
  <c r="S65" i="2"/>
  <c r="H65" i="2"/>
  <c r="J489" i="2"/>
  <c r="Q65" i="2"/>
  <c r="AB481" i="2"/>
  <c r="X481" i="2"/>
  <c r="U481" i="2"/>
  <c r="F489" i="2"/>
  <c r="Z489" i="2"/>
  <c r="L489" i="2"/>
  <c r="AG215" i="2"/>
  <c r="AH215" i="2" s="1"/>
  <c r="R65" i="2"/>
  <c r="Q481" i="2"/>
  <c r="S489" i="2"/>
  <c r="O489" i="2"/>
  <c r="R330" i="1"/>
  <c r="AF489" i="2"/>
  <c r="H489" i="2"/>
  <c r="I489" i="2"/>
  <c r="X489" i="2"/>
  <c r="K489" i="2"/>
  <c r="Y489" i="2"/>
  <c r="M489" i="2"/>
  <c r="G489" i="2"/>
  <c r="Q489" i="2"/>
  <c r="R489" i="2"/>
  <c r="P489" i="2"/>
  <c r="V489" i="2"/>
  <c r="AA489" i="2"/>
  <c r="N489" i="2"/>
  <c r="T489" i="2"/>
  <c r="R287" i="1"/>
  <c r="AD494" i="2"/>
  <c r="AC494" i="2"/>
  <c r="S494" i="2"/>
  <c r="P494" i="2"/>
  <c r="Q494" i="2"/>
  <c r="V494" i="2"/>
  <c r="H494" i="2"/>
  <c r="G494" i="2"/>
  <c r="U494" i="2"/>
  <c r="R494" i="2"/>
  <c r="M494" i="2"/>
  <c r="AE494" i="2"/>
  <c r="X494" i="2"/>
  <c r="I494" i="2"/>
  <c r="N494" i="2"/>
  <c r="Z494" i="2"/>
  <c r="AF494" i="2"/>
  <c r="J494" i="2"/>
  <c r="O494" i="2"/>
  <c r="L494" i="2"/>
  <c r="F494" i="2"/>
  <c r="T494" i="2"/>
  <c r="K503" i="2"/>
  <c r="H503" i="2"/>
  <c r="AB503" i="2"/>
  <c r="O503" i="2"/>
  <c r="F503" i="2"/>
  <c r="J503" i="2"/>
  <c r="AC503" i="2"/>
  <c r="AG258" i="2"/>
  <c r="AH258" i="2" s="1"/>
  <c r="AG68" i="2"/>
  <c r="AH68" i="2" s="1"/>
  <c r="H330" i="1"/>
  <c r="M503" i="2"/>
  <c r="T503" i="2"/>
  <c r="AE503" i="2"/>
  <c r="Z503" i="2"/>
  <c r="U287" i="1"/>
  <c r="K481" i="2"/>
  <c r="W461" i="1"/>
  <c r="W463" i="1" s="1"/>
  <c r="W465" i="1" s="1"/>
  <c r="E497" i="2" s="1"/>
  <c r="K497" i="2" s="1"/>
  <c r="Z481" i="2"/>
  <c r="R481" i="2"/>
  <c r="O481" i="2"/>
  <c r="M481" i="2"/>
  <c r="T481" i="2"/>
  <c r="AD481" i="2"/>
  <c r="AD503" i="2"/>
  <c r="G503" i="2"/>
  <c r="S503" i="2"/>
  <c r="H287" i="1"/>
  <c r="AC481" i="2"/>
  <c r="AE481" i="2"/>
  <c r="AA481" i="2"/>
  <c r="W481" i="2"/>
  <c r="AF481" i="2"/>
  <c r="S481" i="2"/>
  <c r="Y481" i="2"/>
  <c r="W503" i="2"/>
  <c r="AF503" i="2"/>
  <c r="X503" i="2"/>
  <c r="U503" i="2"/>
  <c r="I503" i="2"/>
  <c r="L503" i="2"/>
  <c r="P503" i="2"/>
  <c r="R503" i="2"/>
  <c r="Q503" i="2"/>
  <c r="N503" i="2"/>
  <c r="Y503" i="2"/>
  <c r="V503" i="2"/>
  <c r="U330" i="1"/>
  <c r="H129" i="1"/>
  <c r="H133" i="1" s="1"/>
  <c r="H144" i="1" s="1"/>
  <c r="E85" i="2" s="1"/>
  <c r="E527" i="2" s="1"/>
  <c r="AA287" i="1"/>
  <c r="E153" i="2"/>
  <c r="AA129" i="1"/>
  <c r="AA133" i="1" s="1"/>
  <c r="AA144" i="1" s="1"/>
  <c r="E115" i="2" s="1"/>
  <c r="U129" i="1"/>
  <c r="U133" i="1" s="1"/>
  <c r="U144" i="1" s="1"/>
  <c r="E106" i="2" s="1"/>
  <c r="AA106" i="2" s="1"/>
  <c r="AG267" i="2"/>
  <c r="AH267" i="2" s="1"/>
  <c r="I229" i="2"/>
  <c r="Q229" i="2"/>
  <c r="U229" i="2"/>
  <c r="T229" i="2"/>
  <c r="V229" i="2"/>
  <c r="G229" i="2"/>
  <c r="M229" i="2"/>
  <c r="AC229" i="2"/>
  <c r="F229" i="2"/>
  <c r="W229" i="2"/>
  <c r="H229" i="2"/>
  <c r="R229" i="2"/>
  <c r="Z229" i="2"/>
  <c r="AB229" i="2"/>
  <c r="P229" i="2"/>
  <c r="N229" i="2"/>
  <c r="AF229" i="2"/>
  <c r="AD229" i="2"/>
  <c r="AE229" i="2"/>
  <c r="K229" i="2"/>
  <c r="J229" i="2"/>
  <c r="O229" i="2"/>
  <c r="Y229" i="2"/>
  <c r="L229" i="2"/>
  <c r="X229" i="2"/>
  <c r="S229" i="2"/>
  <c r="AA229" i="2"/>
  <c r="AG77" i="2"/>
  <c r="AH77" i="2" s="1"/>
  <c r="AA330" i="1"/>
  <c r="E150" i="2"/>
  <c r="AF150" i="2" s="1"/>
  <c r="Y330" i="1"/>
  <c r="Y129" i="1"/>
  <c r="Y133" i="1" s="1"/>
  <c r="Y144" i="1" s="1"/>
  <c r="E112" i="2" s="1"/>
  <c r="N112" i="2" s="1"/>
  <c r="S207" i="2"/>
  <c r="U207" i="2"/>
  <c r="W207" i="2"/>
  <c r="N207" i="2"/>
  <c r="O207" i="2"/>
  <c r="M207" i="2"/>
  <c r="Q207" i="2"/>
  <c r="AF207" i="2"/>
  <c r="T207" i="2"/>
  <c r="X207" i="2"/>
  <c r="V207" i="2"/>
  <c r="Z207" i="2"/>
  <c r="AC207" i="2"/>
  <c r="R207" i="2"/>
  <c r="P207" i="2"/>
  <c r="AA207" i="2"/>
  <c r="AD207" i="2"/>
  <c r="Y207" i="2"/>
  <c r="AB207" i="2"/>
  <c r="G207" i="2"/>
  <c r="AE207" i="2"/>
  <c r="E457" i="2"/>
  <c r="E459" i="2" s="1"/>
  <c r="E131" i="2"/>
  <c r="I131" i="2" s="1"/>
  <c r="M129" i="1"/>
  <c r="M133" i="1" s="1"/>
  <c r="M144" i="1" s="1"/>
  <c r="E93" i="2" s="1"/>
  <c r="M287" i="1"/>
  <c r="M330" i="1"/>
  <c r="I55" i="2"/>
  <c r="I16" i="2"/>
  <c r="I169" i="2"/>
  <c r="AG220" i="2"/>
  <c r="AH220" i="2" s="1"/>
  <c r="AG254" i="2"/>
  <c r="AH254" i="2" s="1"/>
  <c r="T144" i="2"/>
  <c r="W144" i="2"/>
  <c r="Y144" i="2"/>
  <c r="O144" i="2"/>
  <c r="AA144" i="2"/>
  <c r="P144" i="2"/>
  <c r="F144" i="2"/>
  <c r="Z144" i="2"/>
  <c r="AC144" i="2"/>
  <c r="X144" i="2"/>
  <c r="AE144" i="2"/>
  <c r="L144" i="2"/>
  <c r="Q144" i="2"/>
  <c r="I144" i="2"/>
  <c r="H144" i="2"/>
  <c r="R144" i="2"/>
  <c r="S144" i="2"/>
  <c r="V144" i="2"/>
  <c r="J144" i="2"/>
  <c r="AD144" i="2"/>
  <c r="AF144" i="2"/>
  <c r="N144" i="2"/>
  <c r="G144" i="2"/>
  <c r="K144" i="2"/>
  <c r="U144" i="2"/>
  <c r="M144" i="2"/>
  <c r="AB144" i="2"/>
  <c r="H481" i="2"/>
  <c r="H207" i="2"/>
  <c r="H245" i="2"/>
  <c r="AD216" i="2"/>
  <c r="AD217" i="2" s="1"/>
  <c r="AF216" i="2"/>
  <c r="AF217" i="2" s="1"/>
  <c r="AC216" i="2"/>
  <c r="AC217" i="2" s="1"/>
  <c r="Z216" i="2"/>
  <c r="Z217" i="2" s="1"/>
  <c r="Q216" i="2"/>
  <c r="Q217" i="2" s="1"/>
  <c r="K216" i="2"/>
  <c r="K217" i="2" s="1"/>
  <c r="AE216" i="2"/>
  <c r="AE217" i="2" s="1"/>
  <c r="T216" i="2"/>
  <c r="T217" i="2" s="1"/>
  <c r="R216" i="2"/>
  <c r="R217" i="2" s="1"/>
  <c r="H216" i="2"/>
  <c r="H217" i="2" s="1"/>
  <c r="U216" i="2"/>
  <c r="U217" i="2" s="1"/>
  <c r="P216" i="2"/>
  <c r="P217" i="2" s="1"/>
  <c r="L216" i="2"/>
  <c r="L217" i="2" s="1"/>
  <c r="F216" i="2"/>
  <c r="X216" i="2"/>
  <c r="X217" i="2" s="1"/>
  <c r="G216" i="2"/>
  <c r="G217" i="2" s="1"/>
  <c r="V216" i="2"/>
  <c r="V217" i="2" s="1"/>
  <c r="AA216" i="2"/>
  <c r="AA217" i="2" s="1"/>
  <c r="Y216" i="2"/>
  <c r="Y217" i="2" s="1"/>
  <c r="AB216" i="2"/>
  <c r="AB217" i="2" s="1"/>
  <c r="I216" i="2"/>
  <c r="I217" i="2" s="1"/>
  <c r="J216" i="2"/>
  <c r="J217" i="2" s="1"/>
  <c r="N216" i="2"/>
  <c r="N217" i="2" s="1"/>
  <c r="M216" i="2"/>
  <c r="M217" i="2" s="1"/>
  <c r="O216" i="2"/>
  <c r="O217" i="2" s="1"/>
  <c r="S216" i="2"/>
  <c r="S217" i="2" s="1"/>
  <c r="W216" i="2"/>
  <c r="W217" i="2" s="1"/>
  <c r="E217" i="2"/>
  <c r="I124" i="1"/>
  <c r="W283" i="1"/>
  <c r="W285" i="1" s="1"/>
  <c r="E223" i="2"/>
  <c r="W328" i="1"/>
  <c r="AG64" i="2"/>
  <c r="AH64" i="2" s="1"/>
  <c r="AG299" i="2"/>
  <c r="O261" i="2"/>
  <c r="K261" i="2"/>
  <c r="AE261" i="2"/>
  <c r="N261" i="2"/>
  <c r="T261" i="2"/>
  <c r="AC261" i="2"/>
  <c r="AD261" i="2"/>
  <c r="I261" i="2"/>
  <c r="G261" i="2"/>
  <c r="L261" i="2"/>
  <c r="U261" i="2"/>
  <c r="M261" i="2"/>
  <c r="H261" i="2"/>
  <c r="Q261" i="2"/>
  <c r="J261" i="2"/>
  <c r="X261" i="2"/>
  <c r="W261" i="2"/>
  <c r="AB261" i="2"/>
  <c r="R261" i="2"/>
  <c r="Z261" i="2"/>
  <c r="Y261" i="2"/>
  <c r="AA261" i="2"/>
  <c r="S261" i="2"/>
  <c r="V261" i="2"/>
  <c r="P261" i="2"/>
  <c r="F261" i="2"/>
  <c r="AF261" i="2"/>
  <c r="S129" i="1"/>
  <c r="S133" i="1" s="1"/>
  <c r="S144" i="1" s="1"/>
  <c r="E102" i="2" s="1"/>
  <c r="E103" i="2" s="1"/>
  <c r="E140" i="2"/>
  <c r="S287" i="1"/>
  <c r="S330" i="1"/>
  <c r="F596" i="2"/>
  <c r="F620" i="2"/>
  <c r="AG74" i="2"/>
  <c r="AH74" i="2" s="1"/>
  <c r="AG264" i="2"/>
  <c r="AH264" i="2" s="1"/>
  <c r="I245" i="2"/>
  <c r="I207" i="2"/>
  <c r="I481" i="2"/>
  <c r="AB226" i="2"/>
  <c r="U226" i="2"/>
  <c r="AF226" i="2"/>
  <c r="X226" i="2"/>
  <c r="V226" i="2"/>
  <c r="AD226" i="2"/>
  <c r="Z226" i="2"/>
  <c r="W226" i="2"/>
  <c r="K226" i="2"/>
  <c r="AC226" i="2"/>
  <c r="N226" i="2"/>
  <c r="P226" i="2"/>
  <c r="L226" i="2"/>
  <c r="AE226" i="2"/>
  <c r="AA226" i="2"/>
  <c r="O226" i="2"/>
  <c r="G226" i="2"/>
  <c r="S226" i="2"/>
  <c r="Y226" i="2"/>
  <c r="F226" i="2"/>
  <c r="Q226" i="2"/>
  <c r="R226" i="2"/>
  <c r="T226" i="2"/>
  <c r="M226" i="2"/>
  <c r="H226" i="2"/>
  <c r="J226" i="2"/>
  <c r="I226" i="2"/>
  <c r="Y101" i="2"/>
  <c r="AE101" i="2"/>
  <c r="AB101" i="2"/>
  <c r="AF101" i="2"/>
  <c r="T101" i="2"/>
  <c r="X101" i="2"/>
  <c r="H101" i="2"/>
  <c r="V101" i="2"/>
  <c r="O101" i="2"/>
  <c r="AC101" i="2"/>
  <c r="P101" i="2"/>
  <c r="W101" i="2"/>
  <c r="AA101" i="2"/>
  <c r="G101" i="2"/>
  <c r="S101" i="2"/>
  <c r="U101" i="2"/>
  <c r="F101" i="2"/>
  <c r="AD101" i="2"/>
  <c r="J101" i="2"/>
  <c r="Z101" i="2"/>
  <c r="N101" i="2"/>
  <c r="M101" i="2"/>
  <c r="R101" i="2"/>
  <c r="Q101" i="2"/>
  <c r="I101" i="2"/>
  <c r="K101" i="2"/>
  <c r="Z490" i="2"/>
  <c r="AE490" i="2"/>
  <c r="AF490" i="2"/>
  <c r="V490" i="2"/>
  <c r="G490" i="2"/>
  <c r="Q490" i="2"/>
  <c r="F490" i="2"/>
  <c r="W490" i="2"/>
  <c r="W491" i="2" s="1"/>
  <c r="U490" i="2"/>
  <c r="R490" i="2"/>
  <c r="M490" i="2"/>
  <c r="Y490" i="2"/>
  <c r="N490" i="2"/>
  <c r="AC490" i="2"/>
  <c r="O490" i="2"/>
  <c r="J490" i="2"/>
  <c r="K490" i="2"/>
  <c r="AA490" i="2"/>
  <c r="AD490" i="2"/>
  <c r="X490" i="2"/>
  <c r="P490" i="2"/>
  <c r="T490" i="2"/>
  <c r="AB490" i="2"/>
  <c r="L490" i="2"/>
  <c r="S490" i="2"/>
  <c r="H490" i="2"/>
  <c r="I490" i="2"/>
  <c r="E491" i="2"/>
  <c r="F65" i="2"/>
  <c r="H16" i="2"/>
  <c r="H169" i="2"/>
  <c r="H55" i="2"/>
  <c r="X71" i="2"/>
  <c r="F71" i="2"/>
  <c r="V71" i="2"/>
  <c r="AE71" i="2"/>
  <c r="G71" i="2"/>
  <c r="L71" i="2"/>
  <c r="S71" i="2"/>
  <c r="AF71" i="2"/>
  <c r="N71" i="2"/>
  <c r="U71" i="2"/>
  <c r="K71" i="2"/>
  <c r="P71" i="2"/>
  <c r="AD71" i="2"/>
  <c r="T71" i="2"/>
  <c r="AC71" i="2"/>
  <c r="W71" i="2"/>
  <c r="H71" i="2"/>
  <c r="Z71" i="2"/>
  <c r="AB71" i="2"/>
  <c r="I71" i="2"/>
  <c r="J71" i="2"/>
  <c r="O71" i="2"/>
  <c r="Y71" i="2"/>
  <c r="AA71" i="2"/>
  <c r="Q71" i="2"/>
  <c r="M71" i="2"/>
  <c r="R71" i="2"/>
  <c r="AE491" i="2" l="1"/>
  <c r="P279" i="1"/>
  <c r="AB279" i="1" s="1"/>
  <c r="AC279" i="1" s="1"/>
  <c r="P458" i="1"/>
  <c r="AB458" i="1" s="1"/>
  <c r="AC458" i="1" s="1"/>
  <c r="P237" i="1"/>
  <c r="AB237" i="1" s="1"/>
  <c r="AC237" i="1" s="1"/>
  <c r="P233" i="1"/>
  <c r="P264" i="1" s="1"/>
  <c r="P275" i="1" s="1"/>
  <c r="P122" i="1"/>
  <c r="AB122" i="1" s="1"/>
  <c r="AC122" i="1" s="1"/>
  <c r="P280" i="1"/>
  <c r="AB280" i="1" s="1"/>
  <c r="AC280" i="1" s="1"/>
  <c r="P121" i="1"/>
  <c r="AB121" i="1" s="1"/>
  <c r="AC121" i="1" s="1"/>
  <c r="P120" i="1"/>
  <c r="AB120" i="1" s="1"/>
  <c r="AC120" i="1" s="1"/>
  <c r="P88" i="1"/>
  <c r="P91" i="1" s="1"/>
  <c r="P99" i="1" s="1"/>
  <c r="P459" i="1"/>
  <c r="AB459" i="1" s="1"/>
  <c r="AC459" i="1" s="1"/>
  <c r="P82" i="1"/>
  <c r="P98" i="1" s="1"/>
  <c r="P308" i="1"/>
  <c r="P312" i="1" s="1"/>
  <c r="E173" i="2" s="1"/>
  <c r="X173" i="2" s="1"/>
  <c r="AB139" i="2"/>
  <c r="AD150" i="2"/>
  <c r="P274" i="1"/>
  <c r="P270" i="1"/>
  <c r="P453" i="1"/>
  <c r="P449" i="1"/>
  <c r="P452" i="1"/>
  <c r="AG500" i="2"/>
  <c r="AH500" i="2" s="1"/>
  <c r="AH511" i="2"/>
  <c r="F434" i="2"/>
  <c r="O91" i="1"/>
  <c r="O416" i="1"/>
  <c r="AB416" i="1" s="1"/>
  <c r="AC416" i="1" s="1"/>
  <c r="O442" i="1"/>
  <c r="AB414" i="1"/>
  <c r="AC414" i="1" s="1"/>
  <c r="AB307" i="1"/>
  <c r="AC307" i="1" s="1"/>
  <c r="O312" i="1"/>
  <c r="O264" i="1"/>
  <c r="O130" i="1"/>
  <c r="O131" i="1"/>
  <c r="O142" i="1"/>
  <c r="E19" i="2"/>
  <c r="O19" i="2" s="1"/>
  <c r="O98" i="1"/>
  <c r="M435" i="2"/>
  <c r="J435" i="2"/>
  <c r="AB435" i="2"/>
  <c r="R435" i="2"/>
  <c r="P435" i="2"/>
  <c r="X435" i="2"/>
  <c r="G435" i="2"/>
  <c r="Y435" i="2"/>
  <c r="Z435" i="2"/>
  <c r="AC435" i="2"/>
  <c r="O435" i="2"/>
  <c r="W435" i="2"/>
  <c r="Q435" i="2"/>
  <c r="K435" i="2"/>
  <c r="H435" i="2"/>
  <c r="U435" i="2"/>
  <c r="V435" i="2"/>
  <c r="AA435" i="2"/>
  <c r="AF435" i="2"/>
  <c r="AE435" i="2"/>
  <c r="S435" i="2"/>
  <c r="N435" i="2"/>
  <c r="T435" i="2"/>
  <c r="I435" i="2"/>
  <c r="AD435" i="2"/>
  <c r="F428" i="2"/>
  <c r="P139" i="2"/>
  <c r="X139" i="2"/>
  <c r="L139" i="2"/>
  <c r="I139" i="2"/>
  <c r="Q139" i="2"/>
  <c r="H131" i="2"/>
  <c r="U139" i="2"/>
  <c r="H106" i="2"/>
  <c r="H491" i="2"/>
  <c r="R491" i="2"/>
  <c r="O139" i="2"/>
  <c r="AF139" i="2"/>
  <c r="H139" i="2"/>
  <c r="E141" i="2"/>
  <c r="W139" i="2"/>
  <c r="G139" i="2"/>
  <c r="AA139" i="2"/>
  <c r="M139" i="2"/>
  <c r="O491" i="2"/>
  <c r="Z139" i="2"/>
  <c r="J139" i="2"/>
  <c r="R139" i="2"/>
  <c r="N139" i="2"/>
  <c r="AE139" i="2"/>
  <c r="AD139" i="2"/>
  <c r="AH128" i="2"/>
  <c r="F139" i="2"/>
  <c r="T139" i="2"/>
  <c r="AC139" i="2"/>
  <c r="K139" i="2"/>
  <c r="Y139" i="2"/>
  <c r="V139" i="2"/>
  <c r="AF106" i="2"/>
  <c r="I491" i="2"/>
  <c r="AB491" i="2"/>
  <c r="M491" i="2"/>
  <c r="P491" i="2"/>
  <c r="AC491" i="2"/>
  <c r="G491" i="2"/>
  <c r="AG255" i="2"/>
  <c r="AH255" i="2" s="1"/>
  <c r="L497" i="2"/>
  <c r="Z491" i="2"/>
  <c r="S491" i="2"/>
  <c r="K491" i="2"/>
  <c r="N491" i="2"/>
  <c r="U491" i="2"/>
  <c r="Y491" i="2"/>
  <c r="X491" i="2"/>
  <c r="J491" i="2"/>
  <c r="V491" i="2"/>
  <c r="AD491" i="2"/>
  <c r="AF491" i="2"/>
  <c r="AE106" i="2"/>
  <c r="L491" i="2"/>
  <c r="S112" i="2"/>
  <c r="AG489" i="2"/>
  <c r="AH489" i="2" s="1"/>
  <c r="Z106" i="2"/>
  <c r="W106" i="2"/>
  <c r="T491" i="2"/>
  <c r="AA491" i="2"/>
  <c r="Q491" i="2"/>
  <c r="AB112" i="2"/>
  <c r="F106" i="2"/>
  <c r="P106" i="2"/>
  <c r="R112" i="2"/>
  <c r="AC150" i="2"/>
  <c r="U497" i="2"/>
  <c r="AG494" i="2"/>
  <c r="AH494" i="2" s="1"/>
  <c r="Z497" i="2"/>
  <c r="S497" i="2"/>
  <c r="H497" i="2"/>
  <c r="V497" i="2"/>
  <c r="AE497" i="2"/>
  <c r="M150" i="2"/>
  <c r="P150" i="2"/>
  <c r="Z150" i="2"/>
  <c r="R150" i="2"/>
  <c r="N150" i="2"/>
  <c r="O497" i="2"/>
  <c r="W497" i="2"/>
  <c r="AF497" i="2"/>
  <c r="AG503" i="2"/>
  <c r="AH503" i="2" s="1"/>
  <c r="Q497" i="2"/>
  <c r="T497" i="2"/>
  <c r="X497" i="2"/>
  <c r="AA497" i="2"/>
  <c r="J497" i="2"/>
  <c r="R497" i="2"/>
  <c r="AC497" i="2"/>
  <c r="Y497" i="2"/>
  <c r="AD497" i="2"/>
  <c r="N497" i="2"/>
  <c r="F112" i="2"/>
  <c r="V112" i="2"/>
  <c r="AB497" i="2"/>
  <c r="G497" i="2"/>
  <c r="I497" i="2"/>
  <c r="M497" i="2"/>
  <c r="P497" i="2"/>
  <c r="F497" i="2"/>
  <c r="Z112" i="2"/>
  <c r="I112" i="2"/>
  <c r="L112" i="2"/>
  <c r="O112" i="2"/>
  <c r="AF112" i="2"/>
  <c r="T112" i="2"/>
  <c r="X112" i="2"/>
  <c r="AE112" i="2"/>
  <c r="AD106" i="2"/>
  <c r="S106" i="2"/>
  <c r="G106" i="2"/>
  <c r="H150" i="2"/>
  <c r="L150" i="2"/>
  <c r="S150" i="2"/>
  <c r="AG229" i="2"/>
  <c r="AH229" i="2" s="1"/>
  <c r="I115" i="2"/>
  <c r="AA115" i="2"/>
  <c r="AC115" i="2"/>
  <c r="K115" i="2"/>
  <c r="AB115" i="2"/>
  <c r="G115" i="2"/>
  <c r="M115" i="2"/>
  <c r="Q115" i="2"/>
  <c r="T115" i="2"/>
  <c r="S115" i="2"/>
  <c r="J115" i="2"/>
  <c r="L115" i="2"/>
  <c r="O115" i="2"/>
  <c r="V115" i="2"/>
  <c r="AE115" i="2"/>
  <c r="AF115" i="2"/>
  <c r="P115" i="2"/>
  <c r="X115" i="2"/>
  <c r="F115" i="2"/>
  <c r="U115" i="2"/>
  <c r="H115" i="2"/>
  <c r="Y115" i="2"/>
  <c r="W115" i="2"/>
  <c r="Z115" i="2"/>
  <c r="AD115" i="2"/>
  <c r="R115" i="2"/>
  <c r="N115" i="2"/>
  <c r="Q106" i="2"/>
  <c r="J106" i="2"/>
  <c r="U106" i="2"/>
  <c r="AB106" i="2"/>
  <c r="K106" i="2"/>
  <c r="M106" i="2"/>
  <c r="J150" i="2"/>
  <c r="T150" i="2"/>
  <c r="G150" i="2"/>
  <c r="AA150" i="2"/>
  <c r="K150" i="2"/>
  <c r="W150" i="2"/>
  <c r="V150" i="2"/>
  <c r="I153" i="2"/>
  <c r="S153" i="2"/>
  <c r="U153" i="2"/>
  <c r="F153" i="2"/>
  <c r="L153" i="2"/>
  <c r="G153" i="2"/>
  <c r="AB153" i="2"/>
  <c r="J153" i="2"/>
  <c r="Z153" i="2"/>
  <c r="P153" i="2"/>
  <c r="M153" i="2"/>
  <c r="R153" i="2"/>
  <c r="AD153" i="2"/>
  <c r="K153" i="2"/>
  <c r="N153" i="2"/>
  <c r="Y153" i="2"/>
  <c r="T153" i="2"/>
  <c r="AC153" i="2"/>
  <c r="AF153" i="2"/>
  <c r="AE153" i="2"/>
  <c r="W153" i="2"/>
  <c r="O153" i="2"/>
  <c r="AA153" i="2"/>
  <c r="X153" i="2"/>
  <c r="V153" i="2"/>
  <c r="Q153" i="2"/>
  <c r="H153" i="2"/>
  <c r="X106" i="2"/>
  <c r="AC106" i="2"/>
  <c r="O106" i="2"/>
  <c r="R106" i="2"/>
  <c r="AB150" i="2"/>
  <c r="U150" i="2"/>
  <c r="O150" i="2"/>
  <c r="L106" i="2"/>
  <c r="T106" i="2"/>
  <c r="Y106" i="2"/>
  <c r="N106" i="2"/>
  <c r="V106" i="2"/>
  <c r="I106" i="2"/>
  <c r="I150" i="2"/>
  <c r="Q150" i="2"/>
  <c r="F150" i="2"/>
  <c r="X150" i="2"/>
  <c r="AE150" i="2"/>
  <c r="Y150" i="2"/>
  <c r="J112" i="2"/>
  <c r="H112" i="2"/>
  <c r="W112" i="2"/>
  <c r="Y112" i="2"/>
  <c r="K112" i="2"/>
  <c r="P112" i="2"/>
  <c r="U112" i="2"/>
  <c r="M112" i="2"/>
  <c r="Q112" i="2"/>
  <c r="G112" i="2"/>
  <c r="AC112" i="2"/>
  <c r="AA112" i="2"/>
  <c r="AD112" i="2"/>
  <c r="O93" i="2"/>
  <c r="Q93" i="2"/>
  <c r="AE93" i="2"/>
  <c r="AA93" i="2"/>
  <c r="X93" i="2"/>
  <c r="R93" i="2"/>
  <c r="S93" i="2"/>
  <c r="AD93" i="2"/>
  <c r="W93" i="2"/>
  <c r="T93" i="2"/>
  <c r="U93" i="2"/>
  <c r="N93" i="2"/>
  <c r="V93" i="2"/>
  <c r="P93" i="2"/>
  <c r="AB93" i="2"/>
  <c r="AC93" i="2"/>
  <c r="Z93" i="2"/>
  <c r="M93" i="2"/>
  <c r="G93" i="2"/>
  <c r="AF93" i="2"/>
  <c r="Y93" i="2"/>
  <c r="K93" i="2"/>
  <c r="I93" i="2"/>
  <c r="E460" i="2"/>
  <c r="AG457" i="2"/>
  <c r="AH457" i="2" s="1"/>
  <c r="H93" i="2"/>
  <c r="Q131" i="2"/>
  <c r="S131" i="2"/>
  <c r="O131" i="2"/>
  <c r="W131" i="2"/>
  <c r="AE131" i="2"/>
  <c r="AD131" i="2"/>
  <c r="Y131" i="2"/>
  <c r="AA131" i="2"/>
  <c r="G131" i="2"/>
  <c r="P131" i="2"/>
  <c r="M131" i="2"/>
  <c r="U131" i="2"/>
  <c r="X131" i="2"/>
  <c r="N131" i="2"/>
  <c r="AF131" i="2"/>
  <c r="V131" i="2"/>
  <c r="R131" i="2"/>
  <c r="T131" i="2"/>
  <c r="AB131" i="2"/>
  <c r="Z131" i="2"/>
  <c r="AC131" i="2"/>
  <c r="K131" i="2"/>
  <c r="AG226" i="2"/>
  <c r="AH226" i="2" s="1"/>
  <c r="R102" i="2"/>
  <c r="R103" i="2" s="1"/>
  <c r="F102" i="2"/>
  <c r="F103" i="2" s="1"/>
  <c r="AA102" i="2"/>
  <c r="AA103" i="2" s="1"/>
  <c r="Q102" i="2"/>
  <c r="Q103" i="2" s="1"/>
  <c r="AE102" i="2"/>
  <c r="AE103" i="2" s="1"/>
  <c r="S102" i="2"/>
  <c r="G102" i="2"/>
  <c r="G103" i="2" s="1"/>
  <c r="AC102" i="2"/>
  <c r="AC103" i="2" s="1"/>
  <c r="H102" i="2"/>
  <c r="H103" i="2" s="1"/>
  <c r="K102" i="2"/>
  <c r="Y102" i="2"/>
  <c r="Y103" i="2" s="1"/>
  <c r="O102" i="2"/>
  <c r="O103" i="2" s="1"/>
  <c r="L102" i="2"/>
  <c r="V102" i="2"/>
  <c r="AB102" i="2"/>
  <c r="AB103" i="2" s="1"/>
  <c r="M102" i="2"/>
  <c r="M103" i="2" s="1"/>
  <c r="AF102" i="2"/>
  <c r="AF103" i="2" s="1"/>
  <c r="AD102" i="2"/>
  <c r="X102" i="2"/>
  <c r="J102" i="2"/>
  <c r="J103" i="2" s="1"/>
  <c r="N102" i="2"/>
  <c r="Z102" i="2"/>
  <c r="I102" i="2"/>
  <c r="U102" i="2"/>
  <c r="U103" i="2" s="1"/>
  <c r="T102" i="2"/>
  <c r="T103" i="2" s="1"/>
  <c r="P102" i="2"/>
  <c r="W102" i="2"/>
  <c r="W103" i="2" s="1"/>
  <c r="I126" i="1"/>
  <c r="O84" i="15"/>
  <c r="R84" i="15" s="1"/>
  <c r="AH299" i="2"/>
  <c r="AG71" i="2"/>
  <c r="AH71" i="2" s="1"/>
  <c r="AG261" i="2"/>
  <c r="AH261" i="2" s="1"/>
  <c r="Z223" i="2"/>
  <c r="U223" i="2"/>
  <c r="X223" i="2"/>
  <c r="K223" i="2"/>
  <c r="AD223" i="2"/>
  <c r="AF223" i="2"/>
  <c r="P223" i="2"/>
  <c r="L223" i="2"/>
  <c r="N223" i="2"/>
  <c r="AC223" i="2"/>
  <c r="M223" i="2"/>
  <c r="S223" i="2"/>
  <c r="I223" i="2"/>
  <c r="Y223" i="2"/>
  <c r="AA223" i="2"/>
  <c r="G223" i="2"/>
  <c r="T223" i="2"/>
  <c r="R223" i="2"/>
  <c r="Q223" i="2"/>
  <c r="F223" i="2"/>
  <c r="AE223" i="2"/>
  <c r="V223" i="2"/>
  <c r="J223" i="2"/>
  <c r="H223" i="2"/>
  <c r="AB223" i="2"/>
  <c r="O223" i="2"/>
  <c r="W223" i="2"/>
  <c r="AG144" i="2"/>
  <c r="AH144" i="2" s="1"/>
  <c r="AG490" i="2"/>
  <c r="AH490" i="2" s="1"/>
  <c r="F491" i="2"/>
  <c r="I140" i="2"/>
  <c r="Z140" i="2"/>
  <c r="AA140" i="2"/>
  <c r="AD140" i="2"/>
  <c r="H140" i="2"/>
  <c r="R140" i="2"/>
  <c r="N140" i="2"/>
  <c r="V140" i="2"/>
  <c r="T140" i="2"/>
  <c r="L140" i="2"/>
  <c r="O140" i="2"/>
  <c r="K140" i="2"/>
  <c r="J140" i="2"/>
  <c r="M140" i="2"/>
  <c r="F140" i="2"/>
  <c r="G140" i="2"/>
  <c r="AC140" i="2"/>
  <c r="W140" i="2"/>
  <c r="AE140" i="2"/>
  <c r="AF140" i="2"/>
  <c r="P140" i="2"/>
  <c r="U140" i="2"/>
  <c r="S140" i="2"/>
  <c r="S141" i="2" s="1"/>
  <c r="Y140" i="2"/>
  <c r="X140" i="2"/>
  <c r="Q140" i="2"/>
  <c r="AB140" i="2"/>
  <c r="W287" i="1"/>
  <c r="W129" i="1"/>
  <c r="W133" i="1" s="1"/>
  <c r="W144" i="1" s="1"/>
  <c r="E109" i="2" s="1"/>
  <c r="W330" i="1"/>
  <c r="E147" i="2"/>
  <c r="AG216" i="2"/>
  <c r="AH216" i="2" s="1"/>
  <c r="F217" i="2"/>
  <c r="AG217" i="2" s="1"/>
  <c r="AH217" i="2" s="1"/>
  <c r="P130" i="1" l="1"/>
  <c r="AB82" i="1"/>
  <c r="AC82" i="1" s="1"/>
  <c r="E20" i="2"/>
  <c r="K20" i="2" s="1"/>
  <c r="P131" i="1"/>
  <c r="AB131" i="1" s="1"/>
  <c r="AC131" i="1" s="1"/>
  <c r="P456" i="1"/>
  <c r="P448" i="1"/>
  <c r="P450" i="1"/>
  <c r="P271" i="1"/>
  <c r="AB233" i="1"/>
  <c r="AC233" i="1" s="1"/>
  <c r="P142" i="1"/>
  <c r="AB142" i="1" s="1"/>
  <c r="AC142" i="1" s="1"/>
  <c r="P277" i="1"/>
  <c r="T173" i="2"/>
  <c r="P454" i="1"/>
  <c r="P276" i="1"/>
  <c r="AB88" i="1"/>
  <c r="AC88" i="1" s="1"/>
  <c r="P455" i="1"/>
  <c r="P269" i="1"/>
  <c r="P93" i="1"/>
  <c r="P101" i="1"/>
  <c r="P104" i="1" s="1"/>
  <c r="P124" i="1" s="1"/>
  <c r="P126" i="1" s="1"/>
  <c r="AC173" i="2"/>
  <c r="AF173" i="2"/>
  <c r="G173" i="2"/>
  <c r="AE173" i="2"/>
  <c r="M173" i="2"/>
  <c r="S173" i="2"/>
  <c r="F173" i="2"/>
  <c r="V173" i="2"/>
  <c r="Z173" i="2"/>
  <c r="O173" i="2"/>
  <c r="K173" i="2"/>
  <c r="U173" i="2"/>
  <c r="W173" i="2"/>
  <c r="H173" i="2"/>
  <c r="AD173" i="2"/>
  <c r="L173" i="2"/>
  <c r="I173" i="2"/>
  <c r="P173" i="2"/>
  <c r="N173" i="2"/>
  <c r="Q173" i="2"/>
  <c r="J173" i="2"/>
  <c r="R173" i="2"/>
  <c r="AA173" i="2"/>
  <c r="AB173" i="2"/>
  <c r="Y173" i="2"/>
  <c r="AB308" i="1"/>
  <c r="AC308" i="1" s="1"/>
  <c r="AB130" i="1"/>
  <c r="AC130" i="1" s="1"/>
  <c r="F435" i="2"/>
  <c r="AD19" i="2"/>
  <c r="Y19" i="2"/>
  <c r="AA19" i="2"/>
  <c r="Q19" i="2"/>
  <c r="AC19" i="2"/>
  <c r="Z19" i="2"/>
  <c r="O99" i="1"/>
  <c r="AB99" i="1" s="1"/>
  <c r="AC99" i="1" s="1"/>
  <c r="AB91" i="1"/>
  <c r="AC91" i="1" s="1"/>
  <c r="P19" i="2"/>
  <c r="I19" i="2"/>
  <c r="O455" i="1"/>
  <c r="O450" i="1"/>
  <c r="O456" i="1"/>
  <c r="O277" i="1"/>
  <c r="O276" i="1"/>
  <c r="O269" i="1"/>
  <c r="O271" i="1"/>
  <c r="O275" i="1"/>
  <c r="AB275" i="1" s="1"/>
  <c r="AC275" i="1" s="1"/>
  <c r="O448" i="1"/>
  <c r="O454" i="1"/>
  <c r="AB264" i="1"/>
  <c r="AC264" i="1" s="1"/>
  <c r="G19" i="2"/>
  <c r="N19" i="2"/>
  <c r="O273" i="1"/>
  <c r="AB273" i="1" s="1"/>
  <c r="AC273" i="1" s="1"/>
  <c r="O449" i="1"/>
  <c r="AB449" i="1" s="1"/>
  <c r="AC449" i="1" s="1"/>
  <c r="O453" i="1"/>
  <c r="AB453" i="1" s="1"/>
  <c r="AC453" i="1" s="1"/>
  <c r="O274" i="1"/>
  <c r="AB274" i="1" s="1"/>
  <c r="AC274" i="1" s="1"/>
  <c r="O452" i="1"/>
  <c r="AB452" i="1" s="1"/>
  <c r="AC452" i="1" s="1"/>
  <c r="O270" i="1"/>
  <c r="AB270" i="1" s="1"/>
  <c r="AC270" i="1" s="1"/>
  <c r="AB442" i="1"/>
  <c r="AC442" i="1" s="1"/>
  <c r="H19" i="2"/>
  <c r="K19" i="2"/>
  <c r="J19" i="2"/>
  <c r="M19" i="2"/>
  <c r="AE19" i="2"/>
  <c r="W19" i="2"/>
  <c r="R19" i="2"/>
  <c r="O93" i="1"/>
  <c r="S19" i="2"/>
  <c r="E172" i="2"/>
  <c r="F172" i="2" s="1"/>
  <c r="AB312" i="1"/>
  <c r="AC312" i="1" s="1"/>
  <c r="T19" i="2"/>
  <c r="U19" i="2"/>
  <c r="F19" i="2"/>
  <c r="X19" i="2"/>
  <c r="V19" i="2"/>
  <c r="AB98" i="1"/>
  <c r="AC98" i="1" s="1"/>
  <c r="AF19" i="2"/>
  <c r="AB19" i="2"/>
  <c r="U141" i="2"/>
  <c r="G141" i="2"/>
  <c r="Q141" i="2"/>
  <c r="M141" i="2"/>
  <c r="R141" i="2"/>
  <c r="AG139" i="2"/>
  <c r="AH139" i="2" s="1"/>
  <c r="AE141" i="2"/>
  <c r="W141" i="2"/>
  <c r="F141" i="2"/>
  <c r="O141" i="2"/>
  <c r="N141" i="2"/>
  <c r="J141" i="2"/>
  <c r="H141" i="2"/>
  <c r="V141" i="2"/>
  <c r="Z141" i="2"/>
  <c r="AG491" i="2"/>
  <c r="AH491" i="2" s="1"/>
  <c r="AG497" i="2"/>
  <c r="AH497" i="2" s="1"/>
  <c r="AG150" i="2"/>
  <c r="AH150" i="2" s="1"/>
  <c r="AG106" i="2"/>
  <c r="AH106" i="2" s="1"/>
  <c r="AG112" i="2"/>
  <c r="AH112" i="2" s="1"/>
  <c r="AG153" i="2"/>
  <c r="AH153" i="2" s="1"/>
  <c r="AG115" i="2"/>
  <c r="AH115" i="2" s="1"/>
  <c r="I12" i="15"/>
  <c r="T84" i="15"/>
  <c r="K12" i="15" s="1"/>
  <c r="AD103" i="2"/>
  <c r="P141" i="2"/>
  <c r="X141" i="2"/>
  <c r="AC141" i="2"/>
  <c r="F93" i="2"/>
  <c r="F16" i="2"/>
  <c r="F55" i="2"/>
  <c r="F169" i="2"/>
  <c r="AG102" i="2"/>
  <c r="AH102" i="2" s="1"/>
  <c r="AG140" i="2"/>
  <c r="AH140" i="2" s="1"/>
  <c r="P103" i="2"/>
  <c r="K103" i="2"/>
  <c r="AG223" i="2"/>
  <c r="AH223" i="2" s="1"/>
  <c r="I141" i="2"/>
  <c r="I278" i="1"/>
  <c r="I451" i="1"/>
  <c r="I314" i="1"/>
  <c r="I272" i="1"/>
  <c r="I316" i="1"/>
  <c r="I326" i="1"/>
  <c r="I281" i="1"/>
  <c r="I322" i="1"/>
  <c r="I320" i="1"/>
  <c r="I457" i="1"/>
  <c r="E48" i="2"/>
  <c r="I318" i="1"/>
  <c r="I324" i="1"/>
  <c r="AA141" i="2"/>
  <c r="N103" i="2"/>
  <c r="K141" i="2"/>
  <c r="S109" i="2"/>
  <c r="N109" i="2"/>
  <c r="K109" i="2"/>
  <c r="T109" i="2"/>
  <c r="X109" i="2"/>
  <c r="L109" i="2"/>
  <c r="AF109" i="2"/>
  <c r="AD109" i="2"/>
  <c r="AE109" i="2"/>
  <c r="R109" i="2"/>
  <c r="AB109" i="2"/>
  <c r="O109" i="2"/>
  <c r="I109" i="2"/>
  <c r="M109" i="2"/>
  <c r="H109" i="2"/>
  <c r="AA109" i="2"/>
  <c r="U109" i="2"/>
  <c r="P109" i="2"/>
  <c r="AC109" i="2"/>
  <c r="J109" i="2"/>
  <c r="Y109" i="2"/>
  <c r="F109" i="2"/>
  <c r="G109" i="2"/>
  <c r="Z109" i="2"/>
  <c r="V109" i="2"/>
  <c r="W109" i="2"/>
  <c r="Q109" i="2"/>
  <c r="AB147" i="2"/>
  <c r="K147" i="2"/>
  <c r="U147" i="2"/>
  <c r="X147" i="2"/>
  <c r="I147" i="2"/>
  <c r="AD147" i="2"/>
  <c r="F147" i="2"/>
  <c r="N147" i="2"/>
  <c r="AF147" i="2"/>
  <c r="AC147" i="2"/>
  <c r="L147" i="2"/>
  <c r="AE147" i="2"/>
  <c r="J147" i="2"/>
  <c r="Q147" i="2"/>
  <c r="G147" i="2"/>
  <c r="W147" i="2"/>
  <c r="O147" i="2"/>
  <c r="AA147" i="2"/>
  <c r="Y147" i="2"/>
  <c r="T147" i="2"/>
  <c r="M147" i="2"/>
  <c r="V147" i="2"/>
  <c r="Z147" i="2"/>
  <c r="S147" i="2"/>
  <c r="R147" i="2"/>
  <c r="H147" i="2"/>
  <c r="P147" i="2"/>
  <c r="AD141" i="2"/>
  <c r="S103" i="2"/>
  <c r="T141" i="2"/>
  <c r="Z103" i="2"/>
  <c r="AB141" i="2"/>
  <c r="L141" i="2"/>
  <c r="V103" i="2"/>
  <c r="Y141" i="2"/>
  <c r="AF141" i="2"/>
  <c r="X103" i="2"/>
  <c r="I103" i="2"/>
  <c r="F20" i="2" l="1"/>
  <c r="F21" i="2" s="1"/>
  <c r="AE20" i="2"/>
  <c r="AE21" i="2" s="1"/>
  <c r="O20" i="2"/>
  <c r="O21" i="2" s="1"/>
  <c r="AB277" i="1"/>
  <c r="AC277" i="1" s="1"/>
  <c r="N20" i="2"/>
  <c r="N21" i="2" s="1"/>
  <c r="AA20" i="2"/>
  <c r="AA21" i="2" s="1"/>
  <c r="W20" i="2"/>
  <c r="W21" i="2" s="1"/>
  <c r="AD20" i="2"/>
  <c r="AD21" i="2" s="1"/>
  <c r="Q20" i="2"/>
  <c r="Q21" i="2" s="1"/>
  <c r="U20" i="2"/>
  <c r="U21" i="2" s="1"/>
  <c r="S20" i="2"/>
  <c r="S21" i="2" s="1"/>
  <c r="K21" i="2"/>
  <c r="AF20" i="2"/>
  <c r="AF21" i="2" s="1"/>
  <c r="H20" i="2"/>
  <c r="H21" i="2" s="1"/>
  <c r="V20" i="2"/>
  <c r="V21" i="2" s="1"/>
  <c r="E21" i="2"/>
  <c r="E40" i="2" s="1"/>
  <c r="T20" i="2"/>
  <c r="T21" i="2" s="1"/>
  <c r="I20" i="2"/>
  <c r="I21" i="2" s="1"/>
  <c r="P20" i="2"/>
  <c r="P21" i="2" s="1"/>
  <c r="AC20" i="2"/>
  <c r="AC21" i="2" s="1"/>
  <c r="X20" i="2"/>
  <c r="R20" i="2"/>
  <c r="R21" i="2" s="1"/>
  <c r="Z20" i="2"/>
  <c r="Z21" i="2" s="1"/>
  <c r="M20" i="2"/>
  <c r="M21" i="2" s="1"/>
  <c r="Y20" i="2"/>
  <c r="Y21" i="2" s="1"/>
  <c r="J20" i="2"/>
  <c r="J21" i="2" s="1"/>
  <c r="G20" i="2"/>
  <c r="G21" i="2" s="1"/>
  <c r="L20" i="2"/>
  <c r="AB20" i="2"/>
  <c r="AB21" i="2" s="1"/>
  <c r="AB456" i="1"/>
  <c r="AC456" i="1" s="1"/>
  <c r="AB454" i="1"/>
  <c r="AC454" i="1" s="1"/>
  <c r="AB276" i="1"/>
  <c r="AC276" i="1" s="1"/>
  <c r="AB450" i="1"/>
  <c r="AC450" i="1" s="1"/>
  <c r="AB271" i="1"/>
  <c r="AC271" i="1" s="1"/>
  <c r="AB455" i="1"/>
  <c r="AC455" i="1" s="1"/>
  <c r="AB93" i="1"/>
  <c r="AC93" i="1" s="1"/>
  <c r="P322" i="1"/>
  <c r="P320" i="1"/>
  <c r="P316" i="1"/>
  <c r="E249" i="2" s="1"/>
  <c r="S249" i="2" s="1"/>
  <c r="P272" i="1"/>
  <c r="P451" i="1"/>
  <c r="P324" i="1"/>
  <c r="P318" i="1"/>
  <c r="P278" i="1"/>
  <c r="P457" i="1"/>
  <c r="P281" i="1"/>
  <c r="P326" i="1"/>
  <c r="E59" i="2"/>
  <c r="Y59" i="2" s="1"/>
  <c r="P314" i="1"/>
  <c r="E211" i="2" s="1"/>
  <c r="AE211" i="2" s="1"/>
  <c r="AG173" i="2"/>
  <c r="AH173" i="2" s="1"/>
  <c r="O101" i="1"/>
  <c r="AB101" i="1" s="1"/>
  <c r="AC101" i="1" s="1"/>
  <c r="AB448" i="1"/>
  <c r="AC448" i="1" s="1"/>
  <c r="F174" i="2"/>
  <c r="AA172" i="2"/>
  <c r="AA174" i="2" s="1"/>
  <c r="E174" i="2"/>
  <c r="E193" i="2" s="1"/>
  <c r="E282" i="2" s="1"/>
  <c r="K172" i="2"/>
  <c r="K174" i="2" s="1"/>
  <c r="U172" i="2"/>
  <c r="U174" i="2" s="1"/>
  <c r="T172" i="2"/>
  <c r="T174" i="2" s="1"/>
  <c r="S172" i="2"/>
  <c r="S174" i="2" s="1"/>
  <c r="Y172" i="2"/>
  <c r="Y174" i="2" s="1"/>
  <c r="AD172" i="2"/>
  <c r="AD174" i="2" s="1"/>
  <c r="AC172" i="2"/>
  <c r="AC174" i="2" s="1"/>
  <c r="O172" i="2"/>
  <c r="O174" i="2" s="1"/>
  <c r="V172" i="2"/>
  <c r="V174" i="2" s="1"/>
  <c r="X172" i="2"/>
  <c r="X174" i="2" s="1"/>
  <c r="H172" i="2"/>
  <c r="H174" i="2" s="1"/>
  <c r="AB172" i="2"/>
  <c r="AB174" i="2" s="1"/>
  <c r="AF172" i="2"/>
  <c r="AF174" i="2" s="1"/>
  <c r="I172" i="2"/>
  <c r="I174" i="2" s="1"/>
  <c r="P172" i="2"/>
  <c r="P174" i="2" s="1"/>
  <c r="N172" i="2"/>
  <c r="N174" i="2" s="1"/>
  <c r="J172" i="2"/>
  <c r="J174" i="2" s="1"/>
  <c r="Z172" i="2"/>
  <c r="Z174" i="2" s="1"/>
  <c r="Q172" i="2"/>
  <c r="Q174" i="2" s="1"/>
  <c r="R172" i="2"/>
  <c r="R174" i="2" s="1"/>
  <c r="W172" i="2"/>
  <c r="W174" i="2" s="1"/>
  <c r="AE172" i="2"/>
  <c r="AE174" i="2" s="1"/>
  <c r="M172" i="2"/>
  <c r="M174" i="2" s="1"/>
  <c r="G172" i="2"/>
  <c r="G174" i="2" s="1"/>
  <c r="AB269" i="1"/>
  <c r="AC269" i="1" s="1"/>
  <c r="AG141" i="2"/>
  <c r="AH141" i="2" s="1"/>
  <c r="E49" i="2"/>
  <c r="E200" i="2"/>
  <c r="I328" i="1"/>
  <c r="F131" i="2"/>
  <c r="F481" i="2"/>
  <c r="F245" i="2"/>
  <c r="F207" i="2"/>
  <c r="AG147" i="2"/>
  <c r="AH147" i="2" s="1"/>
  <c r="AG109" i="2"/>
  <c r="AH109" i="2" s="1"/>
  <c r="E238" i="2"/>
  <c r="J401" i="2"/>
  <c r="I461" i="1"/>
  <c r="I283" i="1"/>
  <c r="J403" i="2"/>
  <c r="AG20" i="2" l="1"/>
  <c r="AH20" i="2" s="1"/>
  <c r="X21" i="2"/>
  <c r="AC59" i="2"/>
  <c r="N59" i="2"/>
  <c r="P59" i="2"/>
  <c r="AB59" i="2"/>
  <c r="L59" i="2"/>
  <c r="W59" i="2"/>
  <c r="X59" i="2"/>
  <c r="AD59" i="2"/>
  <c r="AA59" i="2"/>
  <c r="S59" i="2"/>
  <c r="O59" i="2"/>
  <c r="Z59" i="2"/>
  <c r="J59" i="2"/>
  <c r="AC249" i="2"/>
  <c r="K249" i="2"/>
  <c r="H59" i="2"/>
  <c r="F59" i="2"/>
  <c r="T59" i="2"/>
  <c r="V59" i="2"/>
  <c r="AF59" i="2"/>
  <c r="M59" i="2"/>
  <c r="U59" i="2"/>
  <c r="AE59" i="2"/>
  <c r="I59" i="2"/>
  <c r="G59" i="2"/>
  <c r="F211" i="2"/>
  <c r="O211" i="2"/>
  <c r="R249" i="2"/>
  <c r="I249" i="2"/>
  <c r="P461" i="1"/>
  <c r="P463" i="1" s="1"/>
  <c r="P465" i="1" s="1"/>
  <c r="E485" i="2" s="1"/>
  <c r="H485" i="2" s="1"/>
  <c r="H249" i="2"/>
  <c r="Q249" i="2"/>
  <c r="P249" i="2"/>
  <c r="Z249" i="2"/>
  <c r="M249" i="2"/>
  <c r="W249" i="2"/>
  <c r="X249" i="2"/>
  <c r="O249" i="2"/>
  <c r="V249" i="2"/>
  <c r="F249" i="2"/>
  <c r="AE249" i="2"/>
  <c r="AF211" i="2"/>
  <c r="AA211" i="2"/>
  <c r="Y211" i="2"/>
  <c r="K211" i="2"/>
  <c r="AD211" i="2"/>
  <c r="AC211" i="2"/>
  <c r="S211" i="2"/>
  <c r="Z211" i="2"/>
  <c r="J211" i="2"/>
  <c r="Q211" i="2"/>
  <c r="M211" i="2"/>
  <c r="N211" i="2"/>
  <c r="H211" i="2"/>
  <c r="V211" i="2"/>
  <c r="U211" i="2"/>
  <c r="P211" i="2"/>
  <c r="X211" i="2"/>
  <c r="R211" i="2"/>
  <c r="W211" i="2"/>
  <c r="G211" i="2"/>
  <c r="I211" i="2"/>
  <c r="AB211" i="2"/>
  <c r="T211" i="2"/>
  <c r="L211" i="2"/>
  <c r="T249" i="2"/>
  <c r="AA249" i="2"/>
  <c r="G249" i="2"/>
  <c r="P328" i="1"/>
  <c r="P283" i="1"/>
  <c r="P285" i="1" s="1"/>
  <c r="P129" i="1" s="1"/>
  <c r="P133" i="1" s="1"/>
  <c r="P144" i="1" s="1"/>
  <c r="E97" i="2" s="1"/>
  <c r="K97" i="2" s="1"/>
  <c r="K531" i="2" s="1"/>
  <c r="U249" i="2"/>
  <c r="Y249" i="2"/>
  <c r="K59" i="2"/>
  <c r="AD249" i="2"/>
  <c r="AF249" i="2"/>
  <c r="AB249" i="2"/>
  <c r="J249" i="2"/>
  <c r="L249" i="2"/>
  <c r="N249" i="2"/>
  <c r="R59" i="2"/>
  <c r="Q59" i="2"/>
  <c r="O104" i="1"/>
  <c r="AB104" i="1" s="1"/>
  <c r="AC104" i="1" s="1"/>
  <c r="J409" i="2"/>
  <c r="I285" i="1"/>
  <c r="E239" i="2"/>
  <c r="I463" i="1"/>
  <c r="E201" i="2"/>
  <c r="Y485" i="2" l="1"/>
  <c r="O485" i="2"/>
  <c r="AD97" i="2"/>
  <c r="AD531" i="2" s="1"/>
  <c r="AD560" i="2" s="1"/>
  <c r="AA485" i="2"/>
  <c r="K485" i="2"/>
  <c r="AB485" i="2"/>
  <c r="V485" i="2"/>
  <c r="S485" i="2"/>
  <c r="J485" i="2"/>
  <c r="F485" i="2"/>
  <c r="T485" i="2"/>
  <c r="AF485" i="2"/>
  <c r="X97" i="2"/>
  <c r="X531" i="2" s="1"/>
  <c r="X631" i="2" s="1"/>
  <c r="X632" i="2" s="1"/>
  <c r="I485" i="2"/>
  <c r="X485" i="2"/>
  <c r="R485" i="2"/>
  <c r="M97" i="2"/>
  <c r="M531" i="2" s="1"/>
  <c r="M560" i="2" s="1"/>
  <c r="Q485" i="2"/>
  <c r="W485" i="2"/>
  <c r="AD485" i="2"/>
  <c r="J97" i="2"/>
  <c r="J531" i="2" s="1"/>
  <c r="M485" i="2"/>
  <c r="Z485" i="2"/>
  <c r="N485" i="2"/>
  <c r="AE485" i="2"/>
  <c r="G485" i="2"/>
  <c r="U485" i="2"/>
  <c r="P485" i="2"/>
  <c r="AC485" i="2"/>
  <c r="L485" i="2"/>
  <c r="AG211" i="2"/>
  <c r="AH211" i="2" s="1"/>
  <c r="AB97" i="2"/>
  <c r="AB531" i="2" s="1"/>
  <c r="AB631" i="2" s="1"/>
  <c r="AB632" i="2" s="1"/>
  <c r="W97" i="2"/>
  <c r="W531" i="2" s="1"/>
  <c r="W560" i="2" s="1"/>
  <c r="AF97" i="2"/>
  <c r="AF531" i="2" s="1"/>
  <c r="AF631" i="2" s="1"/>
  <c r="AF632" i="2" s="1"/>
  <c r="G97" i="2"/>
  <c r="G531" i="2" s="1"/>
  <c r="G560" i="2" s="1"/>
  <c r="H97" i="2"/>
  <c r="H531" i="2" s="1"/>
  <c r="F97" i="2"/>
  <c r="F531" i="2" s="1"/>
  <c r="P330" i="1"/>
  <c r="P97" i="2"/>
  <c r="P531" i="2" s="1"/>
  <c r="P560" i="2" s="1"/>
  <c r="AE97" i="2"/>
  <c r="N97" i="2"/>
  <c r="N531" i="2" s="1"/>
  <c r="N560" i="2" s="1"/>
  <c r="E135" i="2"/>
  <c r="L97" i="2"/>
  <c r="L531" i="2" s="1"/>
  <c r="T97" i="2"/>
  <c r="T531" i="2" s="1"/>
  <c r="T631" i="2" s="1"/>
  <c r="T632" i="2" s="1"/>
  <c r="R97" i="2"/>
  <c r="R531" i="2" s="1"/>
  <c r="R560" i="2" s="1"/>
  <c r="P287" i="1"/>
  <c r="E531" i="2"/>
  <c r="I97" i="2"/>
  <c r="I531" i="2" s="1"/>
  <c r="I560" i="2" s="1"/>
  <c r="Y97" i="2"/>
  <c r="Y531" i="2" s="1"/>
  <c r="Y560" i="2" s="1"/>
  <c r="O97" i="2"/>
  <c r="O531" i="2" s="1"/>
  <c r="V97" i="2"/>
  <c r="V531" i="2" s="1"/>
  <c r="V560" i="2" s="1"/>
  <c r="AC97" i="2"/>
  <c r="AC531" i="2" s="1"/>
  <c r="AC631" i="2" s="1"/>
  <c r="AC632" i="2" s="1"/>
  <c r="Q97" i="2"/>
  <c r="Q531" i="2" s="1"/>
  <c r="Q560" i="2" s="1"/>
  <c r="AA97" i="2"/>
  <c r="AA531" i="2" s="1"/>
  <c r="AA631" i="2" s="1"/>
  <c r="AA632" i="2" s="1"/>
  <c r="U97" i="2"/>
  <c r="U531" i="2" s="1"/>
  <c r="U631" i="2" s="1"/>
  <c r="U632" i="2" s="1"/>
  <c r="Z97" i="2"/>
  <c r="Z531" i="2" s="1"/>
  <c r="Z560" i="2" s="1"/>
  <c r="S97" i="2"/>
  <c r="S531" i="2" s="1"/>
  <c r="S560" i="2" s="1"/>
  <c r="AG59" i="2"/>
  <c r="AH59" i="2" s="1"/>
  <c r="AG249" i="2"/>
  <c r="AH249" i="2" s="1"/>
  <c r="O124" i="1"/>
  <c r="O126" i="1" s="1"/>
  <c r="X560" i="2"/>
  <c r="AE459" i="2"/>
  <c r="AE460" i="2" s="1"/>
  <c r="AE461" i="2" s="1"/>
  <c r="M459" i="2"/>
  <c r="M460" i="2" s="1"/>
  <c r="M461" i="2" s="1"/>
  <c r="O459" i="2"/>
  <c r="O460" i="2" s="1"/>
  <c r="O461" i="2" s="1"/>
  <c r="Z459" i="2"/>
  <c r="Z460" i="2" s="1"/>
  <c r="Z461" i="2" s="1"/>
  <c r="AD459" i="2"/>
  <c r="AD460" i="2" s="1"/>
  <c r="AD461" i="2" s="1"/>
  <c r="V459" i="2"/>
  <c r="V460" i="2" s="1"/>
  <c r="V461" i="2" s="1"/>
  <c r="P459" i="2"/>
  <c r="P460" i="2" s="1"/>
  <c r="P461" i="2" s="1"/>
  <c r="W459" i="2"/>
  <c r="W460" i="2" s="1"/>
  <c r="W461" i="2" s="1"/>
  <c r="AC459" i="2"/>
  <c r="AC460" i="2" s="1"/>
  <c r="AC461" i="2" s="1"/>
  <c r="N459" i="2"/>
  <c r="N460" i="2" s="1"/>
  <c r="N461" i="2" s="1"/>
  <c r="R459" i="2"/>
  <c r="R460" i="2" s="1"/>
  <c r="R461" i="2" s="1"/>
  <c r="Q459" i="2"/>
  <c r="Q460" i="2" s="1"/>
  <c r="Q461" i="2" s="1"/>
  <c r="T459" i="2"/>
  <c r="T460" i="2" s="1"/>
  <c r="T461" i="2" s="1"/>
  <c r="AF459" i="2"/>
  <c r="AF460" i="2" s="1"/>
  <c r="AF461" i="2" s="1"/>
  <c r="AB459" i="2"/>
  <c r="AB460" i="2" s="1"/>
  <c r="AB461" i="2" s="1"/>
  <c r="K459" i="2"/>
  <c r="K460" i="2" s="1"/>
  <c r="K461" i="2" s="1"/>
  <c r="J459" i="2"/>
  <c r="J460" i="2" s="1"/>
  <c r="J461" i="2" s="1"/>
  <c r="F459" i="2"/>
  <c r="H459" i="2"/>
  <c r="H460" i="2" s="1"/>
  <c r="H461" i="2" s="1"/>
  <c r="Y459" i="2"/>
  <c r="Y460" i="2" s="1"/>
  <c r="Y461" i="2" s="1"/>
  <c r="U459" i="2"/>
  <c r="U460" i="2" s="1"/>
  <c r="U461" i="2" s="1"/>
  <c r="AA459" i="2"/>
  <c r="AA460" i="2" s="1"/>
  <c r="AA461" i="2" s="1"/>
  <c r="S459" i="2"/>
  <c r="S460" i="2" s="1"/>
  <c r="S461" i="2" s="1"/>
  <c r="X459" i="2"/>
  <c r="X460" i="2" s="1"/>
  <c r="X461" i="2" s="1"/>
  <c r="I459" i="2"/>
  <c r="I460" i="2" s="1"/>
  <c r="I461" i="2" s="1"/>
  <c r="G459" i="2"/>
  <c r="G460" i="2" s="1"/>
  <c r="G461" i="2" s="1"/>
  <c r="I465" i="1"/>
  <c r="I330" i="1"/>
  <c r="I129" i="1"/>
  <c r="E124" i="2"/>
  <c r="I287" i="1"/>
  <c r="J412" i="2"/>
  <c r="J416" i="2"/>
  <c r="J437" i="2" s="1"/>
  <c r="H560" i="2" l="1"/>
  <c r="H631" i="2"/>
  <c r="N135" i="2"/>
  <c r="N513" i="2" s="1"/>
  <c r="E513" i="2"/>
  <c r="J444" i="2"/>
  <c r="J447" i="2" s="1"/>
  <c r="J448" i="2" s="1"/>
  <c r="J449" i="2" s="1"/>
  <c r="J440" i="2"/>
  <c r="J441" i="2" s="1"/>
  <c r="J442" i="2" s="1"/>
  <c r="J631" i="2"/>
  <c r="J560" i="2"/>
  <c r="AD631" i="2"/>
  <c r="AD632" i="2" s="1"/>
  <c r="L135" i="2"/>
  <c r="L513" i="2" s="1"/>
  <c r="W631" i="2"/>
  <c r="W632" i="2" s="1"/>
  <c r="W135" i="2"/>
  <c r="W513" i="2" s="1"/>
  <c r="M135" i="2"/>
  <c r="M513" i="2" s="1"/>
  <c r="O135" i="2"/>
  <c r="O513" i="2" s="1"/>
  <c r="I135" i="2"/>
  <c r="I513" i="2" s="1"/>
  <c r="H135" i="2"/>
  <c r="H513" i="2" s="1"/>
  <c r="R135" i="2"/>
  <c r="R513" i="2" s="1"/>
  <c r="T135" i="2"/>
  <c r="T513" i="2" s="1"/>
  <c r="J135" i="2"/>
  <c r="J513" i="2" s="1"/>
  <c r="AF135" i="2"/>
  <c r="AF513" i="2" s="1"/>
  <c r="F135" i="2"/>
  <c r="F513" i="2" s="1"/>
  <c r="G135" i="2"/>
  <c r="G513" i="2" s="1"/>
  <c r="U135" i="2"/>
  <c r="U513" i="2" s="1"/>
  <c r="K135" i="2"/>
  <c r="K513" i="2" s="1"/>
  <c r="AC135" i="2"/>
  <c r="AC513" i="2" s="1"/>
  <c r="AG485" i="2"/>
  <c r="AH485" i="2" s="1"/>
  <c r="V631" i="2"/>
  <c r="V632" i="2" s="1"/>
  <c r="T560" i="2"/>
  <c r="AD135" i="2"/>
  <c r="AD513" i="2" s="1"/>
  <c r="AB560" i="2"/>
  <c r="Z135" i="2"/>
  <c r="Z513" i="2" s="1"/>
  <c r="Y135" i="2"/>
  <c r="Y513" i="2" s="1"/>
  <c r="AC560" i="2"/>
  <c r="Q135" i="2"/>
  <c r="Q513" i="2" s="1"/>
  <c r="Y631" i="2"/>
  <c r="Y632" i="2" s="1"/>
  <c r="S135" i="2"/>
  <c r="S513" i="2" s="1"/>
  <c r="AA135" i="2"/>
  <c r="AA513" i="2" s="1"/>
  <c r="AE135" i="2"/>
  <c r="V135" i="2"/>
  <c r="V513" i="2" s="1"/>
  <c r="P135" i="2"/>
  <c r="P513" i="2" s="1"/>
  <c r="AB135" i="2"/>
  <c r="AB513" i="2" s="1"/>
  <c r="Z631" i="2"/>
  <c r="Z632" i="2" s="1"/>
  <c r="AA560" i="2"/>
  <c r="X135" i="2"/>
  <c r="X513" i="2" s="1"/>
  <c r="AG97" i="2"/>
  <c r="AH97" i="2" s="1"/>
  <c r="U560" i="2"/>
  <c r="AB124" i="1"/>
  <c r="AC124" i="1" s="1"/>
  <c r="O272" i="1"/>
  <c r="O324" i="1"/>
  <c r="AB324" i="1" s="1"/>
  <c r="AC324" i="1" s="1"/>
  <c r="O322" i="1"/>
  <c r="AB322" i="1" s="1"/>
  <c r="AC322" i="1" s="1"/>
  <c r="O451" i="1"/>
  <c r="O326" i="1"/>
  <c r="AB326" i="1" s="1"/>
  <c r="AC326" i="1" s="1"/>
  <c r="O320" i="1"/>
  <c r="AB320" i="1" s="1"/>
  <c r="AC320" i="1" s="1"/>
  <c r="O316" i="1"/>
  <c r="O281" i="1"/>
  <c r="AB281" i="1" s="1"/>
  <c r="AC281" i="1" s="1"/>
  <c r="O457" i="1"/>
  <c r="AB457" i="1" s="1"/>
  <c r="AC457" i="1" s="1"/>
  <c r="E58" i="2"/>
  <c r="O318" i="1"/>
  <c r="AB318" i="1" s="1"/>
  <c r="AC318" i="1" s="1"/>
  <c r="O278" i="1"/>
  <c r="AB278" i="1" s="1"/>
  <c r="AC278" i="1" s="1"/>
  <c r="O314" i="1"/>
  <c r="AB126" i="1"/>
  <c r="AC126" i="1" s="1"/>
  <c r="F560" i="2"/>
  <c r="AG531" i="2"/>
  <c r="AH531" i="2" s="1"/>
  <c r="S85" i="2"/>
  <c r="S8" i="2"/>
  <c r="S237" i="2"/>
  <c r="S473" i="2"/>
  <c r="S47" i="2"/>
  <c r="S123" i="2"/>
  <c r="S199" i="2"/>
  <c r="S161" i="2"/>
  <c r="Y123" i="2"/>
  <c r="Y8" i="2"/>
  <c r="Y237" i="2"/>
  <c r="Y199" i="2"/>
  <c r="Y85" i="2"/>
  <c r="Y47" i="2"/>
  <c r="Y473" i="2"/>
  <c r="Y161" i="2"/>
  <c r="K161" i="2"/>
  <c r="K199" i="2"/>
  <c r="K123" i="2"/>
  <c r="K47" i="2"/>
  <c r="K237" i="2"/>
  <c r="K85" i="2"/>
  <c r="K8" i="2"/>
  <c r="K473" i="2"/>
  <c r="Q161" i="2"/>
  <c r="Q123" i="2"/>
  <c r="Q199" i="2"/>
  <c r="Q8" i="2"/>
  <c r="Q237" i="2"/>
  <c r="Q85" i="2"/>
  <c r="Q473" i="2"/>
  <c r="Q47" i="2"/>
  <c r="AC199" i="2"/>
  <c r="AC123" i="2"/>
  <c r="AC47" i="2"/>
  <c r="AC8" i="2"/>
  <c r="AC473" i="2"/>
  <c r="AC237" i="2"/>
  <c r="AC85" i="2"/>
  <c r="AC161" i="2"/>
  <c r="AD237" i="2"/>
  <c r="AD473" i="2"/>
  <c r="AD47" i="2"/>
  <c r="AD8" i="2"/>
  <c r="AD161" i="2"/>
  <c r="AD123" i="2"/>
  <c r="AD85" i="2"/>
  <c r="AD199" i="2"/>
  <c r="AE237" i="2"/>
  <c r="AE161" i="2"/>
  <c r="AE123" i="2"/>
  <c r="AE199" i="2"/>
  <c r="AE85" i="2"/>
  <c r="AE47" i="2"/>
  <c r="AE473" i="2"/>
  <c r="AE8" i="2"/>
  <c r="G8" i="2"/>
  <c r="G85" i="2"/>
  <c r="G237" i="2"/>
  <c r="G47" i="2"/>
  <c r="G161" i="2"/>
  <c r="G199" i="2"/>
  <c r="G473" i="2"/>
  <c r="G123" i="2"/>
  <c r="AA161" i="2"/>
  <c r="AA237" i="2"/>
  <c r="AA473" i="2"/>
  <c r="AA199" i="2"/>
  <c r="AA85" i="2"/>
  <c r="AA47" i="2"/>
  <c r="AA123" i="2"/>
  <c r="AA8" i="2"/>
  <c r="H85" i="2"/>
  <c r="H199" i="2"/>
  <c r="H161" i="2"/>
  <c r="H47" i="2"/>
  <c r="H123" i="2"/>
  <c r="H8" i="2"/>
  <c r="H473" i="2"/>
  <c r="H237" i="2"/>
  <c r="AB473" i="2"/>
  <c r="AB85" i="2"/>
  <c r="AB47" i="2"/>
  <c r="AB123" i="2"/>
  <c r="AB199" i="2"/>
  <c r="AB237" i="2"/>
  <c r="AB8" i="2"/>
  <c r="AB161" i="2"/>
  <c r="R123" i="2"/>
  <c r="R85" i="2"/>
  <c r="R473" i="2"/>
  <c r="R8" i="2"/>
  <c r="R47" i="2"/>
  <c r="R161" i="2"/>
  <c r="R237" i="2"/>
  <c r="R199" i="2"/>
  <c r="W123" i="2"/>
  <c r="W47" i="2"/>
  <c r="W8" i="2"/>
  <c r="W199" i="2"/>
  <c r="W473" i="2"/>
  <c r="W237" i="2"/>
  <c r="W161" i="2"/>
  <c r="W85" i="2"/>
  <c r="Z85" i="2"/>
  <c r="Z8" i="2"/>
  <c r="Z473" i="2"/>
  <c r="Z161" i="2"/>
  <c r="Z199" i="2"/>
  <c r="Z237" i="2"/>
  <c r="Z123" i="2"/>
  <c r="Z47" i="2"/>
  <c r="I123" i="2"/>
  <c r="I237" i="2"/>
  <c r="I85" i="2"/>
  <c r="I473" i="2"/>
  <c r="I161" i="2"/>
  <c r="I199" i="2"/>
  <c r="I47" i="2"/>
  <c r="I8" i="2"/>
  <c r="U123" i="2"/>
  <c r="U8" i="2"/>
  <c r="U199" i="2"/>
  <c r="U85" i="2"/>
  <c r="U47" i="2"/>
  <c r="U237" i="2"/>
  <c r="U473" i="2"/>
  <c r="U161" i="2"/>
  <c r="F460" i="2"/>
  <c r="AF85" i="2"/>
  <c r="AF473" i="2"/>
  <c r="AF199" i="2"/>
  <c r="AF161" i="2"/>
  <c r="AF8" i="2"/>
  <c r="AF237" i="2"/>
  <c r="AF47" i="2"/>
  <c r="AF123" i="2"/>
  <c r="N199" i="2"/>
  <c r="N237" i="2"/>
  <c r="N123" i="2"/>
  <c r="N473" i="2"/>
  <c r="N161" i="2"/>
  <c r="N47" i="2"/>
  <c r="N8" i="2"/>
  <c r="N85" i="2"/>
  <c r="P237" i="2"/>
  <c r="P85" i="2"/>
  <c r="P47" i="2"/>
  <c r="P123" i="2"/>
  <c r="P161" i="2"/>
  <c r="P8" i="2"/>
  <c r="P473" i="2"/>
  <c r="P199" i="2"/>
  <c r="O47" i="2"/>
  <c r="O85" i="2"/>
  <c r="O161" i="2"/>
  <c r="O123" i="2"/>
  <c r="O473" i="2"/>
  <c r="O237" i="2"/>
  <c r="O8" i="2"/>
  <c r="O199" i="2"/>
  <c r="J413" i="2"/>
  <c r="E474" i="2"/>
  <c r="E464" i="2"/>
  <c r="E510" i="2"/>
  <c r="E519" i="2" s="1"/>
  <c r="E125" i="2"/>
  <c r="I133" i="1"/>
  <c r="J419" i="2"/>
  <c r="X123" i="2"/>
  <c r="X473" i="2"/>
  <c r="X237" i="2"/>
  <c r="X161" i="2"/>
  <c r="X8" i="2"/>
  <c r="X199" i="2"/>
  <c r="X47" i="2"/>
  <c r="X85" i="2"/>
  <c r="J199" i="2"/>
  <c r="J123" i="2"/>
  <c r="J85" i="2"/>
  <c r="J8" i="2"/>
  <c r="J473" i="2"/>
  <c r="J237" i="2"/>
  <c r="J161" i="2"/>
  <c r="J47" i="2"/>
  <c r="T123" i="2"/>
  <c r="T199" i="2"/>
  <c r="T161" i="2"/>
  <c r="T47" i="2"/>
  <c r="T8" i="2"/>
  <c r="T237" i="2"/>
  <c r="T473" i="2"/>
  <c r="T85" i="2"/>
  <c r="V237" i="2"/>
  <c r="V161" i="2"/>
  <c r="V199" i="2"/>
  <c r="V8" i="2"/>
  <c r="V473" i="2"/>
  <c r="V85" i="2"/>
  <c r="V47" i="2"/>
  <c r="V123" i="2"/>
  <c r="M8" i="2"/>
  <c r="M237" i="2"/>
  <c r="M161" i="2"/>
  <c r="M473" i="2"/>
  <c r="M123" i="2"/>
  <c r="M199" i="2"/>
  <c r="M85" i="2"/>
  <c r="M47" i="2"/>
  <c r="V551" i="2" l="1"/>
  <c r="Z551" i="2"/>
  <c r="U551" i="2"/>
  <c r="AA551" i="2"/>
  <c r="AD551" i="2"/>
  <c r="X551" i="2"/>
  <c r="W551" i="2"/>
  <c r="Y551" i="2"/>
  <c r="T551" i="2"/>
  <c r="AB551" i="2"/>
  <c r="AC551" i="2"/>
  <c r="AG135" i="2"/>
  <c r="AH135" i="2" s="1"/>
  <c r="AG513" i="2"/>
  <c r="E210" i="2"/>
  <c r="O328" i="1"/>
  <c r="AB328" i="1" s="1"/>
  <c r="AC328" i="1" s="1"/>
  <c r="AB314" i="1"/>
  <c r="AC314" i="1" s="1"/>
  <c r="O283" i="1"/>
  <c r="AB272" i="1"/>
  <c r="AC272" i="1" s="1"/>
  <c r="O461" i="1"/>
  <c r="AB451" i="1"/>
  <c r="AC451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M58" i="2"/>
  <c r="M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P58" i="2"/>
  <c r="P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J58" i="2"/>
  <c r="J60" i="2" s="1"/>
  <c r="F58" i="2"/>
  <c r="E248" i="2"/>
  <c r="AB316" i="1"/>
  <c r="AC316" i="1" s="1"/>
  <c r="J509" i="2"/>
  <c r="J420" i="2"/>
  <c r="I144" i="1"/>
  <c r="O509" i="2"/>
  <c r="P509" i="2"/>
  <c r="N527" i="2"/>
  <c r="AF509" i="2"/>
  <c r="AB509" i="2"/>
  <c r="G509" i="2"/>
  <c r="T509" i="2"/>
  <c r="X509" i="2"/>
  <c r="N509" i="2"/>
  <c r="F461" i="2"/>
  <c r="U509" i="2"/>
  <c r="I509" i="2"/>
  <c r="Z509" i="2"/>
  <c r="AA509" i="2"/>
  <c r="AE509" i="2"/>
  <c r="K509" i="2"/>
  <c r="M509" i="2"/>
  <c r="V509" i="2"/>
  <c r="E475" i="2"/>
  <c r="O527" i="2"/>
  <c r="P527" i="2"/>
  <c r="R527" i="2"/>
  <c r="G527" i="2"/>
  <c r="AD509" i="2"/>
  <c r="AC509" i="2"/>
  <c r="Q527" i="2"/>
  <c r="Q509" i="2"/>
  <c r="K527" i="2"/>
  <c r="S509" i="2"/>
  <c r="M527" i="2"/>
  <c r="J527" i="2"/>
  <c r="E466" i="2"/>
  <c r="AG464" i="2"/>
  <c r="AH464" i="2" s="1"/>
  <c r="I527" i="2"/>
  <c r="W509" i="2"/>
  <c r="R509" i="2"/>
  <c r="H509" i="2"/>
  <c r="H527" i="2"/>
  <c r="Y509" i="2"/>
  <c r="H615" i="2" l="1"/>
  <c r="H556" i="2"/>
  <c r="J615" i="2"/>
  <c r="J556" i="2"/>
  <c r="I556" i="2"/>
  <c r="G556" i="2"/>
  <c r="E250" i="2"/>
  <c r="E269" i="2" s="1"/>
  <c r="E284" i="2" s="1"/>
  <c r="AB248" i="2"/>
  <c r="AB250" i="2" s="1"/>
  <c r="AC248" i="2"/>
  <c r="AC250" i="2" s="1"/>
  <c r="G248" i="2"/>
  <c r="G250" i="2" s="1"/>
  <c r="S248" i="2"/>
  <c r="S250" i="2" s="1"/>
  <c r="P248" i="2"/>
  <c r="P250" i="2" s="1"/>
  <c r="O248" i="2"/>
  <c r="O250" i="2" s="1"/>
  <c r="I248" i="2"/>
  <c r="I250" i="2" s="1"/>
  <c r="Y248" i="2"/>
  <c r="Y250" i="2" s="1"/>
  <c r="K248" i="2"/>
  <c r="K250" i="2" s="1"/>
  <c r="Z248" i="2"/>
  <c r="Z250" i="2" s="1"/>
  <c r="AF248" i="2"/>
  <c r="AF250" i="2" s="1"/>
  <c r="W248" i="2"/>
  <c r="W250" i="2" s="1"/>
  <c r="N248" i="2"/>
  <c r="N250" i="2" s="1"/>
  <c r="X248" i="2"/>
  <c r="X250" i="2" s="1"/>
  <c r="V248" i="2"/>
  <c r="V250" i="2" s="1"/>
  <c r="M248" i="2"/>
  <c r="M250" i="2" s="1"/>
  <c r="AE248" i="2"/>
  <c r="AE250" i="2" s="1"/>
  <c r="R248" i="2"/>
  <c r="R250" i="2" s="1"/>
  <c r="AA248" i="2"/>
  <c r="AA250" i="2" s="1"/>
  <c r="J248" i="2"/>
  <c r="J250" i="2" s="1"/>
  <c r="Q248" i="2"/>
  <c r="Q250" i="2" s="1"/>
  <c r="F248" i="2"/>
  <c r="U248" i="2"/>
  <c r="U250" i="2" s="1"/>
  <c r="H248" i="2"/>
  <c r="H250" i="2" s="1"/>
  <c r="T248" i="2"/>
  <c r="T250" i="2" s="1"/>
  <c r="AD248" i="2"/>
  <c r="AD250" i="2" s="1"/>
  <c r="F60" i="2"/>
  <c r="O463" i="1"/>
  <c r="AB461" i="1"/>
  <c r="AC461" i="1" s="1"/>
  <c r="O285" i="1"/>
  <c r="AB283" i="1"/>
  <c r="AC283" i="1" s="1"/>
  <c r="E212" i="2"/>
  <c r="E231" i="2" s="1"/>
  <c r="E283" i="2" s="1"/>
  <c r="S210" i="2"/>
  <c r="S212" i="2" s="1"/>
  <c r="M210" i="2"/>
  <c r="M212" i="2" s="1"/>
  <c r="K210" i="2"/>
  <c r="K212" i="2" s="1"/>
  <c r="V210" i="2"/>
  <c r="V212" i="2" s="1"/>
  <c r="N210" i="2"/>
  <c r="N212" i="2" s="1"/>
  <c r="W210" i="2"/>
  <c r="W212" i="2" s="1"/>
  <c r="AA210" i="2"/>
  <c r="AA212" i="2" s="1"/>
  <c r="Z210" i="2"/>
  <c r="Z212" i="2" s="1"/>
  <c r="Y210" i="2"/>
  <c r="Y212" i="2" s="1"/>
  <c r="O210" i="2"/>
  <c r="O212" i="2" s="1"/>
  <c r="H210" i="2"/>
  <c r="H212" i="2" s="1"/>
  <c r="J210" i="2"/>
  <c r="J212" i="2" s="1"/>
  <c r="AD210" i="2"/>
  <c r="AD212" i="2" s="1"/>
  <c r="Q210" i="2"/>
  <c r="Q212" i="2" s="1"/>
  <c r="U210" i="2"/>
  <c r="U212" i="2" s="1"/>
  <c r="P210" i="2"/>
  <c r="P212" i="2" s="1"/>
  <c r="R210" i="2"/>
  <c r="R212" i="2" s="1"/>
  <c r="AC210" i="2"/>
  <c r="AC212" i="2" s="1"/>
  <c r="I210" i="2"/>
  <c r="I212" i="2" s="1"/>
  <c r="X210" i="2"/>
  <c r="X212" i="2" s="1"/>
  <c r="AE210" i="2"/>
  <c r="AE212" i="2" s="1"/>
  <c r="AF210" i="2"/>
  <c r="AF212" i="2" s="1"/>
  <c r="F210" i="2"/>
  <c r="T210" i="2"/>
  <c r="T212" i="2" s="1"/>
  <c r="G210" i="2"/>
  <c r="G212" i="2" s="1"/>
  <c r="AB210" i="2"/>
  <c r="AB212" i="2" s="1"/>
  <c r="M556" i="2"/>
  <c r="N556" i="2"/>
  <c r="F473" i="2"/>
  <c r="F8" i="2"/>
  <c r="F161" i="2"/>
  <c r="F199" i="2"/>
  <c r="F123" i="2"/>
  <c r="F237" i="2"/>
  <c r="F85" i="2"/>
  <c r="F47" i="2"/>
  <c r="X547" i="2"/>
  <c r="X590" i="2" s="1"/>
  <c r="X614" i="2" s="1"/>
  <c r="T547" i="2"/>
  <c r="T590" i="2" s="1"/>
  <c r="T614" i="2" s="1"/>
  <c r="AC547" i="2"/>
  <c r="AC590" i="2" s="1"/>
  <c r="AC614" i="2" s="1"/>
  <c r="R556" i="2"/>
  <c r="W547" i="2"/>
  <c r="W590" i="2" s="1"/>
  <c r="W614" i="2" s="1"/>
  <c r="Q556" i="2"/>
  <c r="Z547" i="2"/>
  <c r="Z590" i="2" s="1"/>
  <c r="Z614" i="2" s="1"/>
  <c r="AA547" i="2"/>
  <c r="AA590" i="2" s="1"/>
  <c r="AA614" i="2" s="1"/>
  <c r="U547" i="2"/>
  <c r="U590" i="2" s="1"/>
  <c r="U614" i="2" s="1"/>
  <c r="E86" i="2"/>
  <c r="AD547" i="2"/>
  <c r="AD590" i="2" s="1"/>
  <c r="AD614" i="2" s="1"/>
  <c r="V547" i="2"/>
  <c r="V590" i="2" s="1"/>
  <c r="V614" i="2" s="1"/>
  <c r="Y547" i="2"/>
  <c r="Y590" i="2" s="1"/>
  <c r="Y614" i="2" s="1"/>
  <c r="E467" i="2"/>
  <c r="G466" i="2"/>
  <c r="G467" i="2" s="1"/>
  <c r="F466" i="2"/>
  <c r="AD466" i="2"/>
  <c r="AD467" i="2" s="1"/>
  <c r="AB466" i="2"/>
  <c r="AB467" i="2" s="1"/>
  <c r="H466" i="2"/>
  <c r="H467" i="2" s="1"/>
  <c r="U466" i="2"/>
  <c r="U467" i="2" s="1"/>
  <c r="W466" i="2"/>
  <c r="W467" i="2" s="1"/>
  <c r="L466" i="2"/>
  <c r="L467" i="2" s="1"/>
  <c r="V466" i="2"/>
  <c r="V467" i="2" s="1"/>
  <c r="M466" i="2"/>
  <c r="M467" i="2" s="1"/>
  <c r="X466" i="2"/>
  <c r="X467" i="2" s="1"/>
  <c r="O466" i="2"/>
  <c r="O467" i="2" s="1"/>
  <c r="AA466" i="2"/>
  <c r="AA467" i="2" s="1"/>
  <c r="AC466" i="2"/>
  <c r="AC467" i="2" s="1"/>
  <c r="J466" i="2"/>
  <c r="J467" i="2" s="1"/>
  <c r="S466" i="2"/>
  <c r="S467" i="2" s="1"/>
  <c r="AE466" i="2"/>
  <c r="AE467" i="2" s="1"/>
  <c r="T466" i="2"/>
  <c r="T467" i="2" s="1"/>
  <c r="Q466" i="2"/>
  <c r="Q467" i="2" s="1"/>
  <c r="AF466" i="2"/>
  <c r="AF467" i="2" s="1"/>
  <c r="Z466" i="2"/>
  <c r="Z467" i="2" s="1"/>
  <c r="Y466" i="2"/>
  <c r="Y467" i="2" s="1"/>
  <c r="R466" i="2"/>
  <c r="R467" i="2" s="1"/>
  <c r="I466" i="2"/>
  <c r="I467" i="2" s="1"/>
  <c r="P466" i="2"/>
  <c r="P467" i="2" s="1"/>
  <c r="N466" i="2"/>
  <c r="N467" i="2" s="1"/>
  <c r="K466" i="2"/>
  <c r="K467" i="2" s="1"/>
  <c r="P556" i="2"/>
  <c r="AB547" i="2"/>
  <c r="AB590" i="2" s="1"/>
  <c r="AB614" i="2" s="1"/>
  <c r="F250" i="2" l="1"/>
  <c r="F212" i="2"/>
  <c r="O465" i="1"/>
  <c r="AB463" i="1"/>
  <c r="AC463" i="1" s="1"/>
  <c r="O129" i="1"/>
  <c r="E134" i="2"/>
  <c r="O330" i="1"/>
  <c r="AB330" i="1" s="1"/>
  <c r="AC330" i="1" s="1"/>
  <c r="O287" i="1"/>
  <c r="AB287" i="1" s="1"/>
  <c r="AC287" i="1" s="1"/>
  <c r="AB285" i="1"/>
  <c r="AC285" i="1" s="1"/>
  <c r="F527" i="2"/>
  <c r="AA468" i="2"/>
  <c r="AC468" i="2"/>
  <c r="J468" i="2"/>
  <c r="S468" i="2"/>
  <c r="AE468" i="2"/>
  <c r="T468" i="2"/>
  <c r="P468" i="2"/>
  <c r="Q468" i="2"/>
  <c r="AF468" i="2"/>
  <c r="Z468" i="2"/>
  <c r="Y468" i="2"/>
  <c r="R468" i="2"/>
  <c r="G468" i="2"/>
  <c r="I468" i="2"/>
  <c r="K468" i="2"/>
  <c r="AD468" i="2"/>
  <c r="AB468" i="2"/>
  <c r="N468" i="2"/>
  <c r="H468" i="2"/>
  <c r="U468" i="2"/>
  <c r="W468" i="2"/>
  <c r="L468" i="2"/>
  <c r="V468" i="2"/>
  <c r="M468" i="2"/>
  <c r="X468" i="2"/>
  <c r="O468" i="2"/>
  <c r="E528" i="2"/>
  <c r="E87" i="2"/>
  <c r="F509" i="2"/>
  <c r="F467" i="2"/>
  <c r="AG467" i="2" s="1"/>
  <c r="AH467" i="2" s="1"/>
  <c r="AG466" i="2"/>
  <c r="AH466" i="2" s="1"/>
  <c r="E136" i="2" l="1"/>
  <c r="E155" i="2" s="1"/>
  <c r="E281" i="2" s="1"/>
  <c r="E286" i="2" s="1"/>
  <c r="E323" i="2" s="1"/>
  <c r="T134" i="2"/>
  <c r="K134" i="2"/>
  <c r="U134" i="2"/>
  <c r="Q134" i="2"/>
  <c r="I134" i="2"/>
  <c r="S134" i="2"/>
  <c r="AC134" i="2"/>
  <c r="O134" i="2"/>
  <c r="AD134" i="2"/>
  <c r="E512" i="2"/>
  <c r="AE134" i="2"/>
  <c r="G134" i="2"/>
  <c r="H134" i="2"/>
  <c r="Z134" i="2"/>
  <c r="AA134" i="2"/>
  <c r="X134" i="2"/>
  <c r="N134" i="2"/>
  <c r="J134" i="2"/>
  <c r="J136" i="2" s="1"/>
  <c r="AF134" i="2"/>
  <c r="V134" i="2"/>
  <c r="M134" i="2"/>
  <c r="W134" i="2"/>
  <c r="Y134" i="2"/>
  <c r="F134" i="2"/>
  <c r="R134" i="2"/>
  <c r="P134" i="2"/>
  <c r="AB134" i="2"/>
  <c r="O133" i="1"/>
  <c r="AB129" i="1"/>
  <c r="AC129" i="1" s="1"/>
  <c r="E484" i="2"/>
  <c r="AB465" i="1"/>
  <c r="AC465" i="1" s="1"/>
  <c r="F468" i="2"/>
  <c r="V474" i="2"/>
  <c r="V475" i="2" s="1"/>
  <c r="V162" i="2"/>
  <c r="V163" i="2" s="1"/>
  <c r="V193" i="2" s="1"/>
  <c r="V48" i="2"/>
  <c r="V49" i="2" s="1"/>
  <c r="V79" i="2" s="1"/>
  <c r="V86" i="2"/>
  <c r="V87" i="2" s="1"/>
  <c r="V9" i="2"/>
  <c r="V10" i="2" s="1"/>
  <c r="V40" i="2" s="1"/>
  <c r="V238" i="2"/>
  <c r="V239" i="2" s="1"/>
  <c r="V269" i="2" s="1"/>
  <c r="V284" i="2" s="1"/>
  <c r="V124" i="2"/>
  <c r="V200" i="2"/>
  <c r="V201" i="2" s="1"/>
  <c r="V231" i="2" s="1"/>
  <c r="V283" i="2" s="1"/>
  <c r="H124" i="2"/>
  <c r="H474" i="2"/>
  <c r="H475" i="2" s="1"/>
  <c r="H9" i="2"/>
  <c r="H10" i="2" s="1"/>
  <c r="H40" i="2" s="1"/>
  <c r="H238" i="2"/>
  <c r="H239" i="2" s="1"/>
  <c r="H269" i="2" s="1"/>
  <c r="H284" i="2" s="1"/>
  <c r="H162" i="2"/>
  <c r="H163" i="2" s="1"/>
  <c r="H193" i="2" s="1"/>
  <c r="H86" i="2"/>
  <c r="H48" i="2"/>
  <c r="H49" i="2" s="1"/>
  <c r="H79" i="2" s="1"/>
  <c r="H200" i="2"/>
  <c r="H201" i="2" s="1"/>
  <c r="H231" i="2" s="1"/>
  <c r="H283" i="2" s="1"/>
  <c r="K238" i="2"/>
  <c r="K239" i="2" s="1"/>
  <c r="K269" i="2" s="1"/>
  <c r="K284" i="2" s="1"/>
  <c r="K200" i="2"/>
  <c r="K201" i="2" s="1"/>
  <c r="K231" i="2" s="1"/>
  <c r="K283" i="2" s="1"/>
  <c r="K124" i="2"/>
  <c r="K48" i="2"/>
  <c r="K49" i="2" s="1"/>
  <c r="K79" i="2" s="1"/>
  <c r="K162" i="2"/>
  <c r="K163" i="2" s="1"/>
  <c r="K193" i="2" s="1"/>
  <c r="K9" i="2"/>
  <c r="K10" i="2" s="1"/>
  <c r="K40" i="2" s="1"/>
  <c r="K86" i="2"/>
  <c r="K474" i="2"/>
  <c r="K475" i="2" s="1"/>
  <c r="Y48" i="2"/>
  <c r="Y49" i="2" s="1"/>
  <c r="Y79" i="2" s="1"/>
  <c r="Y200" i="2"/>
  <c r="Y201" i="2" s="1"/>
  <c r="Y231" i="2" s="1"/>
  <c r="Y283" i="2" s="1"/>
  <c r="Y162" i="2"/>
  <c r="Y163" i="2" s="1"/>
  <c r="Y193" i="2" s="1"/>
  <c r="Y9" i="2"/>
  <c r="Y10" i="2" s="1"/>
  <c r="Y40" i="2" s="1"/>
  <c r="Y86" i="2"/>
  <c r="Y87" i="2" s="1"/>
  <c r="Y124" i="2"/>
  <c r="Y238" i="2"/>
  <c r="Y239" i="2" s="1"/>
  <c r="Y269" i="2" s="1"/>
  <c r="Y284" i="2" s="1"/>
  <c r="Y474" i="2"/>
  <c r="Y475" i="2" s="1"/>
  <c r="P162" i="2"/>
  <c r="P163" i="2" s="1"/>
  <c r="P193" i="2" s="1"/>
  <c r="P48" i="2"/>
  <c r="P49" i="2" s="1"/>
  <c r="P79" i="2" s="1"/>
  <c r="P474" i="2"/>
  <c r="P475" i="2" s="1"/>
  <c r="P238" i="2"/>
  <c r="P239" i="2" s="1"/>
  <c r="P269" i="2" s="1"/>
  <c r="P284" i="2" s="1"/>
  <c r="P200" i="2"/>
  <c r="P201" i="2" s="1"/>
  <c r="P231" i="2" s="1"/>
  <c r="P283" i="2" s="1"/>
  <c r="P86" i="2"/>
  <c r="P124" i="2"/>
  <c r="P9" i="2"/>
  <c r="P10" i="2" s="1"/>
  <c r="P40" i="2" s="1"/>
  <c r="J124" i="2"/>
  <c r="J162" i="2"/>
  <c r="J163" i="2" s="1"/>
  <c r="J474" i="2"/>
  <c r="J475" i="2" s="1"/>
  <c r="J238" i="2"/>
  <c r="J239" i="2" s="1"/>
  <c r="J9" i="2"/>
  <c r="J10" i="2" s="1"/>
  <c r="J48" i="2"/>
  <c r="J49" i="2" s="1"/>
  <c r="J86" i="2"/>
  <c r="J200" i="2"/>
  <c r="J201" i="2" s="1"/>
  <c r="O86" i="2"/>
  <c r="O200" i="2"/>
  <c r="O201" i="2" s="1"/>
  <c r="O231" i="2" s="1"/>
  <c r="O283" i="2" s="1"/>
  <c r="O9" i="2"/>
  <c r="O474" i="2"/>
  <c r="O475" i="2" s="1"/>
  <c r="O124" i="2"/>
  <c r="O238" i="2"/>
  <c r="O239" i="2" s="1"/>
  <c r="O269" i="2" s="1"/>
  <c r="O284" i="2" s="1"/>
  <c r="O162" i="2"/>
  <c r="O163" i="2" s="1"/>
  <c r="O193" i="2" s="1"/>
  <c r="O48" i="2"/>
  <c r="O49" i="2" s="1"/>
  <c r="O79" i="2" s="1"/>
  <c r="L9" i="2"/>
  <c r="L124" i="2"/>
  <c r="L162" i="2"/>
  <c r="L48" i="2"/>
  <c r="L238" i="2"/>
  <c r="L474" i="2"/>
  <c r="L86" i="2"/>
  <c r="L200" i="2"/>
  <c r="N162" i="2"/>
  <c r="N163" i="2" s="1"/>
  <c r="N193" i="2" s="1"/>
  <c r="N86" i="2"/>
  <c r="N238" i="2"/>
  <c r="N239" i="2" s="1"/>
  <c r="N269" i="2" s="1"/>
  <c r="N284" i="2" s="1"/>
  <c r="N124" i="2"/>
  <c r="N48" i="2"/>
  <c r="N49" i="2" s="1"/>
  <c r="N79" i="2" s="1"/>
  <c r="N474" i="2"/>
  <c r="N475" i="2" s="1"/>
  <c r="N9" i="2"/>
  <c r="N200" i="2"/>
  <c r="N201" i="2" s="1"/>
  <c r="N231" i="2" s="1"/>
  <c r="N283" i="2" s="1"/>
  <c r="I86" i="2"/>
  <c r="I9" i="2"/>
  <c r="I10" i="2" s="1"/>
  <c r="I40" i="2" s="1"/>
  <c r="I200" i="2"/>
  <c r="I201" i="2" s="1"/>
  <c r="I231" i="2" s="1"/>
  <c r="I283" i="2" s="1"/>
  <c r="I474" i="2"/>
  <c r="I475" i="2" s="1"/>
  <c r="I124" i="2"/>
  <c r="I162" i="2"/>
  <c r="I163" i="2" s="1"/>
  <c r="I193" i="2" s="1"/>
  <c r="I48" i="2"/>
  <c r="I49" i="2" s="1"/>
  <c r="I79" i="2" s="1"/>
  <c r="I238" i="2"/>
  <c r="I239" i="2" s="1"/>
  <c r="I269" i="2" s="1"/>
  <c r="I284" i="2" s="1"/>
  <c r="Z48" i="2"/>
  <c r="Z49" i="2" s="1"/>
  <c r="Z79" i="2" s="1"/>
  <c r="Z162" i="2"/>
  <c r="Z163" i="2" s="1"/>
  <c r="Z193" i="2" s="1"/>
  <c r="Z238" i="2"/>
  <c r="Z239" i="2" s="1"/>
  <c r="Z269" i="2" s="1"/>
  <c r="Z284" i="2" s="1"/>
  <c r="Z9" i="2"/>
  <c r="Z10" i="2" s="1"/>
  <c r="Z40" i="2" s="1"/>
  <c r="Z86" i="2"/>
  <c r="Z87" i="2" s="1"/>
  <c r="Z200" i="2"/>
  <c r="Z201" i="2" s="1"/>
  <c r="Z231" i="2" s="1"/>
  <c r="Z283" i="2" s="1"/>
  <c r="Z124" i="2"/>
  <c r="Z474" i="2"/>
  <c r="Z475" i="2" s="1"/>
  <c r="T162" i="2"/>
  <c r="T163" i="2" s="1"/>
  <c r="T193" i="2" s="1"/>
  <c r="T200" i="2"/>
  <c r="T201" i="2" s="1"/>
  <c r="T231" i="2" s="1"/>
  <c r="T283" i="2" s="1"/>
  <c r="T48" i="2"/>
  <c r="T49" i="2" s="1"/>
  <c r="T79" i="2" s="1"/>
  <c r="T124" i="2"/>
  <c r="T9" i="2"/>
  <c r="T10" i="2" s="1"/>
  <c r="T40" i="2" s="1"/>
  <c r="T474" i="2"/>
  <c r="T475" i="2" s="1"/>
  <c r="T86" i="2"/>
  <c r="T87" i="2" s="1"/>
  <c r="T238" i="2"/>
  <c r="T239" i="2" s="1"/>
  <c r="T269" i="2" s="1"/>
  <c r="T284" i="2" s="1"/>
  <c r="AC48" i="2"/>
  <c r="AC49" i="2" s="1"/>
  <c r="AC79" i="2" s="1"/>
  <c r="AC162" i="2"/>
  <c r="AC163" i="2" s="1"/>
  <c r="AC193" i="2" s="1"/>
  <c r="AC9" i="2"/>
  <c r="AC10" i="2" s="1"/>
  <c r="AC40" i="2" s="1"/>
  <c r="AC238" i="2"/>
  <c r="AC239" i="2" s="1"/>
  <c r="AC269" i="2" s="1"/>
  <c r="AC284" i="2" s="1"/>
  <c r="AC86" i="2"/>
  <c r="AC87" i="2" s="1"/>
  <c r="AC200" i="2"/>
  <c r="AC201" i="2" s="1"/>
  <c r="AC231" i="2" s="1"/>
  <c r="AC283" i="2" s="1"/>
  <c r="AC124" i="2"/>
  <c r="AC474" i="2"/>
  <c r="AC475" i="2" s="1"/>
  <c r="J93" i="2"/>
  <c r="J16" i="2"/>
  <c r="J169" i="2"/>
  <c r="J55" i="2"/>
  <c r="X200" i="2"/>
  <c r="X201" i="2" s="1"/>
  <c r="X231" i="2" s="1"/>
  <c r="X283" i="2" s="1"/>
  <c r="X86" i="2"/>
  <c r="X87" i="2" s="1"/>
  <c r="X238" i="2"/>
  <c r="X239" i="2" s="1"/>
  <c r="X269" i="2" s="1"/>
  <c r="X284" i="2" s="1"/>
  <c r="X48" i="2"/>
  <c r="X49" i="2" s="1"/>
  <c r="X79" i="2" s="1"/>
  <c r="X9" i="2"/>
  <c r="X10" i="2" s="1"/>
  <c r="X40" i="2" s="1"/>
  <c r="X162" i="2"/>
  <c r="X163" i="2" s="1"/>
  <c r="X193" i="2" s="1"/>
  <c r="X124" i="2"/>
  <c r="X474" i="2"/>
  <c r="X475" i="2" s="1"/>
  <c r="W162" i="2"/>
  <c r="W163" i="2" s="1"/>
  <c r="W193" i="2" s="1"/>
  <c r="W9" i="2"/>
  <c r="W10" i="2" s="1"/>
  <c r="W40" i="2" s="1"/>
  <c r="W86" i="2"/>
  <c r="W87" i="2" s="1"/>
  <c r="W474" i="2"/>
  <c r="W475" i="2" s="1"/>
  <c r="W48" i="2"/>
  <c r="W49" i="2" s="1"/>
  <c r="W79" i="2" s="1"/>
  <c r="W238" i="2"/>
  <c r="W239" i="2" s="1"/>
  <c r="W269" i="2" s="1"/>
  <c r="W284" i="2" s="1"/>
  <c r="W200" i="2"/>
  <c r="W201" i="2" s="1"/>
  <c r="W231" i="2" s="1"/>
  <c r="W283" i="2" s="1"/>
  <c r="W124" i="2"/>
  <c r="AB124" i="2"/>
  <c r="AB162" i="2"/>
  <c r="AB163" i="2" s="1"/>
  <c r="AB193" i="2" s="1"/>
  <c r="AB48" i="2"/>
  <c r="AB49" i="2" s="1"/>
  <c r="AB79" i="2" s="1"/>
  <c r="AB474" i="2"/>
  <c r="AB475" i="2" s="1"/>
  <c r="AB86" i="2"/>
  <c r="AB87" i="2" s="1"/>
  <c r="AB9" i="2"/>
  <c r="AB10" i="2" s="1"/>
  <c r="AB40" i="2" s="1"/>
  <c r="AB200" i="2"/>
  <c r="AB201" i="2" s="1"/>
  <c r="AB231" i="2" s="1"/>
  <c r="AB283" i="2" s="1"/>
  <c r="AB238" i="2"/>
  <c r="AB239" i="2" s="1"/>
  <c r="AB269" i="2" s="1"/>
  <c r="AB284" i="2" s="1"/>
  <c r="G48" i="2"/>
  <c r="G49" i="2" s="1"/>
  <c r="G79" i="2" s="1"/>
  <c r="G124" i="2"/>
  <c r="G162" i="2"/>
  <c r="G163" i="2" s="1"/>
  <c r="G193" i="2" s="1"/>
  <c r="G86" i="2"/>
  <c r="G200" i="2"/>
  <c r="G201" i="2" s="1"/>
  <c r="G231" i="2" s="1"/>
  <c r="G283" i="2" s="1"/>
  <c r="G238" i="2"/>
  <c r="G239" i="2" s="1"/>
  <c r="G269" i="2" s="1"/>
  <c r="G284" i="2" s="1"/>
  <c r="G474" i="2"/>
  <c r="G475" i="2" s="1"/>
  <c r="G9" i="2"/>
  <c r="G10" i="2" s="1"/>
  <c r="G40" i="2" s="1"/>
  <c r="AF124" i="2"/>
  <c r="AF9" i="2"/>
  <c r="AF10" i="2" s="1"/>
  <c r="AF40" i="2" s="1"/>
  <c r="AF238" i="2"/>
  <c r="AF239" i="2" s="1"/>
  <c r="AF269" i="2" s="1"/>
  <c r="AF284" i="2" s="1"/>
  <c r="AF200" i="2"/>
  <c r="AF201" i="2" s="1"/>
  <c r="AF231" i="2" s="1"/>
  <c r="AF283" i="2" s="1"/>
  <c r="AF474" i="2"/>
  <c r="AF475" i="2" s="1"/>
  <c r="AF86" i="2"/>
  <c r="AF87" i="2" s="1"/>
  <c r="AF48" i="2"/>
  <c r="AF49" i="2" s="1"/>
  <c r="AF79" i="2" s="1"/>
  <c r="AF162" i="2"/>
  <c r="AF163" i="2" s="1"/>
  <c r="AF193" i="2" s="1"/>
  <c r="AE124" i="2"/>
  <c r="AE474" i="2"/>
  <c r="AE475" i="2" s="1"/>
  <c r="AE162" i="2"/>
  <c r="AE163" i="2" s="1"/>
  <c r="AE193" i="2" s="1"/>
  <c r="AE9" i="2"/>
  <c r="AE10" i="2" s="1"/>
  <c r="AE40" i="2" s="1"/>
  <c r="AE200" i="2"/>
  <c r="AE201" i="2" s="1"/>
  <c r="AE231" i="2" s="1"/>
  <c r="AE283" i="2" s="1"/>
  <c r="AE86" i="2"/>
  <c r="AE87" i="2" s="1"/>
  <c r="AE238" i="2"/>
  <c r="AE239" i="2" s="1"/>
  <c r="AE269" i="2" s="1"/>
  <c r="AE284" i="2" s="1"/>
  <c r="AE48" i="2"/>
  <c r="AE49" i="2" s="1"/>
  <c r="AE79" i="2" s="1"/>
  <c r="AA200" i="2"/>
  <c r="AA201" i="2" s="1"/>
  <c r="AA231" i="2" s="1"/>
  <c r="AA283" i="2" s="1"/>
  <c r="AA86" i="2"/>
  <c r="AA87" i="2" s="1"/>
  <c r="AA474" i="2"/>
  <c r="AA475" i="2" s="1"/>
  <c r="AA9" i="2"/>
  <c r="AA10" i="2" s="1"/>
  <c r="AA40" i="2" s="1"/>
  <c r="AA238" i="2"/>
  <c r="AA239" i="2" s="1"/>
  <c r="AA269" i="2" s="1"/>
  <c r="AA284" i="2" s="1"/>
  <c r="AA48" i="2"/>
  <c r="AA49" i="2" s="1"/>
  <c r="AA79" i="2" s="1"/>
  <c r="AA162" i="2"/>
  <c r="AA163" i="2" s="1"/>
  <c r="AA193" i="2" s="1"/>
  <c r="AA124" i="2"/>
  <c r="F556" i="2"/>
  <c r="M48" i="2"/>
  <c r="M49" i="2" s="1"/>
  <c r="M79" i="2" s="1"/>
  <c r="M474" i="2"/>
  <c r="M475" i="2" s="1"/>
  <c r="M238" i="2"/>
  <c r="M239" i="2" s="1"/>
  <c r="M269" i="2" s="1"/>
  <c r="M284" i="2" s="1"/>
  <c r="M124" i="2"/>
  <c r="M162" i="2"/>
  <c r="M163" i="2" s="1"/>
  <c r="M193" i="2" s="1"/>
  <c r="M86" i="2"/>
  <c r="M9" i="2"/>
  <c r="M200" i="2"/>
  <c r="M201" i="2" s="1"/>
  <c r="M231" i="2" s="1"/>
  <c r="M283" i="2" s="1"/>
  <c r="U9" i="2"/>
  <c r="U10" i="2" s="1"/>
  <c r="U40" i="2" s="1"/>
  <c r="U200" i="2"/>
  <c r="U201" i="2" s="1"/>
  <c r="U231" i="2" s="1"/>
  <c r="U283" i="2" s="1"/>
  <c r="U238" i="2"/>
  <c r="U239" i="2" s="1"/>
  <c r="U269" i="2" s="1"/>
  <c r="U284" i="2" s="1"/>
  <c r="U124" i="2"/>
  <c r="U474" i="2"/>
  <c r="U475" i="2" s="1"/>
  <c r="U48" i="2"/>
  <c r="U49" i="2" s="1"/>
  <c r="U79" i="2" s="1"/>
  <c r="U86" i="2"/>
  <c r="U87" i="2" s="1"/>
  <c r="U162" i="2"/>
  <c r="U163" i="2" s="1"/>
  <c r="U193" i="2" s="1"/>
  <c r="AD124" i="2"/>
  <c r="AD238" i="2"/>
  <c r="AD239" i="2" s="1"/>
  <c r="AD269" i="2" s="1"/>
  <c r="AD284" i="2" s="1"/>
  <c r="AD474" i="2"/>
  <c r="AD475" i="2" s="1"/>
  <c r="AD9" i="2"/>
  <c r="AD10" i="2" s="1"/>
  <c r="AD40" i="2" s="1"/>
  <c r="AD162" i="2"/>
  <c r="AD163" i="2" s="1"/>
  <c r="AD193" i="2" s="1"/>
  <c r="AD48" i="2"/>
  <c r="AD49" i="2" s="1"/>
  <c r="AD79" i="2" s="1"/>
  <c r="AD200" i="2"/>
  <c r="AD201" i="2" s="1"/>
  <c r="AD231" i="2" s="1"/>
  <c r="AD283" i="2" s="1"/>
  <c r="AD86" i="2"/>
  <c r="AD87" i="2" s="1"/>
  <c r="R124" i="2"/>
  <c r="R48" i="2"/>
  <c r="R49" i="2" s="1"/>
  <c r="R79" i="2" s="1"/>
  <c r="R238" i="2"/>
  <c r="R239" i="2" s="1"/>
  <c r="R269" i="2" s="1"/>
  <c r="R284" i="2" s="1"/>
  <c r="R200" i="2"/>
  <c r="R201" i="2" s="1"/>
  <c r="R231" i="2" s="1"/>
  <c r="R283" i="2" s="1"/>
  <c r="R474" i="2"/>
  <c r="R475" i="2" s="1"/>
  <c r="R86" i="2"/>
  <c r="R162" i="2"/>
  <c r="R163" i="2" s="1"/>
  <c r="R193" i="2" s="1"/>
  <c r="R9" i="2"/>
  <c r="R10" i="2" s="1"/>
  <c r="R40" i="2" s="1"/>
  <c r="Q48" i="2"/>
  <c r="Q49" i="2" s="1"/>
  <c r="Q79" i="2" s="1"/>
  <c r="Q474" i="2"/>
  <c r="Q475" i="2" s="1"/>
  <c r="Q200" i="2"/>
  <c r="Q201" i="2" s="1"/>
  <c r="Q231" i="2" s="1"/>
  <c r="Q283" i="2" s="1"/>
  <c r="Q86" i="2"/>
  <c r="Q9" i="2"/>
  <c r="Q10" i="2" s="1"/>
  <c r="Q40" i="2" s="1"/>
  <c r="Q238" i="2"/>
  <c r="Q239" i="2" s="1"/>
  <c r="Q269" i="2" s="1"/>
  <c r="Q284" i="2" s="1"/>
  <c r="Q124" i="2"/>
  <c r="Q162" i="2"/>
  <c r="Q163" i="2" s="1"/>
  <c r="Q193" i="2" s="1"/>
  <c r="S48" i="2"/>
  <c r="S49" i="2" s="1"/>
  <c r="S79" i="2" s="1"/>
  <c r="S474" i="2"/>
  <c r="S475" i="2" s="1"/>
  <c r="S124" i="2"/>
  <c r="S200" i="2"/>
  <c r="S201" i="2" s="1"/>
  <c r="S231" i="2" s="1"/>
  <c r="S283" i="2" s="1"/>
  <c r="S238" i="2"/>
  <c r="S239" i="2" s="1"/>
  <c r="S269" i="2" s="1"/>
  <c r="S284" i="2" s="1"/>
  <c r="S86" i="2"/>
  <c r="S87" i="2" s="1"/>
  <c r="S162" i="2"/>
  <c r="S163" i="2" s="1"/>
  <c r="S193" i="2" s="1"/>
  <c r="S9" i="2"/>
  <c r="S10" i="2" s="1"/>
  <c r="S40" i="2" s="1"/>
  <c r="N40" i="2" l="1"/>
  <c r="M40" i="2"/>
  <c r="O40" i="2"/>
  <c r="E288" i="2"/>
  <c r="W136" i="2"/>
  <c r="W512" i="2"/>
  <c r="S136" i="2"/>
  <c r="S512" i="2"/>
  <c r="R512" i="2"/>
  <c r="R136" i="2"/>
  <c r="M512" i="2"/>
  <c r="M136" i="2"/>
  <c r="N136" i="2"/>
  <c r="N512" i="2"/>
  <c r="H136" i="2"/>
  <c r="H512" i="2"/>
  <c r="AD136" i="2"/>
  <c r="AD512" i="2"/>
  <c r="I136" i="2"/>
  <c r="I512" i="2"/>
  <c r="K136" i="2"/>
  <c r="K512" i="2"/>
  <c r="U136" i="2"/>
  <c r="U512" i="2"/>
  <c r="O144" i="1"/>
  <c r="AB133" i="1"/>
  <c r="AC133" i="1" s="1"/>
  <c r="F136" i="2"/>
  <c r="F512" i="2"/>
  <c r="V136" i="2"/>
  <c r="V512" i="2"/>
  <c r="X136" i="2"/>
  <c r="X512" i="2"/>
  <c r="G512" i="2"/>
  <c r="G136" i="2"/>
  <c r="O136" i="2"/>
  <c r="O512" i="2"/>
  <c r="Q136" i="2"/>
  <c r="Q512" i="2"/>
  <c r="T136" i="2"/>
  <c r="T512" i="2"/>
  <c r="W484" i="2"/>
  <c r="W486" i="2" s="1"/>
  <c r="W505" i="2" s="1"/>
  <c r="K484" i="2"/>
  <c r="K486" i="2" s="1"/>
  <c r="K505" i="2" s="1"/>
  <c r="AC484" i="2"/>
  <c r="AC486" i="2" s="1"/>
  <c r="AC505" i="2" s="1"/>
  <c r="V484" i="2"/>
  <c r="V486" i="2" s="1"/>
  <c r="V505" i="2" s="1"/>
  <c r="P484" i="2"/>
  <c r="P486" i="2" s="1"/>
  <c r="P505" i="2" s="1"/>
  <c r="E486" i="2"/>
  <c r="E505" i="2" s="1"/>
  <c r="S484" i="2"/>
  <c r="S486" i="2" s="1"/>
  <c r="S505" i="2" s="1"/>
  <c r="X484" i="2"/>
  <c r="X486" i="2" s="1"/>
  <c r="X505" i="2" s="1"/>
  <c r="J484" i="2"/>
  <c r="J486" i="2" s="1"/>
  <c r="U484" i="2"/>
  <c r="U486" i="2" s="1"/>
  <c r="U505" i="2" s="1"/>
  <c r="N484" i="2"/>
  <c r="N486" i="2" s="1"/>
  <c r="N505" i="2" s="1"/>
  <c r="Z484" i="2"/>
  <c r="Z486" i="2" s="1"/>
  <c r="Z505" i="2" s="1"/>
  <c r="AD484" i="2"/>
  <c r="AD486" i="2" s="1"/>
  <c r="AD505" i="2" s="1"/>
  <c r="R484" i="2"/>
  <c r="R486" i="2" s="1"/>
  <c r="R505" i="2" s="1"/>
  <c r="G484" i="2"/>
  <c r="G486" i="2" s="1"/>
  <c r="G505" i="2" s="1"/>
  <c r="Y484" i="2"/>
  <c r="Y486" i="2" s="1"/>
  <c r="Y505" i="2" s="1"/>
  <c r="I484" i="2"/>
  <c r="I486" i="2" s="1"/>
  <c r="I505" i="2" s="1"/>
  <c r="AA484" i="2"/>
  <c r="AA486" i="2" s="1"/>
  <c r="AA505" i="2" s="1"/>
  <c r="AE484" i="2"/>
  <c r="AE486" i="2" s="1"/>
  <c r="AE505" i="2" s="1"/>
  <c r="M484" i="2"/>
  <c r="M486" i="2" s="1"/>
  <c r="M505" i="2" s="1"/>
  <c r="Q484" i="2"/>
  <c r="Q486" i="2" s="1"/>
  <c r="Q505" i="2" s="1"/>
  <c r="F484" i="2"/>
  <c r="H484" i="2"/>
  <c r="H486" i="2" s="1"/>
  <c r="H505" i="2" s="1"/>
  <c r="O484" i="2"/>
  <c r="O486" i="2" s="1"/>
  <c r="O505" i="2" s="1"/>
  <c r="AF484" i="2"/>
  <c r="AF486" i="2" s="1"/>
  <c r="AF505" i="2" s="1"/>
  <c r="T484" i="2"/>
  <c r="T486" i="2" s="1"/>
  <c r="T505" i="2" s="1"/>
  <c r="AB484" i="2"/>
  <c r="AB486" i="2" s="1"/>
  <c r="AB505" i="2" s="1"/>
  <c r="P136" i="2"/>
  <c r="P512" i="2"/>
  <c r="Z136" i="2"/>
  <c r="Z512" i="2"/>
  <c r="AB512" i="2"/>
  <c r="AB136" i="2"/>
  <c r="Y512" i="2"/>
  <c r="Y136" i="2"/>
  <c r="AF512" i="2"/>
  <c r="AF136" i="2"/>
  <c r="AA136" i="2"/>
  <c r="AA512" i="2"/>
  <c r="AE136" i="2"/>
  <c r="AE512" i="2"/>
  <c r="AC136" i="2"/>
  <c r="AC512" i="2"/>
  <c r="S282" i="2"/>
  <c r="S510" i="2"/>
  <c r="S125" i="2"/>
  <c r="Q510" i="2"/>
  <c r="Q125" i="2"/>
  <c r="R282" i="2"/>
  <c r="AE510" i="2"/>
  <c r="AE125" i="2"/>
  <c r="AF510" i="2"/>
  <c r="AF125" i="2"/>
  <c r="AB510" i="2"/>
  <c r="AB125" i="2"/>
  <c r="W282" i="2"/>
  <c r="T282" i="2"/>
  <c r="I510" i="2"/>
  <c r="I519" i="2" s="1"/>
  <c r="I125" i="2"/>
  <c r="I528" i="2"/>
  <c r="I87" i="2"/>
  <c r="N282" i="2"/>
  <c r="O510" i="2"/>
  <c r="O125" i="2"/>
  <c r="O528" i="2"/>
  <c r="O87" i="2"/>
  <c r="J79" i="2"/>
  <c r="J193" i="2"/>
  <c r="P528" i="2"/>
  <c r="P87" i="2"/>
  <c r="Y510" i="2"/>
  <c r="Y125" i="2"/>
  <c r="H528" i="2"/>
  <c r="H87" i="2"/>
  <c r="V282" i="2"/>
  <c r="M528" i="2"/>
  <c r="M87" i="2"/>
  <c r="AA510" i="2"/>
  <c r="AA125" i="2"/>
  <c r="AF282" i="2"/>
  <c r="G528" i="2"/>
  <c r="G87" i="2"/>
  <c r="W510" i="2"/>
  <c r="W125" i="2"/>
  <c r="T510" i="2"/>
  <c r="T125" i="2"/>
  <c r="N510" i="2"/>
  <c r="N125" i="2"/>
  <c r="J40" i="2"/>
  <c r="J510" i="2"/>
  <c r="J519" i="2" s="1"/>
  <c r="J125" i="2"/>
  <c r="P282" i="2"/>
  <c r="K282" i="2"/>
  <c r="H282" i="2"/>
  <c r="H510" i="2"/>
  <c r="H519" i="2" s="1"/>
  <c r="H548" i="2" s="1"/>
  <c r="H568" i="2" s="1"/>
  <c r="H125" i="2"/>
  <c r="E354" i="2"/>
  <c r="R528" i="2"/>
  <c r="R87" i="2"/>
  <c r="R510" i="2"/>
  <c r="R125" i="2"/>
  <c r="AD282" i="2"/>
  <c r="AD510" i="2"/>
  <c r="AD125" i="2"/>
  <c r="M282" i="2"/>
  <c r="AA282" i="2"/>
  <c r="AE282" i="2"/>
  <c r="G282" i="2"/>
  <c r="X510" i="2"/>
  <c r="X125" i="2"/>
  <c r="AC510" i="2"/>
  <c r="AC125" i="2"/>
  <c r="Z510" i="2"/>
  <c r="Z125" i="2"/>
  <c r="L528" i="2"/>
  <c r="O282" i="2"/>
  <c r="F48" i="2"/>
  <c r="F162" i="2"/>
  <c r="AG468" i="2"/>
  <c r="AH468" i="2" s="1"/>
  <c r="F238" i="2"/>
  <c r="F86" i="2"/>
  <c r="F200" i="2"/>
  <c r="F474" i="2"/>
  <c r="F9" i="2"/>
  <c r="F124" i="2"/>
  <c r="Q282" i="2"/>
  <c r="Q528" i="2"/>
  <c r="Q87" i="2"/>
  <c r="U282" i="2"/>
  <c r="U510" i="2"/>
  <c r="U125" i="2"/>
  <c r="M510" i="2"/>
  <c r="M125" i="2"/>
  <c r="G510" i="2"/>
  <c r="G519" i="2" s="1"/>
  <c r="G125" i="2"/>
  <c r="AB282" i="2"/>
  <c r="X282" i="2"/>
  <c r="AC282" i="2"/>
  <c r="Z282" i="2"/>
  <c r="I282" i="2"/>
  <c r="N528" i="2"/>
  <c r="N87" i="2"/>
  <c r="L510" i="2"/>
  <c r="L519" i="2" s="1"/>
  <c r="J207" i="2"/>
  <c r="J245" i="2"/>
  <c r="J131" i="2"/>
  <c r="J481" i="2"/>
  <c r="J528" i="2"/>
  <c r="J87" i="2"/>
  <c r="P510" i="2"/>
  <c r="P125" i="2"/>
  <c r="Y282" i="2"/>
  <c r="K528" i="2"/>
  <c r="K87" i="2"/>
  <c r="K510" i="2"/>
  <c r="K519" i="2" s="1"/>
  <c r="K125" i="2"/>
  <c r="V510" i="2"/>
  <c r="V125" i="2"/>
  <c r="H592" i="2" l="1"/>
  <c r="H616" i="2"/>
  <c r="H617" i="2"/>
  <c r="H557" i="2"/>
  <c r="J617" i="2"/>
  <c r="J557" i="2"/>
  <c r="I506" i="2"/>
  <c r="H506" i="2"/>
  <c r="G506" i="2"/>
  <c r="G557" i="2"/>
  <c r="I557" i="2"/>
  <c r="AA155" i="2"/>
  <c r="AA281" i="2" s="1"/>
  <c r="AA286" i="2" s="1"/>
  <c r="N155" i="2"/>
  <c r="N281" i="2" s="1"/>
  <c r="N286" i="2" s="1"/>
  <c r="N323" i="2" s="1"/>
  <c r="W155" i="2"/>
  <c r="W281" i="2" s="1"/>
  <c r="W286" i="2" s="1"/>
  <c r="W288" i="2" s="1"/>
  <c r="G155" i="2"/>
  <c r="G281" i="2" s="1"/>
  <c r="G286" i="2" s="1"/>
  <c r="G288" i="2" s="1"/>
  <c r="U155" i="2"/>
  <c r="U281" i="2" s="1"/>
  <c r="U286" i="2" s="1"/>
  <c r="S155" i="2"/>
  <c r="S281" i="2" s="1"/>
  <c r="S286" i="2" s="1"/>
  <c r="S323" i="2" s="1"/>
  <c r="H155" i="2"/>
  <c r="I155" i="2"/>
  <c r="I281" i="2" s="1"/>
  <c r="I286" i="2" s="1"/>
  <c r="AC155" i="2"/>
  <c r="AC281" i="2" s="1"/>
  <c r="AC286" i="2" s="1"/>
  <c r="AD155" i="2"/>
  <c r="AD281" i="2" s="1"/>
  <c r="AD286" i="2" s="1"/>
  <c r="P155" i="2"/>
  <c r="P281" i="2" s="1"/>
  <c r="P286" i="2" s="1"/>
  <c r="P323" i="2" s="1"/>
  <c r="R155" i="2"/>
  <c r="R281" i="2" s="1"/>
  <c r="R286" i="2" s="1"/>
  <c r="R323" i="2" s="1"/>
  <c r="Z155" i="2"/>
  <c r="Z281" i="2" s="1"/>
  <c r="Z286" i="2" s="1"/>
  <c r="X155" i="2"/>
  <c r="X281" i="2" s="1"/>
  <c r="X286" i="2" s="1"/>
  <c r="T155" i="2"/>
  <c r="T281" i="2" s="1"/>
  <c r="T286" i="2" s="1"/>
  <c r="T323" i="2" s="1"/>
  <c r="Y155" i="2"/>
  <c r="Y281" i="2" s="1"/>
  <c r="Y286" i="2" s="1"/>
  <c r="AB155" i="2"/>
  <c r="AB281" i="2" s="1"/>
  <c r="AB286" i="2" s="1"/>
  <c r="O155" i="2"/>
  <c r="O281" i="2" s="1"/>
  <c r="O286" i="2" s="1"/>
  <c r="AF155" i="2"/>
  <c r="AF281" i="2" s="1"/>
  <c r="AF286" i="2" s="1"/>
  <c r="Q155" i="2"/>
  <c r="Q281" i="2" s="1"/>
  <c r="Q286" i="2" s="1"/>
  <c r="U550" i="2"/>
  <c r="AD550" i="2"/>
  <c r="W550" i="2"/>
  <c r="AC550" i="2"/>
  <c r="AA550" i="2"/>
  <c r="T550" i="2"/>
  <c r="X550" i="2"/>
  <c r="E96" i="2"/>
  <c r="AB144" i="1"/>
  <c r="AC144" i="1" s="1"/>
  <c r="AC1" i="1" s="1"/>
  <c r="AB550" i="2"/>
  <c r="V155" i="2"/>
  <c r="V281" i="2" s="1"/>
  <c r="V286" i="2" s="1"/>
  <c r="V323" i="2" s="1"/>
  <c r="Y550" i="2"/>
  <c r="Z550" i="2"/>
  <c r="AE155" i="2"/>
  <c r="AE281" i="2" s="1"/>
  <c r="AE286" i="2" s="1"/>
  <c r="F486" i="2"/>
  <c r="V550" i="2"/>
  <c r="M557" i="2"/>
  <c r="N557" i="2"/>
  <c r="K155" i="2"/>
  <c r="K281" i="2" s="1"/>
  <c r="K286" i="2" s="1"/>
  <c r="K323" i="2" s="1"/>
  <c r="M155" i="2"/>
  <c r="M281" i="2" s="1"/>
  <c r="M286" i="2" s="1"/>
  <c r="M288" i="2" s="1"/>
  <c r="U548" i="2"/>
  <c r="U591" i="2" s="1"/>
  <c r="U615" i="2" s="1"/>
  <c r="U514" i="2"/>
  <c r="AG200" i="2"/>
  <c r="AH200" i="2" s="1"/>
  <c r="F201" i="2"/>
  <c r="AG162" i="2"/>
  <c r="AH162" i="2" s="1"/>
  <c r="F163" i="2"/>
  <c r="X548" i="2"/>
  <c r="X591" i="2" s="1"/>
  <c r="X615" i="2" s="1"/>
  <c r="X514" i="2"/>
  <c r="AD548" i="2"/>
  <c r="AD591" i="2" s="1"/>
  <c r="AD615" i="2" s="1"/>
  <c r="AD514" i="2"/>
  <c r="E356" i="2"/>
  <c r="W548" i="2"/>
  <c r="W591" i="2" s="1"/>
  <c r="W615" i="2" s="1"/>
  <c r="W514" i="2"/>
  <c r="AA548" i="2"/>
  <c r="AA591" i="2" s="1"/>
  <c r="AA615" i="2" s="1"/>
  <c r="AA514" i="2"/>
  <c r="F510" i="2"/>
  <c r="F519" i="2" s="1"/>
  <c r="AG124" i="2"/>
  <c r="AH124" i="2" s="1"/>
  <c r="F125" i="2"/>
  <c r="AG86" i="2"/>
  <c r="AH86" i="2" s="1"/>
  <c r="F528" i="2"/>
  <c r="F87" i="2"/>
  <c r="AG48" i="2"/>
  <c r="AH48" i="2" s="1"/>
  <c r="F49" i="2"/>
  <c r="J269" i="2"/>
  <c r="J284" i="2" s="1"/>
  <c r="N514" i="2"/>
  <c r="P557" i="2"/>
  <c r="O514" i="2"/>
  <c r="I514" i="2"/>
  <c r="AB548" i="2"/>
  <c r="AB591" i="2" s="1"/>
  <c r="AB615" i="2" s="1"/>
  <c r="AB514" i="2"/>
  <c r="AE514" i="2"/>
  <c r="Q514" i="2"/>
  <c r="V548" i="2"/>
  <c r="V591" i="2" s="1"/>
  <c r="V615" i="2" s="1"/>
  <c r="V514" i="2"/>
  <c r="P514" i="2"/>
  <c r="J505" i="2"/>
  <c r="M514" i="2"/>
  <c r="Q557" i="2"/>
  <c r="AG9" i="2"/>
  <c r="AH9" i="2" s="1"/>
  <c r="F10" i="2"/>
  <c r="AG238" i="2"/>
  <c r="AH238" i="2" s="1"/>
  <c r="F239" i="2"/>
  <c r="J231" i="2"/>
  <c r="J283" i="2" s="1"/>
  <c r="AC548" i="2"/>
  <c r="AC591" i="2" s="1"/>
  <c r="AC615" i="2" s="1"/>
  <c r="AC514" i="2"/>
  <c r="R514" i="2"/>
  <c r="R557" i="2"/>
  <c r="H514" i="2"/>
  <c r="T548" i="2"/>
  <c r="T591" i="2" s="1"/>
  <c r="T615" i="2" s="1"/>
  <c r="T514" i="2"/>
  <c r="J282" i="2"/>
  <c r="K514" i="2"/>
  <c r="J512" i="2"/>
  <c r="G514" i="2"/>
  <c r="AG474" i="2"/>
  <c r="AH474" i="2" s="1"/>
  <c r="F475" i="2"/>
  <c r="Z548" i="2"/>
  <c r="Z591" i="2" s="1"/>
  <c r="Z615" i="2" s="1"/>
  <c r="Z514" i="2"/>
  <c r="J155" i="2"/>
  <c r="J281" i="2" s="1"/>
  <c r="Y548" i="2"/>
  <c r="Y591" i="2" s="1"/>
  <c r="Y615" i="2" s="1"/>
  <c r="Y514" i="2"/>
  <c r="AF514" i="2"/>
  <c r="S514" i="2"/>
  <c r="J506" i="2" l="1"/>
  <c r="H281" i="2"/>
  <c r="H286" i="2" s="1"/>
  <c r="H288" i="2" s="1"/>
  <c r="H96" i="2"/>
  <c r="I96" i="2"/>
  <c r="AD96" i="2"/>
  <c r="Y96" i="2"/>
  <c r="W96" i="2"/>
  <c r="K96" i="2"/>
  <c r="R96" i="2"/>
  <c r="N96" i="2"/>
  <c r="AE96" i="2"/>
  <c r="S96" i="2"/>
  <c r="AB96" i="2"/>
  <c r="AC96" i="2"/>
  <c r="F96" i="2"/>
  <c r="U96" i="2"/>
  <c r="G96" i="2"/>
  <c r="AA96" i="2"/>
  <c r="X96" i="2"/>
  <c r="P96" i="2"/>
  <c r="E530" i="2"/>
  <c r="E532" i="2" s="1"/>
  <c r="J96" i="2"/>
  <c r="M96" i="2"/>
  <c r="V96" i="2"/>
  <c r="Q96" i="2"/>
  <c r="Z96" i="2"/>
  <c r="E98" i="2"/>
  <c r="E117" i="2" s="1"/>
  <c r="E118" i="2" s="1"/>
  <c r="AF96" i="2"/>
  <c r="T96" i="2"/>
  <c r="O96" i="2"/>
  <c r="T288" i="2"/>
  <c r="M323" i="2"/>
  <c r="J514" i="2"/>
  <c r="W323" i="2"/>
  <c r="V288" i="2"/>
  <c r="S288" i="2"/>
  <c r="N288" i="2"/>
  <c r="P288" i="2"/>
  <c r="G323" i="2"/>
  <c r="K288" i="2"/>
  <c r="R288" i="2"/>
  <c r="J286" i="2"/>
  <c r="J288" i="2" s="1"/>
  <c r="U323" i="2"/>
  <c r="U288" i="2"/>
  <c r="AF323" i="2"/>
  <c r="AF288" i="2"/>
  <c r="Z288" i="2"/>
  <c r="Z323" i="2"/>
  <c r="F40" i="2"/>
  <c r="I323" i="2"/>
  <c r="I288" i="2"/>
  <c r="AD288" i="2"/>
  <c r="AD323" i="2"/>
  <c r="F557" i="2"/>
  <c r="AG510" i="2"/>
  <c r="F514" i="2"/>
  <c r="Q323" i="2"/>
  <c r="Q288" i="2"/>
  <c r="O323" i="2"/>
  <c r="O288" i="2"/>
  <c r="F193" i="2"/>
  <c r="AA323" i="2"/>
  <c r="AA288" i="2"/>
  <c r="X323" i="2"/>
  <c r="X288" i="2"/>
  <c r="F505" i="2"/>
  <c r="F269" i="2"/>
  <c r="F79" i="2"/>
  <c r="AE288" i="2"/>
  <c r="AE323" i="2"/>
  <c r="Y323" i="2"/>
  <c r="Y288" i="2"/>
  <c r="AC323" i="2"/>
  <c r="AC288" i="2"/>
  <c r="F155" i="2"/>
  <c r="AB323" i="2"/>
  <c r="AB288" i="2"/>
  <c r="F231" i="2"/>
  <c r="F506" i="2" l="1"/>
  <c r="H323" i="2"/>
  <c r="M530" i="2"/>
  <c r="M98" i="2"/>
  <c r="M117" i="2" s="1"/>
  <c r="W98" i="2"/>
  <c r="W117" i="2" s="1"/>
  <c r="W530" i="2"/>
  <c r="Z98" i="2"/>
  <c r="Z117" i="2" s="1"/>
  <c r="Z530" i="2"/>
  <c r="J98" i="2"/>
  <c r="J117" i="2" s="1"/>
  <c r="J530" i="2"/>
  <c r="AA98" i="2"/>
  <c r="AA117" i="2" s="1"/>
  <c r="AA530" i="2"/>
  <c r="AC530" i="2"/>
  <c r="AC98" i="2"/>
  <c r="AC117" i="2" s="1"/>
  <c r="N98" i="2"/>
  <c r="N117" i="2" s="1"/>
  <c r="N530" i="2"/>
  <c r="Y98" i="2"/>
  <c r="Y117" i="2" s="1"/>
  <c r="Y530" i="2"/>
  <c r="X98" i="2"/>
  <c r="X117" i="2" s="1"/>
  <c r="X530" i="2"/>
  <c r="H98" i="2"/>
  <c r="H117" i="2" s="1"/>
  <c r="H530" i="2"/>
  <c r="AF98" i="2"/>
  <c r="AF117" i="2" s="1"/>
  <c r="AF530" i="2"/>
  <c r="AF626" i="2" s="1"/>
  <c r="AF627" i="2" s="1"/>
  <c r="Q98" i="2"/>
  <c r="Q117" i="2" s="1"/>
  <c r="Q530" i="2"/>
  <c r="G98" i="2"/>
  <c r="G117" i="2" s="1"/>
  <c r="G530" i="2"/>
  <c r="AB98" i="2"/>
  <c r="AB117" i="2" s="1"/>
  <c r="AB530" i="2"/>
  <c r="R98" i="2"/>
  <c r="R117" i="2" s="1"/>
  <c r="R530" i="2"/>
  <c r="AD98" i="2"/>
  <c r="AD117" i="2" s="1"/>
  <c r="AD530" i="2"/>
  <c r="O98" i="2"/>
  <c r="O117" i="2" s="1"/>
  <c r="O530" i="2"/>
  <c r="E290" i="2"/>
  <c r="E292" i="2" s="1"/>
  <c r="E293" i="2" s="1"/>
  <c r="F530" i="2"/>
  <c r="F98" i="2"/>
  <c r="AE530" i="2"/>
  <c r="AE626" i="2" s="1"/>
  <c r="AE627" i="2" s="1"/>
  <c r="AE98" i="2"/>
  <c r="AE117" i="2" s="1"/>
  <c r="T98" i="2"/>
  <c r="T117" i="2" s="1"/>
  <c r="T530" i="2"/>
  <c r="V530" i="2"/>
  <c r="V98" i="2"/>
  <c r="V117" i="2" s="1"/>
  <c r="P98" i="2"/>
  <c r="P117" i="2" s="1"/>
  <c r="P530" i="2"/>
  <c r="U98" i="2"/>
  <c r="U117" i="2" s="1"/>
  <c r="U530" i="2"/>
  <c r="S98" i="2"/>
  <c r="S117" i="2" s="1"/>
  <c r="S530" i="2"/>
  <c r="K98" i="2"/>
  <c r="K117" i="2" s="1"/>
  <c r="K530" i="2"/>
  <c r="I98" i="2"/>
  <c r="I117" i="2" s="1"/>
  <c r="I530" i="2"/>
  <c r="J323" i="2"/>
  <c r="F283" i="2"/>
  <c r="F284" i="2"/>
  <c r="AH510" i="2"/>
  <c r="F282" i="2"/>
  <c r="F281" i="2"/>
  <c r="H559" i="2" l="1"/>
  <c r="H626" i="2"/>
  <c r="P328" i="2"/>
  <c r="P330" i="2"/>
  <c r="AC328" i="2"/>
  <c r="AC330" i="2"/>
  <c r="M328" i="2"/>
  <c r="M330" i="2"/>
  <c r="W328" i="2"/>
  <c r="W330" i="2"/>
  <c r="AA328" i="2"/>
  <c r="AA330" i="2"/>
  <c r="K328" i="2"/>
  <c r="K330" i="2"/>
  <c r="G328" i="2"/>
  <c r="G330" i="2"/>
  <c r="S328" i="2"/>
  <c r="S330" i="2"/>
  <c r="H328" i="2"/>
  <c r="H330" i="2"/>
  <c r="X328" i="2"/>
  <c r="X330" i="2"/>
  <c r="T328" i="2"/>
  <c r="T330" i="2"/>
  <c r="AE328" i="2"/>
  <c r="AE330" i="2"/>
  <c r="AD328" i="2"/>
  <c r="AD330" i="2"/>
  <c r="Q328" i="2"/>
  <c r="Q330" i="2"/>
  <c r="Y328" i="2"/>
  <c r="Y330" i="2"/>
  <c r="J328" i="2"/>
  <c r="J330" i="2"/>
  <c r="I328" i="2"/>
  <c r="I330" i="2"/>
  <c r="AB328" i="2"/>
  <c r="AB330" i="2"/>
  <c r="U328" i="2"/>
  <c r="U330" i="2"/>
  <c r="V328" i="2"/>
  <c r="V330" i="2"/>
  <c r="O328" i="2"/>
  <c r="O330" i="2"/>
  <c r="R328" i="2"/>
  <c r="R330" i="2"/>
  <c r="AF328" i="2"/>
  <c r="AF330" i="2"/>
  <c r="N328" i="2"/>
  <c r="N330" i="2"/>
  <c r="Z328" i="2"/>
  <c r="Z330" i="2"/>
  <c r="J559" i="2"/>
  <c r="J626" i="2"/>
  <c r="S340" i="2"/>
  <c r="S329" i="2"/>
  <c r="P340" i="2"/>
  <c r="P329" i="2"/>
  <c r="AD340" i="2"/>
  <c r="AD329" i="2"/>
  <c r="Q340" i="2"/>
  <c r="Q329" i="2"/>
  <c r="Y340" i="2"/>
  <c r="Y329" i="2"/>
  <c r="J340" i="2"/>
  <c r="J329" i="2"/>
  <c r="U340" i="2"/>
  <c r="U329" i="2"/>
  <c r="T340" i="2"/>
  <c r="T329" i="2"/>
  <c r="O340" i="2"/>
  <c r="O329" i="2"/>
  <c r="R340" i="2"/>
  <c r="R329" i="2"/>
  <c r="G340" i="2"/>
  <c r="G329" i="2"/>
  <c r="AF340" i="2"/>
  <c r="AF329" i="2"/>
  <c r="X340" i="2"/>
  <c r="X329" i="2"/>
  <c r="N340" i="2"/>
  <c r="N329" i="2"/>
  <c r="AA340" i="2"/>
  <c r="AA329" i="2"/>
  <c r="Z340" i="2"/>
  <c r="Z329" i="2"/>
  <c r="I340" i="2"/>
  <c r="I329" i="2"/>
  <c r="AB340" i="2"/>
  <c r="AB329" i="2"/>
  <c r="H340" i="2"/>
  <c r="H329" i="2"/>
  <c r="W340" i="2"/>
  <c r="W329" i="2"/>
  <c r="V340" i="2"/>
  <c r="V329" i="2"/>
  <c r="M340" i="2"/>
  <c r="M329" i="2"/>
  <c r="K340" i="2"/>
  <c r="K329" i="2"/>
  <c r="AE340" i="2"/>
  <c r="AE329" i="2"/>
  <c r="AC340" i="2"/>
  <c r="AC329" i="2"/>
  <c r="I559" i="2"/>
  <c r="G559" i="2"/>
  <c r="AE333" i="2"/>
  <c r="AE339" i="2"/>
  <c r="AC333" i="2"/>
  <c r="AC339" i="2"/>
  <c r="V333" i="2"/>
  <c r="V339" i="2"/>
  <c r="M333" i="2"/>
  <c r="M339" i="2"/>
  <c r="I333" i="2"/>
  <c r="I339" i="2"/>
  <c r="S333" i="2"/>
  <c r="S339" i="2"/>
  <c r="P333" i="2"/>
  <c r="P339" i="2"/>
  <c r="AD333" i="2"/>
  <c r="AD339" i="2"/>
  <c r="AB333" i="2"/>
  <c r="AB339" i="2"/>
  <c r="Q333" i="2"/>
  <c r="Q339" i="2"/>
  <c r="H333" i="2"/>
  <c r="H339" i="2"/>
  <c r="Y333" i="2"/>
  <c r="Y339" i="2"/>
  <c r="J333" i="2"/>
  <c r="J339" i="2"/>
  <c r="W333" i="2"/>
  <c r="W339" i="2"/>
  <c r="K333" i="2"/>
  <c r="K339" i="2"/>
  <c r="U333" i="2"/>
  <c r="U339" i="2"/>
  <c r="T333" i="2"/>
  <c r="T339" i="2"/>
  <c r="O333" i="2"/>
  <c r="O339" i="2"/>
  <c r="R333" i="2"/>
  <c r="R339" i="2"/>
  <c r="G333" i="2"/>
  <c r="G339" i="2"/>
  <c r="AF333" i="2"/>
  <c r="AF339" i="2"/>
  <c r="X333" i="2"/>
  <c r="X339" i="2"/>
  <c r="N333" i="2"/>
  <c r="N339" i="2"/>
  <c r="AA333" i="2"/>
  <c r="AA339" i="2"/>
  <c r="Z333" i="2"/>
  <c r="Z339" i="2"/>
  <c r="AE290" i="2"/>
  <c r="AE342" i="2"/>
  <c r="AC290" i="2"/>
  <c r="AC342" i="2"/>
  <c r="V290" i="2"/>
  <c r="V342" i="2"/>
  <c r="M118" i="2"/>
  <c r="M342" i="2"/>
  <c r="I118" i="2"/>
  <c r="I342" i="2"/>
  <c r="S347" i="2"/>
  <c r="S342" i="2"/>
  <c r="P334" i="2"/>
  <c r="P342" i="2"/>
  <c r="AD341" i="2"/>
  <c r="AD342" i="2"/>
  <c r="AB336" i="2"/>
  <c r="AB342" i="2"/>
  <c r="Q348" i="2"/>
  <c r="Q342" i="2"/>
  <c r="H118" i="2"/>
  <c r="H342" i="2"/>
  <c r="Y290" i="2"/>
  <c r="Y342" i="2"/>
  <c r="J118" i="2"/>
  <c r="J342" i="2"/>
  <c r="W290" i="2"/>
  <c r="W342" i="2"/>
  <c r="K118" i="2"/>
  <c r="K342" i="2"/>
  <c r="U290" i="2"/>
  <c r="U342" i="2"/>
  <c r="T290" i="2"/>
  <c r="T342" i="2"/>
  <c r="O118" i="2"/>
  <c r="O342" i="2"/>
  <c r="R290" i="2"/>
  <c r="R342" i="2"/>
  <c r="G118" i="2"/>
  <c r="G342" i="2"/>
  <c r="AF290" i="2"/>
  <c r="AF342" i="2"/>
  <c r="X290" i="2"/>
  <c r="X342" i="2"/>
  <c r="N118" i="2"/>
  <c r="N342" i="2"/>
  <c r="AA346" i="2"/>
  <c r="AA342" i="2"/>
  <c r="Z345" i="2"/>
  <c r="Z342" i="2"/>
  <c r="J290" i="2"/>
  <c r="J292" i="2" s="1"/>
  <c r="J293" i="2" s="1"/>
  <c r="M290" i="2"/>
  <c r="M292" i="2" s="1"/>
  <c r="M293" i="2" s="1"/>
  <c r="K290" i="2"/>
  <c r="K292" i="2" s="1"/>
  <c r="K293" i="2" s="1"/>
  <c r="O290" i="2"/>
  <c r="O292" i="2" s="1"/>
  <c r="O293" i="2" s="1"/>
  <c r="N341" i="2"/>
  <c r="I332" i="2"/>
  <c r="H290" i="2"/>
  <c r="H292" i="2" s="1"/>
  <c r="H293" i="2" s="1"/>
  <c r="G290" i="2"/>
  <c r="G292" i="2" s="1"/>
  <c r="G293" i="2" s="1"/>
  <c r="Y341" i="2"/>
  <c r="AF350" i="2"/>
  <c r="M346" i="2"/>
  <c r="X347" i="2"/>
  <c r="X351" i="2"/>
  <c r="X336" i="2"/>
  <c r="X360" i="2"/>
  <c r="X338" i="2"/>
  <c r="X349" i="2"/>
  <c r="N337" i="2"/>
  <c r="X346" i="2"/>
  <c r="X343" i="2"/>
  <c r="X348" i="2"/>
  <c r="X334" i="2"/>
  <c r="Z346" i="2"/>
  <c r="N336" i="2"/>
  <c r="X341" i="2"/>
  <c r="N332" i="2"/>
  <c r="AA341" i="2"/>
  <c r="AA347" i="2"/>
  <c r="X335" i="2"/>
  <c r="X350" i="2"/>
  <c r="X332" i="2"/>
  <c r="X345" i="2"/>
  <c r="J344" i="2"/>
  <c r="J336" i="2"/>
  <c r="W335" i="2"/>
  <c r="H344" i="2"/>
  <c r="J349" i="2"/>
  <c r="J338" i="2"/>
  <c r="J351" i="2"/>
  <c r="Y343" i="2"/>
  <c r="Y349" i="2"/>
  <c r="Y336" i="2"/>
  <c r="Y335" i="2"/>
  <c r="J350" i="2"/>
  <c r="H334" i="2"/>
  <c r="Y337" i="2"/>
  <c r="Y351" i="2"/>
  <c r="W341" i="2"/>
  <c r="M343" i="2"/>
  <c r="M345" i="2"/>
  <c r="G351" i="2"/>
  <c r="O338" i="2"/>
  <c r="R348" i="2"/>
  <c r="R335" i="2"/>
  <c r="M351" i="2"/>
  <c r="M334" i="2"/>
  <c r="J335" i="2"/>
  <c r="J345" i="2"/>
  <c r="W360" i="2"/>
  <c r="W338" i="2"/>
  <c r="W347" i="2"/>
  <c r="Y334" i="2"/>
  <c r="H350" i="2"/>
  <c r="J341" i="2"/>
  <c r="J337" i="2"/>
  <c r="Y350" i="2"/>
  <c r="Y345" i="2"/>
  <c r="M348" i="2"/>
  <c r="M344" i="2"/>
  <c r="M337" i="2"/>
  <c r="M341" i="2"/>
  <c r="G344" i="2"/>
  <c r="M338" i="2"/>
  <c r="AF347" i="2"/>
  <c r="J332" i="2"/>
  <c r="J343" i="2"/>
  <c r="J347" i="2"/>
  <c r="J334" i="2"/>
  <c r="J346" i="2"/>
  <c r="J360" i="2"/>
  <c r="W332" i="2"/>
  <c r="W348" i="2"/>
  <c r="W346" i="2"/>
  <c r="Y332" i="2"/>
  <c r="W336" i="2"/>
  <c r="J348" i="2"/>
  <c r="H348" i="2"/>
  <c r="Y346" i="2"/>
  <c r="W349" i="2"/>
  <c r="Y360" i="2"/>
  <c r="W334" i="2"/>
  <c r="W337" i="2"/>
  <c r="W350" i="2"/>
  <c r="Y344" i="2"/>
  <c r="Y338" i="2"/>
  <c r="Y348" i="2"/>
  <c r="Y347" i="2"/>
  <c r="M350" i="2"/>
  <c r="O349" i="2"/>
  <c r="R338" i="2"/>
  <c r="R334" i="2"/>
  <c r="M335" i="2"/>
  <c r="AF336" i="2"/>
  <c r="AF332" i="2"/>
  <c r="AB350" i="2"/>
  <c r="O360" i="2"/>
  <c r="M360" i="2"/>
  <c r="M347" i="2"/>
  <c r="M336" i="2"/>
  <c r="O335" i="2"/>
  <c r="M332" i="2"/>
  <c r="M349" i="2"/>
  <c r="AF338" i="2"/>
  <c r="AF345" i="2"/>
  <c r="AD332" i="2"/>
  <c r="AD351" i="2"/>
  <c r="Q346" i="2"/>
  <c r="AB348" i="2"/>
  <c r="AC360" i="2"/>
  <c r="AB343" i="2"/>
  <c r="AB335" i="2"/>
  <c r="AD348" i="2"/>
  <c r="AC345" i="2"/>
  <c r="Q334" i="2"/>
  <c r="K335" i="2"/>
  <c r="Q347" i="2"/>
  <c r="K348" i="2"/>
  <c r="AC337" i="2"/>
  <c r="AD346" i="2"/>
  <c r="AD350" i="2"/>
  <c r="H360" i="2"/>
  <c r="H345" i="2"/>
  <c r="G348" i="2"/>
  <c r="G335" i="2"/>
  <c r="G360" i="2"/>
  <c r="O344" i="2"/>
  <c r="O351" i="2"/>
  <c r="O337" i="2"/>
  <c r="R341" i="2"/>
  <c r="O334" i="2"/>
  <c r="H332" i="2"/>
  <c r="G346" i="2"/>
  <c r="AF341" i="2"/>
  <c r="AF334" i="2"/>
  <c r="AC336" i="2"/>
  <c r="AE349" i="2"/>
  <c r="AF344" i="2"/>
  <c r="AC351" i="2"/>
  <c r="AC334" i="2"/>
  <c r="AC332" i="2"/>
  <c r="AC350" i="2"/>
  <c r="AF349" i="2"/>
  <c r="T344" i="2"/>
  <c r="U344" i="2"/>
  <c r="AE338" i="2"/>
  <c r="AF360" i="2"/>
  <c r="AF343" i="2"/>
  <c r="AF346" i="2"/>
  <c r="AC347" i="2"/>
  <c r="O341" i="2"/>
  <c r="R347" i="2"/>
  <c r="O332" i="2"/>
  <c r="H347" i="2"/>
  <c r="H336" i="2"/>
  <c r="H335" i="2"/>
  <c r="G349" i="2"/>
  <c r="O347" i="2"/>
  <c r="G347" i="2"/>
  <c r="O350" i="2"/>
  <c r="G338" i="2"/>
  <c r="G337" i="2"/>
  <c r="G343" i="2"/>
  <c r="G336" i="2"/>
  <c r="H338" i="2"/>
  <c r="G332" i="2"/>
  <c r="T334" i="2"/>
  <c r="AF351" i="2"/>
  <c r="T337" i="2"/>
  <c r="AE335" i="2"/>
  <c r="AE345" i="2"/>
  <c r="T335" i="2"/>
  <c r="AE336" i="2"/>
  <c r="AE348" i="2"/>
  <c r="V360" i="2"/>
  <c r="AF348" i="2"/>
  <c r="U346" i="2"/>
  <c r="V347" i="2"/>
  <c r="H346" i="2"/>
  <c r="R360" i="2"/>
  <c r="O345" i="2"/>
  <c r="R349" i="2"/>
  <c r="R336" i="2"/>
  <c r="O348" i="2"/>
  <c r="H351" i="2"/>
  <c r="H337" i="2"/>
  <c r="R344" i="2"/>
  <c r="O336" i="2"/>
  <c r="R337" i="2"/>
  <c r="H341" i="2"/>
  <c r="R345" i="2"/>
  <c r="R350" i="2"/>
  <c r="K343" i="2"/>
  <c r="O343" i="2"/>
  <c r="R351" i="2"/>
  <c r="H349" i="2"/>
  <c r="K345" i="2"/>
  <c r="R346" i="2"/>
  <c r="R343" i="2"/>
  <c r="G341" i="2"/>
  <c r="H343" i="2"/>
  <c r="R332" i="2"/>
  <c r="G334" i="2"/>
  <c r="G350" i="2"/>
  <c r="G345" i="2"/>
  <c r="O346" i="2"/>
  <c r="T346" i="2"/>
  <c r="AC335" i="2"/>
  <c r="AC338" i="2"/>
  <c r="AF337" i="2"/>
  <c r="T338" i="2"/>
  <c r="AC343" i="2"/>
  <c r="T341" i="2"/>
  <c r="U345" i="2"/>
  <c r="AC346" i="2"/>
  <c r="AC344" i="2"/>
  <c r="AF335" i="2"/>
  <c r="AC348" i="2"/>
  <c r="S335" i="2"/>
  <c r="P343" i="2"/>
  <c r="I351" i="2"/>
  <c r="S334" i="2"/>
  <c r="AD290" i="2"/>
  <c r="AD292" i="2" s="1"/>
  <c r="AD293" i="2" s="1"/>
  <c r="AD349" i="2"/>
  <c r="AD334" i="2"/>
  <c r="AD345" i="2"/>
  <c r="AD338" i="2"/>
  <c r="AD337" i="2"/>
  <c r="AD335" i="2"/>
  <c r="AD344" i="2"/>
  <c r="AD336" i="2"/>
  <c r="AD347" i="2"/>
  <c r="AD343" i="2"/>
  <c r="AD360" i="2"/>
  <c r="AB290" i="2"/>
  <c r="AB292" i="2" s="1"/>
  <c r="AB293" i="2" s="1"/>
  <c r="AB332" i="2"/>
  <c r="AB344" i="2"/>
  <c r="AB346" i="2"/>
  <c r="AB338" i="2"/>
  <c r="AB345" i="2"/>
  <c r="AB347" i="2"/>
  <c r="AB360" i="2"/>
  <c r="AB351" i="2"/>
  <c r="AB349" i="2"/>
  <c r="AB337" i="2"/>
  <c r="AB341" i="2"/>
  <c r="AB334" i="2"/>
  <c r="Q290" i="2"/>
  <c r="Q292" i="2" s="1"/>
  <c r="Q293" i="2" s="1"/>
  <c r="Q338" i="2"/>
  <c r="Q332" i="2"/>
  <c r="Q343" i="2"/>
  <c r="Q349" i="2"/>
  <c r="Q344" i="2"/>
  <c r="Q337" i="2"/>
  <c r="Q345" i="2"/>
  <c r="Q360" i="2"/>
  <c r="Q351" i="2"/>
  <c r="Q341" i="2"/>
  <c r="Q336" i="2"/>
  <c r="Q335" i="2"/>
  <c r="Q350" i="2"/>
  <c r="P350" i="2"/>
  <c r="E358" i="2"/>
  <c r="E362" i="2" s="1"/>
  <c r="E364" i="2" s="1"/>
  <c r="E365" i="2" s="1"/>
  <c r="N290" i="2"/>
  <c r="N292" i="2" s="1"/>
  <c r="N293" i="2" s="1"/>
  <c r="N350" i="2"/>
  <c r="N334" i="2"/>
  <c r="N345" i="2"/>
  <c r="N343" i="2"/>
  <c r="N344" i="2"/>
  <c r="N347" i="2"/>
  <c r="N349" i="2"/>
  <c r="N360" i="2"/>
  <c r="N335" i="2"/>
  <c r="N348" i="2"/>
  <c r="N338" i="2"/>
  <c r="N346" i="2"/>
  <c r="N351" i="2"/>
  <c r="AA290" i="2"/>
  <c r="AA292" i="2" s="1"/>
  <c r="AA293" i="2" s="1"/>
  <c r="AA338" i="2"/>
  <c r="AA350" i="2"/>
  <c r="AA337" i="2"/>
  <c r="AA351" i="2"/>
  <c r="AA334" i="2"/>
  <c r="AA345" i="2"/>
  <c r="AA348" i="2"/>
  <c r="AA343" i="2"/>
  <c r="AA335" i="2"/>
  <c r="AA344" i="2"/>
  <c r="AA336" i="2"/>
  <c r="AA349" i="2"/>
  <c r="AA332" i="2"/>
  <c r="AA360" i="2"/>
  <c r="Z290" i="2"/>
  <c r="Z292" i="2" s="1"/>
  <c r="Z293" i="2" s="1"/>
  <c r="Z344" i="2"/>
  <c r="Z332" i="2"/>
  <c r="Z360" i="2"/>
  <c r="Z347" i="2"/>
  <c r="Z341" i="2"/>
  <c r="Z343" i="2"/>
  <c r="Z337" i="2"/>
  <c r="Z348" i="2"/>
  <c r="Z338" i="2"/>
  <c r="Z334" i="2"/>
  <c r="Z335" i="2"/>
  <c r="Z336" i="2"/>
  <c r="Z351" i="2"/>
  <c r="Z349" i="2"/>
  <c r="Z350" i="2"/>
  <c r="I290" i="2"/>
  <c r="I292" i="2" s="1"/>
  <c r="I293" i="2" s="1"/>
  <c r="I347" i="2"/>
  <c r="I344" i="2"/>
  <c r="I360" i="2"/>
  <c r="I348" i="2"/>
  <c r="I334" i="2"/>
  <c r="I346" i="2"/>
  <c r="I337" i="2"/>
  <c r="I341" i="2"/>
  <c r="I338" i="2"/>
  <c r="I343" i="2"/>
  <c r="I345" i="2"/>
  <c r="I349" i="2"/>
  <c r="I336" i="2"/>
  <c r="S290" i="2"/>
  <c r="S292" i="2" s="1"/>
  <c r="S293" i="2" s="1"/>
  <c r="S346" i="2"/>
  <c r="S343" i="2"/>
  <c r="S332" i="2"/>
  <c r="S338" i="2"/>
  <c r="S337" i="2"/>
  <c r="S344" i="2"/>
  <c r="S341" i="2"/>
  <c r="S349" i="2"/>
  <c r="S348" i="2"/>
  <c r="S345" i="2"/>
  <c r="S360" i="2"/>
  <c r="S350" i="2"/>
  <c r="P290" i="2"/>
  <c r="P292" i="2" s="1"/>
  <c r="P293" i="2" s="1"/>
  <c r="P344" i="2"/>
  <c r="P345" i="2"/>
  <c r="P348" i="2"/>
  <c r="P332" i="2"/>
  <c r="P341" i="2"/>
  <c r="P360" i="2"/>
  <c r="P338" i="2"/>
  <c r="P346" i="2"/>
  <c r="P351" i="2"/>
  <c r="P349" i="2"/>
  <c r="P337" i="2"/>
  <c r="X626" i="2"/>
  <c r="X627" i="2" s="1"/>
  <c r="X559" i="2"/>
  <c r="W559" i="2"/>
  <c r="W626" i="2"/>
  <c r="W627" i="2" s="1"/>
  <c r="P335" i="2"/>
  <c r="I350" i="2"/>
  <c r="I335" i="2"/>
  <c r="P336" i="2"/>
  <c r="P347" i="2"/>
  <c r="S336" i="2"/>
  <c r="S351" i="2"/>
  <c r="K532" i="2"/>
  <c r="U559" i="2"/>
  <c r="U626" i="2"/>
  <c r="U627" i="2" s="1"/>
  <c r="T626" i="2"/>
  <c r="T627" i="2" s="1"/>
  <c r="T559" i="2"/>
  <c r="F117" i="2"/>
  <c r="K336" i="2"/>
  <c r="K337" i="2"/>
  <c r="K350" i="2"/>
  <c r="K349" i="2"/>
  <c r="K347" i="2"/>
  <c r="V338" i="2"/>
  <c r="AE332" i="2"/>
  <c r="U334" i="2"/>
  <c r="U347" i="2"/>
  <c r="V343" i="2"/>
  <c r="U351" i="2"/>
  <c r="T351" i="2"/>
  <c r="V344" i="2"/>
  <c r="V334" i="2"/>
  <c r="U360" i="2"/>
  <c r="V335" i="2"/>
  <c r="T336" i="2"/>
  <c r="AE360" i="2"/>
  <c r="AE350" i="2"/>
  <c r="O532" i="2"/>
  <c r="R559" i="2"/>
  <c r="R532" i="2"/>
  <c r="G532" i="2"/>
  <c r="Y626" i="2"/>
  <c r="Y627" i="2" s="1"/>
  <c r="Y559" i="2"/>
  <c r="J532" i="2"/>
  <c r="K351" i="2"/>
  <c r="AE334" i="2"/>
  <c r="AE337" i="2"/>
  <c r="V348" i="2"/>
  <c r="V341" i="2"/>
  <c r="AE351" i="2"/>
  <c r="V337" i="2"/>
  <c r="T343" i="2"/>
  <c r="T348" i="2"/>
  <c r="U348" i="2"/>
  <c r="V346" i="2"/>
  <c r="AE346" i="2"/>
  <c r="U343" i="2"/>
  <c r="X337" i="2"/>
  <c r="AC341" i="2"/>
  <c r="U338" i="2"/>
  <c r="W343" i="2"/>
  <c r="U349" i="2"/>
  <c r="V349" i="2"/>
  <c r="AE347" i="2"/>
  <c r="X344" i="2"/>
  <c r="T345" i="2"/>
  <c r="H532" i="2"/>
  <c r="AC559" i="2"/>
  <c r="AC626" i="2"/>
  <c r="AC627" i="2" s="1"/>
  <c r="V559" i="2"/>
  <c r="V626" i="2"/>
  <c r="V627" i="2" s="1"/>
  <c r="K346" i="2"/>
  <c r="K332" i="2"/>
  <c r="K338" i="2"/>
  <c r="I532" i="2"/>
  <c r="S559" i="2"/>
  <c r="P559" i="2"/>
  <c r="P532" i="2"/>
  <c r="F559" i="2"/>
  <c r="F532" i="2"/>
  <c r="K341" i="2"/>
  <c r="K360" i="2"/>
  <c r="K334" i="2"/>
  <c r="K344" i="2"/>
  <c r="T349" i="2"/>
  <c r="V345" i="2"/>
  <c r="T350" i="2"/>
  <c r="U341" i="2"/>
  <c r="U336" i="2"/>
  <c r="U335" i="2"/>
  <c r="U350" i="2"/>
  <c r="V351" i="2"/>
  <c r="U332" i="2"/>
  <c r="V332" i="2"/>
  <c r="AC349" i="2"/>
  <c r="W344" i="2"/>
  <c r="U337" i="2"/>
  <c r="V336" i="2"/>
  <c r="T332" i="2"/>
  <c r="AE343" i="2"/>
  <c r="T347" i="2"/>
  <c r="W351" i="2"/>
  <c r="AE341" i="2"/>
  <c r="T360" i="2"/>
  <c r="V350" i="2"/>
  <c r="AE344" i="2"/>
  <c r="W345" i="2"/>
  <c r="AD559" i="2"/>
  <c r="AD626" i="2"/>
  <c r="AD627" i="2" s="1"/>
  <c r="AB626" i="2"/>
  <c r="AB627" i="2" s="1"/>
  <c r="AB559" i="2"/>
  <c r="Q559" i="2"/>
  <c r="Q532" i="2"/>
  <c r="N559" i="2"/>
  <c r="N532" i="2"/>
  <c r="AA626" i="2"/>
  <c r="AA627" i="2" s="1"/>
  <c r="AA559" i="2"/>
  <c r="Z559" i="2"/>
  <c r="Z626" i="2"/>
  <c r="Z627" i="2" s="1"/>
  <c r="M559" i="2"/>
  <c r="M532" i="2"/>
  <c r="F286" i="2"/>
  <c r="AF522" i="2" l="1"/>
  <c r="AF521" i="2"/>
  <c r="U522" i="2"/>
  <c r="U521" i="2"/>
  <c r="Y522" i="2"/>
  <c r="Y521" i="2"/>
  <c r="T522" i="2"/>
  <c r="T521" i="2"/>
  <c r="G522" i="2"/>
  <c r="G521" i="2"/>
  <c r="M522" i="2"/>
  <c r="M521" i="2"/>
  <c r="R522" i="2"/>
  <c r="R521" i="2"/>
  <c r="AB522" i="2"/>
  <c r="AB521" i="2"/>
  <c r="Q522" i="2"/>
  <c r="Q521" i="2"/>
  <c r="X522" i="2"/>
  <c r="X521" i="2"/>
  <c r="K522" i="2"/>
  <c r="K521" i="2"/>
  <c r="AC522" i="2"/>
  <c r="AC521" i="2"/>
  <c r="Z522" i="2"/>
  <c r="Z521" i="2"/>
  <c r="O522" i="2"/>
  <c r="O521" i="2"/>
  <c r="I522" i="2"/>
  <c r="I521" i="2"/>
  <c r="AD522" i="2"/>
  <c r="AD521" i="2"/>
  <c r="H522" i="2"/>
  <c r="H521" i="2"/>
  <c r="AA522" i="2"/>
  <c r="AA521" i="2"/>
  <c r="P522" i="2"/>
  <c r="P521" i="2"/>
  <c r="N522" i="2"/>
  <c r="N521" i="2"/>
  <c r="V522" i="2"/>
  <c r="V521" i="2"/>
  <c r="J522" i="2"/>
  <c r="J521" i="2"/>
  <c r="AE522" i="2"/>
  <c r="AE521" i="2"/>
  <c r="S522" i="2"/>
  <c r="S521" i="2"/>
  <c r="W522" i="2"/>
  <c r="W521" i="2"/>
  <c r="AF519" i="2"/>
  <c r="U519" i="2"/>
  <c r="Y519" i="2"/>
  <c r="T519" i="2"/>
  <c r="M519" i="2"/>
  <c r="M548" i="2" s="1"/>
  <c r="M568" i="2" s="1"/>
  <c r="M592" i="2" s="1"/>
  <c r="R519" i="2"/>
  <c r="R548" i="2" s="1"/>
  <c r="R568" i="2" s="1"/>
  <c r="R616" i="2" s="1"/>
  <c r="AB519" i="2"/>
  <c r="Q519" i="2"/>
  <c r="Q548" i="2" s="1"/>
  <c r="Q568" i="2" s="1"/>
  <c r="Q616" i="2" s="1"/>
  <c r="X519" i="2"/>
  <c r="AC519" i="2"/>
  <c r="Z519" i="2"/>
  <c r="O519" i="2"/>
  <c r="AD519" i="2"/>
  <c r="AA519" i="2"/>
  <c r="P519" i="2"/>
  <c r="P548" i="2" s="1"/>
  <c r="P568" i="2" s="1"/>
  <c r="N519" i="2"/>
  <c r="N548" i="2" s="1"/>
  <c r="N568" i="2" s="1"/>
  <c r="N592" i="2" s="1"/>
  <c r="V519" i="2"/>
  <c r="AE519" i="2"/>
  <c r="S519" i="2"/>
  <c r="S548" i="2" s="1"/>
  <c r="S591" i="2" s="1"/>
  <c r="S615" i="2" s="1"/>
  <c r="W519" i="2"/>
  <c r="X358" i="2"/>
  <c r="X292" i="2"/>
  <c r="X293" i="2" s="1"/>
  <c r="W358" i="2"/>
  <c r="W292" i="2"/>
  <c r="W293" i="2" s="1"/>
  <c r="AC358" i="2"/>
  <c r="AC292" i="2"/>
  <c r="AC293" i="2" s="1"/>
  <c r="AF358" i="2"/>
  <c r="AF292" i="2"/>
  <c r="AF293" i="2" s="1"/>
  <c r="T358" i="2"/>
  <c r="T362" i="2" s="1"/>
  <c r="T292" i="2"/>
  <c r="T293" i="2" s="1"/>
  <c r="AE358" i="2"/>
  <c r="AE292" i="2"/>
  <c r="AE293" i="2" s="1"/>
  <c r="U358" i="2"/>
  <c r="U362" i="2" s="1"/>
  <c r="U292" i="2"/>
  <c r="U293" i="2" s="1"/>
  <c r="Y358" i="2"/>
  <c r="Y292" i="2"/>
  <c r="Y293" i="2" s="1"/>
  <c r="R358" i="2"/>
  <c r="R362" i="2" s="1"/>
  <c r="R292" i="2"/>
  <c r="R293" i="2" s="1"/>
  <c r="V358" i="2"/>
  <c r="V292" i="2"/>
  <c r="V293" i="2" s="1"/>
  <c r="J358" i="2"/>
  <c r="J362" i="2" s="1"/>
  <c r="G358" i="2"/>
  <c r="G362" i="2" s="1"/>
  <c r="H358" i="2"/>
  <c r="H362" i="2" s="1"/>
  <c r="O358" i="2"/>
  <c r="O362" i="2" s="1"/>
  <c r="O364" i="2" s="1"/>
  <c r="O365" i="2" s="1"/>
  <c r="K358" i="2"/>
  <c r="K362" i="2" s="1"/>
  <c r="J548" i="2"/>
  <c r="J568" i="2" s="1"/>
  <c r="G548" i="2"/>
  <c r="G568" i="2" s="1"/>
  <c r="G616" i="2" s="1"/>
  <c r="I548" i="2"/>
  <c r="I568" i="2" s="1"/>
  <c r="I592" i="2" s="1"/>
  <c r="F328" i="2"/>
  <c r="F330" i="2"/>
  <c r="Q549" i="2"/>
  <c r="Q572" i="2" s="1"/>
  <c r="Q596" i="2" s="1"/>
  <c r="R549" i="2"/>
  <c r="R572" i="2" s="1"/>
  <c r="R620" i="2" s="1"/>
  <c r="F340" i="2"/>
  <c r="F329" i="2"/>
  <c r="P549" i="2"/>
  <c r="P572" i="2" s="1"/>
  <c r="F333" i="2"/>
  <c r="F339" i="2"/>
  <c r="F118" i="2"/>
  <c r="F342" i="2"/>
  <c r="O637" i="2"/>
  <c r="M358" i="2"/>
  <c r="M362" i="2" s="1"/>
  <c r="M364" i="2" s="1"/>
  <c r="M365" i="2" s="1"/>
  <c r="H637" i="2"/>
  <c r="G637" i="2"/>
  <c r="I358" i="2"/>
  <c r="I362" i="2" s="1"/>
  <c r="T602" i="2"/>
  <c r="T603" i="2" s="1"/>
  <c r="V602" i="2"/>
  <c r="V603" i="2" s="1"/>
  <c r="X602" i="2"/>
  <c r="X603" i="2" s="1"/>
  <c r="AF602" i="2"/>
  <c r="AF603" i="2" s="1"/>
  <c r="E637" i="2"/>
  <c r="AB602" i="2"/>
  <c r="AB603" i="2" s="1"/>
  <c r="Y602" i="2"/>
  <c r="Y603" i="2" s="1"/>
  <c r="Z602" i="2"/>
  <c r="Z603" i="2" s="1"/>
  <c r="AD602" i="2"/>
  <c r="AD603" i="2" s="1"/>
  <c r="AC602" i="2"/>
  <c r="AC603" i="2" s="1"/>
  <c r="U602" i="2"/>
  <c r="U603" i="2" s="1"/>
  <c r="W602" i="2"/>
  <c r="W603" i="2" s="1"/>
  <c r="AE602" i="2"/>
  <c r="AE603" i="2" s="1"/>
  <c r="AA602" i="2"/>
  <c r="AA603" i="2" s="1"/>
  <c r="M637" i="2"/>
  <c r="Z358" i="2"/>
  <c r="AA358" i="2"/>
  <c r="Q358" i="2"/>
  <c r="Q362" i="2" s="1"/>
  <c r="S358" i="2"/>
  <c r="S362" i="2" s="1"/>
  <c r="AB358" i="2"/>
  <c r="P358" i="2"/>
  <c r="P362" i="2" s="1"/>
  <c r="N358" i="2"/>
  <c r="N362" i="2" s="1"/>
  <c r="N364" i="2" s="1"/>
  <c r="N365" i="2" s="1"/>
  <c r="F344" i="2"/>
  <c r="F334" i="2"/>
  <c r="F336" i="2"/>
  <c r="F337" i="2"/>
  <c r="F347" i="2"/>
  <c r="F290" i="2"/>
  <c r="F338" i="2"/>
  <c r="F332" i="2"/>
  <c r="F348" i="2"/>
  <c r="F350" i="2"/>
  <c r="F360" i="2"/>
  <c r="F346" i="2"/>
  <c r="F343" i="2"/>
  <c r="F341" i="2"/>
  <c r="F345" i="2"/>
  <c r="F349" i="2"/>
  <c r="F335" i="2"/>
  <c r="F351" i="2"/>
  <c r="AD358" i="2"/>
  <c r="F323" i="2"/>
  <c r="F288" i="2"/>
  <c r="F522" i="2" l="1"/>
  <c r="F521" i="2"/>
  <c r="V578" i="2"/>
  <c r="V579" i="2" s="1"/>
  <c r="M616" i="2"/>
  <c r="S537" i="2"/>
  <c r="S568" i="2"/>
  <c r="N616" i="2"/>
  <c r="AE578" i="2"/>
  <c r="AE579" i="2" s="1"/>
  <c r="AC578" i="2"/>
  <c r="AC579" i="2" s="1"/>
  <c r="X583" i="2"/>
  <c r="X584" i="2" s="1"/>
  <c r="T583" i="2"/>
  <c r="T584" i="2" s="1"/>
  <c r="G12" i="4"/>
  <c r="G15" i="4"/>
  <c r="G11" i="4"/>
  <c r="G13" i="4"/>
  <c r="U578" i="2"/>
  <c r="U579" i="2" s="1"/>
  <c r="Y583" i="2"/>
  <c r="Y584" i="2" s="1"/>
  <c r="F292" i="2"/>
  <c r="F293" i="2" s="1"/>
  <c r="H597" i="2"/>
  <c r="H598" i="2" s="1"/>
  <c r="H607" i="2"/>
  <c r="H591" i="2"/>
  <c r="H593" i="2"/>
  <c r="H602" i="2"/>
  <c r="G592" i="2"/>
  <c r="I616" i="2"/>
  <c r="F548" i="2"/>
  <c r="F568" i="2" s="1"/>
  <c r="F592" i="2" s="1"/>
  <c r="J592" i="2"/>
  <c r="J616" i="2"/>
  <c r="J652" i="2" s="1"/>
  <c r="F14" i="17" s="1"/>
  <c r="J597" i="2"/>
  <c r="J598" i="2" s="1"/>
  <c r="J607" i="2"/>
  <c r="J591" i="2"/>
  <c r="J593" i="2"/>
  <c r="J602" i="2"/>
  <c r="J637" i="2"/>
  <c r="G14" i="4"/>
  <c r="G17" i="4"/>
  <c r="R596" i="2"/>
  <c r="Q620" i="2"/>
  <c r="P596" i="2"/>
  <c r="P620" i="2"/>
  <c r="I597" i="2"/>
  <c r="I598" i="2" s="1"/>
  <c r="G597" i="2"/>
  <c r="G598" i="2" s="1"/>
  <c r="G607" i="2"/>
  <c r="I607" i="2"/>
  <c r="I591" i="2"/>
  <c r="G591" i="2"/>
  <c r="G593" i="2"/>
  <c r="I593" i="2"/>
  <c r="I646" i="2" s="1"/>
  <c r="I602" i="2"/>
  <c r="G602" i="2"/>
  <c r="T578" i="2"/>
  <c r="T579" i="2" s="1"/>
  <c r="W583" i="2"/>
  <c r="W584" i="2" s="1"/>
  <c r="M591" i="2"/>
  <c r="M593" i="2"/>
  <c r="Q592" i="2"/>
  <c r="R592" i="2"/>
  <c r="U583" i="2"/>
  <c r="U584" i="2" s="1"/>
  <c r="V583" i="2"/>
  <c r="V584" i="2" s="1"/>
  <c r="W578" i="2"/>
  <c r="W579" i="2" s="1"/>
  <c r="AC583" i="2"/>
  <c r="AC584" i="2" s="1"/>
  <c r="Y578" i="2"/>
  <c r="Y579" i="2" s="1"/>
  <c r="X578" i="2"/>
  <c r="X579" i="2" s="1"/>
  <c r="AE583" i="2"/>
  <c r="AE584" i="2" s="1"/>
  <c r="AB578" i="2"/>
  <c r="AB579" i="2" s="1"/>
  <c r="AB583" i="2"/>
  <c r="AB584" i="2" s="1"/>
  <c r="AA578" i="2"/>
  <c r="AA579" i="2" s="1"/>
  <c r="AA583" i="2"/>
  <c r="AA584" i="2" s="1"/>
  <c r="I637" i="2"/>
  <c r="AD583" i="2"/>
  <c r="AD584" i="2" s="1"/>
  <c r="AD578" i="2"/>
  <c r="AD579" i="2" s="1"/>
  <c r="M602" i="2"/>
  <c r="N591" i="2"/>
  <c r="C587" i="2"/>
  <c r="R597" i="2"/>
  <c r="F597" i="2"/>
  <c r="F598" i="2" s="1"/>
  <c r="Z607" i="2"/>
  <c r="Z608" i="2" s="1"/>
  <c r="AF607" i="2"/>
  <c r="AF608" i="2" s="1"/>
  <c r="AD607" i="2"/>
  <c r="AD608" i="2" s="1"/>
  <c r="W607" i="2"/>
  <c r="W608" i="2" s="1"/>
  <c r="R602" i="2"/>
  <c r="Q591" i="2"/>
  <c r="F591" i="2"/>
  <c r="M607" i="2"/>
  <c r="N607" i="2"/>
  <c r="N593" i="2"/>
  <c r="E643" i="2"/>
  <c r="P597" i="2"/>
  <c r="F607" i="2"/>
  <c r="Y607" i="2"/>
  <c r="Y608" i="2" s="1"/>
  <c r="S607" i="2"/>
  <c r="R607" i="2"/>
  <c r="Q607" i="2"/>
  <c r="S602" i="2"/>
  <c r="Q593" i="2"/>
  <c r="F593" i="2"/>
  <c r="N602" i="2"/>
  <c r="Q597" i="2"/>
  <c r="Q598" i="2" s="1"/>
  <c r="V607" i="2"/>
  <c r="V608" i="2" s="1"/>
  <c r="U607" i="2"/>
  <c r="U608" i="2" s="1"/>
  <c r="X607" i="2"/>
  <c r="X608" i="2" s="1"/>
  <c r="Q602" i="2"/>
  <c r="R591" i="2"/>
  <c r="AE607" i="2"/>
  <c r="AE608" i="2" s="1"/>
  <c r="AB607" i="2"/>
  <c r="AB608" i="2" s="1"/>
  <c r="T607" i="2"/>
  <c r="T608" i="2" s="1"/>
  <c r="AA607" i="2"/>
  <c r="AA608" i="2" s="1"/>
  <c r="F602" i="2"/>
  <c r="P591" i="2"/>
  <c r="R593" i="2"/>
  <c r="N597" i="2"/>
  <c r="N598" i="2" s="1"/>
  <c r="P607" i="2"/>
  <c r="AC607" i="2"/>
  <c r="AC608" i="2" s="1"/>
  <c r="P593" i="2"/>
  <c r="M597" i="2"/>
  <c r="M598" i="2" s="1"/>
  <c r="P602" i="2"/>
  <c r="P592" i="2"/>
  <c r="P616" i="2"/>
  <c r="N637" i="2"/>
  <c r="F358" i="2"/>
  <c r="Z578" i="2"/>
  <c r="Z579" i="2" s="1"/>
  <c r="Z583" i="2"/>
  <c r="Z584" i="2" s="1"/>
  <c r="F616" i="2" l="1"/>
  <c r="J646" i="2"/>
  <c r="H643" i="2"/>
  <c r="J643" i="2"/>
  <c r="H587" i="2"/>
  <c r="J587" i="2"/>
  <c r="AH520" i="2"/>
  <c r="P598" i="2"/>
  <c r="R598" i="2"/>
  <c r="I621" i="2"/>
  <c r="I622" i="2" s="1"/>
  <c r="G621" i="2"/>
  <c r="G622" i="2" s="1"/>
  <c r="G615" i="2"/>
  <c r="I615" i="2"/>
  <c r="G617" i="2"/>
  <c r="I617" i="2"/>
  <c r="I652" i="2" s="1"/>
  <c r="R646" i="2"/>
  <c r="N587" i="2"/>
  <c r="O587" i="2"/>
  <c r="R587" i="2"/>
  <c r="P587" i="2"/>
  <c r="I587" i="2"/>
  <c r="G587" i="2"/>
  <c r="Q587" i="2"/>
  <c r="M587" i="2"/>
  <c r="F587" i="2"/>
  <c r="C611" i="2"/>
  <c r="G611" i="2"/>
  <c r="N621" i="2"/>
  <c r="N622" i="2" s="1"/>
  <c r="L538" i="2"/>
  <c r="P538" i="2"/>
  <c r="F538" i="2"/>
  <c r="G538" i="2"/>
  <c r="R615" i="2"/>
  <c r="N615" i="2"/>
  <c r="K537" i="2"/>
  <c r="R537" i="2"/>
  <c r="H537" i="2"/>
  <c r="Q537" i="2"/>
  <c r="P611" i="2"/>
  <c r="I611" i="2"/>
  <c r="O611" i="2"/>
  <c r="Q621" i="2"/>
  <c r="Q622" i="2" s="1"/>
  <c r="M621" i="2"/>
  <c r="M622" i="2" s="1"/>
  <c r="J538" i="2"/>
  <c r="N538" i="2"/>
  <c r="E538" i="2"/>
  <c r="M615" i="2"/>
  <c r="I537" i="2"/>
  <c r="G537" i="2"/>
  <c r="F617" i="2"/>
  <c r="N611" i="2"/>
  <c r="H538" i="2"/>
  <c r="F611" i="2"/>
  <c r="R611" i="2"/>
  <c r="F621" i="2"/>
  <c r="F622" i="2" s="1"/>
  <c r="R538" i="2"/>
  <c r="E536" i="2"/>
  <c r="N617" i="2"/>
  <c r="P617" i="2"/>
  <c r="J537" i="2"/>
  <c r="Q611" i="2"/>
  <c r="P621" i="2"/>
  <c r="P622" i="2" s="1"/>
  <c r="Q538" i="2"/>
  <c r="M538" i="2"/>
  <c r="F615" i="2"/>
  <c r="R617" i="2"/>
  <c r="R652" i="2" s="1"/>
  <c r="O537" i="2"/>
  <c r="M611" i="2"/>
  <c r="S611" i="2"/>
  <c r="K538" i="2"/>
  <c r="O538" i="2"/>
  <c r="Q615" i="2"/>
  <c r="P615" i="2"/>
  <c r="E537" i="2"/>
  <c r="Q617" i="2"/>
  <c r="M537" i="2"/>
  <c r="F537" i="2"/>
  <c r="E649" i="2"/>
  <c r="F649" i="2" s="1"/>
  <c r="G649" i="2" s="1"/>
  <c r="R621" i="2"/>
  <c r="R622" i="2" s="1"/>
  <c r="I538" i="2"/>
  <c r="M617" i="2"/>
  <c r="N537" i="2"/>
  <c r="P537" i="2"/>
  <c r="F362" i="2"/>
  <c r="M643" i="2"/>
  <c r="F643" i="2"/>
  <c r="O643" i="2"/>
  <c r="I643" i="2"/>
  <c r="N643" i="2"/>
  <c r="G643" i="2"/>
  <c r="F637" i="2"/>
  <c r="H649" i="2" l="1"/>
  <c r="I649" i="2" s="1"/>
  <c r="G631" i="2"/>
  <c r="G626" i="2"/>
  <c r="I631" i="2"/>
  <c r="I626" i="2"/>
  <c r="F631" i="2"/>
  <c r="F626" i="2"/>
  <c r="S626" i="2"/>
  <c r="S631" i="2"/>
  <c r="P631" i="2"/>
  <c r="P626" i="2"/>
  <c r="G10" i="4"/>
  <c r="M631" i="2"/>
  <c r="M626" i="2"/>
  <c r="Q626" i="2"/>
  <c r="Q631" i="2"/>
  <c r="R631" i="2"/>
  <c r="R626" i="2"/>
  <c r="N631" i="2"/>
  <c r="N626" i="2"/>
  <c r="F13" i="17"/>
  <c r="M649" i="2" l="1"/>
  <c r="N649" i="2" s="1"/>
  <c r="O649" i="2" s="1"/>
  <c r="P649" i="2" s="1"/>
  <c r="Q649" i="2" s="1"/>
  <c r="R649" i="2" s="1"/>
  <c r="J649" i="2"/>
  <c r="P643" i="2" l="1"/>
  <c r="Q643" i="2" s="1"/>
  <c r="R643" i="2" s="1"/>
  <c r="S643" i="2" s="1"/>
  <c r="C203" i="15" l="1"/>
  <c r="C205" i="15" l="1"/>
  <c r="C35" i="15" s="1"/>
  <c r="M203" i="15"/>
  <c r="M205" i="15" s="1"/>
  <c r="M35" i="15" s="1"/>
  <c r="K203" i="15"/>
  <c r="K205" i="15" s="1"/>
  <c r="K35" i="15" s="1"/>
  <c r="J203" i="15"/>
  <c r="J205" i="15" s="1"/>
  <c r="J35" i="15" s="1"/>
  <c r="I203" i="15"/>
  <c r="I205" i="15" s="1"/>
  <c r="I35" i="15" s="1"/>
  <c r="G203" i="15"/>
  <c r="G205" i="15" s="1"/>
  <c r="G35" i="15" s="1"/>
  <c r="E203" i="15"/>
  <c r="E205" i="15" s="1"/>
  <c r="E35" i="15" s="1"/>
  <c r="P106" i="15"/>
  <c r="G14" i="15" s="1"/>
  <c r="G25" i="15" s="1"/>
  <c r="N203" i="15"/>
  <c r="N205" i="15" s="1"/>
  <c r="N35" i="15" s="1"/>
  <c r="L203" i="15"/>
  <c r="L205" i="15" s="1"/>
  <c r="L35" i="15" s="1"/>
  <c r="H203" i="15"/>
  <c r="H205" i="15" s="1"/>
  <c r="H35" i="15" s="1"/>
  <c r="F203" i="15"/>
  <c r="F205" i="15" s="1"/>
  <c r="F35" i="15" s="1"/>
  <c r="O106" i="15"/>
  <c r="F14" i="15" s="1"/>
  <c r="L405" i="2" s="1"/>
  <c r="AG405" i="2" l="1"/>
  <c r="O102" i="15"/>
  <c r="Q102" i="15"/>
  <c r="H14" i="15" s="1"/>
  <c r="F25" i="15"/>
  <c r="E405" i="2" s="1"/>
  <c r="S104" i="15"/>
  <c r="J14" i="15" s="1"/>
  <c r="AG423" i="2" l="1"/>
  <c r="AH423" i="2" s="1"/>
  <c r="L430" i="2"/>
  <c r="L453" i="2"/>
  <c r="L404" i="2"/>
  <c r="AG404" i="2" s="1"/>
  <c r="H25" i="15"/>
  <c r="E404" i="2" s="1"/>
  <c r="J25" i="15"/>
  <c r="E402" i="2" s="1"/>
  <c r="L402" i="2"/>
  <c r="AG402" i="2" s="1"/>
  <c r="AH405" i="2"/>
  <c r="O104" i="15"/>
  <c r="R104" i="15" s="1"/>
  <c r="D203" i="15"/>
  <c r="AH402" i="2" l="1"/>
  <c r="I375" i="2"/>
  <c r="R375" i="2"/>
  <c r="L375" i="2"/>
  <c r="T375" i="2"/>
  <c r="F375" i="2"/>
  <c r="Z375" i="2"/>
  <c r="AE374" i="2"/>
  <c r="Q375" i="2"/>
  <c r="AE375" i="2"/>
  <c r="K375" i="2"/>
  <c r="AC375" i="2"/>
  <c r="AB375" i="2"/>
  <c r="AD375" i="2"/>
  <c r="T374" i="2"/>
  <c r="G375" i="2"/>
  <c r="Y374" i="2"/>
  <c r="AF375" i="2"/>
  <c r="AA374" i="2"/>
  <c r="W374" i="2"/>
  <c r="Q374" i="2"/>
  <c r="J375" i="2"/>
  <c r="S374" i="2"/>
  <c r="AD374" i="2"/>
  <c r="AF374" i="2"/>
  <c r="S375" i="2"/>
  <c r="AC374" i="2"/>
  <c r="AB374" i="2"/>
  <c r="R374" i="2"/>
  <c r="O375" i="2"/>
  <c r="X375" i="2"/>
  <c r="F374" i="2"/>
  <c r="P375" i="2"/>
  <c r="K374" i="2"/>
  <c r="AH404" i="2"/>
  <c r="L374" i="2"/>
  <c r="N374" i="2"/>
  <c r="X374" i="2"/>
  <c r="W375" i="2"/>
  <c r="V375" i="2"/>
  <c r="G374" i="2"/>
  <c r="AA375" i="2"/>
  <c r="U375" i="2"/>
  <c r="O374" i="2"/>
  <c r="V374" i="2"/>
  <c r="Z374" i="2"/>
  <c r="I374" i="2"/>
  <c r="N375" i="2"/>
  <c r="H375" i="2"/>
  <c r="H374" i="2"/>
  <c r="J374" i="2"/>
  <c r="P374" i="2"/>
  <c r="U374" i="2"/>
  <c r="M375" i="2"/>
  <c r="Y375" i="2"/>
  <c r="M374" i="2"/>
  <c r="T104" i="15"/>
  <c r="K14" i="15" s="1"/>
  <c r="I14" i="15"/>
  <c r="L454" i="2"/>
  <c r="AG453" i="2"/>
  <c r="AH453" i="2" s="1"/>
  <c r="D205" i="15"/>
  <c r="D35" i="15" s="1"/>
  <c r="O203" i="15"/>
  <c r="O205" i="15" s="1"/>
  <c r="L433" i="2"/>
  <c r="AG430" i="2"/>
  <c r="AH430" i="2" s="1"/>
  <c r="L426" i="2"/>
  <c r="AG374" i="2" l="1"/>
  <c r="AH374" i="2" s="1"/>
  <c r="AG375" i="2"/>
  <c r="AH375" i="2" s="1"/>
  <c r="L434" i="2"/>
  <c r="AG433" i="2"/>
  <c r="AH433" i="2" s="1"/>
  <c r="L101" i="2"/>
  <c r="AG454" i="2"/>
  <c r="AH454" i="2" s="1"/>
  <c r="L24" i="2"/>
  <c r="L63" i="2"/>
  <c r="AG426" i="2"/>
  <c r="AH426" i="2" s="1"/>
  <c r="L427" i="2"/>
  <c r="L401" i="2"/>
  <c r="AG401" i="2" s="1"/>
  <c r="K25" i="15"/>
  <c r="E401" i="2" s="1"/>
  <c r="L403" i="2"/>
  <c r="I25" i="15"/>
  <c r="E403" i="2" s="1"/>
  <c r="AH401" i="2" l="1"/>
  <c r="AD303" i="2"/>
  <c r="AD317" i="2" s="1"/>
  <c r="AD319" i="2" s="1"/>
  <c r="O303" i="2"/>
  <c r="O317" i="2" s="1"/>
  <c r="O319" i="2" s="1"/>
  <c r="Z303" i="2"/>
  <c r="Z317" i="2" s="1"/>
  <c r="Z319" i="2" s="1"/>
  <c r="T303" i="2"/>
  <c r="T317" i="2" s="1"/>
  <c r="T319" i="2" s="1"/>
  <c r="AF303" i="2"/>
  <c r="AF317" i="2" s="1"/>
  <c r="AF319" i="2" s="1"/>
  <c r="P303" i="2"/>
  <c r="P317" i="2" s="1"/>
  <c r="P319" i="2" s="1"/>
  <c r="AA327" i="2"/>
  <c r="P327" i="2"/>
  <c r="M327" i="2"/>
  <c r="G327" i="2"/>
  <c r="K303" i="2"/>
  <c r="K317" i="2" s="1"/>
  <c r="K319" i="2" s="1"/>
  <c r="D15" i="4" s="1"/>
  <c r="W303" i="2"/>
  <c r="W317" i="2" s="1"/>
  <c r="W319" i="2" s="1"/>
  <c r="S303" i="2"/>
  <c r="S317" i="2" s="1"/>
  <c r="S319" i="2" s="1"/>
  <c r="F373" i="2"/>
  <c r="AA303" i="2"/>
  <c r="AA317" i="2" s="1"/>
  <c r="AA319" i="2" s="1"/>
  <c r="J303" i="2"/>
  <c r="J317" i="2" s="1"/>
  <c r="J319" i="2" s="1"/>
  <c r="U327" i="2"/>
  <c r="Q327" i="2"/>
  <c r="AB303" i="2"/>
  <c r="AB317" i="2" s="1"/>
  <c r="AB319" i="2" s="1"/>
  <c r="AC303" i="2"/>
  <c r="AC317" i="2" s="1"/>
  <c r="AC319" i="2" s="1"/>
  <c r="X303" i="2"/>
  <c r="X317" i="2" s="1"/>
  <c r="X319" i="2" s="1"/>
  <c r="AD327" i="2"/>
  <c r="Z327" i="2"/>
  <c r="M373" i="2"/>
  <c r="AD373" i="2"/>
  <c r="Q373" i="2"/>
  <c r="L303" i="2"/>
  <c r="L317" i="2" s="1"/>
  <c r="L319" i="2" s="1"/>
  <c r="D16" i="4" s="1"/>
  <c r="S327" i="2"/>
  <c r="V327" i="2"/>
  <c r="AF327" i="2"/>
  <c r="H327" i="2"/>
  <c r="AB373" i="2"/>
  <c r="Y373" i="2"/>
  <c r="L373" i="2"/>
  <c r="M303" i="2"/>
  <c r="M317" i="2" s="1"/>
  <c r="M319" i="2" s="1"/>
  <c r="D17" i="4" s="1"/>
  <c r="AE327" i="2"/>
  <c r="AC327" i="2"/>
  <c r="T373" i="2"/>
  <c r="AA373" i="2"/>
  <c r="W373" i="2"/>
  <c r="J327" i="2"/>
  <c r="R303" i="2"/>
  <c r="R317" i="2" s="1"/>
  <c r="R319" i="2" s="1"/>
  <c r="Y327" i="2"/>
  <c r="K327" i="2"/>
  <c r="AB327" i="2"/>
  <c r="T327" i="2"/>
  <c r="Y303" i="2"/>
  <c r="Y317" i="2" s="1"/>
  <c r="Y319" i="2" s="1"/>
  <c r="L327" i="2"/>
  <c r="Q303" i="2"/>
  <c r="Q317" i="2" s="1"/>
  <c r="Q319" i="2" s="1"/>
  <c r="N303" i="2"/>
  <c r="N317" i="2" s="1"/>
  <c r="N319" i="2" s="1"/>
  <c r="F327" i="2"/>
  <c r="V303" i="2"/>
  <c r="V317" i="2" s="1"/>
  <c r="V319" i="2" s="1"/>
  <c r="F303" i="2"/>
  <c r="I303" i="2"/>
  <c r="I317" i="2" s="1"/>
  <c r="I319" i="2" s="1"/>
  <c r="O373" i="2"/>
  <c r="N373" i="2"/>
  <c r="AC373" i="2"/>
  <c r="W327" i="2"/>
  <c r="H303" i="2"/>
  <c r="H317" i="2" s="1"/>
  <c r="H319" i="2" s="1"/>
  <c r="I327" i="2"/>
  <c r="O327" i="2"/>
  <c r="G373" i="2"/>
  <c r="J373" i="2"/>
  <c r="AE303" i="2"/>
  <c r="AE317" i="2" s="1"/>
  <c r="AE319" i="2" s="1"/>
  <c r="G303" i="2"/>
  <c r="G317" i="2" s="1"/>
  <c r="G319" i="2" s="1"/>
  <c r="X327" i="2"/>
  <c r="I373" i="2"/>
  <c r="X373" i="2"/>
  <c r="AE373" i="2"/>
  <c r="Z373" i="2"/>
  <c r="N327" i="2"/>
  <c r="H373" i="2"/>
  <c r="K373" i="2"/>
  <c r="U373" i="2"/>
  <c r="AF373" i="2"/>
  <c r="P373" i="2"/>
  <c r="S373" i="2"/>
  <c r="U303" i="2"/>
  <c r="U317" i="2" s="1"/>
  <c r="U319" i="2" s="1"/>
  <c r="R327" i="2"/>
  <c r="R373" i="2"/>
  <c r="V373" i="2"/>
  <c r="AG24" i="2"/>
  <c r="AH24" i="2" s="1"/>
  <c r="L26" i="2"/>
  <c r="AG26" i="2" s="1"/>
  <c r="AH26" i="2" s="1"/>
  <c r="L103" i="2"/>
  <c r="AG103" i="2" s="1"/>
  <c r="AH103" i="2" s="1"/>
  <c r="AG101" i="2"/>
  <c r="AH101" i="2" s="1"/>
  <c r="AG434" i="2"/>
  <c r="AH434" i="2" s="1"/>
  <c r="L435" i="2"/>
  <c r="AG63" i="2"/>
  <c r="AH63" i="2" s="1"/>
  <c r="L65" i="2"/>
  <c r="AG65" i="2" s="1"/>
  <c r="AH65" i="2" s="1"/>
  <c r="AG403" i="2"/>
  <c r="AH403" i="2" s="1"/>
  <c r="AG427" i="2"/>
  <c r="AH427" i="2" s="1"/>
  <c r="L428" i="2"/>
  <c r="H352" i="2" l="1"/>
  <c r="H354" i="2" s="1"/>
  <c r="E12" i="4" s="1"/>
  <c r="H518" i="2"/>
  <c r="H547" i="2" s="1"/>
  <c r="H566" i="2" s="1"/>
  <c r="Z518" i="2"/>
  <c r="Z354" i="2"/>
  <c r="Z356" i="2" s="1"/>
  <c r="Z364" i="2" s="1"/>
  <c r="Z365" i="2" s="1"/>
  <c r="AA354" i="2"/>
  <c r="AA356" i="2" s="1"/>
  <c r="AA364" i="2" s="1"/>
  <c r="AA365" i="2" s="1"/>
  <c r="AA518" i="2"/>
  <c r="D14" i="4"/>
  <c r="O518" i="2"/>
  <c r="O352" i="2"/>
  <c r="O354" i="2" s="1"/>
  <c r="O356" i="2" s="1"/>
  <c r="D13" i="4"/>
  <c r="T518" i="2"/>
  <c r="T354" i="2"/>
  <c r="T356" i="2" s="1"/>
  <c r="T364" i="2" s="1"/>
  <c r="T365" i="2" s="1"/>
  <c r="AF518" i="2"/>
  <c r="AF354" i="2"/>
  <c r="AF356" i="2" s="1"/>
  <c r="AF364" i="2" s="1"/>
  <c r="AF365" i="2" s="1"/>
  <c r="AD518" i="2"/>
  <c r="AD354" i="2"/>
  <c r="AD356" i="2" s="1"/>
  <c r="AD364" i="2" s="1"/>
  <c r="AD365" i="2" s="1"/>
  <c r="AG373" i="2"/>
  <c r="AH373" i="2" s="1"/>
  <c r="R352" i="2"/>
  <c r="R354" i="2" s="1"/>
  <c r="R356" i="2" s="1"/>
  <c r="R364" i="2" s="1"/>
  <c r="R518" i="2"/>
  <c r="L58" i="2"/>
  <c r="L172" i="2"/>
  <c r="L96" i="2"/>
  <c r="L19" i="2"/>
  <c r="AG428" i="2"/>
  <c r="AH428" i="2" s="1"/>
  <c r="I352" i="2"/>
  <c r="I354" i="2" s="1"/>
  <c r="E13" i="4" s="1"/>
  <c r="I518" i="2"/>
  <c r="F317" i="2"/>
  <c r="F319" i="2" s="1"/>
  <c r="AG303" i="2"/>
  <c r="AB518" i="2"/>
  <c r="AB354" i="2"/>
  <c r="AB356" i="2" s="1"/>
  <c r="AB364" i="2" s="1"/>
  <c r="AB365" i="2" s="1"/>
  <c r="AC518" i="2"/>
  <c r="AC354" i="2"/>
  <c r="AC356" i="2" s="1"/>
  <c r="AC364" i="2" s="1"/>
  <c r="AC365" i="2" s="1"/>
  <c r="V518" i="2"/>
  <c r="V354" i="2"/>
  <c r="V356" i="2" s="1"/>
  <c r="V364" i="2" s="1"/>
  <c r="V365" i="2" s="1"/>
  <c r="N518" i="2"/>
  <c r="N352" i="2"/>
  <c r="N354" i="2" s="1"/>
  <c r="N356" i="2" s="1"/>
  <c r="AG456" i="2"/>
  <c r="AH456" i="2" s="1"/>
  <c r="L459" i="2"/>
  <c r="D12" i="4"/>
  <c r="K518" i="2"/>
  <c r="K352" i="2"/>
  <c r="K354" i="2" s="1"/>
  <c r="AE518" i="2"/>
  <c r="AE354" i="2"/>
  <c r="AE356" i="2" s="1"/>
  <c r="AE364" i="2" s="1"/>
  <c r="AE365" i="2" s="1"/>
  <c r="S354" i="2"/>
  <c r="S356" i="2" s="1"/>
  <c r="S364" i="2" s="1"/>
  <c r="S518" i="2"/>
  <c r="L210" i="2"/>
  <c r="L484" i="2"/>
  <c r="AG435" i="2"/>
  <c r="AH435" i="2" s="1"/>
  <c r="L134" i="2"/>
  <c r="L248" i="2"/>
  <c r="P518" i="2"/>
  <c r="P352" i="2"/>
  <c r="P354" i="2" s="1"/>
  <c r="P356" i="2" s="1"/>
  <c r="P364" i="2" s="1"/>
  <c r="L412" i="2"/>
  <c r="L416" i="2"/>
  <c r="L437" i="2" s="1"/>
  <c r="AG409" i="2"/>
  <c r="AH409" i="2" s="1"/>
  <c r="X518" i="2"/>
  <c r="X354" i="2"/>
  <c r="X356" i="2" s="1"/>
  <c r="X364" i="2" s="1"/>
  <c r="X365" i="2" s="1"/>
  <c r="W518" i="2"/>
  <c r="W354" i="2"/>
  <c r="W356" i="2" s="1"/>
  <c r="W364" i="2" s="1"/>
  <c r="W365" i="2" s="1"/>
  <c r="AG327" i="2"/>
  <c r="AH327" i="2" s="1"/>
  <c r="F352" i="2"/>
  <c r="F518" i="2"/>
  <c r="Y518" i="2"/>
  <c r="Y354" i="2"/>
  <c r="Y356" i="2" s="1"/>
  <c r="Y364" i="2" s="1"/>
  <c r="Y365" i="2" s="1"/>
  <c r="D11" i="4"/>
  <c r="Q352" i="2"/>
  <c r="Q354" i="2" s="1"/>
  <c r="Q356" i="2" s="1"/>
  <c r="Q364" i="2" s="1"/>
  <c r="Q518" i="2"/>
  <c r="G352" i="2"/>
  <c r="G354" i="2" s="1"/>
  <c r="E11" i="4" s="1"/>
  <c r="G518" i="2"/>
  <c r="J352" i="2"/>
  <c r="J354" i="2" s="1"/>
  <c r="E14" i="4" s="1"/>
  <c r="J518" i="2"/>
  <c r="J547" i="2" s="1"/>
  <c r="J566" i="2" s="1"/>
  <c r="U518" i="2"/>
  <c r="U354" i="2"/>
  <c r="U356" i="2" s="1"/>
  <c r="U364" i="2" s="1"/>
  <c r="U365" i="2" s="1"/>
  <c r="M352" i="2"/>
  <c r="M354" i="2" s="1"/>
  <c r="M518" i="2"/>
  <c r="H614" i="2" l="1"/>
  <c r="H590" i="2"/>
  <c r="J614" i="2"/>
  <c r="J590" i="2"/>
  <c r="L444" i="2"/>
  <c r="L447" i="2" s="1"/>
  <c r="L448" i="2" s="1"/>
  <c r="L449" i="2" s="1"/>
  <c r="L440" i="2"/>
  <c r="L441" i="2" s="1"/>
  <c r="L442" i="2" s="1"/>
  <c r="M356" i="2"/>
  <c r="M583" i="2" s="1"/>
  <c r="E17" i="4"/>
  <c r="F17" i="4" s="1"/>
  <c r="H17" i="4" s="1"/>
  <c r="K356" i="2"/>
  <c r="K364" i="2" s="1"/>
  <c r="K365" i="2" s="1"/>
  <c r="E15" i="4"/>
  <c r="F15" i="4" s="1"/>
  <c r="H15" i="4" s="1"/>
  <c r="G356" i="2"/>
  <c r="I356" i="2"/>
  <c r="N573" i="2"/>
  <c r="N574" i="2" s="1"/>
  <c r="N583" i="2"/>
  <c r="N563" i="2"/>
  <c r="N569" i="2"/>
  <c r="N567" i="2"/>
  <c r="N578" i="2"/>
  <c r="S583" i="2"/>
  <c r="S578" i="2"/>
  <c r="S365" i="2"/>
  <c r="Q563" i="2"/>
  <c r="Q365" i="2"/>
  <c r="Q583" i="2"/>
  <c r="Q567" i="2"/>
  <c r="Q637" i="2"/>
  <c r="Q569" i="2"/>
  <c r="Q573" i="2"/>
  <c r="Q574" i="2" s="1"/>
  <c r="Q578" i="2"/>
  <c r="L460" i="2"/>
  <c r="AG459" i="2"/>
  <c r="AH459" i="2" s="1"/>
  <c r="I547" i="2"/>
  <c r="I566" i="2" s="1"/>
  <c r="I536" i="2"/>
  <c r="R536" i="2"/>
  <c r="R547" i="2"/>
  <c r="R566" i="2" s="1"/>
  <c r="R583" i="2"/>
  <c r="R573" i="2"/>
  <c r="R574" i="2" s="1"/>
  <c r="R569" i="2"/>
  <c r="R640" i="2" s="1"/>
  <c r="R578" i="2"/>
  <c r="R637" i="2"/>
  <c r="R365" i="2"/>
  <c r="R563" i="2"/>
  <c r="R567" i="2"/>
  <c r="L21" i="2"/>
  <c r="AG21" i="2" s="1"/>
  <c r="AH21" i="2" s="1"/>
  <c r="AG19" i="2"/>
  <c r="AH19" i="2" s="1"/>
  <c r="AG412" i="2"/>
  <c r="AH412" i="2" s="1"/>
  <c r="L413" i="2"/>
  <c r="AG413" i="2" s="1"/>
  <c r="AH413" i="2" s="1"/>
  <c r="K536" i="2"/>
  <c r="N536" i="2"/>
  <c r="N547" i="2"/>
  <c r="N566" i="2" s="1"/>
  <c r="L98" i="2"/>
  <c r="AG98" i="2" s="1"/>
  <c r="AH98" i="2" s="1"/>
  <c r="AG96" i="2"/>
  <c r="AH96" i="2" s="1"/>
  <c r="AG134" i="2"/>
  <c r="L136" i="2"/>
  <c r="AG136" i="2" s="1"/>
  <c r="AH136" i="2" s="1"/>
  <c r="F13" i="4"/>
  <c r="H13" i="4" s="1"/>
  <c r="M536" i="2"/>
  <c r="M547" i="2"/>
  <c r="M566" i="2" s="1"/>
  <c r="F11" i="4"/>
  <c r="H11" i="4" s="1"/>
  <c r="F547" i="2"/>
  <c r="F566" i="2" s="1"/>
  <c r="F536" i="2"/>
  <c r="L419" i="2"/>
  <c r="AG416" i="2"/>
  <c r="AH416" i="2" s="1"/>
  <c r="L174" i="2"/>
  <c r="AG174" i="2" s="1"/>
  <c r="AH174" i="2" s="1"/>
  <c r="AG172" i="2"/>
  <c r="AH172" i="2" s="1"/>
  <c r="O536" i="2"/>
  <c r="H536" i="2"/>
  <c r="AG484" i="2"/>
  <c r="AH484" i="2" s="1"/>
  <c r="L486" i="2"/>
  <c r="AG486" i="2" s="1"/>
  <c r="AH486" i="2" s="1"/>
  <c r="P573" i="2"/>
  <c r="P574" i="2" s="1"/>
  <c r="P563" i="2"/>
  <c r="P578" i="2"/>
  <c r="P569" i="2"/>
  <c r="P365" i="2"/>
  <c r="P583" i="2"/>
  <c r="P567" i="2"/>
  <c r="P637" i="2"/>
  <c r="O563" i="2"/>
  <c r="G536" i="2"/>
  <c r="G547" i="2"/>
  <c r="G566" i="2" s="1"/>
  <c r="F354" i="2"/>
  <c r="F356" i="2" s="1"/>
  <c r="F364" i="2" s="1"/>
  <c r="P547" i="2"/>
  <c r="P566" i="2" s="1"/>
  <c r="P536" i="2"/>
  <c r="F12" i="4"/>
  <c r="H12" i="4" s="1"/>
  <c r="AG317" i="2"/>
  <c r="AH303" i="2"/>
  <c r="AG58" i="2"/>
  <c r="AH58" i="2" s="1"/>
  <c r="L60" i="2"/>
  <c r="AG60" i="2" s="1"/>
  <c r="AH60" i="2" s="1"/>
  <c r="F14" i="4"/>
  <c r="H14" i="4" s="1"/>
  <c r="L212" i="2"/>
  <c r="AG212" i="2" s="1"/>
  <c r="AH212" i="2" s="1"/>
  <c r="AG210" i="2"/>
  <c r="AH210" i="2" s="1"/>
  <c r="Q536" i="2"/>
  <c r="Q547" i="2"/>
  <c r="Q566" i="2" s="1"/>
  <c r="J536" i="2"/>
  <c r="L250" i="2"/>
  <c r="AG250" i="2" s="1"/>
  <c r="AH250" i="2" s="1"/>
  <c r="AG248" i="2"/>
  <c r="AH248" i="2" s="1"/>
  <c r="S547" i="2"/>
  <c r="S536" i="2"/>
  <c r="H356" i="2"/>
  <c r="H364" i="2" s="1"/>
  <c r="H365" i="2" s="1"/>
  <c r="D10" i="4"/>
  <c r="J356" i="2"/>
  <c r="J364" i="2" s="1"/>
  <c r="J365" i="2" s="1"/>
  <c r="F365" i="2" l="1"/>
  <c r="I364" i="2"/>
  <c r="I365" i="2" s="1"/>
  <c r="G364" i="2"/>
  <c r="G365" i="2" s="1"/>
  <c r="H573" i="2"/>
  <c r="H574" i="2" s="1"/>
  <c r="H583" i="2"/>
  <c r="H567" i="2"/>
  <c r="H569" i="2"/>
  <c r="H578" i="2"/>
  <c r="M573" i="2"/>
  <c r="M574" i="2" s="1"/>
  <c r="M578" i="2"/>
  <c r="M567" i="2"/>
  <c r="M569" i="2"/>
  <c r="M563" i="2"/>
  <c r="J563" i="2"/>
  <c r="J573" i="2"/>
  <c r="J574" i="2" s="1"/>
  <c r="J583" i="2"/>
  <c r="J567" i="2"/>
  <c r="J569" i="2"/>
  <c r="J640" i="2" s="1"/>
  <c r="J578" i="2"/>
  <c r="AG442" i="2"/>
  <c r="AH442" i="2" s="1"/>
  <c r="L55" i="2"/>
  <c r="AG55" i="2" s="1"/>
  <c r="AH55" i="2" s="1"/>
  <c r="AG16" i="2"/>
  <c r="AH16" i="2" s="1"/>
  <c r="L93" i="2"/>
  <c r="L169" i="2"/>
  <c r="AG169" i="2" s="1"/>
  <c r="AH169" i="2" s="1"/>
  <c r="L245" i="2"/>
  <c r="AG245" i="2" s="1"/>
  <c r="AH245" i="2" s="1"/>
  <c r="L481" i="2"/>
  <c r="AG481" i="2" s="1"/>
  <c r="AH481" i="2" s="1"/>
  <c r="L207" i="2"/>
  <c r="AG207" i="2" s="1"/>
  <c r="AH207" i="2" s="1"/>
  <c r="L131" i="2"/>
  <c r="AG449" i="2"/>
  <c r="AH449" i="2" s="1"/>
  <c r="D26" i="4"/>
  <c r="F614" i="2"/>
  <c r="F590" i="2"/>
  <c r="AH134" i="2"/>
  <c r="R614" i="2"/>
  <c r="R590" i="2"/>
  <c r="P590" i="2"/>
  <c r="P614" i="2"/>
  <c r="H563" i="2"/>
  <c r="G15" i="17"/>
  <c r="I614" i="2"/>
  <c r="I590" i="2"/>
  <c r="E10" i="4"/>
  <c r="Q614" i="2"/>
  <c r="Q590" i="2"/>
  <c r="AG437" i="2"/>
  <c r="AH437" i="2" s="1"/>
  <c r="M590" i="2"/>
  <c r="M614" i="2"/>
  <c r="AG419" i="2"/>
  <c r="AH419" i="2" s="1"/>
  <c r="L420" i="2"/>
  <c r="AG420" i="2" s="1"/>
  <c r="AH420" i="2" s="1"/>
  <c r="AG460" i="2"/>
  <c r="AH460" i="2" s="1"/>
  <c r="L461" i="2"/>
  <c r="S590" i="2"/>
  <c r="S566" i="2"/>
  <c r="AH317" i="2"/>
  <c r="AG319" i="2"/>
  <c r="AH319" i="2" s="1"/>
  <c r="G614" i="2"/>
  <c r="G590" i="2"/>
  <c r="N614" i="2"/>
  <c r="N590" i="2"/>
  <c r="I573" i="2" l="1"/>
  <c r="I574" i="2" s="1"/>
  <c r="I569" i="2"/>
  <c r="I640" i="2" s="1"/>
  <c r="G567" i="2"/>
  <c r="G573" i="2"/>
  <c r="G574" i="2" s="1"/>
  <c r="I563" i="2"/>
  <c r="I578" i="2"/>
  <c r="G569" i="2"/>
  <c r="I583" i="2"/>
  <c r="G583" i="2"/>
  <c r="G563" i="2"/>
  <c r="G578" i="2"/>
  <c r="I567" i="2"/>
  <c r="AG93" i="2"/>
  <c r="AH93" i="2" s="1"/>
  <c r="L530" i="2"/>
  <c r="AG131" i="2"/>
  <c r="L512" i="2"/>
  <c r="S614" i="2"/>
  <c r="D39" i="4"/>
  <c r="D50" i="4"/>
  <c r="D40" i="4"/>
  <c r="D35" i="4"/>
  <c r="D37" i="4"/>
  <c r="D36" i="4"/>
  <c r="D38" i="4"/>
  <c r="AG461" i="2"/>
  <c r="AH461" i="2" s="1"/>
  <c r="L47" i="2"/>
  <c r="L473" i="2"/>
  <c r="L161" i="2"/>
  <c r="L199" i="2"/>
  <c r="L85" i="2"/>
  <c r="L123" i="2"/>
  <c r="L237" i="2"/>
  <c r="L8" i="2"/>
  <c r="AG444" i="2"/>
  <c r="AH444" i="2" s="1"/>
  <c r="F569" i="2"/>
  <c r="F563" i="2"/>
  <c r="F573" i="2"/>
  <c r="F574" i="2" s="1"/>
  <c r="F583" i="2"/>
  <c r="F578" i="2"/>
  <c r="F567" i="2"/>
  <c r="F10" i="4"/>
  <c r="H10" i="4" s="1"/>
  <c r="AG441" i="2"/>
  <c r="AH441" i="2" s="1"/>
  <c r="AG440" i="2"/>
  <c r="AH440" i="2" s="1"/>
  <c r="D34" i="4"/>
  <c r="AH131" i="2" l="1"/>
  <c r="AG512" i="2"/>
  <c r="AG530" i="2"/>
  <c r="AH530" i="2" s="1"/>
  <c r="AG85" i="2"/>
  <c r="AH85" i="2" s="1"/>
  <c r="L527" i="2"/>
  <c r="L87" i="2"/>
  <c r="AG199" i="2"/>
  <c r="AH199" i="2" s="1"/>
  <c r="L201" i="2"/>
  <c r="AG473" i="2"/>
  <c r="AH473" i="2" s="1"/>
  <c r="L475" i="2"/>
  <c r="L49" i="2"/>
  <c r="AG47" i="2"/>
  <c r="AH47" i="2" s="1"/>
  <c r="L163" i="2"/>
  <c r="AG161" i="2"/>
  <c r="AH161" i="2" s="1"/>
  <c r="AG8" i="2"/>
  <c r="AH8" i="2" s="1"/>
  <c r="AG237" i="2"/>
  <c r="AH237" i="2" s="1"/>
  <c r="L239" i="2"/>
  <c r="AG448" i="2"/>
  <c r="AH448" i="2" s="1"/>
  <c r="AG447" i="2"/>
  <c r="AH447" i="2" s="1"/>
  <c r="L509" i="2"/>
  <c r="AG123" i="2"/>
  <c r="AH123" i="2" s="1"/>
  <c r="L125" i="2"/>
  <c r="AH512" i="2" l="1"/>
  <c r="AG475" i="2"/>
  <c r="AH475" i="2" s="1"/>
  <c r="L505" i="2"/>
  <c r="L79" i="2"/>
  <c r="AG79" i="2" s="1"/>
  <c r="AH79" i="2" s="1"/>
  <c r="AG49" i="2"/>
  <c r="AH49" i="2" s="1"/>
  <c r="AG10" i="2"/>
  <c r="AH10" i="2" s="1"/>
  <c r="L40" i="2"/>
  <c r="AG40" i="2" s="1"/>
  <c r="AH40" i="2" s="1"/>
  <c r="L518" i="2"/>
  <c r="AG509" i="2"/>
  <c r="L514" i="2"/>
  <c r="AG87" i="2"/>
  <c r="AH87" i="2" s="1"/>
  <c r="L117" i="2"/>
  <c r="L328" i="2" s="1"/>
  <c r="AG125" i="2"/>
  <c r="AH125" i="2" s="1"/>
  <c r="L155" i="2"/>
  <c r="AG163" i="2"/>
  <c r="AH163" i="2" s="1"/>
  <c r="L193" i="2"/>
  <c r="AG527" i="2"/>
  <c r="AH527" i="2" s="1"/>
  <c r="L532" i="2"/>
  <c r="AG532" i="2" s="1"/>
  <c r="AH532" i="2" s="1"/>
  <c r="L269" i="2"/>
  <c r="AG239" i="2"/>
  <c r="AH239" i="2" s="1"/>
  <c r="L231" i="2"/>
  <c r="AG201" i="2"/>
  <c r="AH201" i="2" s="1"/>
  <c r="L330" i="2" l="1"/>
  <c r="AG330" i="2" s="1"/>
  <c r="AH330" i="2" s="1"/>
  <c r="AG328" i="2"/>
  <c r="L536" i="2"/>
  <c r="AG518" i="2"/>
  <c r="AH518" i="2" s="1"/>
  <c r="AG155" i="2"/>
  <c r="L281" i="2"/>
  <c r="AG193" i="2"/>
  <c r="AH193" i="2" s="1"/>
  <c r="L282" i="2"/>
  <c r="AG282" i="2" s="1"/>
  <c r="AH282" i="2" s="1"/>
  <c r="L337" i="2"/>
  <c r="AG337" i="2" s="1"/>
  <c r="AH337" i="2" s="1"/>
  <c r="L336" i="2"/>
  <c r="AG336" i="2" s="1"/>
  <c r="AH336" i="2" s="1"/>
  <c r="AG505" i="2"/>
  <c r="AH505" i="2" s="1"/>
  <c r="L329" i="2"/>
  <c r="L334" i="2"/>
  <c r="AG334" i="2" s="1"/>
  <c r="AH334" i="2" s="1"/>
  <c r="L335" i="2"/>
  <c r="AG335" i="2" s="1"/>
  <c r="AH335" i="2" s="1"/>
  <c r="AG269" i="2"/>
  <c r="AH269" i="2" s="1"/>
  <c r="L284" i="2"/>
  <c r="AG284" i="2" s="1"/>
  <c r="AH284" i="2" s="1"/>
  <c r="L290" i="2"/>
  <c r="L292" i="2" s="1"/>
  <c r="L293" i="2" s="1"/>
  <c r="L339" i="2"/>
  <c r="AG339" i="2" s="1"/>
  <c r="AH339" i="2" s="1"/>
  <c r="L333" i="2"/>
  <c r="AG333" i="2" s="1"/>
  <c r="AH333" i="2" s="1"/>
  <c r="L341" i="2"/>
  <c r="AG341" i="2" s="1"/>
  <c r="AH341" i="2" s="1"/>
  <c r="L344" i="2"/>
  <c r="AG344" i="2" s="1"/>
  <c r="AH344" i="2" s="1"/>
  <c r="L360" i="2"/>
  <c r="AG360" i="2" s="1"/>
  <c r="AH360" i="2" s="1"/>
  <c r="L340" i="2"/>
  <c r="AG340" i="2" s="1"/>
  <c r="AH340" i="2" s="1"/>
  <c r="L118" i="2"/>
  <c r="AG118" i="2" s="1"/>
  <c r="AH118" i="2" s="1"/>
  <c r="L348" i="2"/>
  <c r="AG348" i="2" s="1"/>
  <c r="AH348" i="2" s="1"/>
  <c r="L345" i="2"/>
  <c r="AG345" i="2" s="1"/>
  <c r="AH345" i="2" s="1"/>
  <c r="L342" i="2"/>
  <c r="AG342" i="2" s="1"/>
  <c r="AH342" i="2" s="1"/>
  <c r="L332" i="2"/>
  <c r="AG332" i="2" s="1"/>
  <c r="AH332" i="2" s="1"/>
  <c r="L338" i="2"/>
  <c r="AG338" i="2" s="1"/>
  <c r="AH338" i="2" s="1"/>
  <c r="L349" i="2"/>
  <c r="AG349" i="2" s="1"/>
  <c r="AH349" i="2" s="1"/>
  <c r="L343" i="2"/>
  <c r="AG343" i="2" s="1"/>
  <c r="AH343" i="2" s="1"/>
  <c r="L346" i="2"/>
  <c r="AG346" i="2" s="1"/>
  <c r="AH346" i="2" s="1"/>
  <c r="L350" i="2"/>
  <c r="AG350" i="2" s="1"/>
  <c r="AH350" i="2" s="1"/>
  <c r="L347" i="2"/>
  <c r="AG347" i="2" s="1"/>
  <c r="AH347" i="2" s="1"/>
  <c r="AG117" i="2"/>
  <c r="AH117" i="2" s="1"/>
  <c r="L351" i="2"/>
  <c r="AG351" i="2" s="1"/>
  <c r="AH351" i="2" s="1"/>
  <c r="AG231" i="2"/>
  <c r="AH231" i="2" s="1"/>
  <c r="L283" i="2"/>
  <c r="AG283" i="2" s="1"/>
  <c r="AH283" i="2" s="1"/>
  <c r="AG514" i="2"/>
  <c r="AH509" i="2"/>
  <c r="AH328" i="2" l="1"/>
  <c r="L521" i="2"/>
  <c r="AG521" i="2" s="1"/>
  <c r="L522" i="2"/>
  <c r="AG522" i="2" s="1"/>
  <c r="AH155" i="2"/>
  <c r="AG519" i="2"/>
  <c r="AH519" i="2" s="1"/>
  <c r="L537" i="2"/>
  <c r="AG281" i="2"/>
  <c r="AH281" i="2" s="1"/>
  <c r="L286" i="2"/>
  <c r="AG329" i="2"/>
  <c r="AH329" i="2" s="1"/>
  <c r="L352" i="2"/>
  <c r="AG352" i="2" s="1"/>
  <c r="AH352" i="2" s="1"/>
  <c r="L358" i="2"/>
  <c r="AG290" i="2"/>
  <c r="AH290" i="2" l="1"/>
  <c r="L288" i="2"/>
  <c r="L323" i="2"/>
  <c r="AG286" i="2"/>
  <c r="AH286" i="2" s="1"/>
  <c r="AG358" i="2"/>
  <c r="AH358" i="2" s="1"/>
  <c r="L362" i="2"/>
  <c r="L364" i="2" s="1"/>
  <c r="L365" i="2" l="1"/>
  <c r="AG362" i="2"/>
  <c r="AH362" i="2" s="1"/>
  <c r="G16" i="4"/>
  <c r="L354" i="2"/>
  <c r="E16" i="4" s="1"/>
  <c r="AG323" i="2"/>
  <c r="AH323" i="2" s="1"/>
  <c r="AG288" i="2"/>
  <c r="AG292" i="2" s="1"/>
  <c r="AG293" i="2" s="1"/>
  <c r="G26" i="4" l="1"/>
  <c r="H16" i="4"/>
  <c r="I16" i="4" s="1"/>
  <c r="F16" i="4"/>
  <c r="E26" i="4"/>
  <c r="AH288" i="2"/>
  <c r="AH292" i="2"/>
  <c r="L356" i="2"/>
  <c r="AG354" i="2"/>
  <c r="AH354" i="2" s="1"/>
  <c r="G16" i="17"/>
  <c r="E50" i="4" l="1"/>
  <c r="F26" i="4"/>
  <c r="H26" i="4" s="1"/>
  <c r="AG356" i="2"/>
  <c r="AH356" i="2" s="1"/>
  <c r="I12" i="4" l="1"/>
  <c r="I14" i="4"/>
  <c r="I11" i="4"/>
  <c r="I13" i="4"/>
  <c r="I15" i="4"/>
  <c r="I10" i="4"/>
  <c r="I26" i="4"/>
  <c r="I17" i="4"/>
  <c r="AH513" i="2" l="1"/>
  <c r="D512" i="2"/>
  <c r="D521" i="2" s="1"/>
  <c r="E514" i="2"/>
  <c r="AH514" i="2" s="1"/>
  <c r="D513" i="2"/>
  <c r="D522" i="2" s="1"/>
  <c r="K540" i="2" l="1"/>
  <c r="H551" i="2"/>
  <c r="O540" i="2"/>
  <c r="L540" i="2"/>
  <c r="E539" i="2"/>
  <c r="W523" i="2"/>
  <c r="AE523" i="2"/>
  <c r="H550" i="2"/>
  <c r="X523" i="2" l="1"/>
  <c r="Y523" i="2"/>
  <c r="V523" i="2"/>
  <c r="U523" i="2"/>
  <c r="AB523" i="2"/>
  <c r="T523" i="2"/>
  <c r="N551" i="2"/>
  <c r="N540" i="2"/>
  <c r="M550" i="2"/>
  <c r="M539" i="2"/>
  <c r="M523" i="2"/>
  <c r="P551" i="2"/>
  <c r="P540" i="2"/>
  <c r="N550" i="2"/>
  <c r="N539" i="2"/>
  <c r="N523" i="2"/>
  <c r="AF523" i="2"/>
  <c r="Q550" i="2"/>
  <c r="Q539" i="2"/>
  <c r="Q523" i="2"/>
  <c r="M551" i="2"/>
  <c r="M540" i="2"/>
  <c r="P550" i="2"/>
  <c r="P539" i="2"/>
  <c r="P523" i="2"/>
  <c r="S550" i="2"/>
  <c r="S539" i="2"/>
  <c r="S523" i="2"/>
  <c r="AA523" i="2"/>
  <c r="O539" i="2"/>
  <c r="O541" i="2" s="1"/>
  <c r="O523" i="2"/>
  <c r="Z523" i="2"/>
  <c r="R551" i="2"/>
  <c r="R540" i="2"/>
  <c r="Q551" i="2"/>
  <c r="Q540" i="2"/>
  <c r="S551" i="2"/>
  <c r="S540" i="2"/>
  <c r="R550" i="2"/>
  <c r="R539" i="2"/>
  <c r="R523" i="2"/>
  <c r="AD523" i="2"/>
  <c r="AC523" i="2"/>
  <c r="H601" i="2"/>
  <c r="H603" i="2" s="1"/>
  <c r="H646" i="2" s="1"/>
  <c r="H577" i="2"/>
  <c r="H582" i="2"/>
  <c r="H584" i="2" s="1"/>
  <c r="H606" i="2"/>
  <c r="E523" i="2"/>
  <c r="L539" i="2"/>
  <c r="L541" i="2" s="1"/>
  <c r="L523" i="2"/>
  <c r="F540" i="2"/>
  <c r="F551" i="2"/>
  <c r="AH522" i="2"/>
  <c r="I550" i="2"/>
  <c r="I539" i="2"/>
  <c r="I523" i="2"/>
  <c r="H540" i="2"/>
  <c r="K539" i="2"/>
  <c r="K541" i="2" s="1"/>
  <c r="K523" i="2"/>
  <c r="I540" i="2"/>
  <c r="I551" i="2"/>
  <c r="J550" i="2"/>
  <c r="J539" i="2"/>
  <c r="J523" i="2"/>
  <c r="G550" i="2"/>
  <c r="G539" i="2"/>
  <c r="G523" i="2"/>
  <c r="G540" i="2"/>
  <c r="G551" i="2"/>
  <c r="F539" i="2"/>
  <c r="F550" i="2"/>
  <c r="F523" i="2"/>
  <c r="AH521" i="2"/>
  <c r="H539" i="2"/>
  <c r="H523" i="2"/>
  <c r="J551" i="2"/>
  <c r="J540" i="2"/>
  <c r="E540" i="2"/>
  <c r="E541" i="2" s="1"/>
  <c r="E543" i="2" s="1"/>
  <c r="S582" i="2" l="1"/>
  <c r="S584" i="2" s="1"/>
  <c r="S606" i="2"/>
  <c r="M582" i="2"/>
  <c r="M584" i="2" s="1"/>
  <c r="M639" i="2" s="1"/>
  <c r="M606" i="2"/>
  <c r="P606" i="2"/>
  <c r="P582" i="2"/>
  <c r="P584" i="2" s="1"/>
  <c r="P639" i="2" s="1"/>
  <c r="N601" i="2"/>
  <c r="N603" i="2" s="1"/>
  <c r="N646" i="2" s="1"/>
  <c r="N577" i="2"/>
  <c r="Q541" i="2"/>
  <c r="M541" i="2"/>
  <c r="S541" i="2"/>
  <c r="S577" i="2"/>
  <c r="S579" i="2" s="1"/>
  <c r="S640" i="2" s="1"/>
  <c r="S601" i="2"/>
  <c r="R582" i="2"/>
  <c r="R584" i="2" s="1"/>
  <c r="R639" i="2" s="1"/>
  <c r="R606" i="2"/>
  <c r="M577" i="2"/>
  <c r="M601" i="2"/>
  <c r="M603" i="2" s="1"/>
  <c r="M646" i="2" s="1"/>
  <c r="Q582" i="2"/>
  <c r="Q584" i="2" s="1"/>
  <c r="Q639" i="2" s="1"/>
  <c r="Q606" i="2"/>
  <c r="Q601" i="2"/>
  <c r="Q577" i="2"/>
  <c r="Q579" i="2" s="1"/>
  <c r="Q640" i="2" s="1"/>
  <c r="R541" i="2"/>
  <c r="P541" i="2"/>
  <c r="E524" i="2"/>
  <c r="E525" i="2" s="1"/>
  <c r="R601" i="2"/>
  <c r="R577" i="2"/>
  <c r="R579" i="2" s="1"/>
  <c r="R641" i="2" s="1"/>
  <c r="P577" i="2"/>
  <c r="P579" i="2" s="1"/>
  <c r="P640" i="2" s="1"/>
  <c r="P601" i="2"/>
  <c r="N541" i="2"/>
  <c r="N606" i="2"/>
  <c r="N582" i="2"/>
  <c r="N584" i="2" s="1"/>
  <c r="N639" i="2" s="1"/>
  <c r="H608" i="2"/>
  <c r="H630" i="2"/>
  <c r="H632" i="2" s="1"/>
  <c r="H579" i="2"/>
  <c r="H640" i="2" s="1"/>
  <c r="H625" i="2"/>
  <c r="H627" i="2" s="1"/>
  <c r="H652" i="2" s="1"/>
  <c r="F12" i="17" s="1"/>
  <c r="F541" i="2"/>
  <c r="H541" i="2"/>
  <c r="I541" i="2"/>
  <c r="G582" i="2"/>
  <c r="G584" i="2" s="1"/>
  <c r="G639" i="2" s="1"/>
  <c r="G606" i="2"/>
  <c r="J541" i="2"/>
  <c r="J601" i="2"/>
  <c r="J577" i="2"/>
  <c r="J579" i="2" s="1"/>
  <c r="J641" i="2" s="1"/>
  <c r="I582" i="2"/>
  <c r="I584" i="2" s="1"/>
  <c r="I639" i="2" s="1"/>
  <c r="I606" i="2"/>
  <c r="G541" i="2"/>
  <c r="AG523" i="2"/>
  <c r="AH523" i="2" s="1"/>
  <c r="AH1" i="2" s="1"/>
  <c r="J606" i="2"/>
  <c r="J582" i="2"/>
  <c r="J584" i="2" s="1"/>
  <c r="J639" i="2" s="1"/>
  <c r="I577" i="2"/>
  <c r="I579" i="2" s="1"/>
  <c r="I641" i="2" s="1"/>
  <c r="I601" i="2"/>
  <c r="F606" i="2"/>
  <c r="F582" i="2"/>
  <c r="F584" i="2" s="1"/>
  <c r="F639" i="2" s="1"/>
  <c r="G601" i="2"/>
  <c r="G603" i="2" s="1"/>
  <c r="G646" i="2" s="1"/>
  <c r="G577" i="2"/>
  <c r="H639" i="2"/>
  <c r="F577" i="2"/>
  <c r="F601" i="2"/>
  <c r="F603" i="2" s="1"/>
  <c r="F646" i="2" s="1"/>
  <c r="M625" i="2" l="1"/>
  <c r="M627" i="2" s="1"/>
  <c r="M652" i="2" s="1"/>
  <c r="M579" i="2"/>
  <c r="M640" i="2" s="1"/>
  <c r="S625" i="2"/>
  <c r="S603" i="2"/>
  <c r="S646" i="2"/>
  <c r="P630" i="2"/>
  <c r="P632" i="2" s="1"/>
  <c r="P651" i="2" s="1"/>
  <c r="P608" i="2"/>
  <c r="P645" i="2" s="1"/>
  <c r="N630" i="2"/>
  <c r="N632" i="2" s="1"/>
  <c r="N651" i="2" s="1"/>
  <c r="N608" i="2"/>
  <c r="N645" i="2" s="1"/>
  <c r="M630" i="2"/>
  <c r="M632" i="2" s="1"/>
  <c r="M651" i="2" s="1"/>
  <c r="M608" i="2"/>
  <c r="M645" i="2" s="1"/>
  <c r="N625" i="2"/>
  <c r="N627" i="2" s="1"/>
  <c r="N652" i="2" s="1"/>
  <c r="N579" i="2"/>
  <c r="N640" i="2" s="1"/>
  <c r="Q630" i="2"/>
  <c r="Q632" i="2" s="1"/>
  <c r="Q651" i="2" s="1"/>
  <c r="Q608" i="2"/>
  <c r="Q645" i="2" s="1"/>
  <c r="R630" i="2"/>
  <c r="R632" i="2" s="1"/>
  <c r="R651" i="2" s="1"/>
  <c r="R608" i="2"/>
  <c r="R645" i="2" s="1"/>
  <c r="P625" i="2"/>
  <c r="P627" i="2" s="1"/>
  <c r="P652" i="2" s="1"/>
  <c r="P603" i="2"/>
  <c r="P646" i="2" s="1"/>
  <c r="R625" i="2"/>
  <c r="R627" i="2" s="1"/>
  <c r="R653" i="2" s="1"/>
  <c r="R603" i="2"/>
  <c r="R647" i="2" s="1"/>
  <c r="S630" i="2"/>
  <c r="S632" i="2" s="1"/>
  <c r="S651" i="2" s="1"/>
  <c r="S608" i="2"/>
  <c r="S645" i="2" s="1"/>
  <c r="Q625" i="2"/>
  <c r="Q627" i="2" s="1"/>
  <c r="Q652" i="2" s="1"/>
  <c r="Q603" i="2"/>
  <c r="Q646" i="2" s="1"/>
  <c r="F630" i="2"/>
  <c r="F632" i="2" s="1"/>
  <c r="F651" i="2" s="1"/>
  <c r="E10" i="17" s="1"/>
  <c r="F608" i="2"/>
  <c r="F645" i="2" s="1"/>
  <c r="I625" i="2"/>
  <c r="I627" i="2" s="1"/>
  <c r="I653" i="2" s="1"/>
  <c r="G13" i="17" s="1"/>
  <c r="I603" i="2"/>
  <c r="I647" i="2" s="1"/>
  <c r="I630" i="2"/>
  <c r="I632" i="2" s="1"/>
  <c r="I651" i="2" s="1"/>
  <c r="E13" i="17" s="1"/>
  <c r="I608" i="2"/>
  <c r="I645" i="2" s="1"/>
  <c r="H645" i="2"/>
  <c r="H651" i="2"/>
  <c r="E12" i="17" s="1"/>
  <c r="G630" i="2"/>
  <c r="G632" i="2" s="1"/>
  <c r="G651" i="2" s="1"/>
  <c r="E11" i="17" s="1"/>
  <c r="G608" i="2"/>
  <c r="G645" i="2" s="1"/>
  <c r="F625" i="2"/>
  <c r="F627" i="2" s="1"/>
  <c r="F652" i="2" s="1"/>
  <c r="F10" i="17" s="1"/>
  <c r="F579" i="2"/>
  <c r="F640" i="2" s="1"/>
  <c r="J630" i="2"/>
  <c r="J632" i="2" s="1"/>
  <c r="J651" i="2" s="1"/>
  <c r="E14" i="17" s="1"/>
  <c r="J608" i="2"/>
  <c r="J645" i="2" s="1"/>
  <c r="J625" i="2"/>
  <c r="J627" i="2" s="1"/>
  <c r="J653" i="2" s="1"/>
  <c r="G14" i="17" s="1"/>
  <c r="J603" i="2"/>
  <c r="J647" i="2" s="1"/>
  <c r="G625" i="2"/>
  <c r="G627" i="2" s="1"/>
  <c r="G579" i="2"/>
  <c r="G640" i="2" s="1"/>
  <c r="G12" i="17"/>
  <c r="S627" i="2" l="1"/>
  <c r="S652" i="2"/>
  <c r="G652" i="2"/>
  <c r="F11" i="17" s="1"/>
</calcChain>
</file>

<file path=xl/sharedStrings.xml><?xml version="1.0" encoding="utf-8"?>
<sst xmlns="http://schemas.openxmlformats.org/spreadsheetml/2006/main" count="2406" uniqueCount="1191">
  <si>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</si>
  <si>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</si>
  <si>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</si>
  <si>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</si>
  <si>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</si>
  <si>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</si>
  <si>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</si>
  <si>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</si>
  <si>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</si>
  <si>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</si>
  <si>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</si>
  <si>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</si>
  <si>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</si>
  <si>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</si>
  <si>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</si>
  <si>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</si>
  <si>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</si>
  <si>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</si>
  <si>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</si>
  <si>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</si>
  <si>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</si>
  <si>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</si>
  <si>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</si>
  <si>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</si>
  <si>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</si>
  <si>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</si>
  <si>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</si>
  <si>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</si>
  <si>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</si>
  <si>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</si>
  <si>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</si>
  <si>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</si>
  <si>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</si>
  <si>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</si>
  <si>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</si>
  <si>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</si>
  <si>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</si>
  <si>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</si>
  <si>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</si>
  <si>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</si>
  <si>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</si>
  <si>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</si>
  <si>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</si>
  <si>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</si>
  <si>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</si>
  <si>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</si>
  <si>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</si>
  <si>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</si>
  <si>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</si>
  <si>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</si>
  <si>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</si>
  <si>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</si>
  <si>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</si>
  <si>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</si>
  <si>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</si>
  <si>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</si>
  <si>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</si>
  <si>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</si>
  <si>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</si>
  <si>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</si>
  <si>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</si>
  <si>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</si>
  <si>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</si>
  <si>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</si>
  <si>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</si>
  <si>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</si>
  <si>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</si>
  <si>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</si>
  <si>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</si>
  <si>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</si>
  <si>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</si>
  <si>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</si>
  <si>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</si>
  <si>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</si>
  <si>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</si>
  <si>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</si>
  <si>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</si>
  <si>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</si>
  <si>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</si>
  <si>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</si>
  <si>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</si>
  <si>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</si>
  <si>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</si>
  <si>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</si>
  <si>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</si>
  <si>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</si>
  <si>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</si>
  <si>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</si>
  <si>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</si>
  <si>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</si>
  <si>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</si>
  <si>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</si>
  <si>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</si>
  <si>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</si>
  <si>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</si>
  <si>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</si>
  <si>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</si>
  <si>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</si>
  <si>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</si>
  <si>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</si>
  <si>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</si>
  <si>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</si>
  <si>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</si>
  <si>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</si>
  <si>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</si>
  <si>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</si>
  <si>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</si>
  <si>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</si>
  <si>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</si>
  <si>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</si>
  <si>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</si>
  <si>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</si>
  <si>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</si>
  <si>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</si>
  <si>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</si>
  <si>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</si>
  <si>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</si>
  <si>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</si>
  <si>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</si>
  <si>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</si>
  <si>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</si>
  <si>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</si>
  <si>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</si>
  <si>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</si>
  <si>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</si>
  <si>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</si>
  <si>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</si>
  <si>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</si>
  <si>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</si>
  <si>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</si>
  <si>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</si>
  <si>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</si>
  <si>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</si>
  <si>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</si>
  <si>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</si>
  <si>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</si>
  <si>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</si>
  <si>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</si>
  <si>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</si>
  <si>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</si>
  <si>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</si>
  <si>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</si>
  <si>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</si>
  <si>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</si>
  <si>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</si>
  <si>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</si>
  <si>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</si>
  <si>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</si>
  <si>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</si>
  <si>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</si>
  <si>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</si>
  <si>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</si>
  <si>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</si>
  <si>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</si>
  <si>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</si>
  <si>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</si>
  <si>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</si>
  <si>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</si>
  <si>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</si>
  <si>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</si>
  <si>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</si>
  <si>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</si>
  <si>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</si>
  <si>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</si>
  <si>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</si>
  <si>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</si>
  <si>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</si>
  <si>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</si>
  <si>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</si>
  <si>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</si>
  <si>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</si>
  <si>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</si>
  <si>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</si>
  <si>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</si>
  <si>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</si>
  <si>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</si>
  <si>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</si>
  <si>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</si>
  <si>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</si>
  <si>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</si>
  <si>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</si>
  <si>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</si>
  <si>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</si>
  <si>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</si>
  <si>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</si>
  <si>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</si>
  <si>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</si>
  <si>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</si>
  <si>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</si>
  <si>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</si>
  <si>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</si>
  <si>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</si>
  <si>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</si>
  <si>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</si>
  <si>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</si>
  <si>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</si>
  <si>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</si>
  <si>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</si>
  <si>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</si>
  <si>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</si>
  <si>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</si>
  <si>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</si>
  <si>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</si>
  <si>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</si>
  <si>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</si>
  <si>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</si>
  <si>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</si>
  <si>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</si>
  <si>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</si>
  <si>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</si>
  <si>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</si>
  <si>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</si>
  <si>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</si>
  <si>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</si>
  <si>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</si>
  <si>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</si>
  <si>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</si>
  <si>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</si>
  <si>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</si>
  <si>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</si>
  <si>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</si>
  <si>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</si>
  <si>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</si>
  <si>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</si>
  <si>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</si>
  <si>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</si>
  <si>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</si>
  <si>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</si>
  <si>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</si>
  <si>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</si>
  <si>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</si>
  <si>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</si>
  <si>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</si>
  <si>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</si>
  <si>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</si>
  <si>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</si>
  <si>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</si>
  <si>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</si>
  <si>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</si>
  <si>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</si>
  <si>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</si>
  <si>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</si>
  <si>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</si>
  <si>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</si>
  <si>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</si>
  <si>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</si>
  <si>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</si>
  <si>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</si>
  <si>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</si>
  <si>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</si>
  <si>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</si>
  <si>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</si>
  <si>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</si>
  <si>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</si>
  <si>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</si>
  <si>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</si>
  <si>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</si>
  <si>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</si>
  <si>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</si>
  <si>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</si>
  <si>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</si>
  <si>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</si>
  <si>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</si>
  <si>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</si>
  <si>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</si>
  <si>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</si>
  <si>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</si>
  <si>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</si>
  <si>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</si>
  <si>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</si>
  <si>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</si>
  <si>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</si>
  <si>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</si>
  <si>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</si>
  <si>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</si>
  <si>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</si>
  <si>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</si>
  <si>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</si>
  <si>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</si>
  <si>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</si>
  <si>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</si>
  <si>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</si>
  <si>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</si>
  <si>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</si>
  <si>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</si>
  <si>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</si>
  <si>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</si>
  <si>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</si>
  <si>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</si>
  <si>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</si>
  <si>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</si>
  <si>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</si>
  <si>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</si>
  <si>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</si>
  <si>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</si>
  <si>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</si>
  <si>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</si>
  <si>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</si>
  <si>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</si>
  <si>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</si>
  <si>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</si>
  <si>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</si>
  <si>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</si>
  <si>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</si>
  <si>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</si>
  <si>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</si>
  <si>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</si>
  <si>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</si>
  <si>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</si>
  <si>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</si>
  <si>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</si>
  <si>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</si>
  <si>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</si>
  <si>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</si>
  <si>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</si>
  <si>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</si>
  <si>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</si>
  <si>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</si>
  <si>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</si>
  <si>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</si>
  <si>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</si>
  <si>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</si>
  <si>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</si>
  <si>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</si>
  <si>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</si>
  <si>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</si>
  <si>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</si>
  <si>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</si>
  <si>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</si>
  <si>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</si>
  <si>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</si>
  <si>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</si>
  <si>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</si>
  <si>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</si>
  <si>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</si>
  <si>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</si>
  <si>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</si>
  <si>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</si>
  <si>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</si>
  <si>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</si>
  <si>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</si>
  <si>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</si>
  <si>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</si>
  <si>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</si>
  <si>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</si>
  <si>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</si>
  <si>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</si>
  <si>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</si>
  <si>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</si>
  <si>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</si>
  <si>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</si>
  <si>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</si>
  <si>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</si>
  <si>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</si>
  <si>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</si>
  <si>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</si>
  <si>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</si>
  <si>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</si>
  <si>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</si>
  <si>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</si>
  <si>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</si>
  <si>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</si>
  <si>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</si>
  <si>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</si>
  <si>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</si>
  <si>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</si>
  <si>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</si>
  <si>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</si>
  <si>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</si>
  <si>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</si>
  <si>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</si>
  <si>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</si>
  <si>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</si>
  <si>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</si>
  <si>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</si>
  <si>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</si>
  <si>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</si>
  <si>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</si>
  <si>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</si>
  <si>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</si>
  <si>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</si>
  <si>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</si>
  <si>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</si>
  <si>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</si>
  <si>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</si>
  <si>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</si>
  <si>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</si>
  <si>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</si>
  <si>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</si>
  <si>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</si>
  <si>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</si>
  <si>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</si>
  <si>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</si>
  <si>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</si>
  <si>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</si>
  <si>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</si>
  <si>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</si>
  <si>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</si>
  <si>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</si>
  <si>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</si>
  <si>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</si>
  <si>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</si>
  <si>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</si>
  <si>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</si>
  <si>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</si>
  <si>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</si>
  <si>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</si>
  <si>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</si>
  <si>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</si>
  <si>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</si>
  <si>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</si>
  <si>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</si>
  <si>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</si>
  <si>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</si>
  <si>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</si>
  <si>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</si>
  <si>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</si>
  <si>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</si>
  <si>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</si>
  <si>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</si>
  <si>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</si>
  <si>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</si>
  <si>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</si>
  <si>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</si>
  <si>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</si>
  <si>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</si>
  <si>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</si>
  <si>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</si>
  <si>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</si>
  <si>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</si>
  <si>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</si>
  <si>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</si>
  <si>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</si>
  <si>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</si>
  <si>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</si>
  <si>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</si>
  <si>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</si>
  <si>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</si>
  <si>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</si>
  <si>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</si>
  <si>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</si>
  <si>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</si>
  <si>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</si>
  <si>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</si>
  <si>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</si>
  <si>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</si>
  <si>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</si>
  <si>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</si>
  <si>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</si>
  <si>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</si>
  <si>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</si>
  <si>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</si>
  <si>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</si>
  <si>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</si>
  <si>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</si>
  <si>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</si>
  <si>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</si>
  <si>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</si>
  <si>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</si>
  <si>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</si>
  <si>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</si>
  <si>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</si>
  <si>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</si>
  <si>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</si>
  <si>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</si>
  <si>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</si>
  <si>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</si>
  <si>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</si>
  <si>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</si>
  <si>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</si>
  <si>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</si>
  <si>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</si>
  <si>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</si>
  <si>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</si>
  <si>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</si>
  <si>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</si>
  <si>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</si>
  <si>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</si>
  <si>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</si>
  <si>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</si>
  <si>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</si>
  <si>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</si>
  <si>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</si>
  <si>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</si>
  <si>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</si>
  <si>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</si>
  <si>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</si>
  <si>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</si>
  <si>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</si>
  <si>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</si>
  <si>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</si>
  <si>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</si>
  <si>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</si>
  <si>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</si>
  <si>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</si>
  <si>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</si>
  <si>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</si>
  <si>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</si>
  <si>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</si>
  <si>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</si>
  <si>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</si>
  <si>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</si>
  <si>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</si>
  <si>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</si>
  <si>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</si>
  <si>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</si>
  <si>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</si>
  <si>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</si>
  <si>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</si>
  <si>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</si>
  <si>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</si>
  <si>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</si>
  <si>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</si>
  <si>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</si>
  <si>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</si>
  <si>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</si>
  <si>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</si>
  <si>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</si>
  <si>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</si>
  <si>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</si>
  <si>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</si>
  <si>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</si>
  <si>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</si>
  <si>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</si>
  <si>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</si>
  <si>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</si>
  <si>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</si>
  <si>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</si>
  <si>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</si>
  <si>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</si>
  <si>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</si>
  <si>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</si>
  <si>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</si>
  <si>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</si>
  <si>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</si>
  <si>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</si>
  <si>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</si>
  <si>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</si>
  <si>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</si>
  <si>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</si>
  <si>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</si>
  <si>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</si>
  <si>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</si>
  <si>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</si>
  <si>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</si>
  <si>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</si>
  <si>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</si>
  <si>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</si>
  <si>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</si>
  <si>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</si>
  <si>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</si>
  <si>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</si>
  <si>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</si>
  <si>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</si>
  <si>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</si>
  <si>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</si>
  <si>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</si>
  <si>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</si>
  <si>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</si>
  <si>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</si>
  <si>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</si>
  <si>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</si>
  <si>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</si>
  <si>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</si>
  <si>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</si>
  <si>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</si>
  <si>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</si>
  <si>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</si>
  <si>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</si>
  <si>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</si>
  <si>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</si>
  <si>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</si>
  <si>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</si>
  <si>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</si>
  <si>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</si>
  <si>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</si>
  <si>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</si>
  <si>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</si>
  <si>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</si>
  <si>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</si>
  <si>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</si>
  <si>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</si>
  <si>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</si>
  <si>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</si>
  <si>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</si>
  <si>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</si>
  <si>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</si>
  <si>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</si>
  <si>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</si>
  <si>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</si>
  <si>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</si>
  <si>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</si>
  <si>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</si>
  <si>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</si>
  <si>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</si>
  <si>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</si>
  <si>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</si>
  <si>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</si>
  <si>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</si>
  <si>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</si>
  <si>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</si>
  <si>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</si>
  <si>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</si>
  <si>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</si>
  <si>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</si>
  <si>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</si>
  <si>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</si>
  <si>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</si>
  <si>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</si>
  <si>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</si>
  <si>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</si>
  <si>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</si>
  <si>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</si>
  <si>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</si>
  <si>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</si>
  <si>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</si>
  <si>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</si>
  <si>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</si>
  <si>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</si>
  <si>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</si>
  <si>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</si>
  <si>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</si>
  <si>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</si>
  <si>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</si>
  <si>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</si>
  <si>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</si>
  <si>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</si>
  <si>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</si>
  <si>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</si>
  <si>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</si>
  <si>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</si>
  <si>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</si>
  <si>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</si>
  <si>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</si>
  <si>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</si>
  <si>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</si>
  <si>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</si>
  <si>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</si>
  <si>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</si>
  <si>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</si>
  <si>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</si>
  <si>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</si>
  <si>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</si>
  <si>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</si>
  <si>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</si>
  <si>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</si>
  <si>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</si>
  <si>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</si>
  <si>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</si>
  <si>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</si>
  <si>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</si>
  <si>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</si>
  <si>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</si>
  <si>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</si>
  <si>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</si>
  <si>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</si>
  <si>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</si>
  <si>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</si>
  <si>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</si>
  <si>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</si>
  <si>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</si>
  <si>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</si>
  <si>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</si>
  <si>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</si>
  <si>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</si>
  <si>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</si>
  <si>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</si>
  <si>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</si>
  <si>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</si>
  <si>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</si>
  <si>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</si>
  <si>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</si>
  <si>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</si>
  <si>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</si>
  <si>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</si>
  <si>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</si>
  <si>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</si>
  <si>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</si>
  <si>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</si>
  <si>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</si>
  <si>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</si>
  <si>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</si>
  <si>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</si>
  <si>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</si>
  <si>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</si>
  <si>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</si>
  <si>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</si>
  <si>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</si>
  <si>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</si>
  <si>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</si>
  <si>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</si>
  <si>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</si>
  <si>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</si>
  <si>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</si>
  <si>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</si>
  <si>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</si>
  <si>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</si>
  <si>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</si>
  <si>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</si>
  <si>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</si>
  <si>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</si>
  <si>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</si>
  <si>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</si>
  <si>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</si>
  <si>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</si>
  <si>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</si>
  <si>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</si>
  <si>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</si>
  <si>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</si>
  <si>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</si>
  <si>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Residential Service</t>
  </si>
  <si>
    <t>Rate 30</t>
  </si>
  <si>
    <t>Metered CP</t>
  </si>
  <si>
    <t>Calculated CP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</si>
  <si>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</si>
  <si>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</si>
  <si>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</si>
  <si>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</si>
  <si>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</si>
  <si>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</si>
  <si>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</si>
  <si>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</si>
  <si>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</si>
  <si>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</si>
  <si>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</si>
  <si>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</si>
  <si>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</si>
  <si>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</si>
  <si>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</si>
  <si>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</si>
  <si>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</si>
  <si>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</si>
  <si>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</si>
  <si>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</si>
  <si>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</si>
  <si>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</si>
  <si>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</si>
  <si>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</si>
  <si>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</si>
  <si>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</si>
  <si>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</si>
  <si>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</si>
  <si>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</si>
  <si>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</si>
  <si>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</si>
  <si>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</si>
  <si>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</si>
  <si>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</si>
  <si>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</si>
  <si>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</si>
  <si>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</si>
  <si>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</si>
  <si>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</si>
  <si>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</si>
  <si>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</si>
  <si>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</si>
  <si>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</si>
  <si>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</si>
  <si>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</si>
  <si>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</si>
  <si>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</si>
  <si>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</si>
  <si>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</si>
  <si>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</si>
  <si>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</si>
  <si>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</si>
  <si>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</si>
  <si>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</si>
  <si>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</si>
  <si>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</si>
  <si>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</si>
  <si>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</si>
  <si>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</si>
  <si>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</si>
  <si>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</si>
  <si>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</si>
  <si>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</si>
  <si>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</si>
  <si>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</si>
  <si>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</si>
  <si>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</si>
  <si>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</si>
  <si>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</si>
  <si>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</si>
  <si>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</si>
  <si>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</si>
  <si>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</si>
  <si>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</si>
  <si>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</si>
  <si>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</si>
  <si>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</si>
  <si>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</si>
  <si>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</si>
  <si>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</si>
  <si>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</si>
  <si>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</si>
  <si>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</si>
  <si>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</si>
  <si>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</si>
  <si>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</si>
  <si>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</si>
  <si>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</si>
  <si>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</si>
  <si>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</si>
  <si>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</si>
  <si>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</si>
  <si>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</si>
  <si>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</si>
  <si>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</si>
  <si>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</si>
  <si>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</si>
  <si>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</si>
  <si>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</si>
  <si>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</si>
  <si>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</si>
  <si>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</si>
  <si>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</si>
  <si>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</si>
  <si>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</si>
  <si>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</si>
  <si>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</si>
  <si>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</si>
  <si>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</si>
  <si>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</si>
  <si>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</si>
  <si>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</si>
  <si>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</si>
  <si>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</si>
  <si>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</si>
  <si>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</si>
  <si>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</si>
  <si>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</si>
  <si>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</si>
  <si>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</si>
  <si>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</si>
  <si>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</si>
  <si>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</si>
  <si>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</si>
  <si>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</si>
  <si>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</si>
  <si>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</si>
  <si>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</si>
  <si>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</si>
  <si>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</si>
  <si>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</si>
  <si>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</si>
  <si>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</si>
  <si>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</si>
  <si>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</si>
  <si>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</si>
  <si>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</si>
  <si>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</si>
  <si>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</si>
  <si>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</si>
  <si>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Regulatory Liabilities</t>
  </si>
  <si>
    <t>REGLIAB</t>
  </si>
  <si>
    <t>TOTAL</t>
  </si>
  <si>
    <t>Rate Class</t>
  </si>
  <si>
    <t>KWH</t>
  </si>
  <si>
    <t>Purchases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</si>
  <si>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</si>
  <si>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</si>
  <si>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</si>
  <si>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</si>
  <si>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</si>
  <si>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</si>
  <si>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Allocation            Factor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</si>
  <si>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</si>
  <si>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</si>
  <si>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</si>
  <si>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</si>
  <si>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</si>
  <si>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</si>
  <si>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</si>
  <si>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</si>
  <si>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</si>
  <si>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</si>
  <si>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</si>
  <si>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</si>
  <si>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</si>
  <si>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</si>
  <si>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</si>
  <si>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</si>
  <si>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</si>
  <si>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</si>
  <si>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</si>
  <si>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</si>
  <si>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</si>
  <si>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</si>
  <si>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</si>
  <si>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</si>
  <si>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</si>
  <si>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</si>
  <si>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</si>
  <si>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</si>
  <si>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</si>
  <si>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</si>
  <si>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</si>
  <si>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</si>
  <si>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</si>
  <si>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</si>
  <si>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</si>
  <si>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</si>
  <si>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</si>
  <si>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</si>
  <si>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</si>
  <si>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</si>
  <si>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</si>
  <si>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</si>
  <si>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</si>
  <si>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</si>
  <si>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</si>
  <si>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</si>
  <si>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</si>
  <si>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</si>
  <si>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</si>
  <si>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</si>
  <si>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</si>
  <si>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</si>
  <si>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</si>
  <si>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</si>
  <si>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</si>
  <si>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</si>
  <si>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</si>
  <si>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</si>
  <si>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</si>
  <si>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</si>
  <si>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</si>
  <si>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</si>
  <si>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Demand Charge</t>
  </si>
  <si>
    <t>Energy Charge</t>
  </si>
  <si>
    <t>Acct 555</t>
  </si>
  <si>
    <t>Environmental Surcharge</t>
  </si>
  <si>
    <t>Fuel Adjustment Clause</t>
  </si>
  <si>
    <t>kWh</t>
  </si>
  <si>
    <t>Unitized Rate of Return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</si>
  <si>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</si>
  <si>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</si>
  <si>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</si>
  <si>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</si>
  <si>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</si>
  <si>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</si>
  <si>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</si>
  <si>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</si>
  <si>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</si>
  <si>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</si>
  <si>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</si>
  <si>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</si>
  <si>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</si>
  <si>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</si>
  <si>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</si>
  <si>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</si>
  <si>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</si>
  <si>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</si>
  <si>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</si>
  <si>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</si>
  <si>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</si>
  <si>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</si>
  <si>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</si>
  <si>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</si>
  <si>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</si>
  <si>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</si>
  <si>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</si>
  <si>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</si>
  <si>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</si>
  <si>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</si>
  <si>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</si>
  <si>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</si>
  <si>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</si>
  <si>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</si>
  <si>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</si>
  <si>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</si>
  <si>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</si>
  <si>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</si>
  <si>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</si>
  <si>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</si>
  <si>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</si>
  <si>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</si>
  <si>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</si>
  <si>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Incl?</t>
  </si>
  <si>
    <t>Qty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</si>
  <si>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</si>
  <si>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</si>
  <si>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</si>
  <si>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</si>
  <si>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</si>
  <si>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</si>
  <si>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</si>
  <si>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</si>
  <si>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</si>
  <si>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</si>
  <si>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</si>
  <si>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</si>
  <si>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</si>
  <si>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</si>
  <si>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</si>
  <si>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</si>
  <si>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</si>
  <si>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SubTotal Demand $</t>
  </si>
  <si>
    <t>SubTotal Energy $</t>
  </si>
  <si>
    <t>SubTotal $</t>
  </si>
  <si>
    <t>SubTotal Demand %</t>
  </si>
  <si>
    <t>SubTotal Energy %</t>
  </si>
  <si>
    <t>AMORT Property Losses &amp; Unrecover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</si>
  <si>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</si>
  <si>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</si>
  <si>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</si>
  <si>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</si>
  <si>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</si>
  <si>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</si>
  <si>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</si>
  <si>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</si>
  <si>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</si>
  <si>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</si>
  <si>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</si>
  <si>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</si>
  <si>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Share of</t>
  </si>
  <si>
    <t>&lt;reserved&gt;</t>
  </si>
  <si>
    <t>Variance</t>
  </si>
  <si>
    <t>Reconciliation</t>
  </si>
  <si>
    <t>Method</t>
  </si>
  <si>
    <t xml:space="preserve">Distribution </t>
  </si>
  <si>
    <t>Labor Expenses - for Labor Allocator</t>
  </si>
  <si>
    <t>Energy Usage (kWh)</t>
  </si>
  <si>
    <t>LB932</t>
  </si>
  <si>
    <t>GENERAL</t>
  </si>
  <si>
    <t>Variance:</t>
  </si>
  <si>
    <t xml:space="preserve">Share of </t>
  </si>
  <si>
    <t>Target</t>
  </si>
  <si>
    <t>n/a</t>
  </si>
  <si>
    <t>Year-End Customer Normalization</t>
  </si>
  <si>
    <t>Total PFAs:</t>
  </si>
  <si>
    <t>(3)</t>
  </si>
  <si>
    <t>(4)</t>
  </si>
  <si>
    <t>(5)</t>
  </si>
  <si>
    <t>&lt; Reported</t>
  </si>
  <si>
    <t>&lt; Variance</t>
  </si>
  <si>
    <t>A</t>
  </si>
  <si>
    <t>SL</t>
  </si>
  <si>
    <t>LB935</t>
  </si>
  <si>
    <t>After Proposed Rate Revisions</t>
  </si>
  <si>
    <t>4 ACWC</t>
  </si>
  <si>
    <t>8 ACWC</t>
  </si>
  <si>
    <t>2 ACSR</t>
  </si>
  <si>
    <t>4 ACSR</t>
  </si>
  <si>
    <t>6 ACSR</t>
  </si>
  <si>
    <t>1/0 ACSR</t>
  </si>
  <si>
    <t>3/0 ACSR</t>
  </si>
  <si>
    <t>4/0 ACSR</t>
  </si>
  <si>
    <t>NARUC CAM *</t>
  </si>
  <si>
    <t>under the Zero Intercept method.</t>
  </si>
  <si>
    <t>Proposed Increase</t>
  </si>
  <si>
    <t>TAYLOR COUNTY RECC</t>
  </si>
  <si>
    <t>Residential Farm &amp; Home</t>
  </si>
  <si>
    <t>GP1</t>
  </si>
  <si>
    <t>GP2</t>
  </si>
  <si>
    <t>B1</t>
  </si>
  <si>
    <t>Large Industrial B</t>
  </si>
  <si>
    <t>Special Contract</t>
  </si>
  <si>
    <t>Other</t>
  </si>
  <si>
    <t>OTHER</t>
  </si>
  <si>
    <t>1/0 BCOP</t>
  </si>
  <si>
    <t>1/0 QP</t>
  </si>
  <si>
    <t>1/0 Triplex</t>
  </si>
  <si>
    <t>12 TW</t>
  </si>
  <si>
    <t>2 QP</t>
  </si>
  <si>
    <t>2 TPX</t>
  </si>
  <si>
    <t>2-3 STR CU</t>
  </si>
  <si>
    <t>2/0 QP</t>
  </si>
  <si>
    <t>2/0 TPX</t>
  </si>
  <si>
    <t>397 ACSR MCM Wire</t>
  </si>
  <si>
    <t>3/0 STR THW</t>
  </si>
  <si>
    <t>3/0 TPX</t>
  </si>
  <si>
    <t>4 TPX</t>
  </si>
  <si>
    <t>4/0 QP</t>
  </si>
  <si>
    <t>4/0 TPX</t>
  </si>
  <si>
    <t>477 ACSR</t>
  </si>
  <si>
    <t>500 MCM</t>
  </si>
  <si>
    <t>6 DPX</t>
  </si>
  <si>
    <t>6 HDC</t>
  </si>
  <si>
    <t>8 HDC</t>
  </si>
  <si>
    <t>336 QP</t>
  </si>
  <si>
    <t>336 ASCR</t>
  </si>
  <si>
    <t>1/0 SOL AL UG WIRE</t>
  </si>
  <si>
    <t>2 SOL AL UG</t>
  </si>
  <si>
    <t>2-6 CU UG</t>
  </si>
  <si>
    <t>2/0 TPX 19ACC</t>
  </si>
  <si>
    <t>4/0 UG PRI WIRE</t>
  </si>
  <si>
    <t>4/0 URD SEC/SVC WIRE</t>
  </si>
  <si>
    <t>4 TPX AL UG</t>
  </si>
  <si>
    <t>1/0 STR AL</t>
  </si>
  <si>
    <t>6 DPX UG</t>
  </si>
  <si>
    <t>500 MCM UG PRI WIRE</t>
  </si>
  <si>
    <t>1.5 KVA CONV</t>
  </si>
  <si>
    <t>1.5 KVA CSP</t>
  </si>
  <si>
    <t>10 KVA CONV</t>
  </si>
  <si>
    <t>10 KVA CSP</t>
  </si>
  <si>
    <t>10 KVA PDMT</t>
  </si>
  <si>
    <t>100 KVA PDMT</t>
  </si>
  <si>
    <t>100 KVA CONV</t>
  </si>
  <si>
    <t>112.5 KVA PDMT TRF</t>
  </si>
  <si>
    <t>15 KVA CONV</t>
  </si>
  <si>
    <t>15 KVA CSP</t>
  </si>
  <si>
    <t>15 KVA PDMT</t>
  </si>
  <si>
    <t>150 KVA PDMT TRF</t>
  </si>
  <si>
    <t>1500 KVA 3PHS PAD MOUNT</t>
  </si>
  <si>
    <t>167 KVA CONV</t>
  </si>
  <si>
    <t>25 CSP UG PADMOUTN</t>
  </si>
  <si>
    <t>25 KVA CONV</t>
  </si>
  <si>
    <t>25 KVA CSP</t>
  </si>
  <si>
    <t>3 KVA CONV</t>
  </si>
  <si>
    <t>3 KVA CSP</t>
  </si>
  <si>
    <t>300 KVA PDMT</t>
  </si>
  <si>
    <t>333 KVA CONV</t>
  </si>
  <si>
    <t>37.5 KVA CONV</t>
  </si>
  <si>
    <t>37.5 KVA CSP</t>
  </si>
  <si>
    <t>5 KVA CONV</t>
  </si>
  <si>
    <t>5 KVA CSP</t>
  </si>
  <si>
    <t>50 KVA CONV</t>
  </si>
  <si>
    <t>50 KVA CSP</t>
  </si>
  <si>
    <t>50 KVA PDMT</t>
  </si>
  <si>
    <t>500 KVA CONV</t>
  </si>
  <si>
    <t>7.5 KVA CSP</t>
  </si>
  <si>
    <t>75 KVA CONV</t>
  </si>
  <si>
    <t>75 KVA CSP</t>
  </si>
  <si>
    <t>75 KVA PDMT</t>
  </si>
  <si>
    <t>225 KVA PADMT 3PHSE</t>
  </si>
  <si>
    <t>1000 KVA CONV TRF</t>
  </si>
  <si>
    <t>750 KVA 3PHS PADMOUNT</t>
  </si>
  <si>
    <t>1000 KVA 3PHS PADMOUNT</t>
  </si>
  <si>
    <t>500 KVA 3PHS PADMOUNT</t>
  </si>
  <si>
    <t>2500 KVA 3PHS PADMOUNT</t>
  </si>
  <si>
    <t>167 KVA PADMOUNT</t>
  </si>
  <si>
    <t>1500 KVA 3PHS PADMOUNT</t>
  </si>
  <si>
    <t>37.5 PDMT TRF</t>
  </si>
  <si>
    <t>Rate E2 ON PEAK</t>
  </si>
  <si>
    <t>Billing Demand</t>
  </si>
  <si>
    <t>Demand $</t>
  </si>
  <si>
    <t>Energy $</t>
  </si>
  <si>
    <t>Metering $</t>
  </si>
  <si>
    <t>Sub/Wheeling $</t>
  </si>
  <si>
    <t>FAC $</t>
  </si>
  <si>
    <t>ES $</t>
  </si>
  <si>
    <t>TOTAL $</t>
  </si>
  <si>
    <t>RATE E2 OFF PEAK</t>
  </si>
  <si>
    <t>RATE E2 TOTAL</t>
  </si>
  <si>
    <t>RATE B TOTAL</t>
  </si>
  <si>
    <t>DLC TOTAL</t>
  </si>
  <si>
    <t>DLC $</t>
  </si>
  <si>
    <t>TOTAL Regular Invoice</t>
  </si>
  <si>
    <t>SALOMA</t>
  </si>
  <si>
    <t>Substation Charge</t>
  </si>
  <si>
    <t>Environment Surcharge</t>
  </si>
  <si>
    <t>OTHER $</t>
  </si>
  <si>
    <t>TGP</t>
  </si>
  <si>
    <t>Total w/o Lighting</t>
  </si>
  <si>
    <t>Installed Meters</t>
  </si>
  <si>
    <t>Avg Meter           Cost</t>
  </si>
  <si>
    <t>Total             Cost</t>
  </si>
  <si>
    <t>Average         Service           Cost</t>
  </si>
  <si>
    <t>Total                         Cost</t>
  </si>
  <si>
    <t>Allocation Factor</t>
  </si>
  <si>
    <t>Interest Expense</t>
  </si>
  <si>
    <t>Depreciation Normalization</t>
  </si>
  <si>
    <t xml:space="preserve">Right of Way </t>
  </si>
  <si>
    <t>Year End Customers</t>
  </si>
  <si>
    <t>FEMA Credit</t>
  </si>
  <si>
    <t>Donations, Promo Ads &amp; Dues</t>
  </si>
  <si>
    <t>Directors Expenses</t>
  </si>
  <si>
    <t>Wages &amp; Salaries</t>
  </si>
  <si>
    <t>401k Contributions</t>
  </si>
  <si>
    <t>Health Care Costs</t>
  </si>
  <si>
    <t>Rate Case Costs</t>
  </si>
  <si>
    <t>Toggle:  0=no, 1=yes</t>
  </si>
  <si>
    <t>Increase</t>
  </si>
  <si>
    <t>General Purpose Part 2 &gt; 50 KVA</t>
  </si>
  <si>
    <t>General Purpose Part 1 &lt; 50 KVA</t>
  </si>
  <si>
    <t>R-1</t>
  </si>
  <si>
    <t>Residential Marketing Rate (ETS)</t>
  </si>
  <si>
    <t>SBA/PPP Loan</t>
  </si>
  <si>
    <t>NA</t>
  </si>
  <si>
    <t>Cost-Based Rates</t>
  </si>
  <si>
    <t>Incr</t>
  </si>
  <si>
    <t>Res</t>
  </si>
  <si>
    <t>ETS</t>
  </si>
  <si>
    <t>reserved</t>
  </si>
  <si>
    <t>Labor Allocators</t>
  </si>
  <si>
    <t>Employee Awards</t>
  </si>
  <si>
    <t>Meter Testing Expense</t>
  </si>
  <si>
    <t>Non Recurring GPS Project Costs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</si>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</sst>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  <numFmt numFmtId="183" formatCode="\(#\)"/>
  </numFmts>
  <fonts count="17" x14ac:knownFonts="1"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  <xf numFmtId="167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4" fillId="0" borderId="0" xfId="1" applyFont="1"/>
    <xf numFmtId="0" fontId="4" fillId="0" borderId="3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6" fontId="4" fillId="0" borderId="0" xfId="0" applyNumberFormat="1" applyFont="1"/>
    <xf numFmtId="10" fontId="4" fillId="0" borderId="0" xfId="0" applyNumberFormat="1" applyFont="1"/>
    <xf numFmtId="43" fontId="4" fillId="0" borderId="0" xfId="1" applyFont="1" applyFill="1"/>
    <xf numFmtId="172" fontId="4" fillId="0" borderId="0" xfId="1" applyNumberFormat="1" applyFont="1" applyFill="1"/>
    <xf numFmtId="166" fontId="4" fillId="0" borderId="0" xfId="1" applyNumberFormat="1" applyFont="1" applyFill="1"/>
    <xf numFmtId="43" fontId="3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 wrapText="1"/>
    </xf>
    <xf numFmtId="172" fontId="4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 applyAlignment="1">
      <alignment horizontal="right"/>
    </xf>
    <xf numFmtId="166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165" fontId="4" fillId="0" borderId="0" xfId="2" applyNumberFormat="1" applyFont="1" applyFill="1"/>
    <xf numFmtId="10" fontId="4" fillId="0" borderId="0" xfId="3" applyNumberFormat="1" applyFont="1" applyFill="1"/>
    <xf numFmtId="165" fontId="4" fillId="0" borderId="0" xfId="2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6" xfId="2" applyNumberFormat="1" applyFont="1" applyFill="1" applyBorder="1" applyAlignment="1">
      <alignment vertical="center"/>
    </xf>
    <xf numFmtId="43" fontId="4" fillId="0" borderId="6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2" applyFont="1" applyFill="1" applyBorder="1"/>
    <xf numFmtId="43" fontId="4" fillId="0" borderId="0" xfId="1" applyFont="1" applyFill="1" applyAlignment="1">
      <alignment horizontal="right"/>
    </xf>
    <xf numFmtId="43" fontId="4" fillId="0" borderId="0" xfId="0" applyNumberFormat="1" applyFont="1"/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2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169" fontId="4" fillId="0" borderId="0" xfId="0" applyNumberFormat="1" applyFont="1"/>
    <xf numFmtId="169" fontId="4" fillId="0" borderId="0" xfId="1" applyNumberFormat="1" applyFont="1" applyFill="1"/>
    <xf numFmtId="169" fontId="4" fillId="0" borderId="0" xfId="0" applyNumberFormat="1" applyFont="1" applyAlignment="1">
      <alignment horizontal="centerContinuous"/>
    </xf>
    <xf numFmtId="166" fontId="4" fillId="0" borderId="0" xfId="1" applyNumberFormat="1" applyFont="1" applyFill="1" applyAlignment="1">
      <alignment horizontal="centerContinuous"/>
    </xf>
    <xf numFmtId="171" fontId="4" fillId="0" borderId="0" xfId="1" applyNumberFormat="1" applyFont="1" applyFill="1"/>
    <xf numFmtId="165" fontId="4" fillId="0" borderId="3" xfId="2" applyNumberFormat="1" applyFont="1" applyFill="1" applyBorder="1"/>
    <xf numFmtId="10" fontId="3" fillId="0" borderId="9" xfId="3" applyNumberFormat="1" applyFont="1" applyFill="1" applyBorder="1"/>
    <xf numFmtId="165" fontId="4" fillId="0" borderId="3" xfId="0" applyNumberFormat="1" applyFont="1" applyBorder="1"/>
    <xf numFmtId="172" fontId="4" fillId="0" borderId="0" xfId="0" applyNumberFormat="1" applyFont="1"/>
    <xf numFmtId="167" fontId="4" fillId="0" borderId="0" xfId="0" applyNumberFormat="1" applyFont="1"/>
    <xf numFmtId="164" fontId="4" fillId="0" borderId="0" xfId="2" applyNumberFormat="1" applyFont="1" applyFill="1"/>
    <xf numFmtId="164" fontId="4" fillId="0" borderId="0" xfId="0" applyNumberFormat="1" applyFont="1"/>
    <xf numFmtId="172" fontId="7" fillId="0" borderId="0" xfId="0" applyNumberFormat="1" applyFont="1" applyAlignment="1">
      <alignment vertical="center"/>
    </xf>
    <xf numFmtId="176" fontId="4" fillId="0" borderId="0" xfId="0" applyNumberFormat="1" applyFont="1"/>
    <xf numFmtId="172" fontId="7" fillId="0" borderId="0" xfId="0" applyNumberFormat="1" applyFont="1"/>
    <xf numFmtId="43" fontId="7" fillId="0" borderId="0" xfId="1" applyFont="1" applyFill="1"/>
    <xf numFmtId="172" fontId="4" fillId="0" borderId="0" xfId="0" applyNumberFormat="1" applyFont="1" applyAlignment="1">
      <alignment vertical="center"/>
    </xf>
    <xf numFmtId="178" fontId="4" fillId="0" borderId="0" xfId="0" applyNumberFormat="1" applyFont="1"/>
    <xf numFmtId="171" fontId="4" fillId="0" borderId="0" xfId="0" applyNumberFormat="1" applyFont="1"/>
    <xf numFmtId="10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center"/>
    </xf>
    <xf numFmtId="1" fontId="4" fillId="0" borderId="0" xfId="0" applyNumberFormat="1" applyFont="1"/>
    <xf numFmtId="9" fontId="4" fillId="0" borderId="0" xfId="3" applyFont="1" applyFill="1"/>
    <xf numFmtId="44" fontId="4" fillId="0" borderId="0" xfId="2" applyFont="1" applyFill="1"/>
    <xf numFmtId="166" fontId="3" fillId="0" borderId="0" xfId="1" applyNumberFormat="1" applyFont="1" applyFill="1" applyAlignment="1">
      <alignment horizontal="right"/>
    </xf>
    <xf numFmtId="166" fontId="4" fillId="0" borderId="0" xfId="0" applyNumberFormat="1" applyFont="1" applyAlignment="1">
      <alignment horizontal="center"/>
    </xf>
    <xf numFmtId="0" fontId="4" fillId="0" borderId="0" xfId="1" applyNumberFormat="1" applyFont="1" applyFill="1" applyAlignment="1">
      <alignment horizontal="center"/>
    </xf>
    <xf numFmtId="10" fontId="4" fillId="0" borderId="0" xfId="3" applyNumberFormat="1" applyFont="1" applyFill="1" applyAlignment="1">
      <alignment horizontal="right"/>
    </xf>
    <xf numFmtId="166" fontId="4" fillId="0" borderId="6" xfId="1" applyNumberFormat="1" applyFont="1" applyFill="1" applyBorder="1" applyAlignment="1">
      <alignment horizontal="center"/>
    </xf>
    <xf numFmtId="166" fontId="4" fillId="0" borderId="6" xfId="1" applyNumberFormat="1" applyFont="1" applyFill="1" applyBorder="1"/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/>
    <xf numFmtId="165" fontId="4" fillId="0" borderId="0" xfId="2" applyNumberFormat="1" applyFont="1" applyFill="1" applyAlignment="1">
      <alignment horizontal="center"/>
    </xf>
    <xf numFmtId="166" fontId="4" fillId="0" borderId="6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70" fontId="4" fillId="0" borderId="0" xfId="1" applyNumberFormat="1" applyFont="1" applyFill="1"/>
    <xf numFmtId="166" fontId="4" fillId="0" borderId="3" xfId="1" applyNumberFormat="1" applyFont="1" applyFill="1" applyBorder="1"/>
    <xf numFmtId="43" fontId="7" fillId="0" borderId="0" xfId="1" applyFont="1" applyFill="1" applyAlignment="1">
      <alignment vertical="center"/>
    </xf>
    <xf numFmtId="44" fontId="4" fillId="0" borderId="0" xfId="0" applyNumberFormat="1" applyFont="1"/>
    <xf numFmtId="172" fontId="3" fillId="0" borderId="0" xfId="1" applyNumberFormat="1" applyFont="1" applyFill="1" applyBorder="1" applyAlignment="1">
      <alignment horizontal="center"/>
    </xf>
    <xf numFmtId="43" fontId="4" fillId="0" borderId="0" xfId="1" applyFont="1" applyFill="1" applyBorder="1"/>
    <xf numFmtId="171" fontId="4" fillId="0" borderId="0" xfId="1" applyNumberFormat="1" applyFont="1" applyFill="1" applyBorder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6" fontId="4" fillId="0" borderId="0" xfId="1" applyNumberFormat="1" applyFont="1" applyFill="1" applyAlignment="1">
      <alignment wrapText="1"/>
    </xf>
    <xf numFmtId="166" fontId="6" fillId="0" borderId="0" xfId="1" applyNumberFormat="1" applyFont="1" applyFill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166" fontId="3" fillId="0" borderId="0" xfId="1" applyNumberFormat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0" fontId="4" fillId="0" borderId="3" xfId="0" applyFont="1" applyBorder="1"/>
    <xf numFmtId="175" fontId="4" fillId="0" borderId="0" xfId="0" applyNumberFormat="1" applyFont="1"/>
    <xf numFmtId="174" fontId="4" fillId="0" borderId="0" xfId="0" applyNumberFormat="1" applyFont="1"/>
    <xf numFmtId="173" fontId="4" fillId="0" borderId="0" xfId="0" applyNumberFormat="1" applyFont="1"/>
    <xf numFmtId="0" fontId="6" fillId="0" borderId="0" xfId="0" applyFont="1"/>
    <xf numFmtId="10" fontId="4" fillId="0" borderId="0" xfId="0" applyNumberFormat="1" applyFont="1" applyAlignment="1">
      <alignment horizontal="left"/>
    </xf>
    <xf numFmtId="177" fontId="4" fillId="0" borderId="0" xfId="1" applyNumberFormat="1" applyFont="1" applyFill="1"/>
    <xf numFmtId="43" fontId="3" fillId="0" borderId="0" xfId="1" applyFont="1" applyFill="1" applyAlignment="1">
      <alignment horizontal="center"/>
    </xf>
    <xf numFmtId="181" fontId="4" fillId="0" borderId="0" xfId="0" applyNumberFormat="1" applyFont="1"/>
    <xf numFmtId="182" fontId="4" fillId="0" borderId="0" xfId="3" applyNumberFormat="1" applyFont="1" applyFill="1" applyAlignment="1">
      <alignment horizontal="right"/>
    </xf>
    <xf numFmtId="182" fontId="4" fillId="0" borderId="6" xfId="3" applyNumberFormat="1" applyFont="1" applyFill="1" applyBorder="1" applyAlignment="1">
      <alignment horizontal="right" vertical="center"/>
    </xf>
    <xf numFmtId="0" fontId="3" fillId="0" borderId="0" xfId="1" applyNumberFormat="1" applyFont="1" applyFill="1"/>
    <xf numFmtId="172" fontId="4" fillId="2" borderId="0" xfId="1" applyNumberFormat="1" applyFont="1" applyFill="1" applyBorder="1" applyAlignment="1">
      <alignment horizontal="center" wrapText="1"/>
    </xf>
    <xf numFmtId="182" fontId="4" fillId="0" borderId="0" xfId="0" applyNumberFormat="1" applyFont="1"/>
    <xf numFmtId="177" fontId="3" fillId="0" borderId="0" xfId="1" applyNumberFormat="1" applyFont="1" applyFill="1" applyAlignment="1">
      <alignment horizontal="right"/>
    </xf>
    <xf numFmtId="183" fontId="3" fillId="0" borderId="2" xfId="0" quotePrefix="1" applyNumberFormat="1" applyFont="1" applyBorder="1" applyAlignment="1">
      <alignment horizontal="center"/>
    </xf>
    <xf numFmtId="0" fontId="8" fillId="0" borderId="0" xfId="0" applyFont="1"/>
    <xf numFmtId="179" fontId="5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4" fillId="0" borderId="0" xfId="3" applyNumberFormat="1" applyFont="1" applyFill="1"/>
    <xf numFmtId="43" fontId="3" fillId="0" borderId="0" xfId="1" applyFont="1" applyFill="1"/>
    <xf numFmtId="165" fontId="4" fillId="0" borderId="0" xfId="2" applyNumberFormat="1" applyFont="1" applyFill="1" applyBorder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0" fontId="9" fillId="0" borderId="10" xfId="3" applyNumberFormat="1" applyFont="1" applyFill="1" applyBorder="1" applyAlignment="1">
      <alignment vertical="center"/>
    </xf>
    <xf numFmtId="166" fontId="4" fillId="0" borderId="0" xfId="1" applyNumberFormat="1" applyFont="1"/>
    <xf numFmtId="166" fontId="4" fillId="0" borderId="0" xfId="1" applyNumberFormat="1" applyFont="1" applyFill="1" applyAlignment="1">
      <alignment horizontal="left"/>
    </xf>
    <xf numFmtId="166" fontId="10" fillId="0" borderId="0" xfId="1" applyNumberFormat="1" applyFont="1" applyFill="1"/>
    <xf numFmtId="0" fontId="4" fillId="0" borderId="0" xfId="0" applyFont="1" applyAlignment="1">
      <alignment horizontal="left" indent="2"/>
    </xf>
    <xf numFmtId="166" fontId="4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1" applyNumberFormat="1" applyFont="1"/>
    <xf numFmtId="0" fontId="4" fillId="0" borderId="3" xfId="0" applyFont="1" applyBorder="1" applyAlignment="1">
      <alignment horizontal="right"/>
    </xf>
    <xf numFmtId="172" fontId="4" fillId="0" borderId="0" xfId="1" applyNumberFormat="1" applyFont="1"/>
    <xf numFmtId="10" fontId="3" fillId="0" borderId="9" xfId="3" applyNumberFormat="1" applyFont="1" applyFill="1" applyBorder="1" applyAlignment="1">
      <alignment horizontal="right"/>
    </xf>
    <xf numFmtId="10" fontId="12" fillId="0" borderId="0" xfId="3" applyNumberFormat="1" applyFont="1" applyFill="1"/>
    <xf numFmtId="43" fontId="12" fillId="0" borderId="0" xfId="1" applyFont="1" applyFill="1"/>
    <xf numFmtId="10" fontId="12" fillId="0" borderId="0" xfId="3" applyNumberFormat="1" applyFont="1" applyFill="1" applyAlignment="1">
      <alignment horizontal="right"/>
    </xf>
    <xf numFmtId="43" fontId="12" fillId="0" borderId="0" xfId="1" applyFont="1" applyFill="1" applyAlignment="1">
      <alignment horizontal="right"/>
    </xf>
    <xf numFmtId="10" fontId="12" fillId="0" borderId="6" xfId="3" applyNumberFormat="1" applyFont="1" applyFill="1" applyBorder="1" applyAlignment="1">
      <alignment vertical="center"/>
    </xf>
    <xf numFmtId="43" fontId="12" fillId="0" borderId="6" xfId="1" applyFont="1" applyFill="1" applyBorder="1" applyAlignment="1">
      <alignment vertical="center"/>
    </xf>
    <xf numFmtId="166" fontId="12" fillId="0" borderId="0" xfId="1" applyNumberFormat="1" applyFont="1" applyFill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  <xf numFmtId="165" fontId="12" fillId="0" borderId="0" xfId="2" applyNumberFormat="1" applyFont="1" applyFill="1" applyBorder="1"/>
    <xf numFmtId="0" fontId="12" fillId="0" borderId="0" xfId="0" applyFont="1"/>
    <xf numFmtId="165" fontId="12" fillId="0" borderId="0" xfId="2" applyNumberFormat="1" applyFont="1" applyFill="1"/>
    <xf numFmtId="165" fontId="12" fillId="0" borderId="0" xfId="0" applyNumberFormat="1" applyFont="1"/>
    <xf numFmtId="169" fontId="12" fillId="0" borderId="0" xfId="0" applyNumberFormat="1" applyFont="1"/>
    <xf numFmtId="166" fontId="12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165" fontId="12" fillId="0" borderId="3" xfId="0" applyNumberFormat="1" applyFont="1" applyBorder="1"/>
    <xf numFmtId="0" fontId="13" fillId="0" borderId="0" xfId="0" applyFont="1" applyAlignment="1">
      <alignment horizontal="right" wrapText="1"/>
    </xf>
    <xf numFmtId="166" fontId="12" fillId="0" borderId="3" xfId="1" applyNumberFormat="1" applyFont="1" applyFill="1" applyBorder="1"/>
    <xf numFmtId="10" fontId="13" fillId="0" borderId="9" xfId="3" applyNumberFormat="1" applyFont="1" applyFill="1" applyBorder="1"/>
    <xf numFmtId="172" fontId="12" fillId="0" borderId="0" xfId="1" applyNumberFormat="1" applyFont="1" applyFill="1"/>
    <xf numFmtId="167" fontId="12" fillId="0" borderId="0" xfId="0" applyNumberFormat="1" applyFont="1"/>
    <xf numFmtId="172" fontId="12" fillId="0" borderId="0" xfId="0" applyNumberFormat="1" applyFont="1" applyAlignment="1">
      <alignment vertical="center"/>
    </xf>
    <xf numFmtId="172" fontId="12" fillId="0" borderId="0" xfId="0" applyNumberFormat="1" applyFont="1"/>
    <xf numFmtId="43" fontId="12" fillId="0" borderId="0" xfId="0" applyNumberFormat="1" applyFont="1"/>
    <xf numFmtId="178" fontId="12" fillId="0" borderId="0" xfId="0" applyNumberFormat="1" applyFont="1"/>
    <xf numFmtId="0" fontId="12" fillId="0" borderId="0" xfId="0" applyFont="1" applyAlignment="1">
      <alignment vertical="center"/>
    </xf>
    <xf numFmtId="10" fontId="12" fillId="0" borderId="0" xfId="0" applyNumberFormat="1" applyFont="1"/>
    <xf numFmtId="44" fontId="12" fillId="0" borderId="0" xfId="2" applyFont="1" applyFill="1"/>
    <xf numFmtId="181" fontId="12" fillId="0" borderId="0" xfId="0" applyNumberFormat="1" applyFont="1"/>
    <xf numFmtId="43" fontId="12" fillId="0" borderId="0" xfId="1" applyFont="1" applyFill="1" applyBorder="1"/>
    <xf numFmtId="43" fontId="4" fillId="0" borderId="0" xfId="1" applyFont="1" applyFill="1" applyBorder="1" applyAlignment="1">
      <alignment horizontal="right"/>
    </xf>
    <xf numFmtId="166" fontId="12" fillId="0" borderId="0" xfId="1" applyNumberFormat="1" applyFont="1" applyFill="1" applyBorder="1"/>
    <xf numFmtId="166" fontId="12" fillId="0" borderId="0" xfId="1" applyNumberFormat="1" applyFont="1" applyFill="1" applyAlignment="1">
      <alignment horizontal="right"/>
    </xf>
    <xf numFmtId="166" fontId="12" fillId="0" borderId="0" xfId="1" applyNumberFormat="1" applyFont="1" applyFill="1" applyAlignment="1"/>
    <xf numFmtId="165" fontId="12" fillId="0" borderId="0" xfId="2" applyNumberFormat="1" applyFont="1" applyFill="1" applyAlignment="1"/>
    <xf numFmtId="166" fontId="12" fillId="0" borderId="0" xfId="3" applyNumberFormat="1" applyFont="1" applyFill="1" applyAlignment="1"/>
    <xf numFmtId="182" fontId="12" fillId="0" borderId="0" xfId="3" applyNumberFormat="1" applyFont="1" applyFill="1"/>
    <xf numFmtId="9" fontId="12" fillId="0" borderId="0" xfId="3" applyFont="1" applyFill="1"/>
    <xf numFmtId="182" fontId="12" fillId="0" borderId="0" xfId="1" applyNumberFormat="1" applyFont="1" applyFill="1" applyAlignment="1"/>
    <xf numFmtId="166" fontId="12" fillId="0" borderId="3" xfId="1" applyNumberFormat="1" applyFont="1" applyFill="1" applyBorder="1" applyAlignment="1"/>
    <xf numFmtId="165" fontId="12" fillId="0" borderId="3" xfId="2" applyNumberFormat="1" applyFont="1" applyFill="1" applyBorder="1" applyAlignment="1"/>
    <xf numFmtId="182" fontId="12" fillId="0" borderId="3" xfId="3" applyNumberFormat="1" applyFont="1" applyFill="1" applyBorder="1"/>
    <xf numFmtId="166" fontId="13" fillId="0" borderId="0" xfId="1" applyNumberFormat="1" applyFont="1" applyFill="1" applyAlignment="1">
      <alignment horizontal="right"/>
    </xf>
    <xf numFmtId="166" fontId="14" fillId="0" borderId="0" xfId="1" applyNumberFormat="1" applyFont="1" applyFill="1" applyAlignment="1">
      <alignment horizontal="left"/>
    </xf>
    <xf numFmtId="166" fontId="14" fillId="0" borderId="0" xfId="1" applyNumberFormat="1" applyFont="1" applyFill="1" applyAlignment="1">
      <alignment horizontal="center"/>
    </xf>
    <xf numFmtId="180" fontId="14" fillId="0" borderId="0" xfId="1" applyNumberFormat="1" applyFont="1" applyFill="1" applyAlignment="1">
      <alignment horizontal="right"/>
    </xf>
    <xf numFmtId="166" fontId="14" fillId="0" borderId="0" xfId="1" applyNumberFormat="1" applyFont="1" applyFill="1" applyAlignment="1">
      <alignment horizontal="right"/>
    </xf>
    <xf numFmtId="166" fontId="12" fillId="0" borderId="0" xfId="3" applyNumberFormat="1" applyFon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1" fontId="12" fillId="0" borderId="0" xfId="0" applyNumberFormat="1" applyFont="1"/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166" fontId="12" fillId="0" borderId="3" xfId="0" applyNumberFormat="1" applyFont="1" applyBorder="1"/>
    <xf numFmtId="166" fontId="13" fillId="0" borderId="0" xfId="0" applyNumberFormat="1" applyFont="1" applyAlignment="1">
      <alignment horizontal="right"/>
    </xf>
    <xf numFmtId="0" fontId="15" fillId="0" borderId="0" xfId="0" applyFont="1"/>
    <xf numFmtId="0" fontId="13" fillId="0" borderId="0" xfId="0" applyFont="1" applyAlignment="1">
      <alignment horizontal="left"/>
    </xf>
    <xf numFmtId="4" fontId="12" fillId="0" borderId="0" xfId="0" applyNumberFormat="1" applyFont="1"/>
    <xf numFmtId="166" fontId="12" fillId="0" borderId="0" xfId="0" applyNumberFormat="1" applyFont="1" applyAlignment="1">
      <alignment horizontal="center"/>
    </xf>
    <xf numFmtId="166" fontId="16" fillId="0" borderId="0" xfId="1" applyNumberFormat="1" applyFont="1" applyFill="1"/>
    <xf numFmtId="0" fontId="3" fillId="0" borderId="1" xfId="0" applyFont="1" applyBorder="1" applyAlignment="1">
      <alignment horizontal="center" wrapText="1"/>
    </xf>
    <xf numFmtId="0" fontId="4" fillId="0" borderId="6" xfId="0" applyFont="1" applyBorder="1"/>
    <xf numFmtId="10" fontId="4" fillId="0" borderId="6" xfId="0" applyNumberFormat="1" applyFont="1" applyBorder="1"/>
    <xf numFmtId="177" fontId="3" fillId="0" borderId="2" xfId="1" applyNumberFormat="1" applyFont="1" applyFill="1" applyBorder="1" applyAlignment="1">
      <alignment horizontal="left"/>
    </xf>
    <xf numFmtId="177" fontId="3" fillId="0" borderId="2" xfId="1" applyNumberFormat="1" applyFont="1" applyFill="1" applyBorder="1" applyAlignment="1">
      <alignment horizontal="right"/>
    </xf>
    <xf numFmtId="166" fontId="3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44" fontId="4" fillId="0" borderId="3" xfId="0" applyNumberFormat="1" applyFont="1" applyBorder="1"/>
    <xf numFmtId="181" fontId="4" fillId="0" borderId="0" xfId="2" applyNumberFormat="1" applyFont="1" applyFill="1"/>
    <xf numFmtId="168" fontId="4" fillId="0" borderId="0" xfId="0" applyNumberFormat="1" applyFont="1"/>
    <xf numFmtId="10" fontId="4" fillId="0" borderId="4" xfId="3" applyNumberFormat="1" applyFont="1" applyFill="1" applyBorder="1"/>
    <xf numFmtId="10" fontId="4" fillId="0" borderId="5" xfId="0" applyNumberFormat="1" applyFont="1" applyBorder="1"/>
    <xf numFmtId="170" fontId="4" fillId="0" borderId="0" xfId="0" applyNumberFormat="1" applyFont="1"/>
    <xf numFmtId="44" fontId="4" fillId="0" borderId="0" xfId="2" applyFont="1" applyFill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4" fontId="4" fillId="0" borderId="0" xfId="0" applyNumberFormat="1" applyFont="1" applyAlignment="1">
      <alignment horizontal="center"/>
    </xf>
    <xf numFmtId="166" fontId="4" fillId="0" borderId="3" xfId="1" applyNumberFormat="1" applyFont="1" applyFill="1" applyBorder="1" applyAlignment="1">
      <alignment horizontal="center"/>
    </xf>
    <xf numFmtId="182" fontId="12" fillId="0" borderId="0" xfId="3" applyNumberFormat="1" applyFont="1" applyFill="1" applyAlignment="1">
      <alignment horizontal="right"/>
    </xf>
    <xf numFmtId="182" fontId="12" fillId="0" borderId="0" xfId="1" applyNumberFormat="1" applyFont="1" applyFill="1"/>
    <xf numFmtId="182" fontId="12" fillId="0" borderId="6" xfId="3" applyNumberFormat="1" applyFont="1" applyFill="1" applyBorder="1" applyAlignment="1">
      <alignment vertical="center"/>
    </xf>
    <xf numFmtId="165" fontId="12" fillId="3" borderId="0" xfId="0" applyNumberFormat="1" applyFont="1" applyFill="1"/>
    <xf numFmtId="0" fontId="12" fillId="3" borderId="0" xfId="0" applyFont="1" applyFill="1"/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006600"/>
      <color rgb="FFFFFFCC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c385686f0d07d2/Documents/CATALYST%20Consulting/Clients/Clark/Rate%20Case%202020-00110/COS-Rates-RevReq/Clark_COS_2019_Filed.xlsm" TargetMode="External"/><Relationship Id="rId1" Type="http://schemas.openxmlformats.org/officeDocument/2006/relationships/externalLinkPath" Target="/2ac385686f0d07d2/Documents/CATALYST%20Consulting/Clients/Clark/Rate%20Case%202020-00110/COS-Rates-RevReq/Clark_COS_2019_Fil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f Returns"/>
      <sheetName val="Summary of Rates"/>
      <sheetName val="Func &amp; Classif"/>
      <sheetName val="Alloc &amp; Returns"/>
      <sheetName val="Billing Det"/>
      <sheetName val="Purchased Power"/>
      <sheetName val="Meters"/>
      <sheetName val="Services"/>
      <sheetName val="Line Loss Calculation"/>
      <sheetName val="ZeroInt"/>
    </sheetNames>
    <sheetDataSet>
      <sheetData sheetId="0"/>
      <sheetData sheetId="1"/>
      <sheetData sheetId="2">
        <row r="56">
          <cell r="M56">
            <v>1411560.02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view="pageBreakPreview" zoomScaleNormal="100" zoomScaleSheetLayoutView="100" workbookViewId="0">
      <selection activeCell="L26" sqref="L26"/>
    </sheetView>
  </sheetViews>
  <sheetFormatPr defaultColWidth="9.109375" defaultRowHeight="13.2" x14ac:dyDescent="0.25"/>
  <cols>
    <col min="1" max="1" width="4.44140625" style="14" customWidth="1"/>
    <col min="2" max="2" width="29.6640625" style="21" customWidth="1"/>
    <col min="3" max="3" width="6.88671875" style="25" bestFit="1" customWidth="1"/>
    <col min="4" max="5" width="12.44140625" style="25" bestFit="1" customWidth="1"/>
    <col min="6" max="6" width="12.21875" style="26" customWidth="1"/>
    <col min="7" max="7" width="13.44140625" style="14" customWidth="1"/>
    <col min="8" max="8" width="14.33203125" style="27" bestFit="1" customWidth="1"/>
    <col min="9" max="9" width="14.109375" style="27" bestFit="1" customWidth="1"/>
    <col min="10" max="10" width="2.33203125" style="14" customWidth="1"/>
    <col min="11" max="11" width="10.109375" style="27" bestFit="1" customWidth="1"/>
    <col min="12" max="12" width="14.5546875" style="27" customWidth="1"/>
    <col min="13" max="14" width="12.44140625" style="14" bestFit="1" customWidth="1"/>
    <col min="15" max="15" width="8.5546875" style="14" bestFit="1" customWidth="1"/>
    <col min="16" max="16" width="9.33203125" style="14" bestFit="1" customWidth="1"/>
    <col min="17" max="16384" width="9.109375" style="14"/>
  </cols>
  <sheetData>
    <row r="1" spans="1:16" x14ac:dyDescent="0.25">
      <c r="A1" s="13" t="s">
        <v>1052</v>
      </c>
      <c r="I1" s="136">
        <v>2021</v>
      </c>
    </row>
    <row r="2" spans="1:16" x14ac:dyDescent="0.25">
      <c r="A2" s="13" t="s">
        <v>673</v>
      </c>
      <c r="C2" s="28"/>
      <c r="D2" s="28"/>
      <c r="E2" s="28"/>
      <c r="F2" s="28"/>
      <c r="H2" s="29"/>
      <c r="I2" s="29"/>
      <c r="K2" s="29"/>
      <c r="L2" s="29"/>
      <c r="M2" s="29"/>
    </row>
    <row r="3" spans="1:16" x14ac:dyDescent="0.25">
      <c r="F3" s="32"/>
    </row>
    <row r="4" spans="1:16" x14ac:dyDescent="0.25">
      <c r="A4" s="13"/>
      <c r="B4" s="33"/>
      <c r="C4" s="34"/>
      <c r="D4" s="34"/>
      <c r="E4" s="34"/>
      <c r="F4" s="34"/>
      <c r="G4" s="34"/>
      <c r="I4" s="26"/>
      <c r="M4" s="26"/>
    </row>
    <row r="5" spans="1:16" s="33" customFormat="1" ht="13.95" customHeight="1" x14ac:dyDescent="0.25">
      <c r="C5" s="132"/>
      <c r="D5" s="132" t="s">
        <v>898</v>
      </c>
      <c r="E5" s="132" t="s">
        <v>898</v>
      </c>
      <c r="F5" s="132"/>
      <c r="H5" s="132" t="s">
        <v>898</v>
      </c>
      <c r="I5" s="132" t="s">
        <v>936</v>
      </c>
      <c r="J5" s="14"/>
      <c r="K5" s="35"/>
      <c r="L5" s="35"/>
      <c r="M5" s="26"/>
      <c r="N5" s="14"/>
      <c r="O5" s="14"/>
    </row>
    <row r="6" spans="1:16" s="33" customFormat="1" ht="13.95" customHeight="1" x14ac:dyDescent="0.25">
      <c r="C6" s="132"/>
      <c r="D6" s="132" t="s">
        <v>672</v>
      </c>
      <c r="E6" s="132" t="s">
        <v>672</v>
      </c>
      <c r="F6" s="36"/>
      <c r="H6" s="33" t="s">
        <v>333</v>
      </c>
      <c r="I6" s="33" t="s">
        <v>333</v>
      </c>
      <c r="J6" s="14"/>
      <c r="M6" s="26"/>
      <c r="N6" s="14"/>
      <c r="O6" s="14"/>
    </row>
    <row r="7" spans="1:16" s="33" customFormat="1" ht="13.95" customHeight="1" x14ac:dyDescent="0.25">
      <c r="A7" s="37"/>
      <c r="B7" s="28" t="s">
        <v>750</v>
      </c>
      <c r="C7" s="28" t="s">
        <v>864</v>
      </c>
      <c r="D7" s="28" t="s">
        <v>347</v>
      </c>
      <c r="E7" s="28" t="s">
        <v>671</v>
      </c>
      <c r="F7" s="28" t="s">
        <v>346</v>
      </c>
      <c r="G7" s="111" t="s">
        <v>76</v>
      </c>
      <c r="H7" s="28" t="s">
        <v>862</v>
      </c>
      <c r="I7" s="28" t="s">
        <v>862</v>
      </c>
      <c r="J7" s="14"/>
      <c r="L7" s="35"/>
      <c r="M7" s="26"/>
      <c r="N7" s="14"/>
      <c r="O7" s="14"/>
    </row>
    <row r="8" spans="1:16" s="141" customFormat="1" ht="13.95" customHeight="1" x14ac:dyDescent="0.3">
      <c r="A8" s="91" t="s">
        <v>942</v>
      </c>
      <c r="B8" s="140">
        <v>1</v>
      </c>
      <c r="C8" s="140">
        <f>B8+1</f>
        <v>2</v>
      </c>
      <c r="D8" s="140" t="s">
        <v>1032</v>
      </c>
      <c r="E8" s="140" t="s">
        <v>1033</v>
      </c>
      <c r="F8" s="140" t="s">
        <v>1034</v>
      </c>
      <c r="G8" s="140">
        <v>6</v>
      </c>
      <c r="H8" s="140">
        <v>7</v>
      </c>
      <c r="I8" s="140">
        <v>8</v>
      </c>
      <c r="J8"/>
      <c r="L8" s="35"/>
      <c r="M8" s="26"/>
      <c r="N8" s="14"/>
      <c r="O8" s="14"/>
    </row>
    <row r="9" spans="1:16" ht="13.95" customHeight="1" x14ac:dyDescent="0.25">
      <c r="A9" s="21"/>
      <c r="B9" s="13"/>
      <c r="C9" s="33"/>
      <c r="F9" s="25"/>
      <c r="G9" s="26"/>
      <c r="H9" s="14"/>
      <c r="I9" s="35"/>
      <c r="K9" s="33"/>
      <c r="L9" s="35"/>
      <c r="M9" s="26"/>
      <c r="P9" s="33"/>
    </row>
    <row r="10" spans="1:16" ht="13.95" customHeight="1" x14ac:dyDescent="0.25">
      <c r="A10" s="21">
        <v>1</v>
      </c>
      <c r="B10" s="14" t="s">
        <v>1053</v>
      </c>
      <c r="C10" s="21" t="s">
        <v>1037</v>
      </c>
      <c r="D10" s="40">
        <f>'Alloc &amp; Returns'!F$319</f>
        <v>28498231.710072868</v>
      </c>
      <c r="E10" s="40">
        <f>'Alloc &amp; Returns'!F$354</f>
        <v>33022055.383994594</v>
      </c>
      <c r="F10" s="40">
        <f>D10-E10</f>
        <v>-4523823.6739217266</v>
      </c>
      <c r="G10" s="40">
        <f>'Alloc &amp; Returns'!F$362</f>
        <v>51218720.466161877</v>
      </c>
      <c r="H10" s="161">
        <f>IF(G10=0,"NA",F10/G10)</f>
        <v>-8.8323636997344218E-2</v>
      </c>
      <c r="I10" s="162">
        <f>IF(H10="NA","NA",H10/H$26)</f>
        <v>1.6415267622850935</v>
      </c>
      <c r="K10" s="33"/>
      <c r="L10" s="35"/>
      <c r="M10" s="26"/>
      <c r="P10" s="33"/>
    </row>
    <row r="11" spans="1:16" ht="13.95" customHeight="1" x14ac:dyDescent="0.25">
      <c r="A11" s="21">
        <v>2</v>
      </c>
      <c r="B11" s="14" t="s">
        <v>1178</v>
      </c>
      <c r="C11" s="21" t="s">
        <v>1177</v>
      </c>
      <c r="D11" s="40">
        <f>'Alloc &amp; Returns'!G$319</f>
        <v>28243.136366757764</v>
      </c>
      <c r="E11" s="40">
        <f>'Alloc &amp; Returns'!G$354</f>
        <v>28975.154702827858</v>
      </c>
      <c r="F11" s="40">
        <f t="shared" ref="F11:F26" si="0">D11-E11</f>
        <v>-732.01833607009394</v>
      </c>
      <c r="G11" s="40">
        <f>'Alloc &amp; Returns'!G$362</f>
        <v>43691.224611132253</v>
      </c>
      <c r="H11" s="161">
        <f t="shared" ref="H11:H16" si="1">IF(G11=0,"NA",F11/G11)</f>
        <v>-1.675435611121736E-2</v>
      </c>
      <c r="I11" s="162">
        <f t="shared" ref="I11:I16" si="2">IF(H11="NA","NA",H11/H$26)</f>
        <v>0.31138577255650235</v>
      </c>
      <c r="L11" s="35"/>
      <c r="M11" s="26"/>
      <c r="P11" s="33"/>
    </row>
    <row r="12" spans="1:16" ht="13.95" customHeight="1" x14ac:dyDescent="0.25">
      <c r="A12" s="21">
        <v>3</v>
      </c>
      <c r="B12" s="14" t="s">
        <v>1176</v>
      </c>
      <c r="C12" s="21" t="s">
        <v>1054</v>
      </c>
      <c r="D12" s="40">
        <f>'Alloc &amp; Returns'!H$319</f>
        <v>3768051.3923918456</v>
      </c>
      <c r="E12" s="40">
        <f>'Alloc &amp; Returns'!H$354</f>
        <v>3809245.2067136387</v>
      </c>
      <c r="F12" s="40">
        <f t="shared" si="0"/>
        <v>-41193.81432179315</v>
      </c>
      <c r="G12" s="40">
        <f>'Alloc &amp; Returns'!H$362</f>
        <v>5184626.759981649</v>
      </c>
      <c r="H12" s="161">
        <f t="shared" si="1"/>
        <v>-7.9453770211105716E-3</v>
      </c>
      <c r="I12" s="162">
        <f t="shared" si="2"/>
        <v>0.14766770776196853</v>
      </c>
      <c r="L12" s="35"/>
      <c r="M12" s="26"/>
      <c r="P12" s="33"/>
    </row>
    <row r="13" spans="1:16" ht="13.95" customHeight="1" x14ac:dyDescent="0.25">
      <c r="A13" s="21">
        <v>4</v>
      </c>
      <c r="B13" s="14" t="s">
        <v>1175</v>
      </c>
      <c r="C13" s="21" t="s">
        <v>1055</v>
      </c>
      <c r="D13" s="40">
        <f>'Alloc &amp; Returns'!I$319</f>
        <v>7060739.2752053477</v>
      </c>
      <c r="E13" s="40">
        <f>'Alloc &amp; Returns'!I$354</f>
        <v>6529191.5666260598</v>
      </c>
      <c r="F13" s="40">
        <f t="shared" si="0"/>
        <v>531547.70857928786</v>
      </c>
      <c r="G13" s="40">
        <f>'Alloc &amp; Returns'!I$362</f>
        <v>3677082.0873443196</v>
      </c>
      <c r="H13" s="161">
        <f t="shared" si="1"/>
        <v>0.14455693290306307</v>
      </c>
      <c r="I13" s="162">
        <f t="shared" si="2"/>
        <v>-2.6866429203018867</v>
      </c>
      <c r="L13" s="35"/>
      <c r="M13" s="26"/>
      <c r="P13" s="33"/>
    </row>
    <row r="14" spans="1:16" ht="13.95" customHeight="1" x14ac:dyDescent="0.25">
      <c r="A14" s="21">
        <v>5</v>
      </c>
      <c r="B14" s="14" t="s">
        <v>1057</v>
      </c>
      <c r="C14" s="21" t="s">
        <v>1056</v>
      </c>
      <c r="D14" s="40">
        <f>'Alloc &amp; Returns'!J$319</f>
        <v>1913572.7935670074</v>
      </c>
      <c r="E14" s="40">
        <f>'Alloc &amp; Returns'!J$354</f>
        <v>1798635.3686139805</v>
      </c>
      <c r="F14" s="40">
        <f t="shared" si="0"/>
        <v>114937.42495302693</v>
      </c>
      <c r="G14" s="40">
        <f>'Alloc &amp; Returns'!J$362</f>
        <v>530606.12617863517</v>
      </c>
      <c r="H14" s="161">
        <f t="shared" si="1"/>
        <v>0.21661533721970599</v>
      </c>
      <c r="I14" s="162">
        <f t="shared" si="2"/>
        <v>-4.0258744460245621</v>
      </c>
      <c r="L14" s="35"/>
      <c r="M14" s="26"/>
      <c r="P14" s="33"/>
    </row>
    <row r="15" spans="1:16" ht="13.95" customHeight="1" x14ac:dyDescent="0.25">
      <c r="A15" s="21">
        <v>6</v>
      </c>
      <c r="B15" s="14" t="s">
        <v>751</v>
      </c>
      <c r="C15" s="21" t="s">
        <v>1038</v>
      </c>
      <c r="D15" s="40">
        <f>'Alloc &amp; Returns'!K$319</f>
        <v>491164.80514999997</v>
      </c>
      <c r="E15" s="40">
        <f>'Alloc &amp; Returns'!K$354</f>
        <v>322791.25608443446</v>
      </c>
      <c r="F15" s="40">
        <f t="shared" ref="F15:F17" si="3">D15-E15</f>
        <v>168373.54906556552</v>
      </c>
      <c r="G15" s="40">
        <f>'Alloc &amp; Returns'!K$362</f>
        <v>2426151.3221646999</v>
      </c>
      <c r="H15" s="161">
        <f t="shared" si="1"/>
        <v>6.9399442453299473E-2</v>
      </c>
      <c r="I15" s="162">
        <f t="shared" si="2"/>
        <v>-1.2898137570827253</v>
      </c>
      <c r="L15" s="35"/>
      <c r="M15" s="26"/>
      <c r="P15" s="33"/>
    </row>
    <row r="16" spans="1:16" ht="13.95" customHeight="1" x14ac:dyDescent="0.25">
      <c r="A16" s="21">
        <v>7</v>
      </c>
      <c r="B16" s="14" t="s">
        <v>1058</v>
      </c>
      <c r="C16" s="21" t="s">
        <v>1154</v>
      </c>
      <c r="D16" s="40">
        <f>'Alloc &amp; Returns'!L$319</f>
        <v>3763954.8272461826</v>
      </c>
      <c r="E16" s="40">
        <f>'Alloc &amp; Returns'!L$354</f>
        <v>3435729.8779312763</v>
      </c>
      <c r="F16" s="40">
        <f t="shared" si="3"/>
        <v>328224.94931490626</v>
      </c>
      <c r="G16" s="40">
        <f>'Alloc &amp; Returns'!L$362</f>
        <v>0</v>
      </c>
      <c r="H16" s="163" t="str">
        <f t="shared" si="1"/>
        <v>NA</v>
      </c>
      <c r="I16" s="164" t="str">
        <f t="shared" si="2"/>
        <v>NA</v>
      </c>
      <c r="K16" s="93"/>
      <c r="L16" s="35"/>
      <c r="M16" s="26"/>
      <c r="P16" s="33"/>
    </row>
    <row r="17" spans="1:16" ht="13.95" hidden="1" customHeight="1" x14ac:dyDescent="0.25">
      <c r="A17" s="21">
        <v>8</v>
      </c>
      <c r="B17" s="14"/>
      <c r="C17" s="21"/>
      <c r="D17" s="40">
        <f>'Alloc &amp; Returns'!M$319</f>
        <v>0</v>
      </c>
      <c r="E17" s="40">
        <f>'Alloc &amp; Returns'!M$354</f>
        <v>0</v>
      </c>
      <c r="F17" s="40">
        <f t="shared" si="3"/>
        <v>0</v>
      </c>
      <c r="G17" s="40">
        <f>'Alloc &amp; Returns'!J$362</f>
        <v>530606.12617863517</v>
      </c>
      <c r="H17" s="161">
        <f t="shared" ref="H17" si="4">IF(G17=0,0,F17/G17)</f>
        <v>0</v>
      </c>
      <c r="I17" s="162">
        <f t="shared" ref="I17" si="5">H17/H$26</f>
        <v>0</v>
      </c>
      <c r="L17" s="152"/>
      <c r="M17" s="26"/>
      <c r="P17" s="33"/>
    </row>
    <row r="18" spans="1:16" ht="13.95" hidden="1" customHeight="1" x14ac:dyDescent="0.25">
      <c r="A18" s="21"/>
      <c r="B18" s="14"/>
      <c r="C18" s="21"/>
      <c r="D18" s="40"/>
      <c r="E18" s="40"/>
      <c r="F18" s="40"/>
      <c r="G18" s="40"/>
      <c r="H18" s="161"/>
      <c r="I18" s="162"/>
      <c r="J18" s="36"/>
      <c r="L18" s="152"/>
      <c r="M18" s="26"/>
      <c r="P18" s="33"/>
    </row>
    <row r="19" spans="1:16" ht="13.95" hidden="1" customHeight="1" x14ac:dyDescent="0.25">
      <c r="A19" s="21"/>
      <c r="B19" s="14"/>
      <c r="C19" s="21"/>
      <c r="D19" s="40"/>
      <c r="E19" s="40"/>
      <c r="F19" s="40"/>
      <c r="G19" s="40"/>
      <c r="H19" s="161"/>
      <c r="I19" s="162"/>
      <c r="J19" s="36"/>
      <c r="L19" s="35"/>
      <c r="M19" s="26"/>
      <c r="P19" s="33"/>
    </row>
    <row r="20" spans="1:16" ht="13.95" hidden="1" customHeight="1" x14ac:dyDescent="0.25">
      <c r="A20" s="21"/>
      <c r="B20" s="14"/>
      <c r="C20" s="21"/>
      <c r="D20" s="40"/>
      <c r="E20" s="40"/>
      <c r="F20" s="40"/>
      <c r="G20" s="40"/>
      <c r="H20" s="161"/>
      <c r="I20" s="162"/>
      <c r="J20" s="36"/>
      <c r="L20" s="35"/>
      <c r="M20" s="26"/>
      <c r="P20" s="33"/>
    </row>
    <row r="21" spans="1:16" ht="13.95" hidden="1" customHeight="1" x14ac:dyDescent="0.25">
      <c r="A21" s="21"/>
      <c r="B21" s="14"/>
      <c r="C21" s="21"/>
      <c r="D21" s="42"/>
      <c r="E21" s="40"/>
      <c r="F21" s="42"/>
      <c r="G21" s="40"/>
      <c r="H21" s="161"/>
      <c r="I21" s="161"/>
      <c r="J21" s="36"/>
      <c r="L21" s="35"/>
      <c r="M21" s="26"/>
      <c r="P21" s="33"/>
    </row>
    <row r="22" spans="1:16" ht="13.95" hidden="1" customHeight="1" x14ac:dyDescent="0.25">
      <c r="A22" s="21"/>
      <c r="B22" s="14"/>
      <c r="C22" s="21"/>
      <c r="D22" s="42"/>
      <c r="E22" s="40"/>
      <c r="F22" s="42"/>
      <c r="G22" s="42"/>
      <c r="H22" s="161"/>
      <c r="I22" s="161"/>
      <c r="J22" s="36"/>
      <c r="L22" s="35"/>
      <c r="M22" s="26"/>
      <c r="P22" s="33"/>
    </row>
    <row r="23" spans="1:16" ht="13.95" hidden="1" customHeight="1" x14ac:dyDescent="0.25">
      <c r="A23" s="21"/>
      <c r="B23" s="14"/>
      <c r="C23" s="21"/>
      <c r="D23" s="42"/>
      <c r="E23" s="40"/>
      <c r="F23" s="42"/>
      <c r="G23" s="42"/>
      <c r="H23" s="161"/>
      <c r="I23" s="161"/>
      <c r="J23" s="36"/>
      <c r="L23" s="35"/>
      <c r="M23" s="26"/>
      <c r="P23" s="33"/>
    </row>
    <row r="24" spans="1:16" ht="13.95" hidden="1" customHeight="1" x14ac:dyDescent="0.25">
      <c r="A24" s="21"/>
      <c r="B24" s="14"/>
      <c r="C24" s="21"/>
      <c r="D24" s="42"/>
      <c r="E24" s="40"/>
      <c r="F24" s="42"/>
      <c r="G24" s="42"/>
      <c r="H24" s="161"/>
      <c r="I24" s="161"/>
      <c r="J24" s="36"/>
      <c r="L24" s="35"/>
      <c r="M24" s="26"/>
      <c r="P24" s="33"/>
    </row>
    <row r="25" spans="1:16" ht="13.95" hidden="1" customHeight="1" x14ac:dyDescent="0.25">
      <c r="A25" s="21"/>
      <c r="B25" s="14"/>
      <c r="C25" s="21"/>
      <c r="D25" s="42"/>
      <c r="E25" s="40"/>
      <c r="F25" s="42"/>
      <c r="G25" s="42"/>
      <c r="H25" s="161"/>
      <c r="I25" s="161"/>
      <c r="J25" s="36"/>
      <c r="L25" s="35"/>
      <c r="M25" s="26"/>
      <c r="P25" s="33"/>
    </row>
    <row r="26" spans="1:16" s="48" customFormat="1" ht="29.4" customHeight="1" thickBot="1" x14ac:dyDescent="0.3">
      <c r="A26" s="43">
        <v>8</v>
      </c>
      <c r="B26" s="44" t="s">
        <v>0</v>
      </c>
      <c r="C26" s="45"/>
      <c r="D26" s="46">
        <f>SUM(D10:D25)</f>
        <v>45523957.940000013</v>
      </c>
      <c r="E26" s="46">
        <f>SUM(E10:E25)</f>
        <v>48946623.814666808</v>
      </c>
      <c r="F26" s="46">
        <f t="shared" si="0"/>
        <v>-3422665.8746667951</v>
      </c>
      <c r="G26" s="46">
        <f>SUM(G10:G25)</f>
        <v>63611484.11262095</v>
      </c>
      <c r="H26" s="165">
        <f>F26/G26</f>
        <v>-5.3805785581218894E-2</v>
      </c>
      <c r="I26" s="166">
        <f>H26/H$26</f>
        <v>1</v>
      </c>
      <c r="J26" s="36"/>
      <c r="M26" s="26"/>
      <c r="N26" s="14"/>
      <c r="O26" s="14"/>
      <c r="P26" s="33"/>
    </row>
    <row r="27" spans="1:16" s="48" customFormat="1" ht="13.95" customHeight="1" thickTop="1" x14ac:dyDescent="0.25">
      <c r="A27" s="43"/>
      <c r="C27" s="43"/>
      <c r="D27" s="147"/>
      <c r="E27" s="147"/>
      <c r="F27" s="147"/>
      <c r="G27" s="147"/>
      <c r="H27" s="148"/>
      <c r="I27" s="149"/>
      <c r="J27" s="36"/>
      <c r="M27" s="26"/>
      <c r="N27" s="14"/>
      <c r="O27" s="14"/>
      <c r="P27" s="33"/>
    </row>
    <row r="28" spans="1:16" ht="13.95" customHeight="1" x14ac:dyDescent="0.25">
      <c r="A28" s="21"/>
      <c r="B28" s="14"/>
      <c r="C28" s="21"/>
      <c r="D28" s="42"/>
      <c r="E28" s="42"/>
      <c r="F28" s="42"/>
      <c r="G28" s="42"/>
      <c r="H28" s="41"/>
      <c r="I28" s="25"/>
      <c r="J28" s="36"/>
      <c r="K28" s="35"/>
      <c r="M28" s="26"/>
      <c r="P28" s="33"/>
    </row>
    <row r="29" spans="1:16" ht="13.95" customHeight="1" x14ac:dyDescent="0.25">
      <c r="A29" s="21"/>
      <c r="B29" s="14"/>
      <c r="C29" s="21"/>
      <c r="F29" s="25"/>
      <c r="H29" s="150" t="s">
        <v>1040</v>
      </c>
      <c r="I29" s="150"/>
      <c r="J29" s="27"/>
      <c r="K29" s="35"/>
      <c r="N29" s="33"/>
      <c r="O29" s="33"/>
      <c r="P29" s="33"/>
    </row>
    <row r="30" spans="1:16" ht="13.95" customHeight="1" x14ac:dyDescent="0.25">
      <c r="F30" s="14"/>
      <c r="H30" s="34" t="s">
        <v>898</v>
      </c>
      <c r="I30" s="34" t="s">
        <v>936</v>
      </c>
      <c r="J30" s="27"/>
    </row>
    <row r="31" spans="1:16" ht="13.95" customHeight="1" x14ac:dyDescent="0.25">
      <c r="A31" s="33"/>
      <c r="B31" s="33"/>
      <c r="C31" s="21"/>
      <c r="D31" s="34" t="s">
        <v>1016</v>
      </c>
      <c r="E31" s="34" t="s">
        <v>1027</v>
      </c>
      <c r="F31" s="14"/>
      <c r="H31" s="16" t="s">
        <v>333</v>
      </c>
      <c r="I31" s="16" t="s">
        <v>333</v>
      </c>
      <c r="J31" s="27"/>
    </row>
    <row r="32" spans="1:16" ht="13.95" customHeight="1" thickBot="1" x14ac:dyDescent="0.3">
      <c r="A32" s="37" t="s">
        <v>942</v>
      </c>
      <c r="B32" s="38" t="s">
        <v>750</v>
      </c>
      <c r="C32" s="38" t="s">
        <v>864</v>
      </c>
      <c r="D32" s="39" t="s">
        <v>347</v>
      </c>
      <c r="E32" s="39" t="s">
        <v>11</v>
      </c>
      <c r="F32" s="14"/>
      <c r="H32" s="39" t="s">
        <v>862</v>
      </c>
      <c r="I32" s="39" t="s">
        <v>862</v>
      </c>
      <c r="J32" s="27"/>
    </row>
    <row r="33" spans="1:13" ht="13.95" customHeight="1" x14ac:dyDescent="0.25">
      <c r="A33" s="21"/>
      <c r="B33" s="14"/>
      <c r="C33" s="33"/>
      <c r="D33" s="95"/>
      <c r="E33" s="95"/>
      <c r="F33" s="138"/>
      <c r="J33" s="27"/>
    </row>
    <row r="34" spans="1:13" ht="13.95" customHeight="1" x14ac:dyDescent="0.25">
      <c r="A34" s="21">
        <f>A26+1</f>
        <v>9</v>
      </c>
      <c r="B34" s="14" t="str">
        <f t="shared" ref="B34:C40" si="6">B10</f>
        <v>Residential Farm &amp; Home</v>
      </c>
      <c r="C34" s="21" t="str">
        <f t="shared" si="6"/>
        <v>A</v>
      </c>
      <c r="D34" s="134">
        <f t="shared" ref="D34:D40" si="7">D10/D$26</f>
        <v>0.62600514102119964</v>
      </c>
      <c r="E34" s="134">
        <f>'Billing Det'!P8</f>
        <v>0.54712990005729589</v>
      </c>
      <c r="F34" s="138"/>
      <c r="H34" s="203">
        <v>2.7E-2</v>
      </c>
      <c r="I34" s="25">
        <v>0.6656593238668671</v>
      </c>
      <c r="J34" s="27"/>
      <c r="M34" s="27"/>
    </row>
    <row r="35" spans="1:13" ht="13.95" customHeight="1" x14ac:dyDescent="0.25">
      <c r="A35" s="21">
        <f>A34+1</f>
        <v>10</v>
      </c>
      <c r="B35" s="14" t="str">
        <f t="shared" si="6"/>
        <v>Residential Marketing Rate (ETS)</v>
      </c>
      <c r="C35" s="21" t="str">
        <f t="shared" si="6"/>
        <v>R-1</v>
      </c>
      <c r="D35" s="134">
        <f t="shared" si="7"/>
        <v>6.2040160049312617E-4</v>
      </c>
      <c r="E35" s="134">
        <f>'Billing Det'!P9</f>
        <v>5.4005034807620689E-4</v>
      </c>
      <c r="F35" s="138"/>
      <c r="H35" s="203">
        <v>6.8000000000000005E-2</v>
      </c>
      <c r="I35" s="25">
        <v>-1.4081158069988773</v>
      </c>
      <c r="J35" s="27"/>
      <c r="M35" s="27"/>
    </row>
    <row r="36" spans="1:13" ht="13.95" customHeight="1" x14ac:dyDescent="0.25">
      <c r="A36" s="21">
        <f t="shared" ref="A36:A41" si="8">A35+1</f>
        <v>11</v>
      </c>
      <c r="B36" s="14" t="str">
        <f t="shared" si="6"/>
        <v>General Purpose Part 1 &lt; 50 KVA</v>
      </c>
      <c r="C36" s="21" t="str">
        <f t="shared" si="6"/>
        <v>GP1</v>
      </c>
      <c r="D36" s="134">
        <f t="shared" si="7"/>
        <v>8.2770733541184804E-2</v>
      </c>
      <c r="E36" s="134">
        <f>'Billing Det'!P10</f>
        <v>7.139638587581934E-2</v>
      </c>
      <c r="F36" s="138"/>
      <c r="H36" s="203">
        <v>3.5999999999999997E-2</v>
      </c>
      <c r="I36" s="25">
        <v>0.99404808082364482</v>
      </c>
    </row>
    <row r="37" spans="1:13" ht="13.95" customHeight="1" x14ac:dyDescent="0.25">
      <c r="A37" s="21">
        <f t="shared" si="8"/>
        <v>12</v>
      </c>
      <c r="B37" s="14" t="str">
        <f t="shared" si="6"/>
        <v>General Purpose Part 2 &gt; 50 KVA</v>
      </c>
      <c r="C37" s="21" t="str">
        <f t="shared" si="6"/>
        <v>GP2</v>
      </c>
      <c r="D37" s="134">
        <f t="shared" si="7"/>
        <v>0.15509941566397437</v>
      </c>
      <c r="E37" s="134">
        <f>'Billing Det'!P11</f>
        <v>0.14643133560194729</v>
      </c>
      <c r="F37" s="138"/>
      <c r="H37" s="203">
        <v>0.14099999999999999</v>
      </c>
      <c r="I37" s="25">
        <v>3.075862144134673</v>
      </c>
    </row>
    <row r="38" spans="1:13" ht="13.95" customHeight="1" x14ac:dyDescent="0.25">
      <c r="A38" s="21">
        <f t="shared" si="8"/>
        <v>13</v>
      </c>
      <c r="B38" s="14" t="str">
        <f t="shared" si="6"/>
        <v>Large Industrial B</v>
      </c>
      <c r="C38" s="21" t="str">
        <f t="shared" si="6"/>
        <v>B1</v>
      </c>
      <c r="D38" s="134">
        <f t="shared" si="7"/>
        <v>4.2034411772567566E-2</v>
      </c>
      <c r="E38" s="134">
        <f>'Billing Det'!P12</f>
        <v>4.8738367694615849E-2</v>
      </c>
      <c r="F38" s="138"/>
      <c r="H38" s="203">
        <v>0.21299999999999999</v>
      </c>
      <c r="I38" s="25">
        <v>4.6807256696893864</v>
      </c>
    </row>
    <row r="39" spans="1:13" ht="13.95" customHeight="1" x14ac:dyDescent="0.25">
      <c r="A39" s="21">
        <f t="shared" si="8"/>
        <v>14</v>
      </c>
      <c r="B39" s="14" t="str">
        <f t="shared" si="6"/>
        <v>Lighting</v>
      </c>
      <c r="C39" s="21" t="str">
        <f t="shared" si="6"/>
        <v>SL</v>
      </c>
      <c r="D39" s="134">
        <f t="shared" si="7"/>
        <v>1.078914987570608E-2</v>
      </c>
      <c r="E39" s="134">
        <f>'Billing Det'!P13</f>
        <v>0</v>
      </c>
      <c r="F39" s="138"/>
      <c r="H39" s="203">
        <v>6.5000000000000002E-2</v>
      </c>
      <c r="I39" s="25">
        <v>1.2199841545012347</v>
      </c>
    </row>
    <row r="40" spans="1:13" ht="13.95" customHeight="1" x14ac:dyDescent="0.25">
      <c r="A40" s="21">
        <f t="shared" si="8"/>
        <v>15</v>
      </c>
      <c r="B40" s="14" t="str">
        <f t="shared" si="6"/>
        <v>Special Contract</v>
      </c>
      <c r="C40" s="21" t="str">
        <f t="shared" si="6"/>
        <v>TGP</v>
      </c>
      <c r="D40" s="134">
        <f t="shared" si="7"/>
        <v>8.2680746524874366E-2</v>
      </c>
      <c r="E40" s="134">
        <f>'Billing Det'!P14</f>
        <v>0.18576396042224544</v>
      </c>
      <c r="F40" s="138"/>
      <c r="H40" s="251" t="s">
        <v>1180</v>
      </c>
      <c r="I40" s="50" t="s">
        <v>1180</v>
      </c>
    </row>
    <row r="41" spans="1:13" ht="13.95" hidden="1" customHeight="1" x14ac:dyDescent="0.25">
      <c r="A41" s="21">
        <f t="shared" si="8"/>
        <v>16</v>
      </c>
      <c r="B41" s="14"/>
      <c r="C41" s="21"/>
      <c r="D41" s="134"/>
      <c r="E41" s="134"/>
      <c r="F41" s="138"/>
      <c r="H41" s="203"/>
      <c r="I41" s="25"/>
    </row>
    <row r="42" spans="1:13" ht="13.95" hidden="1" customHeight="1" x14ac:dyDescent="0.25">
      <c r="A42" s="21">
        <f t="shared" ref="A42:A49" si="9">A36+1</f>
        <v>12</v>
      </c>
      <c r="B42" s="14"/>
      <c r="C42" s="21"/>
      <c r="D42" s="134"/>
      <c r="E42" s="134"/>
      <c r="F42" s="138"/>
      <c r="H42" s="252"/>
    </row>
    <row r="43" spans="1:13" ht="13.95" hidden="1" customHeight="1" x14ac:dyDescent="0.25">
      <c r="A43" s="21">
        <f t="shared" si="9"/>
        <v>13</v>
      </c>
      <c r="B43" s="14"/>
      <c r="C43" s="21"/>
      <c r="D43" s="134"/>
      <c r="E43" s="134"/>
      <c r="F43" s="14"/>
      <c r="H43" s="252"/>
    </row>
    <row r="44" spans="1:13" ht="13.95" hidden="1" customHeight="1" x14ac:dyDescent="0.25">
      <c r="A44" s="21">
        <f t="shared" si="9"/>
        <v>14</v>
      </c>
      <c r="B44" s="14"/>
      <c r="D44" s="134"/>
      <c r="E44" s="134"/>
      <c r="F44" s="14"/>
      <c r="H44" s="252"/>
    </row>
    <row r="45" spans="1:13" ht="13.95" hidden="1" customHeight="1" x14ac:dyDescent="0.25">
      <c r="A45" s="21">
        <f t="shared" si="9"/>
        <v>15</v>
      </c>
      <c r="B45" s="14"/>
      <c r="D45" s="134"/>
      <c r="E45" s="134"/>
      <c r="F45" s="14"/>
      <c r="H45" s="252"/>
    </row>
    <row r="46" spans="1:13" ht="13.95" hidden="1" customHeight="1" x14ac:dyDescent="0.25">
      <c r="A46" s="21">
        <f t="shared" si="9"/>
        <v>16</v>
      </c>
      <c r="B46" s="14"/>
      <c r="D46" s="134"/>
      <c r="E46" s="134"/>
      <c r="F46" s="14"/>
      <c r="H46" s="252"/>
    </row>
    <row r="47" spans="1:13" ht="13.95" hidden="1" customHeight="1" x14ac:dyDescent="0.25">
      <c r="A47" s="21">
        <f t="shared" si="9"/>
        <v>17</v>
      </c>
      <c r="B47" s="14"/>
      <c r="D47" s="134"/>
      <c r="E47" s="134"/>
      <c r="F47" s="14"/>
      <c r="H47" s="252"/>
    </row>
    <row r="48" spans="1:13" ht="13.95" hidden="1" customHeight="1" x14ac:dyDescent="0.25">
      <c r="A48" s="21">
        <f t="shared" si="9"/>
        <v>13</v>
      </c>
      <c r="B48" s="14"/>
      <c r="D48" s="134"/>
      <c r="E48" s="134"/>
      <c r="F48" s="14"/>
      <c r="H48" s="252"/>
    </row>
    <row r="49" spans="1:9" ht="13.95" hidden="1" customHeight="1" x14ac:dyDescent="0.25">
      <c r="A49" s="21">
        <f t="shared" si="9"/>
        <v>14</v>
      </c>
      <c r="B49" s="14"/>
      <c r="D49" s="134"/>
      <c r="E49" s="134"/>
      <c r="F49" s="14"/>
      <c r="H49" s="252"/>
    </row>
    <row r="50" spans="1:9" ht="13.95" customHeight="1" thickBot="1" x14ac:dyDescent="0.3">
      <c r="A50" s="43">
        <v>16</v>
      </c>
      <c r="B50" s="44" t="s">
        <v>0</v>
      </c>
      <c r="C50" s="44"/>
      <c r="D50" s="135">
        <f>D26/D$26</f>
        <v>1</v>
      </c>
      <c r="E50" s="135">
        <f>E26/E$26</f>
        <v>1</v>
      </c>
      <c r="F50" s="14"/>
      <c r="H50" s="253">
        <v>4.2999999999999997E-2</v>
      </c>
      <c r="I50" s="47">
        <v>1</v>
      </c>
    </row>
    <row r="51" spans="1:9" ht="13.8" thickTop="1" x14ac:dyDescent="0.25"/>
  </sheetData>
  <phoneticPr fontId="0" type="noConversion"/>
  <conditionalFormatting sqref="H28">
    <cfRule type="cellIs" dxfId="8" priority="13" operator="greaterThan">
      <formula>$H$26</formula>
    </cfRule>
    <cfRule type="cellIs" dxfId="7" priority="14" operator="lessThan">
      <formula>$H$26</formula>
    </cfRule>
  </conditionalFormatting>
  <conditionalFormatting sqref="I28">
    <cfRule type="cellIs" dxfId="6" priority="11" operator="greaterThan">
      <formula>$I$26</formula>
    </cfRule>
    <cfRule type="cellIs" dxfId="5" priority="12" operator="lessThan">
      <formula>$I$26</formula>
    </cfRule>
  </conditionalFormatting>
  <pageMargins left="0.75" right="0.75" top="1" bottom="1" header="0.5" footer="0.5"/>
  <pageSetup orientation="landscape" r:id="rId1"/>
  <headerFooter alignWithMargins="0">
    <oddFooter>&amp;RExhibit JW-3
Page 1 of 2</oddFooter>
  </headerFooter>
  <ignoredErrors>
    <ignoredError sqref="F26" formula="1"/>
    <ignoredError sqref="B8: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364"/>
  <sheetViews>
    <sheetView view="pageBreakPreview" zoomScale="60" zoomScaleNormal="100" workbookViewId="0">
      <selection activeCell="L35" sqref="L35"/>
    </sheetView>
  </sheetViews>
  <sheetFormatPr defaultColWidth="9.109375" defaultRowHeight="13.2" x14ac:dyDescent="0.25"/>
  <cols>
    <col min="1" max="1" width="4.44140625" style="14" customWidth="1"/>
    <col min="2" max="2" width="36.88671875" style="21" bestFit="1" customWidth="1"/>
    <col min="3" max="3" width="7.33203125" style="21" customWidth="1"/>
    <col min="4" max="4" width="3.44140625" style="25" customWidth="1"/>
    <col min="5" max="5" width="13.109375" style="25" bestFit="1" customWidth="1"/>
    <col min="6" max="6" width="11.44140625" style="25" bestFit="1" customWidth="1"/>
    <col min="7" max="7" width="10.6640625" style="26" customWidth="1"/>
    <col min="8" max="8" width="9.21875" style="14" bestFit="1" customWidth="1"/>
    <col min="9" max="9" width="8.77734375" style="14" bestFit="1" customWidth="1"/>
    <col min="10" max="10" width="13.5546875" style="14" customWidth="1"/>
    <col min="11" max="11" width="9.88671875" style="14" bestFit="1" customWidth="1"/>
    <col min="12" max="12" width="14.5546875" style="14" customWidth="1"/>
    <col min="13" max="13" width="6.88671875" style="14" bestFit="1" customWidth="1"/>
    <col min="14" max="14" width="9.5546875" style="14" bestFit="1" customWidth="1"/>
    <col min="15" max="16384" width="9.109375" style="14"/>
  </cols>
  <sheetData>
    <row r="1" spans="1:15" x14ac:dyDescent="0.25">
      <c r="A1" s="13" t="str">
        <f>'Summary of Returns'!A1</f>
        <v>TAYLOR COUNTY RECC</v>
      </c>
    </row>
    <row r="2" spans="1:15" x14ac:dyDescent="0.25">
      <c r="A2" s="13" t="s">
        <v>949</v>
      </c>
      <c r="D2" s="28"/>
      <c r="E2" s="28"/>
      <c r="F2" s="28"/>
      <c r="G2" s="28"/>
    </row>
    <row r="3" spans="1:15" x14ac:dyDescent="0.25">
      <c r="A3" s="13"/>
      <c r="D3" s="13"/>
      <c r="E3" s="30"/>
      <c r="F3" s="30"/>
      <c r="G3" s="31"/>
    </row>
    <row r="4" spans="1:15" x14ac:dyDescent="0.25">
      <c r="E4" s="256" t="s">
        <v>1181</v>
      </c>
      <c r="F4" s="257"/>
      <c r="G4" s="258"/>
    </row>
    <row r="5" spans="1:15" s="33" customFormat="1" x14ac:dyDescent="0.25">
      <c r="H5" s="14"/>
      <c r="I5" s="14"/>
      <c r="J5" s="14"/>
      <c r="K5" s="14"/>
      <c r="L5" s="14"/>
      <c r="M5" s="14"/>
      <c r="N5" s="14"/>
      <c r="O5" s="14"/>
    </row>
    <row r="6" spans="1:15" s="33" customFormat="1" x14ac:dyDescent="0.25">
      <c r="A6" s="21"/>
      <c r="E6" s="28" t="s">
        <v>721</v>
      </c>
      <c r="F6" s="28" t="s">
        <v>11</v>
      </c>
      <c r="G6" s="28" t="s">
        <v>10</v>
      </c>
      <c r="H6" s="14"/>
      <c r="I6" s="14"/>
      <c r="J6" s="14"/>
      <c r="K6" s="14"/>
      <c r="L6" s="14"/>
      <c r="M6" s="14"/>
      <c r="N6" s="14"/>
      <c r="O6" s="14"/>
    </row>
    <row r="7" spans="1:15" s="33" customFormat="1" x14ac:dyDescent="0.25">
      <c r="A7" s="21"/>
      <c r="B7" s="28" t="s">
        <v>750</v>
      </c>
      <c r="C7" s="28" t="s">
        <v>864</v>
      </c>
      <c r="D7" s="28"/>
      <c r="E7" s="28" t="s">
        <v>946</v>
      </c>
      <c r="F7" s="28" t="s">
        <v>947</v>
      </c>
      <c r="G7" s="28" t="s">
        <v>948</v>
      </c>
      <c r="H7" s="14"/>
      <c r="I7" s="14"/>
      <c r="J7" s="14"/>
      <c r="K7" s="14"/>
      <c r="L7" s="14"/>
      <c r="M7" s="14"/>
      <c r="N7" s="14"/>
      <c r="O7" s="14"/>
    </row>
    <row r="8" spans="1:15" s="141" customFormat="1" ht="14.4" x14ac:dyDescent="0.3">
      <c r="A8" s="91" t="s">
        <v>942</v>
      </c>
      <c r="B8" s="140">
        <v>1</v>
      </c>
      <c r="C8" s="140">
        <f>B8+1</f>
        <v>2</v>
      </c>
      <c r="E8" s="140" t="s">
        <v>1032</v>
      </c>
      <c r="F8" s="140" t="s">
        <v>1033</v>
      </c>
      <c r="G8" s="140" t="s">
        <v>1034</v>
      </c>
      <c r="H8" s="14"/>
      <c r="I8" s="14"/>
      <c r="J8" s="14"/>
      <c r="K8" s="14"/>
      <c r="L8" s="14"/>
      <c r="M8" s="14"/>
      <c r="N8" s="14"/>
      <c r="O8" s="14"/>
    </row>
    <row r="9" spans="1:15" x14ac:dyDescent="0.25">
      <c r="A9" s="21"/>
      <c r="B9" s="14"/>
      <c r="D9" s="14"/>
      <c r="G9" s="14"/>
    </row>
    <row r="10" spans="1:15" x14ac:dyDescent="0.25">
      <c r="A10" s="21">
        <v>1</v>
      </c>
      <c r="B10" s="14" t="str">
        <f>'Summary of Returns'!B10</f>
        <v>Residential Farm &amp; Home</v>
      </c>
      <c r="C10" s="21" t="str">
        <f>'Summary of Returns'!C10</f>
        <v>A</v>
      </c>
      <c r="E10" s="112">
        <f>'Alloc &amp; Returns'!F651</f>
        <v>30.772148614934977</v>
      </c>
      <c r="F10" s="113">
        <f>'Alloc &amp; Returns'!F652</f>
        <v>8.3258335536922967E-2</v>
      </c>
      <c r="G10" s="112">
        <f>'Alloc &amp; Returns'!F653</f>
        <v>0</v>
      </c>
    </row>
    <row r="11" spans="1:15" x14ac:dyDescent="0.25">
      <c r="A11" s="21">
        <v>2</v>
      </c>
      <c r="B11" s="14" t="str">
        <f>'Summary of Returns'!B11</f>
        <v>Residential Marketing Rate (ETS)</v>
      </c>
      <c r="C11" s="21" t="str">
        <f>'Summary of Returns'!C11</f>
        <v>R-1</v>
      </c>
      <c r="D11" s="13"/>
      <c r="E11" s="112">
        <f>'Alloc &amp; Returns'!G651</f>
        <v>32.592601108558739</v>
      </c>
      <c r="F11" s="113">
        <f>'Alloc &amp; Returns'!G652</f>
        <v>7.6080014471486629E-2</v>
      </c>
      <c r="G11" s="112">
        <f>'Alloc &amp; Returns'!G653</f>
        <v>0</v>
      </c>
      <c r="H11" s="111"/>
      <c r="N11" s="111"/>
    </row>
    <row r="12" spans="1:15" x14ac:dyDescent="0.25">
      <c r="A12" s="21">
        <v>3</v>
      </c>
      <c r="B12" s="14" t="str">
        <f>'Summary of Returns'!B12</f>
        <v>General Purpose Part 1 &lt; 50 KVA</v>
      </c>
      <c r="C12" s="21" t="str">
        <f>'Summary of Returns'!C12</f>
        <v>GP1</v>
      </c>
      <c r="E12" s="112">
        <f>'Alloc &amp; Returns'!H651</f>
        <v>31.005327238373919</v>
      </c>
      <c r="F12" s="113">
        <f>'Alloc &amp; Returns'!H652</f>
        <v>7.1129281742779646E-2</v>
      </c>
      <c r="G12" s="112">
        <f>'Alloc &amp; Returns'!H653</f>
        <v>0</v>
      </c>
      <c r="H12" s="111"/>
      <c r="N12" s="111"/>
      <c r="O12" s="107"/>
    </row>
    <row r="13" spans="1:15" x14ac:dyDescent="0.25">
      <c r="A13" s="21">
        <v>4</v>
      </c>
      <c r="B13" s="14" t="str">
        <f>'Summary of Returns'!B13</f>
        <v>General Purpose Part 2 &gt; 50 KVA</v>
      </c>
      <c r="C13" s="21" t="str">
        <f>'Summary of Returns'!C13</f>
        <v>GP2</v>
      </c>
      <c r="D13" s="13"/>
      <c r="E13" s="51">
        <f>'Alloc &amp; Returns'!I651</f>
        <v>96.322558540756972</v>
      </c>
      <c r="F13" s="113">
        <f>'Alloc &amp; Returns'!I652</f>
        <v>5.854978454714771E-2</v>
      </c>
      <c r="G13" s="112">
        <f>'Alloc &amp; Returns'!I653</f>
        <v>3.8362151810893104</v>
      </c>
      <c r="H13" s="111"/>
      <c r="N13" s="111"/>
    </row>
    <row r="14" spans="1:15" x14ac:dyDescent="0.25">
      <c r="A14" s="21">
        <v>5</v>
      </c>
      <c r="B14" s="14" t="str">
        <f>'Summary of Returns'!B14</f>
        <v>Large Industrial B</v>
      </c>
      <c r="C14" s="21" t="str">
        <f>'Summary of Returns'!C14</f>
        <v>B1</v>
      </c>
      <c r="E14" s="51">
        <f>'Alloc &amp; Returns'!J651</f>
        <v>720.40708003561463</v>
      </c>
      <c r="F14" s="113">
        <f>'Alloc &amp; Returns'!J652</f>
        <v>3.9206020376702747E-2</v>
      </c>
      <c r="G14" s="112">
        <f>'Alloc &amp; Returns'!J653</f>
        <v>11.454797509218512</v>
      </c>
      <c r="H14" s="111"/>
      <c r="N14" s="111"/>
    </row>
    <row r="15" spans="1:15" hidden="1" x14ac:dyDescent="0.25">
      <c r="A15" s="21">
        <v>6</v>
      </c>
      <c r="B15" s="14" t="str">
        <f>'Summary of Returns'!B15</f>
        <v>Lighting</v>
      </c>
      <c r="C15" s="21" t="str">
        <f>'Summary of Returns'!C15</f>
        <v>SL</v>
      </c>
      <c r="E15" s="112"/>
      <c r="F15" s="113"/>
      <c r="G15" s="112">
        <f>'Alloc &amp; Returns'!K653</f>
        <v>0</v>
      </c>
      <c r="H15" s="111"/>
      <c r="N15" s="111"/>
    </row>
    <row r="16" spans="1:15" hidden="1" x14ac:dyDescent="0.25">
      <c r="A16" s="21">
        <v>7</v>
      </c>
      <c r="B16" s="14" t="str">
        <f>'Summary of Returns'!B16</f>
        <v>Special Contract</v>
      </c>
      <c r="C16" s="21" t="str">
        <f>'Summary of Returns'!C16</f>
        <v>TGP</v>
      </c>
      <c r="E16" s="112"/>
      <c r="F16" s="113"/>
      <c r="G16" s="112">
        <f>'Alloc &amp; Returns'!L653</f>
        <v>0</v>
      </c>
      <c r="H16" s="111"/>
      <c r="N16" s="111"/>
    </row>
    <row r="17" spans="1:10" ht="15" hidden="1" customHeight="1" x14ac:dyDescent="0.25">
      <c r="A17" s="21">
        <v>8</v>
      </c>
      <c r="B17" s="14">
        <f>'Summary of Returns'!B17</f>
        <v>0</v>
      </c>
      <c r="C17" s="21">
        <f>'Summary of Returns'!C17</f>
        <v>0</v>
      </c>
      <c r="E17" s="112"/>
      <c r="F17" s="113"/>
      <c r="G17" s="137"/>
      <c r="H17" s="36"/>
    </row>
    <row r="18" spans="1:10" ht="15" customHeight="1" x14ac:dyDescent="0.25">
      <c r="A18" s="21"/>
      <c r="B18" s="14"/>
      <c r="E18" s="112"/>
      <c r="F18" s="113"/>
      <c r="G18" s="32"/>
      <c r="H18" s="36"/>
    </row>
    <row r="19" spans="1:10" ht="15" customHeight="1" x14ac:dyDescent="0.25">
      <c r="A19" s="21"/>
      <c r="B19" s="14"/>
      <c r="E19" s="112"/>
      <c r="F19" s="113"/>
      <c r="G19" s="31"/>
      <c r="H19" s="36"/>
      <c r="I19" s="33"/>
      <c r="J19" s="33"/>
    </row>
    <row r="20" spans="1:10" ht="15" customHeight="1" x14ac:dyDescent="0.25">
      <c r="A20" s="21"/>
      <c r="B20" s="14"/>
      <c r="E20" s="112"/>
      <c r="F20" s="113"/>
      <c r="G20" s="32"/>
      <c r="H20" s="36"/>
      <c r="I20" s="33"/>
      <c r="J20" s="33"/>
    </row>
    <row r="21" spans="1:10" ht="15" customHeight="1" x14ac:dyDescent="0.25">
      <c r="A21" s="21"/>
      <c r="B21" s="14"/>
      <c r="C21" s="14"/>
      <c r="D21" s="13"/>
      <c r="E21" s="30"/>
      <c r="F21" s="30"/>
      <c r="G21" s="31"/>
      <c r="H21" s="36"/>
      <c r="I21" s="33"/>
      <c r="J21" s="33"/>
    </row>
    <row r="22" spans="1:10" ht="15" customHeight="1" x14ac:dyDescent="0.25">
      <c r="A22" s="21"/>
      <c r="B22" s="14"/>
      <c r="C22" s="14"/>
      <c r="G22" s="32"/>
      <c r="H22" s="36"/>
      <c r="I22" s="33"/>
      <c r="J22" s="33"/>
    </row>
    <row r="23" spans="1:10" x14ac:dyDescent="0.25">
      <c r="A23" s="21"/>
      <c r="B23" s="14"/>
      <c r="C23" s="14"/>
      <c r="D23" s="13"/>
      <c r="E23" s="30"/>
      <c r="F23" s="30"/>
      <c r="G23" s="31"/>
      <c r="H23" s="36"/>
      <c r="I23" s="33"/>
      <c r="J23" s="33"/>
    </row>
    <row r="24" spans="1:10" s="48" customFormat="1" ht="26.25" customHeight="1" x14ac:dyDescent="0.25">
      <c r="A24" s="43"/>
      <c r="B24" s="14"/>
      <c r="C24" s="14"/>
      <c r="D24" s="25"/>
      <c r="E24" s="25"/>
      <c r="F24" s="25"/>
      <c r="G24" s="32"/>
      <c r="H24" s="36"/>
      <c r="I24" s="33"/>
      <c r="J24" s="33"/>
    </row>
    <row r="25" spans="1:10" x14ac:dyDescent="0.25">
      <c r="A25" s="43"/>
      <c r="B25" s="14"/>
      <c r="C25" s="14"/>
      <c r="E25" s="30"/>
      <c r="F25" s="30"/>
      <c r="G25" s="31"/>
      <c r="H25" s="36"/>
      <c r="I25" s="33"/>
      <c r="J25" s="33"/>
    </row>
    <row r="26" spans="1:10" x14ac:dyDescent="0.25">
      <c r="A26" s="43"/>
      <c r="B26" s="14"/>
      <c r="C26" s="14"/>
      <c r="G26" s="32"/>
      <c r="H26" s="36"/>
      <c r="I26" s="33"/>
      <c r="J26" s="33"/>
    </row>
    <row r="27" spans="1:10" x14ac:dyDescent="0.25">
      <c r="A27" s="43"/>
      <c r="B27" s="14"/>
      <c r="C27" s="14"/>
      <c r="E27" s="30"/>
      <c r="F27" s="30"/>
      <c r="G27" s="31"/>
      <c r="H27" s="36"/>
      <c r="I27" s="33"/>
      <c r="J27" s="33"/>
    </row>
    <row r="28" spans="1:10" x14ac:dyDescent="0.25">
      <c r="A28" s="43"/>
      <c r="B28" s="48"/>
      <c r="C28" s="14"/>
      <c r="G28" s="32"/>
      <c r="H28" s="36"/>
      <c r="I28" s="33"/>
      <c r="J28" s="33"/>
    </row>
    <row r="29" spans="1:10" x14ac:dyDescent="0.25">
      <c r="A29" s="43"/>
      <c r="B29" s="48"/>
      <c r="C29" s="14"/>
      <c r="E29" s="30"/>
      <c r="F29" s="30"/>
      <c r="G29" s="31"/>
      <c r="H29" s="36"/>
      <c r="I29" s="33"/>
      <c r="J29" s="33"/>
    </row>
    <row r="30" spans="1:10" x14ac:dyDescent="0.25">
      <c r="A30" s="43"/>
      <c r="B30" s="48"/>
      <c r="C30" s="14"/>
      <c r="E30" s="48"/>
      <c r="G30" s="48"/>
      <c r="H30" s="27"/>
      <c r="I30" s="33"/>
      <c r="J30" s="33"/>
    </row>
    <row r="31" spans="1:10" x14ac:dyDescent="0.25">
      <c r="A31" s="43"/>
      <c r="B31" s="48"/>
      <c r="C31" s="14"/>
      <c r="E31" s="48"/>
      <c r="G31" s="48"/>
      <c r="H31" s="27"/>
      <c r="I31" s="33"/>
      <c r="J31" s="33"/>
    </row>
    <row r="32" spans="1:10" x14ac:dyDescent="0.25">
      <c r="A32" s="43"/>
      <c r="B32" s="48"/>
      <c r="C32" s="14"/>
      <c r="E32" s="48"/>
      <c r="G32" s="48"/>
      <c r="H32" s="27"/>
    </row>
    <row r="33" spans="1:8" x14ac:dyDescent="0.25">
      <c r="A33" s="43"/>
      <c r="B33" s="48"/>
      <c r="C33" s="14"/>
      <c r="E33" s="48"/>
      <c r="G33" s="48"/>
      <c r="H33" s="27"/>
    </row>
    <row r="34" spans="1:8" x14ac:dyDescent="0.25">
      <c r="A34" s="43"/>
      <c r="B34" s="48"/>
      <c r="C34" s="14"/>
      <c r="E34" s="48"/>
      <c r="G34" s="48"/>
      <c r="H34" s="27"/>
    </row>
    <row r="35" spans="1:8" x14ac:dyDescent="0.25">
      <c r="A35" s="43"/>
      <c r="B35" s="48"/>
      <c r="C35" s="14"/>
      <c r="E35" s="48"/>
      <c r="G35" s="48"/>
    </row>
    <row r="36" spans="1:8" x14ac:dyDescent="0.25">
      <c r="A36" s="43"/>
      <c r="B36" s="48"/>
      <c r="C36" s="14"/>
      <c r="E36" s="48"/>
      <c r="G36" s="48"/>
    </row>
    <row r="37" spans="1:8" x14ac:dyDescent="0.25">
      <c r="A37" s="43"/>
      <c r="B37" s="48"/>
      <c r="C37" s="14"/>
      <c r="E37" s="48"/>
      <c r="G37" s="48"/>
    </row>
    <row r="38" spans="1:8" x14ac:dyDescent="0.25">
      <c r="A38" s="43"/>
      <c r="B38" s="48"/>
      <c r="C38" s="14"/>
      <c r="E38" s="48"/>
      <c r="G38" s="48"/>
    </row>
    <row r="39" spans="1:8" x14ac:dyDescent="0.25">
      <c r="A39" s="43"/>
      <c r="B39" s="48"/>
      <c r="C39" s="14"/>
      <c r="E39" s="48"/>
      <c r="G39" s="48"/>
    </row>
    <row r="40" spans="1:8" x14ac:dyDescent="0.25">
      <c r="A40" s="43"/>
      <c r="B40" s="48"/>
      <c r="C40" s="14"/>
      <c r="E40" s="48"/>
      <c r="G40" s="48"/>
    </row>
    <row r="41" spans="1:8" x14ac:dyDescent="0.25">
      <c r="A41" s="43"/>
      <c r="B41" s="48"/>
      <c r="C41" s="14"/>
      <c r="E41" s="48"/>
      <c r="G41" s="48"/>
    </row>
    <row r="42" spans="1:8" x14ac:dyDescent="0.25">
      <c r="A42" s="43"/>
      <c r="B42" s="48"/>
      <c r="C42" s="48"/>
      <c r="E42" s="48"/>
      <c r="G42" s="48"/>
    </row>
    <row r="350" spans="36:36" x14ac:dyDescent="0.25">
      <c r="AJ350" s="157" t="e">
        <f>#REF!</f>
        <v>#REF!</v>
      </c>
    </row>
    <row r="351" spans="36:36" x14ac:dyDescent="0.25">
      <c r="AJ351" s="157" t="e">
        <f>AJ350</f>
        <v>#REF!</v>
      </c>
    </row>
    <row r="352" spans="36:36" x14ac:dyDescent="0.25">
      <c r="AJ352" s="157" t="e">
        <f t="shared" ref="AJ352:AJ364" si="0">AJ351</f>
        <v>#REF!</v>
      </c>
    </row>
    <row r="353" spans="36:36" x14ac:dyDescent="0.25">
      <c r="AJ353" s="157" t="e">
        <f t="shared" si="0"/>
        <v>#REF!</v>
      </c>
    </row>
    <row r="354" spans="36:36" x14ac:dyDescent="0.25">
      <c r="AJ354" s="157" t="e">
        <f t="shared" si="0"/>
        <v>#REF!</v>
      </c>
    </row>
    <row r="355" spans="36:36" x14ac:dyDescent="0.25">
      <c r="AJ355" s="157" t="e">
        <f t="shared" si="0"/>
        <v>#REF!</v>
      </c>
    </row>
    <row r="356" spans="36:36" x14ac:dyDescent="0.25">
      <c r="AJ356" s="157" t="e">
        <f t="shared" si="0"/>
        <v>#REF!</v>
      </c>
    </row>
    <row r="357" spans="36:36" x14ac:dyDescent="0.25">
      <c r="AJ357" s="157" t="e">
        <f t="shared" si="0"/>
        <v>#REF!</v>
      </c>
    </row>
    <row r="358" spans="36:36" x14ac:dyDescent="0.25">
      <c r="AJ358" s="157" t="e">
        <f t="shared" si="0"/>
        <v>#REF!</v>
      </c>
    </row>
    <row r="359" spans="36:36" x14ac:dyDescent="0.25">
      <c r="AJ359" s="157" t="e">
        <f t="shared" si="0"/>
        <v>#REF!</v>
      </c>
    </row>
    <row r="360" spans="36:36" x14ac:dyDescent="0.25">
      <c r="AJ360" s="157" t="e">
        <f t="shared" si="0"/>
        <v>#REF!</v>
      </c>
    </row>
    <row r="361" spans="36:36" x14ac:dyDescent="0.25">
      <c r="AJ361" s="157" t="e">
        <f t="shared" si="0"/>
        <v>#REF!</v>
      </c>
    </row>
    <row r="362" spans="36:36" x14ac:dyDescent="0.25">
      <c r="AJ362" s="157" t="e">
        <f t="shared" si="0"/>
        <v>#REF!</v>
      </c>
    </row>
    <row r="363" spans="36:36" x14ac:dyDescent="0.25">
      <c r="AJ363" s="157" t="e">
        <f t="shared" si="0"/>
        <v>#REF!</v>
      </c>
    </row>
    <row r="364" spans="36:36" x14ac:dyDescent="0.25">
      <c r="AJ364" s="157" t="e">
        <f t="shared" si="0"/>
        <v>#REF!</v>
      </c>
    </row>
  </sheetData>
  <mergeCells count="1">
    <mergeCell ref="E4:G4"/>
  </mergeCells>
  <pageMargins left="0.75" right="0.75" top="1" bottom="1" header="0.5" footer="0.5"/>
  <pageSetup orientation="landscape" r:id="rId1"/>
  <headerFooter alignWithMargins="0">
    <oddFooter>&amp;RExhibit JW-3
Page 2 of 2</oddFooter>
  </headerFooter>
  <ignoredErrors>
    <ignoredError sqref="E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08"/>
  <sheetViews>
    <sheetView view="pageBreakPreview" zoomScale="70" zoomScaleNormal="100" zoomScaleSheetLayoutView="70" workbookViewId="0">
      <pane xSplit="6" ySplit="3" topLeftCell="G199" activePane="bottomRight" state="frozen"/>
      <selection activeCell="E545" sqref="E545"/>
      <selection pane="topRight" activeCell="E545" sqref="E545"/>
      <selection pane="bottomLeft" activeCell="E545" sqref="E545"/>
      <selection pane="bottomRight" activeCell="M54" sqref="M54"/>
    </sheetView>
  </sheetViews>
  <sheetFormatPr defaultColWidth="9.109375" defaultRowHeight="13.2" x14ac:dyDescent="0.25"/>
  <cols>
    <col min="1" max="1" width="7.6640625" style="14" customWidth="1"/>
    <col min="2" max="2" width="47.5546875" style="14" customWidth="1"/>
    <col min="3" max="3" width="11.33203125" style="14" bestFit="1" customWidth="1"/>
    <col min="4" max="4" width="12.44140625" style="14" customWidth="1"/>
    <col min="5" max="5" width="2.77734375" style="14" customWidth="1"/>
    <col min="6" max="6" width="18.88671875" style="173" customWidth="1"/>
    <col min="7" max="7" width="2.33203125" style="14" customWidth="1"/>
    <col min="8" max="8" width="17.109375" style="14" customWidth="1"/>
    <col min="9" max="9" width="14.88671875" style="14" customWidth="1"/>
    <col min="10" max="10" width="2.6640625" style="14" customWidth="1"/>
    <col min="11" max="11" width="16.33203125" style="14" customWidth="1"/>
    <col min="12" max="12" width="14.5546875" style="14" customWidth="1"/>
    <col min="13" max="13" width="17.77734375" style="14" bestFit="1" customWidth="1"/>
    <col min="14" max="14" width="6.33203125" style="14" bestFit="1" customWidth="1"/>
    <col min="15" max="15" width="13.44140625" style="14" bestFit="1" customWidth="1"/>
    <col min="16" max="16" width="15.5546875" style="14" customWidth="1"/>
    <col min="17" max="17" width="1.88671875" style="53" customWidth="1"/>
    <col min="18" max="18" width="13.6640625" style="14" customWidth="1"/>
    <col min="19" max="19" width="15.109375" style="14" customWidth="1"/>
    <col min="20" max="20" width="1.88671875" style="14" customWidth="1"/>
    <col min="21" max="21" width="14.33203125" style="14" bestFit="1" customWidth="1"/>
    <col min="22" max="22" width="1.88671875" style="14" customWidth="1"/>
    <col min="23" max="23" width="13.88671875" style="14" customWidth="1"/>
    <col min="24" max="24" width="1.88671875" style="14" customWidth="1"/>
    <col min="25" max="25" width="15" style="14" customWidth="1"/>
    <col min="26" max="26" width="1.88671875" style="14" customWidth="1"/>
    <col min="27" max="27" width="14.6640625" style="14" customWidth="1"/>
    <col min="28" max="28" width="16.109375" style="14" customWidth="1"/>
    <col min="29" max="29" width="14.6640625" style="14" customWidth="1"/>
    <col min="30" max="30" width="12.88671875" style="14" customWidth="1"/>
    <col min="31" max="31" width="9.109375" style="14"/>
    <col min="32" max="32" width="18.109375" style="14" customWidth="1"/>
    <col min="33" max="16384" width="9.109375" style="14"/>
  </cols>
  <sheetData>
    <row r="1" spans="1:30" x14ac:dyDescent="0.25">
      <c r="A1" s="53"/>
      <c r="B1" s="53"/>
      <c r="C1" s="53"/>
      <c r="D1" s="53"/>
      <c r="E1" s="53"/>
      <c r="F1" s="168"/>
      <c r="G1" s="53"/>
      <c r="H1" s="53"/>
      <c r="I1" s="53"/>
      <c r="J1" s="53"/>
      <c r="K1" s="53"/>
      <c r="L1" s="53"/>
      <c r="M1" s="53"/>
      <c r="N1" s="53"/>
      <c r="O1" s="53"/>
      <c r="P1" s="53"/>
      <c r="AC1" s="21" t="str">
        <f>IF(COUNTIF(AC4:AC490,"err"),"err","ok")</f>
        <v>ok</v>
      </c>
    </row>
    <row r="2" spans="1:30" ht="48" customHeight="1" thickBot="1" x14ac:dyDescent="0.3">
      <c r="A2" s="13"/>
      <c r="B2" s="13"/>
      <c r="C2" s="16"/>
      <c r="D2" s="15" t="s">
        <v>207</v>
      </c>
      <c r="E2" s="16"/>
      <c r="F2" s="169" t="s">
        <v>0</v>
      </c>
      <c r="G2" s="16"/>
      <c r="H2" s="54" t="s">
        <v>899</v>
      </c>
      <c r="I2" s="54"/>
      <c r="K2" s="55" t="s">
        <v>349</v>
      </c>
      <c r="L2" s="13"/>
      <c r="M2" s="55" t="s">
        <v>1</v>
      </c>
      <c r="N2" s="56"/>
      <c r="O2" s="54" t="s">
        <v>355</v>
      </c>
      <c r="P2" s="54"/>
      <c r="Q2" s="13"/>
      <c r="R2" s="54" t="s">
        <v>3</v>
      </c>
      <c r="S2" s="54"/>
      <c r="T2" s="13"/>
      <c r="U2" s="57" t="s">
        <v>4</v>
      </c>
      <c r="V2" s="16"/>
      <c r="W2" s="55" t="s">
        <v>751</v>
      </c>
      <c r="X2" s="56"/>
      <c r="Y2" s="55" t="s">
        <v>986</v>
      </c>
      <c r="Z2" s="56"/>
      <c r="AA2" s="55" t="s">
        <v>469</v>
      </c>
      <c r="AB2" s="13"/>
      <c r="AC2" s="13"/>
    </row>
    <row r="3" spans="1:30" ht="13.8" thickBot="1" x14ac:dyDescent="0.3">
      <c r="A3" s="58" t="s">
        <v>6</v>
      </c>
      <c r="B3" s="58"/>
      <c r="C3" s="59" t="s">
        <v>7</v>
      </c>
      <c r="D3" s="59" t="s">
        <v>8</v>
      </c>
      <c r="E3" s="57"/>
      <c r="F3" s="170" t="s">
        <v>9</v>
      </c>
      <c r="G3" s="57"/>
      <c r="H3" s="57" t="s">
        <v>10</v>
      </c>
      <c r="I3" s="57" t="s">
        <v>11</v>
      </c>
      <c r="J3" s="57"/>
      <c r="K3" s="57" t="s">
        <v>10</v>
      </c>
      <c r="L3" s="57"/>
      <c r="M3" s="57" t="s">
        <v>10</v>
      </c>
      <c r="N3" s="57"/>
      <c r="O3" s="57" t="s">
        <v>10</v>
      </c>
      <c r="P3" s="57" t="s">
        <v>12</v>
      </c>
      <c r="Q3" s="54"/>
      <c r="R3" s="57" t="s">
        <v>10</v>
      </c>
      <c r="S3" s="57" t="s">
        <v>12</v>
      </c>
      <c r="T3" s="57"/>
      <c r="U3" s="57" t="s">
        <v>12</v>
      </c>
      <c r="V3" s="57"/>
      <c r="W3" s="57" t="s">
        <v>12</v>
      </c>
      <c r="X3" s="57"/>
      <c r="Y3" s="57" t="s">
        <v>12</v>
      </c>
      <c r="Z3" s="57"/>
      <c r="AA3" s="57" t="s">
        <v>12</v>
      </c>
      <c r="AB3" s="57" t="s">
        <v>13</v>
      </c>
      <c r="AC3" s="60" t="s">
        <v>14</v>
      </c>
    </row>
    <row r="4" spans="1:30" x14ac:dyDescent="0.25">
      <c r="F4" s="171"/>
      <c r="G4" s="20"/>
      <c r="H4" s="61"/>
      <c r="I4" s="61"/>
      <c r="J4" s="61"/>
      <c r="K4" s="61"/>
      <c r="L4" s="61"/>
      <c r="M4" s="61"/>
      <c r="N4" s="61"/>
      <c r="O4" s="61"/>
      <c r="P4" s="61"/>
      <c r="Q4" s="62"/>
      <c r="R4" s="61"/>
      <c r="S4" s="61"/>
      <c r="T4" s="61"/>
      <c r="U4" s="61"/>
      <c r="V4" s="61"/>
      <c r="W4" s="61"/>
      <c r="X4" s="61"/>
      <c r="Y4" s="61"/>
      <c r="Z4" s="61"/>
      <c r="AA4" s="61"/>
      <c r="AC4" s="21"/>
    </row>
    <row r="5" spans="1:30" x14ac:dyDescent="0.25">
      <c r="A5" s="19" t="s">
        <v>15</v>
      </c>
      <c r="F5" s="172"/>
      <c r="G5" s="42"/>
      <c r="H5" s="61"/>
      <c r="I5" s="61"/>
      <c r="J5" s="61"/>
      <c r="K5" s="61"/>
      <c r="L5" s="61"/>
      <c r="M5" s="61"/>
      <c r="N5" s="61"/>
      <c r="O5" s="61"/>
      <c r="P5" s="61"/>
      <c r="Q5" s="62"/>
      <c r="R5" s="61"/>
      <c r="S5" s="61"/>
      <c r="T5" s="61"/>
      <c r="U5" s="61"/>
      <c r="V5" s="61"/>
      <c r="W5" s="61"/>
      <c r="X5" s="61"/>
      <c r="Y5" s="61"/>
      <c r="Z5" s="61"/>
      <c r="AA5" s="61"/>
      <c r="AC5" s="21"/>
    </row>
    <row r="6" spans="1:30" x14ac:dyDescent="0.25">
      <c r="AC6" s="21"/>
    </row>
    <row r="7" spans="1:30" x14ac:dyDescent="0.25">
      <c r="A7" s="19" t="s">
        <v>357</v>
      </c>
      <c r="AC7" s="21"/>
    </row>
    <row r="8" spans="1:30" x14ac:dyDescent="0.25">
      <c r="A8" s="63">
        <v>301</v>
      </c>
      <c r="B8" s="14" t="s">
        <v>359</v>
      </c>
      <c r="C8" s="14" t="s">
        <v>360</v>
      </c>
      <c r="D8" s="14" t="s">
        <v>391</v>
      </c>
      <c r="F8" s="174">
        <v>0</v>
      </c>
      <c r="G8" s="40"/>
      <c r="H8" s="27">
        <f>IF(VLOOKUP($D8,$C$5:$AA$496,6,)=0,0,((VLOOKUP($D8,$C$5:$AA$496,6,)/VLOOKUP($D8,$C$5:$AA$496,4,))*$F8))</f>
        <v>0</v>
      </c>
      <c r="I8" s="27">
        <f>IF(VLOOKUP($D8,$C$5:$AA$496,7,)=0,0,((VLOOKUP($D8,$C$5:$AA$496,7,)/VLOOKUP($D8,$C$5:$AA$496,4,))*$F8))</f>
        <v>0</v>
      </c>
      <c r="J8" s="27"/>
      <c r="K8" s="27">
        <f>IF(VLOOKUP($D8,$C$5:$AA$496,9,)=0,0,((VLOOKUP($D8,$C$5:$AA$496,9,)/VLOOKUP($D8,$C$5:$AA$496,4,))*$F8))</f>
        <v>0</v>
      </c>
      <c r="L8" s="27"/>
      <c r="M8" s="27">
        <f>IF(VLOOKUP($D8,$C$5:$AA$496,11,)=0,0,((VLOOKUP($D8,$C$5:$AA$496,11,)/VLOOKUP($D8,$C$5:$AA$496,4,))*$F8))</f>
        <v>0</v>
      </c>
      <c r="N8" s="27"/>
      <c r="O8" s="27">
        <f>IF(VLOOKUP($D8,$C$5:$AA$496,13,)=0,0,((VLOOKUP($D8,$C$5:$AA$496,13,)/VLOOKUP($D8,$C$5:$AA$496,4,))*$F8))</f>
        <v>0</v>
      </c>
      <c r="P8" s="27">
        <f>IF(VLOOKUP($D8,$C$5:$AA$496,14,)=0,0,((VLOOKUP($D8,$C$5:$AA$496,14,)/VLOOKUP($D8,$C$5:$AA$496,4,))*$F8))</f>
        <v>0</v>
      </c>
      <c r="Q8" s="27"/>
      <c r="R8" s="27">
        <f>IF(VLOOKUP($D8,$C$5:$AA$496,16,)=0,0,((VLOOKUP($D8,$C$5:$AA$496,16,)/VLOOKUP($D8,$C$5:$AA$496,4,))*$F8))</f>
        <v>0</v>
      </c>
      <c r="S8" s="27">
        <f>IF(VLOOKUP($D8,$C$5:$AA$496,17,)=0,0,((VLOOKUP($D8,$C$5:$AA$496,17,)/VLOOKUP($D8,$C$5:$AA$496,4,))*$F8))</f>
        <v>0</v>
      </c>
      <c r="T8" s="27"/>
      <c r="U8" s="27">
        <f>IF(VLOOKUP($D8,$C$5:$AA$496,19,)=0,0,((VLOOKUP($D8,$C$5:$AA$496,19,)/VLOOKUP($D8,$C$5:$AA$496,4,))*$F8))</f>
        <v>0</v>
      </c>
      <c r="V8" s="27"/>
      <c r="W8" s="27">
        <f>IF(VLOOKUP($D8,$C$5:$AA$496,21,)=0,0,((VLOOKUP($D8,$C$5:$AA$496,21,)/VLOOKUP($D8,$C$5:$AA$496,4,))*$F8))</f>
        <v>0</v>
      </c>
      <c r="X8" s="27"/>
      <c r="Y8" s="27">
        <f>IF(VLOOKUP($D8,$C$5:$AA$496,23,)=0,0,((VLOOKUP($D8,$C$5:$AA$496,23,)/VLOOKUP($D8,$C$5:$AA$496,4,))*$F8))</f>
        <v>0</v>
      </c>
      <c r="Z8" s="27"/>
      <c r="AA8" s="27">
        <f>IF(VLOOKUP($D8,$C$5:$AA$496,25,)=0,0,((VLOOKUP($D8,$C$5:$AA$496,25,)/VLOOKUP($D8,$C$5:$AA$496,4,))*$F8))</f>
        <v>0</v>
      </c>
      <c r="AB8" s="27">
        <f>SUM(H8:AA8)</f>
        <v>0</v>
      </c>
      <c r="AC8" s="21" t="str">
        <f>IF(ABS(AB8-F8)&lt;1,"ok","err")</f>
        <v>ok</v>
      </c>
      <c r="AD8" s="23"/>
    </row>
    <row r="9" spans="1:30" x14ac:dyDescent="0.25">
      <c r="A9" s="63">
        <v>302</v>
      </c>
      <c r="B9" s="14" t="s">
        <v>825</v>
      </c>
      <c r="C9" s="14" t="s">
        <v>826</v>
      </c>
      <c r="D9" s="14" t="s">
        <v>391</v>
      </c>
      <c r="F9" s="167">
        <v>0</v>
      </c>
      <c r="G9" s="27"/>
      <c r="H9" s="27">
        <f>IF(VLOOKUP($D9,$C$5:$AA$496,6,)=0,0,((VLOOKUP($D9,$C$5:$AA$496,6,)/VLOOKUP($D9,$C$5:$AA$496,4,))*$F9))</f>
        <v>0</v>
      </c>
      <c r="I9" s="27">
        <f>IF(VLOOKUP($D9,$C$5:$AA$496,7,)=0,0,((VLOOKUP($D9,$C$5:$AA$496,7,)/VLOOKUP($D9,$C$5:$AA$496,4,))*$F9))</f>
        <v>0</v>
      </c>
      <c r="J9" s="27"/>
      <c r="K9" s="27">
        <f>IF(VLOOKUP($D9,$C$5:$AA$496,9,)=0,0,((VLOOKUP($D9,$C$5:$AA$496,9,)/VLOOKUP($D9,$C$5:$AA$496,4,))*$F9))</f>
        <v>0</v>
      </c>
      <c r="L9" s="27"/>
      <c r="M9" s="27">
        <f>IF(VLOOKUP($D9,$C$5:$AA$496,11,)=0,0,((VLOOKUP($D9,$C$5:$AA$496,11,)/VLOOKUP($D9,$C$5:$AA$496,4,))*$F9))</f>
        <v>0</v>
      </c>
      <c r="N9" s="27"/>
      <c r="O9" s="27">
        <f>IF(VLOOKUP($D9,$C$5:$AA$496,13,)=0,0,((VLOOKUP($D9,$C$5:$AA$496,13,)/VLOOKUP($D9,$C$5:$AA$496,4,))*$F9))</f>
        <v>0</v>
      </c>
      <c r="P9" s="27">
        <f>IF(VLOOKUP($D9,$C$5:$AA$496,14,)=0,0,((VLOOKUP($D9,$C$5:$AA$496,14,)/VLOOKUP($D9,$C$5:$AA$496,4,))*$F9))</f>
        <v>0</v>
      </c>
      <c r="Q9" s="27"/>
      <c r="R9" s="27">
        <f>IF(VLOOKUP($D9,$C$5:$AA$496,16,)=0,0,((VLOOKUP($D9,$C$5:$AA$496,16,)/VLOOKUP($D9,$C$5:$AA$496,4,))*$F9))</f>
        <v>0</v>
      </c>
      <c r="S9" s="27">
        <f>IF(VLOOKUP($D9,$C$5:$AA$496,17,)=0,0,((VLOOKUP($D9,$C$5:$AA$496,17,)/VLOOKUP($D9,$C$5:$AA$496,4,))*$F9))</f>
        <v>0</v>
      </c>
      <c r="T9" s="27"/>
      <c r="U9" s="27">
        <f>IF(VLOOKUP($D9,$C$5:$AA$496,19,)=0,0,((VLOOKUP($D9,$C$5:$AA$496,19,)/VLOOKUP($D9,$C$5:$AA$496,4,))*$F9))</f>
        <v>0</v>
      </c>
      <c r="V9" s="27"/>
      <c r="W9" s="27">
        <f>IF(VLOOKUP($D9,$C$5:$AA$496,21,)=0,0,((VLOOKUP($D9,$C$5:$AA$496,21,)/VLOOKUP($D9,$C$5:$AA$496,4,))*$F9))</f>
        <v>0</v>
      </c>
      <c r="X9" s="27"/>
      <c r="Y9" s="27">
        <f>IF(VLOOKUP($D9,$C$5:$AA$496,23,)=0,0,((VLOOKUP($D9,$C$5:$AA$496,23,)/VLOOKUP($D9,$C$5:$AA$496,4,))*$F9))</f>
        <v>0</v>
      </c>
      <c r="Z9" s="27"/>
      <c r="AA9" s="27">
        <f>IF(VLOOKUP($D9,$C$5:$AA$496,25,)=0,0,((VLOOKUP($D9,$C$5:$AA$496,25,)/VLOOKUP($D9,$C$5:$AA$496,4,))*$F9))</f>
        <v>0</v>
      </c>
      <c r="AB9" s="27">
        <f>SUM(H9:AA9)</f>
        <v>0</v>
      </c>
      <c r="AC9" s="21" t="str">
        <f>IF(ABS(AB9-F9)&lt;1,"ok","err")</f>
        <v>ok</v>
      </c>
    </row>
    <row r="10" spans="1:30" x14ac:dyDescent="0.25">
      <c r="A10" s="63">
        <v>303</v>
      </c>
      <c r="B10" s="14" t="s">
        <v>701</v>
      </c>
      <c r="C10" s="14" t="s">
        <v>702</v>
      </c>
      <c r="D10" s="14" t="s">
        <v>391</v>
      </c>
      <c r="F10" s="167">
        <v>0</v>
      </c>
      <c r="G10" s="27"/>
      <c r="H10" s="27">
        <f>IF(VLOOKUP($D10,$C$5:$AA$496,6,)=0,0,((VLOOKUP($D10,$C$5:$AA$496,6,)/VLOOKUP($D10,$C$5:$AA$496,4,))*$F10))</f>
        <v>0</v>
      </c>
      <c r="I10" s="27">
        <f>IF(VLOOKUP($D10,$C$5:$AA$496,7,)=0,0,((VLOOKUP($D10,$C$5:$AA$496,7,)/VLOOKUP($D10,$C$5:$AA$496,4,))*$F10))</f>
        <v>0</v>
      </c>
      <c r="J10" s="27"/>
      <c r="K10" s="27">
        <f>IF(VLOOKUP($D10,$C$5:$AA$496,9,)=0,0,((VLOOKUP($D10,$C$5:$AA$496,9,)/VLOOKUP($D10,$C$5:$AA$496,4,))*$F10))</f>
        <v>0</v>
      </c>
      <c r="L10" s="27">
        <v>0</v>
      </c>
      <c r="M10" s="27"/>
      <c r="N10" s="27">
        <v>0</v>
      </c>
      <c r="O10" s="27">
        <v>0</v>
      </c>
      <c r="P10" s="27">
        <f>IF(VLOOKUP($D10,$C$5:$AA$496,14,)=0,0,((VLOOKUP($D10,$C$5:$AA$496,14,)/VLOOKUP($D10,$C$5:$AA$496,4,))*$F10))</f>
        <v>0</v>
      </c>
      <c r="Q10" s="27"/>
      <c r="R10" s="27">
        <f>IF(VLOOKUP($D10,$C$5:$AA$496,16,)=0,0,((VLOOKUP($D10,$C$5:$AA$496,16,)/VLOOKUP($D10,$C$5:$AA$496,4,))*$F10))</f>
        <v>0</v>
      </c>
      <c r="S10" s="27">
        <f>IF(VLOOKUP($D10,$C$5:$AA$496,17,)=0,0,((VLOOKUP($D10,$C$5:$AA$496,17,)/VLOOKUP($D10,$C$5:$AA$496,4,))*$F10))</f>
        <v>0</v>
      </c>
      <c r="T10" s="27"/>
      <c r="U10" s="27">
        <f>IF(VLOOKUP($D10,$C$5:$AA$496,19,)=0,0,((VLOOKUP($D10,$C$5:$AA$496,19,)/VLOOKUP($D10,$C$5:$AA$496,4,))*$F10))</f>
        <v>0</v>
      </c>
      <c r="V10" s="27"/>
      <c r="W10" s="27">
        <f>IF(VLOOKUP($D10,$C$5:$AA$496,21,)=0,0,((VLOOKUP($D10,$C$5:$AA$496,21,)/VLOOKUP($D10,$C$5:$AA$496,4,))*$F10))</f>
        <v>0</v>
      </c>
      <c r="X10" s="27"/>
      <c r="Y10" s="27">
        <f>IF(VLOOKUP($D10,$C$5:$AA$496,23,)=0,0,((VLOOKUP($D10,$C$5:$AA$496,23,)/VLOOKUP($D10,$C$5:$AA$496,4,))*$F10))</f>
        <v>0</v>
      </c>
      <c r="Z10" s="27"/>
      <c r="AA10" s="27">
        <f>IF(VLOOKUP($D10,$C$5:$AA$496,25,)=0,0,((VLOOKUP($D10,$C$5:$AA$496,25,)/VLOOKUP($D10,$C$5:$AA$496,4,))*$F10))</f>
        <v>0</v>
      </c>
      <c r="AB10" s="27">
        <f>SUM(H10:AA10)</f>
        <v>0</v>
      </c>
      <c r="AC10" s="21" t="str">
        <f>IF(ABS(AB10-F10)&lt;1,"ok","err")</f>
        <v>ok</v>
      </c>
    </row>
    <row r="11" spans="1:30" x14ac:dyDescent="0.25">
      <c r="AC11" s="21"/>
    </row>
    <row r="12" spans="1:30" x14ac:dyDescent="0.25">
      <c r="B12" s="14" t="s">
        <v>19</v>
      </c>
      <c r="C12" s="14" t="s">
        <v>20</v>
      </c>
      <c r="F12" s="175">
        <f>SUM(F8:F10)</f>
        <v>0</v>
      </c>
      <c r="G12" s="64"/>
      <c r="H12" s="64">
        <f>SUM(H8:H10)</f>
        <v>0</v>
      </c>
      <c r="I12" s="64">
        <f>SUM(I8:I10)</f>
        <v>0</v>
      </c>
      <c r="J12" s="64"/>
      <c r="K12" s="64">
        <f>SUM(K8:K10)</f>
        <v>0</v>
      </c>
      <c r="L12" s="64">
        <v>0</v>
      </c>
      <c r="M12" s="64"/>
      <c r="N12" s="64">
        <v>0</v>
      </c>
      <c r="O12" s="64">
        <v>0</v>
      </c>
      <c r="P12" s="64">
        <f>SUM(P8:P10)</f>
        <v>0</v>
      </c>
      <c r="Q12" s="64"/>
      <c r="R12" s="64">
        <f>SUM(R8:R10)</f>
        <v>0</v>
      </c>
      <c r="S12" s="64">
        <f>SUM(S8:S10)</f>
        <v>0</v>
      </c>
      <c r="T12" s="64"/>
      <c r="U12" s="64">
        <f>SUM(U8:U10)</f>
        <v>0</v>
      </c>
      <c r="V12" s="64"/>
      <c r="W12" s="64">
        <f>SUM(W8:W10)</f>
        <v>0</v>
      </c>
      <c r="X12" s="64"/>
      <c r="Y12" s="64">
        <f>SUM(Y8:Y10)</f>
        <v>0</v>
      </c>
      <c r="Z12" s="64"/>
      <c r="AA12" s="64">
        <f>SUM(AA8:AA10)</f>
        <v>0</v>
      </c>
      <c r="AB12" s="27">
        <f>SUM(H12:AA12)</f>
        <v>0</v>
      </c>
      <c r="AC12" s="21" t="str">
        <f>IF(ABS(AB12-F12)&lt;1,"ok","err")</f>
        <v>ok</v>
      </c>
      <c r="AD12" s="23"/>
    </row>
    <row r="13" spans="1:30" x14ac:dyDescent="0.25">
      <c r="AC13" s="21"/>
    </row>
    <row r="14" spans="1:30" x14ac:dyDescent="0.25">
      <c r="A14" s="19" t="s">
        <v>764</v>
      </c>
      <c r="Q14" s="14"/>
      <c r="AC14" s="21"/>
    </row>
    <row r="15" spans="1:30" x14ac:dyDescent="0.25">
      <c r="A15" s="65">
        <v>310</v>
      </c>
      <c r="B15" s="14" t="s">
        <v>17</v>
      </c>
      <c r="C15" s="14" t="s">
        <v>771</v>
      </c>
      <c r="D15" s="14" t="s">
        <v>551</v>
      </c>
      <c r="F15" s="174">
        <v>0</v>
      </c>
      <c r="G15" s="40"/>
      <c r="H15" s="27">
        <f t="shared" ref="H15:H22" si="0">IF(VLOOKUP($D15,$C$5:$AA$496,6,)=0,0,((VLOOKUP($D15,$C$5:$AA$496,6,)/VLOOKUP($D15,$C$5:$AA$496,4,))*$F15))</f>
        <v>0</v>
      </c>
      <c r="I15" s="27">
        <f t="shared" ref="I15:I22" si="1">IF(VLOOKUP($D15,$C$5:$AA$496,7,)=0,0,((VLOOKUP($D15,$C$5:$AA$496,7,)/VLOOKUP($D15,$C$5:$AA$496,4,))*$F15))</f>
        <v>0</v>
      </c>
      <c r="J15" s="27"/>
      <c r="K15" s="27">
        <f t="shared" ref="K15:K22" si="2">IF(VLOOKUP($D15,$C$5:$AA$496,9,)=0,0,((VLOOKUP($D15,$C$5:$AA$496,9,)/VLOOKUP($D15,$C$5:$AA$496,4,))*$F15))</f>
        <v>0</v>
      </c>
      <c r="L15" s="40">
        <v>0</v>
      </c>
      <c r="M15" s="40"/>
      <c r="N15" s="27">
        <v>0</v>
      </c>
      <c r="O15" s="27">
        <v>0</v>
      </c>
      <c r="P15" s="27">
        <f t="shared" ref="P15:P22" si="3">IF(VLOOKUP($D15,$C$5:$AA$496,14,)=0,0,((VLOOKUP($D15,$C$5:$AA$496,14,)/VLOOKUP($D15,$C$5:$AA$496,4,))*$F15))</f>
        <v>0</v>
      </c>
      <c r="Q15" s="27"/>
      <c r="R15" s="27">
        <f t="shared" ref="R15:R22" si="4">IF(VLOOKUP($D15,$C$5:$AA$496,16,)=0,0,((VLOOKUP($D15,$C$5:$AA$496,16,)/VLOOKUP($D15,$C$5:$AA$496,4,))*$F15))</f>
        <v>0</v>
      </c>
      <c r="S15" s="27">
        <f t="shared" ref="S15:S22" si="5">IF(VLOOKUP($D15,$C$5:$AA$496,17,)=0,0,((VLOOKUP($D15,$C$5:$AA$496,17,)/VLOOKUP($D15,$C$5:$AA$496,4,))*$F15))</f>
        <v>0</v>
      </c>
      <c r="T15" s="27"/>
      <c r="U15" s="27">
        <f t="shared" ref="U15:U22" si="6">IF(VLOOKUP($D15,$C$5:$AA$496,19,)=0,0,((VLOOKUP($D15,$C$5:$AA$496,19,)/VLOOKUP($D15,$C$5:$AA$496,4,))*$F15))</f>
        <v>0</v>
      </c>
      <c r="V15" s="27"/>
      <c r="W15" s="27">
        <f t="shared" ref="W15:W22" si="7">IF(VLOOKUP($D15,$C$5:$AA$496,21,)=0,0,((VLOOKUP($D15,$C$5:$AA$496,21,)/VLOOKUP($D15,$C$5:$AA$496,4,))*$F15))</f>
        <v>0</v>
      </c>
      <c r="X15" s="27"/>
      <c r="Y15" s="27">
        <f t="shared" ref="Y15:Y22" si="8">IF(VLOOKUP($D15,$C$5:$AA$496,23,)=0,0,((VLOOKUP($D15,$C$5:$AA$496,23,)/VLOOKUP($D15,$C$5:$AA$496,4,))*$F15))</f>
        <v>0</v>
      </c>
      <c r="Z15" s="27"/>
      <c r="AA15" s="27">
        <f t="shared" ref="AA15:AA22" si="9">IF(VLOOKUP($D15,$C$5:$AA$496,25,)=0,0,((VLOOKUP($D15,$C$5:$AA$496,25,)/VLOOKUP($D15,$C$5:$AA$496,4,))*$F15))</f>
        <v>0</v>
      </c>
      <c r="AB15" s="27">
        <f t="shared" ref="AB15:AB22" si="10">SUM(H15:AA15)</f>
        <v>0</v>
      </c>
      <c r="AC15" s="21" t="str">
        <f t="shared" ref="AC15:AC22" si="11">IF(ABS(AB15-F15)&lt;1,"ok","err")</f>
        <v>ok</v>
      </c>
    </row>
    <row r="16" spans="1:30" x14ac:dyDescent="0.25">
      <c r="A16" s="65">
        <v>311</v>
      </c>
      <c r="B16" s="14" t="s">
        <v>53</v>
      </c>
      <c r="C16" s="14" t="s">
        <v>778</v>
      </c>
      <c r="D16" s="14" t="s">
        <v>551</v>
      </c>
      <c r="F16" s="167">
        <v>0</v>
      </c>
      <c r="G16" s="27"/>
      <c r="H16" s="27">
        <f t="shared" si="0"/>
        <v>0</v>
      </c>
      <c r="I16" s="27">
        <f t="shared" si="1"/>
        <v>0</v>
      </c>
      <c r="J16" s="27"/>
      <c r="K16" s="27">
        <f t="shared" si="2"/>
        <v>0</v>
      </c>
      <c r="L16" s="27">
        <v>0</v>
      </c>
      <c r="M16" s="27"/>
      <c r="N16" s="27">
        <v>0</v>
      </c>
      <c r="O16" s="27">
        <v>0</v>
      </c>
      <c r="P16" s="27">
        <f t="shared" si="3"/>
        <v>0</v>
      </c>
      <c r="Q16" s="27"/>
      <c r="R16" s="27">
        <f t="shared" si="4"/>
        <v>0</v>
      </c>
      <c r="S16" s="27">
        <f t="shared" si="5"/>
        <v>0</v>
      </c>
      <c r="T16" s="27"/>
      <c r="U16" s="27">
        <f t="shared" si="6"/>
        <v>0</v>
      </c>
      <c r="V16" s="27"/>
      <c r="W16" s="27">
        <f t="shared" si="7"/>
        <v>0</v>
      </c>
      <c r="X16" s="27"/>
      <c r="Y16" s="27">
        <f t="shared" si="8"/>
        <v>0</v>
      </c>
      <c r="Z16" s="27"/>
      <c r="AA16" s="27">
        <f t="shared" si="9"/>
        <v>0</v>
      </c>
      <c r="AB16" s="27">
        <f t="shared" si="10"/>
        <v>0</v>
      </c>
      <c r="AC16" s="21" t="str">
        <f t="shared" si="11"/>
        <v>ok</v>
      </c>
    </row>
    <row r="17" spans="1:29" x14ac:dyDescent="0.25">
      <c r="A17" s="65">
        <v>312</v>
      </c>
      <c r="B17" s="14" t="s">
        <v>765</v>
      </c>
      <c r="C17" s="14" t="s">
        <v>772</v>
      </c>
      <c r="D17" s="14" t="s">
        <v>551</v>
      </c>
      <c r="F17" s="167">
        <v>0</v>
      </c>
      <c r="G17" s="27"/>
      <c r="H17" s="27">
        <f t="shared" si="0"/>
        <v>0</v>
      </c>
      <c r="I17" s="27">
        <f t="shared" si="1"/>
        <v>0</v>
      </c>
      <c r="J17" s="27"/>
      <c r="K17" s="27">
        <f t="shared" si="2"/>
        <v>0</v>
      </c>
      <c r="L17" s="27"/>
      <c r="M17" s="27">
        <f t="shared" ref="M17:M22" si="12">IF(VLOOKUP($D17,$C$5:$AA$496,11,)=0,0,((VLOOKUP($D17,$C$5:$AA$496,11,)/VLOOKUP($D17,$C$5:$AA$496,4,))*$F17))</f>
        <v>0</v>
      </c>
      <c r="N17" s="27"/>
      <c r="O17" s="27">
        <f t="shared" ref="O17:O22" si="13">IF(VLOOKUP($D17,$C$5:$AA$496,13,)=0,0,((VLOOKUP($D17,$C$5:$AA$496,13,)/VLOOKUP($D17,$C$5:$AA$496,4,))*$F17))</f>
        <v>0</v>
      </c>
      <c r="P17" s="27">
        <f t="shared" si="3"/>
        <v>0</v>
      </c>
      <c r="Q17" s="27"/>
      <c r="R17" s="27">
        <f t="shared" si="4"/>
        <v>0</v>
      </c>
      <c r="S17" s="27">
        <f t="shared" si="5"/>
        <v>0</v>
      </c>
      <c r="T17" s="27"/>
      <c r="U17" s="27">
        <f t="shared" si="6"/>
        <v>0</v>
      </c>
      <c r="V17" s="27"/>
      <c r="W17" s="27">
        <f t="shared" si="7"/>
        <v>0</v>
      </c>
      <c r="X17" s="27"/>
      <c r="Y17" s="27">
        <f t="shared" si="8"/>
        <v>0</v>
      </c>
      <c r="Z17" s="27"/>
      <c r="AA17" s="27">
        <f t="shared" si="9"/>
        <v>0</v>
      </c>
      <c r="AB17" s="27">
        <f t="shared" si="10"/>
        <v>0</v>
      </c>
      <c r="AC17" s="21" t="str">
        <f t="shared" si="11"/>
        <v>ok</v>
      </c>
    </row>
    <row r="18" spans="1:29" x14ac:dyDescent="0.25">
      <c r="A18" s="65">
        <v>313</v>
      </c>
      <c r="B18" s="14" t="s">
        <v>766</v>
      </c>
      <c r="C18" s="14" t="s">
        <v>773</v>
      </c>
      <c r="D18" s="14" t="s">
        <v>551</v>
      </c>
      <c r="F18" s="167">
        <v>0</v>
      </c>
      <c r="G18" s="27"/>
      <c r="H18" s="27">
        <f t="shared" si="0"/>
        <v>0</v>
      </c>
      <c r="I18" s="27">
        <f t="shared" si="1"/>
        <v>0</v>
      </c>
      <c r="J18" s="27"/>
      <c r="K18" s="27">
        <f t="shared" si="2"/>
        <v>0</v>
      </c>
      <c r="L18" s="27"/>
      <c r="M18" s="27">
        <f t="shared" si="12"/>
        <v>0</v>
      </c>
      <c r="N18" s="27"/>
      <c r="O18" s="27">
        <f t="shared" si="13"/>
        <v>0</v>
      </c>
      <c r="P18" s="27">
        <f t="shared" si="3"/>
        <v>0</v>
      </c>
      <c r="Q18" s="27"/>
      <c r="R18" s="27">
        <f t="shared" si="4"/>
        <v>0</v>
      </c>
      <c r="S18" s="27">
        <f t="shared" si="5"/>
        <v>0</v>
      </c>
      <c r="T18" s="27"/>
      <c r="U18" s="27">
        <f t="shared" si="6"/>
        <v>0</v>
      </c>
      <c r="V18" s="27"/>
      <c r="W18" s="27">
        <f t="shared" si="7"/>
        <v>0</v>
      </c>
      <c r="X18" s="27"/>
      <c r="Y18" s="27">
        <f t="shared" si="8"/>
        <v>0</v>
      </c>
      <c r="Z18" s="27"/>
      <c r="AA18" s="27">
        <f t="shared" si="9"/>
        <v>0</v>
      </c>
      <c r="AB18" s="27">
        <f t="shared" si="10"/>
        <v>0</v>
      </c>
      <c r="AC18" s="21" t="str">
        <f t="shared" si="11"/>
        <v>ok</v>
      </c>
    </row>
    <row r="19" spans="1:29" x14ac:dyDescent="0.25">
      <c r="A19" s="65">
        <v>314</v>
      </c>
      <c r="B19" s="14" t="s">
        <v>767</v>
      </c>
      <c r="C19" s="14" t="s">
        <v>774</v>
      </c>
      <c r="D19" s="14" t="s">
        <v>551</v>
      </c>
      <c r="F19" s="167">
        <v>0</v>
      </c>
      <c r="G19" s="27"/>
      <c r="H19" s="27">
        <f t="shared" si="0"/>
        <v>0</v>
      </c>
      <c r="I19" s="27">
        <f t="shared" si="1"/>
        <v>0</v>
      </c>
      <c r="J19" s="27"/>
      <c r="K19" s="27">
        <f t="shared" si="2"/>
        <v>0</v>
      </c>
      <c r="L19" s="27"/>
      <c r="M19" s="27">
        <f t="shared" si="12"/>
        <v>0</v>
      </c>
      <c r="N19" s="27"/>
      <c r="O19" s="27">
        <f t="shared" si="13"/>
        <v>0</v>
      </c>
      <c r="P19" s="27">
        <f t="shared" si="3"/>
        <v>0</v>
      </c>
      <c r="Q19" s="27"/>
      <c r="R19" s="27">
        <f t="shared" si="4"/>
        <v>0</v>
      </c>
      <c r="S19" s="27">
        <f t="shared" si="5"/>
        <v>0</v>
      </c>
      <c r="T19" s="27"/>
      <c r="U19" s="27">
        <f t="shared" si="6"/>
        <v>0</v>
      </c>
      <c r="V19" s="27"/>
      <c r="W19" s="27">
        <f t="shared" si="7"/>
        <v>0</v>
      </c>
      <c r="X19" s="27"/>
      <c r="Y19" s="27">
        <f t="shared" si="8"/>
        <v>0</v>
      </c>
      <c r="Z19" s="27"/>
      <c r="AA19" s="27">
        <f t="shared" si="9"/>
        <v>0</v>
      </c>
      <c r="AB19" s="27">
        <f t="shared" si="10"/>
        <v>0</v>
      </c>
      <c r="AC19" s="21" t="str">
        <f t="shared" si="11"/>
        <v>ok</v>
      </c>
    </row>
    <row r="20" spans="1:29" x14ac:dyDescent="0.25">
      <c r="A20" s="65">
        <v>315</v>
      </c>
      <c r="B20" s="14" t="s">
        <v>768</v>
      </c>
      <c r="C20" s="14" t="s">
        <v>775</v>
      </c>
      <c r="D20" s="14" t="s">
        <v>551</v>
      </c>
      <c r="F20" s="167">
        <v>0</v>
      </c>
      <c r="G20" s="27"/>
      <c r="H20" s="27">
        <f t="shared" si="0"/>
        <v>0</v>
      </c>
      <c r="I20" s="27">
        <f t="shared" si="1"/>
        <v>0</v>
      </c>
      <c r="J20" s="27"/>
      <c r="K20" s="27">
        <f t="shared" si="2"/>
        <v>0</v>
      </c>
      <c r="L20" s="27"/>
      <c r="M20" s="27">
        <f t="shared" si="12"/>
        <v>0</v>
      </c>
      <c r="N20" s="27"/>
      <c r="O20" s="27">
        <f t="shared" si="13"/>
        <v>0</v>
      </c>
      <c r="P20" s="27">
        <f t="shared" si="3"/>
        <v>0</v>
      </c>
      <c r="Q20" s="27"/>
      <c r="R20" s="27">
        <f t="shared" si="4"/>
        <v>0</v>
      </c>
      <c r="S20" s="27">
        <f t="shared" si="5"/>
        <v>0</v>
      </c>
      <c r="T20" s="27"/>
      <c r="U20" s="27">
        <f t="shared" si="6"/>
        <v>0</v>
      </c>
      <c r="V20" s="27"/>
      <c r="W20" s="27">
        <f t="shared" si="7"/>
        <v>0</v>
      </c>
      <c r="X20" s="27"/>
      <c r="Y20" s="27">
        <f t="shared" si="8"/>
        <v>0</v>
      </c>
      <c r="Z20" s="27"/>
      <c r="AA20" s="27">
        <f t="shared" si="9"/>
        <v>0</v>
      </c>
      <c r="AB20" s="27">
        <f t="shared" si="10"/>
        <v>0</v>
      </c>
      <c r="AC20" s="21" t="str">
        <f t="shared" si="11"/>
        <v>ok</v>
      </c>
    </row>
    <row r="21" spans="1:29" x14ac:dyDescent="0.25">
      <c r="A21" s="65">
        <v>316</v>
      </c>
      <c r="B21" s="14" t="s">
        <v>770</v>
      </c>
      <c r="C21" s="14" t="s">
        <v>776</v>
      </c>
      <c r="D21" s="14" t="s">
        <v>551</v>
      </c>
      <c r="F21" s="167">
        <v>0</v>
      </c>
      <c r="G21" s="27"/>
      <c r="H21" s="27">
        <f t="shared" si="0"/>
        <v>0</v>
      </c>
      <c r="I21" s="27">
        <f t="shared" si="1"/>
        <v>0</v>
      </c>
      <c r="J21" s="27"/>
      <c r="K21" s="27">
        <f t="shared" si="2"/>
        <v>0</v>
      </c>
      <c r="L21" s="27"/>
      <c r="M21" s="27">
        <f t="shared" si="12"/>
        <v>0</v>
      </c>
      <c r="N21" s="27"/>
      <c r="O21" s="27">
        <f t="shared" si="13"/>
        <v>0</v>
      </c>
      <c r="P21" s="27">
        <f t="shared" si="3"/>
        <v>0</v>
      </c>
      <c r="Q21" s="27"/>
      <c r="R21" s="27">
        <f t="shared" si="4"/>
        <v>0</v>
      </c>
      <c r="S21" s="27">
        <f t="shared" si="5"/>
        <v>0</v>
      </c>
      <c r="T21" s="27"/>
      <c r="U21" s="27">
        <f t="shared" si="6"/>
        <v>0</v>
      </c>
      <c r="V21" s="27"/>
      <c r="W21" s="27">
        <f t="shared" si="7"/>
        <v>0</v>
      </c>
      <c r="X21" s="27"/>
      <c r="Y21" s="27">
        <f t="shared" si="8"/>
        <v>0</v>
      </c>
      <c r="Z21" s="27"/>
      <c r="AA21" s="27">
        <f t="shared" si="9"/>
        <v>0</v>
      </c>
      <c r="AB21" s="27">
        <f>SUM(H21:AA21)</f>
        <v>0</v>
      </c>
      <c r="AC21" s="21" t="str">
        <f>IF(ABS(AB21-F21)&lt;1,"ok","err")</f>
        <v>ok</v>
      </c>
    </row>
    <row r="22" spans="1:29" x14ac:dyDescent="0.25">
      <c r="A22" s="65">
        <v>317</v>
      </c>
      <c r="B22" s="14" t="s">
        <v>769</v>
      </c>
      <c r="C22" s="14" t="s">
        <v>777</v>
      </c>
      <c r="D22" s="14" t="s">
        <v>551</v>
      </c>
      <c r="F22" s="167">
        <v>0</v>
      </c>
      <c r="G22" s="27"/>
      <c r="H22" s="27">
        <f t="shared" si="0"/>
        <v>0</v>
      </c>
      <c r="I22" s="27">
        <f t="shared" si="1"/>
        <v>0</v>
      </c>
      <c r="J22" s="27"/>
      <c r="K22" s="27">
        <f t="shared" si="2"/>
        <v>0</v>
      </c>
      <c r="L22" s="27"/>
      <c r="M22" s="27">
        <f t="shared" si="12"/>
        <v>0</v>
      </c>
      <c r="N22" s="27"/>
      <c r="O22" s="27">
        <f t="shared" si="13"/>
        <v>0</v>
      </c>
      <c r="P22" s="27">
        <f t="shared" si="3"/>
        <v>0</v>
      </c>
      <c r="Q22" s="27"/>
      <c r="R22" s="27">
        <f t="shared" si="4"/>
        <v>0</v>
      </c>
      <c r="S22" s="27">
        <f t="shared" si="5"/>
        <v>0</v>
      </c>
      <c r="T22" s="27"/>
      <c r="U22" s="27">
        <f t="shared" si="6"/>
        <v>0</v>
      </c>
      <c r="V22" s="27"/>
      <c r="W22" s="27">
        <f t="shared" si="7"/>
        <v>0</v>
      </c>
      <c r="X22" s="27"/>
      <c r="Y22" s="27">
        <f t="shared" si="8"/>
        <v>0</v>
      </c>
      <c r="Z22" s="27"/>
      <c r="AA22" s="27">
        <f t="shared" si="9"/>
        <v>0</v>
      </c>
      <c r="AB22" s="27">
        <f t="shared" si="10"/>
        <v>0</v>
      </c>
      <c r="AC22" s="21" t="str">
        <f t="shared" si="11"/>
        <v>ok</v>
      </c>
    </row>
    <row r="23" spans="1:29" x14ac:dyDescent="0.25">
      <c r="Q23" s="14"/>
      <c r="AB23" s="27"/>
      <c r="AC23" s="21"/>
    </row>
    <row r="24" spans="1:29" x14ac:dyDescent="0.25">
      <c r="B24" s="14" t="s">
        <v>780</v>
      </c>
      <c r="C24" s="14" t="s">
        <v>779</v>
      </c>
      <c r="F24" s="175">
        <f>SUM(F15:F23)</f>
        <v>0</v>
      </c>
      <c r="G24" s="64"/>
      <c r="H24" s="64">
        <f>SUM(H15:H23)</f>
        <v>0</v>
      </c>
      <c r="I24" s="64">
        <f>SUM(I15:I23)</f>
        <v>0</v>
      </c>
      <c r="J24" s="64"/>
      <c r="K24" s="64">
        <f>SUM(K15:K23)</f>
        <v>0</v>
      </c>
      <c r="L24" s="64"/>
      <c r="M24" s="64">
        <f>SUM(M15:M23)</f>
        <v>0</v>
      </c>
      <c r="N24" s="64"/>
      <c r="O24" s="64">
        <f>SUM(O15:O23)</f>
        <v>0</v>
      </c>
      <c r="P24" s="64">
        <f>SUM(P15:P23)</f>
        <v>0</v>
      </c>
      <c r="Q24" s="64"/>
      <c r="R24" s="64">
        <f>SUM(R15:R23)</f>
        <v>0</v>
      </c>
      <c r="S24" s="64">
        <f>SUM(S15:S23)</f>
        <v>0</v>
      </c>
      <c r="T24" s="64"/>
      <c r="U24" s="64">
        <f>SUM(U15:U23)</f>
        <v>0</v>
      </c>
      <c r="V24" s="64"/>
      <c r="W24" s="64">
        <f>SUM(W15:W23)</f>
        <v>0</v>
      </c>
      <c r="X24" s="64"/>
      <c r="Y24" s="64">
        <f>SUM(Y15:Y23)</f>
        <v>0</v>
      </c>
      <c r="Z24" s="64"/>
      <c r="AA24" s="64">
        <f>SUM(AA15:AA23)</f>
        <v>0</v>
      </c>
      <c r="AB24" s="27">
        <f>SUM(H24:AA24)</f>
        <v>0</v>
      </c>
      <c r="AC24" s="21" t="str">
        <f>IF(ABS(AB24-F24)&lt;1,"ok","err")</f>
        <v>ok</v>
      </c>
    </row>
    <row r="25" spans="1:29" x14ac:dyDescent="0.25">
      <c r="Q25" s="14"/>
      <c r="AC25" s="21"/>
    </row>
    <row r="26" spans="1:29" x14ac:dyDescent="0.25">
      <c r="A26" s="19" t="s">
        <v>349</v>
      </c>
      <c r="Q26" s="14"/>
      <c r="AC26" s="21"/>
    </row>
    <row r="27" spans="1:29" x14ac:dyDescent="0.25">
      <c r="A27" s="65">
        <v>350</v>
      </c>
      <c r="B27" s="14" t="s">
        <v>17</v>
      </c>
      <c r="C27" s="14" t="s">
        <v>351</v>
      </c>
      <c r="D27" s="14" t="s">
        <v>390</v>
      </c>
      <c r="F27" s="174">
        <v>0</v>
      </c>
      <c r="G27" s="40"/>
      <c r="H27" s="27">
        <f t="shared" ref="H27:H33" si="14">IF(VLOOKUP($D27,$C$5:$AA$496,6,)=0,0,((VLOOKUP($D27,$C$5:$AA$496,6,)/VLOOKUP($D27,$C$5:$AA$496,4,))*$F27))</f>
        <v>0</v>
      </c>
      <c r="I27" s="27">
        <f t="shared" ref="I27:I33" si="15">IF(VLOOKUP($D27,$C$5:$AA$496,7,)=0,0,((VLOOKUP($D27,$C$5:$AA$496,7,)/VLOOKUP($D27,$C$5:$AA$496,4,))*$F27))</f>
        <v>0</v>
      </c>
      <c r="J27" s="27"/>
      <c r="K27" s="27">
        <f t="shared" ref="K27:K33" si="16">IF(VLOOKUP($D27,$C$5:$AA$496,9,)=0,0,((VLOOKUP($D27,$C$5:$AA$496,9,)/VLOOKUP($D27,$C$5:$AA$496,4,))*$F27))</f>
        <v>0</v>
      </c>
      <c r="L27" s="27"/>
      <c r="M27" s="27">
        <f t="shared" ref="M27:M33" si="17">IF(VLOOKUP($D27,$C$5:$AA$496,11,)=0,0,((VLOOKUP($D27,$C$5:$AA$496,11,)/VLOOKUP($D27,$C$5:$AA$496,4,))*$F27))</f>
        <v>0</v>
      </c>
      <c r="N27" s="27"/>
      <c r="O27" s="27">
        <f t="shared" ref="O27:O33" si="18">IF(VLOOKUP($D27,$C$5:$AA$496,13,)=0,0,((VLOOKUP($D27,$C$5:$AA$496,13,)/VLOOKUP($D27,$C$5:$AA$496,4,))*$F27))</f>
        <v>0</v>
      </c>
      <c r="P27" s="27">
        <f t="shared" ref="P27:P33" si="19">IF(VLOOKUP($D27,$C$5:$AA$496,14,)=0,0,((VLOOKUP($D27,$C$5:$AA$496,14,)/VLOOKUP($D27,$C$5:$AA$496,4,))*$F27))</f>
        <v>0</v>
      </c>
      <c r="Q27" s="27"/>
      <c r="R27" s="27">
        <f t="shared" ref="R27:R33" si="20">IF(VLOOKUP($D27,$C$5:$AA$496,16,)=0,0,((VLOOKUP($D27,$C$5:$AA$496,16,)/VLOOKUP($D27,$C$5:$AA$496,4,))*$F27))</f>
        <v>0</v>
      </c>
      <c r="S27" s="27">
        <f t="shared" ref="S27:S33" si="21">IF(VLOOKUP($D27,$C$5:$AA$496,17,)=0,0,((VLOOKUP($D27,$C$5:$AA$496,17,)/VLOOKUP($D27,$C$5:$AA$496,4,))*$F27))</f>
        <v>0</v>
      </c>
      <c r="T27" s="27"/>
      <c r="U27" s="27">
        <f t="shared" ref="U27:U33" si="22">IF(VLOOKUP($D27,$C$5:$AA$496,19,)=0,0,((VLOOKUP($D27,$C$5:$AA$496,19,)/VLOOKUP($D27,$C$5:$AA$496,4,))*$F27))</f>
        <v>0</v>
      </c>
      <c r="V27" s="27"/>
      <c r="W27" s="27">
        <f t="shared" ref="W27:W33" si="23">IF(VLOOKUP($D27,$C$5:$AA$496,21,)=0,0,((VLOOKUP($D27,$C$5:$AA$496,21,)/VLOOKUP($D27,$C$5:$AA$496,4,))*$F27))</f>
        <v>0</v>
      </c>
      <c r="X27" s="27"/>
      <c r="Y27" s="27">
        <f t="shared" ref="Y27:Y33" si="24">IF(VLOOKUP($D27,$C$5:$AA$496,23,)=0,0,((VLOOKUP($D27,$C$5:$AA$496,23,)/VLOOKUP($D27,$C$5:$AA$496,4,))*$F27))</f>
        <v>0</v>
      </c>
      <c r="Z27" s="27"/>
      <c r="AA27" s="27">
        <f t="shared" ref="AA27:AA33" si="25">IF(VLOOKUP($D27,$C$5:$AA$496,25,)=0,0,((VLOOKUP($D27,$C$5:$AA$496,25,)/VLOOKUP($D27,$C$5:$AA$496,4,))*$F27))</f>
        <v>0</v>
      </c>
      <c r="AB27" s="27">
        <f t="shared" ref="AB27:AB33" si="26">SUM(H27:AA27)</f>
        <v>0</v>
      </c>
      <c r="AC27" s="21" t="str">
        <f t="shared" ref="AC27:AC33" si="27">IF(ABS(AB27-F27)&lt;1,"ok","err")</f>
        <v>ok</v>
      </c>
    </row>
    <row r="28" spans="1:29" x14ac:dyDescent="0.25">
      <c r="A28" s="65">
        <v>352</v>
      </c>
      <c r="B28" s="14" t="s">
        <v>53</v>
      </c>
      <c r="C28" s="14" t="s">
        <v>417</v>
      </c>
      <c r="D28" s="14" t="s">
        <v>390</v>
      </c>
      <c r="F28" s="167">
        <v>0</v>
      </c>
      <c r="G28" s="27"/>
      <c r="H28" s="27">
        <f t="shared" si="14"/>
        <v>0</v>
      </c>
      <c r="I28" s="27">
        <f t="shared" si="15"/>
        <v>0</v>
      </c>
      <c r="J28" s="27"/>
      <c r="K28" s="27">
        <f t="shared" si="16"/>
        <v>0</v>
      </c>
      <c r="L28" s="27"/>
      <c r="M28" s="27">
        <f t="shared" si="17"/>
        <v>0</v>
      </c>
      <c r="N28" s="27"/>
      <c r="O28" s="27">
        <f t="shared" si="18"/>
        <v>0</v>
      </c>
      <c r="P28" s="27">
        <f t="shared" si="19"/>
        <v>0</v>
      </c>
      <c r="Q28" s="27"/>
      <c r="R28" s="27">
        <f t="shared" si="20"/>
        <v>0</v>
      </c>
      <c r="S28" s="27">
        <f t="shared" si="21"/>
        <v>0</v>
      </c>
      <c r="T28" s="27"/>
      <c r="U28" s="27">
        <f t="shared" si="22"/>
        <v>0</v>
      </c>
      <c r="V28" s="27"/>
      <c r="W28" s="27">
        <f t="shared" si="23"/>
        <v>0</v>
      </c>
      <c r="X28" s="27"/>
      <c r="Y28" s="27">
        <f t="shared" si="24"/>
        <v>0</v>
      </c>
      <c r="Z28" s="27"/>
      <c r="AA28" s="27">
        <f t="shared" si="25"/>
        <v>0</v>
      </c>
      <c r="AB28" s="27">
        <f t="shared" si="26"/>
        <v>0</v>
      </c>
      <c r="AC28" s="21" t="str">
        <f t="shared" si="27"/>
        <v>ok</v>
      </c>
    </row>
    <row r="29" spans="1:29" x14ac:dyDescent="0.25">
      <c r="A29" s="65">
        <v>353</v>
      </c>
      <c r="B29" s="14" t="s">
        <v>22</v>
      </c>
      <c r="C29" s="14" t="s">
        <v>352</v>
      </c>
      <c r="D29" s="14" t="s">
        <v>390</v>
      </c>
      <c r="F29" s="167">
        <v>0</v>
      </c>
      <c r="G29" s="27"/>
      <c r="H29" s="27">
        <f t="shared" si="14"/>
        <v>0</v>
      </c>
      <c r="I29" s="27">
        <f t="shared" si="15"/>
        <v>0</v>
      </c>
      <c r="J29" s="27"/>
      <c r="K29" s="27">
        <f t="shared" si="16"/>
        <v>0</v>
      </c>
      <c r="L29" s="27"/>
      <c r="M29" s="27">
        <f t="shared" si="17"/>
        <v>0</v>
      </c>
      <c r="N29" s="27"/>
      <c r="O29" s="27">
        <f t="shared" si="18"/>
        <v>0</v>
      </c>
      <c r="P29" s="27">
        <f t="shared" si="19"/>
        <v>0</v>
      </c>
      <c r="Q29" s="27"/>
      <c r="R29" s="27">
        <f t="shared" si="20"/>
        <v>0</v>
      </c>
      <c r="S29" s="27">
        <f t="shared" si="21"/>
        <v>0</v>
      </c>
      <c r="T29" s="27"/>
      <c r="U29" s="27">
        <f t="shared" si="22"/>
        <v>0</v>
      </c>
      <c r="V29" s="27"/>
      <c r="W29" s="27">
        <f t="shared" si="23"/>
        <v>0</v>
      </c>
      <c r="X29" s="27"/>
      <c r="Y29" s="27">
        <f t="shared" si="24"/>
        <v>0</v>
      </c>
      <c r="Z29" s="27"/>
      <c r="AA29" s="27">
        <f t="shared" si="25"/>
        <v>0</v>
      </c>
      <c r="AB29" s="27">
        <f t="shared" si="26"/>
        <v>0</v>
      </c>
      <c r="AC29" s="21" t="str">
        <f t="shared" si="27"/>
        <v>ok</v>
      </c>
    </row>
    <row r="30" spans="1:29" x14ac:dyDescent="0.25">
      <c r="A30" s="65">
        <v>354</v>
      </c>
      <c r="B30" s="14" t="s">
        <v>418</v>
      </c>
      <c r="C30" s="14" t="s">
        <v>420</v>
      </c>
      <c r="D30" s="14" t="s">
        <v>390</v>
      </c>
      <c r="F30" s="167">
        <v>0</v>
      </c>
      <c r="G30" s="27"/>
      <c r="H30" s="27">
        <f t="shared" si="14"/>
        <v>0</v>
      </c>
      <c r="I30" s="27">
        <f t="shared" si="15"/>
        <v>0</v>
      </c>
      <c r="J30" s="27"/>
      <c r="K30" s="27">
        <f t="shared" si="16"/>
        <v>0</v>
      </c>
      <c r="L30" s="27"/>
      <c r="M30" s="27">
        <f t="shared" si="17"/>
        <v>0</v>
      </c>
      <c r="N30" s="27"/>
      <c r="O30" s="27">
        <f t="shared" si="18"/>
        <v>0</v>
      </c>
      <c r="P30" s="27">
        <f t="shared" si="19"/>
        <v>0</v>
      </c>
      <c r="Q30" s="27"/>
      <c r="R30" s="27">
        <f t="shared" si="20"/>
        <v>0</v>
      </c>
      <c r="S30" s="27">
        <f t="shared" si="21"/>
        <v>0</v>
      </c>
      <c r="T30" s="27"/>
      <c r="U30" s="27">
        <f t="shared" si="22"/>
        <v>0</v>
      </c>
      <c r="V30" s="27"/>
      <c r="W30" s="27">
        <f t="shared" si="23"/>
        <v>0</v>
      </c>
      <c r="X30" s="27"/>
      <c r="Y30" s="27">
        <f t="shared" si="24"/>
        <v>0</v>
      </c>
      <c r="Z30" s="27"/>
      <c r="AA30" s="27">
        <f t="shared" si="25"/>
        <v>0</v>
      </c>
      <c r="AB30" s="27">
        <f t="shared" si="26"/>
        <v>0</v>
      </c>
      <c r="AC30" s="21" t="str">
        <f t="shared" si="27"/>
        <v>ok</v>
      </c>
    </row>
    <row r="31" spans="1:29" x14ac:dyDescent="0.25">
      <c r="A31" s="65">
        <v>355</v>
      </c>
      <c r="B31" s="14" t="s">
        <v>419</v>
      </c>
      <c r="C31" s="14" t="s">
        <v>353</v>
      </c>
      <c r="D31" s="14" t="s">
        <v>390</v>
      </c>
      <c r="F31" s="167">
        <v>0</v>
      </c>
      <c r="G31" s="27"/>
      <c r="H31" s="27">
        <f t="shared" si="14"/>
        <v>0</v>
      </c>
      <c r="I31" s="27">
        <f t="shared" si="15"/>
        <v>0</v>
      </c>
      <c r="J31" s="27"/>
      <c r="K31" s="27">
        <f t="shared" si="16"/>
        <v>0</v>
      </c>
      <c r="L31" s="27"/>
      <c r="M31" s="27">
        <f t="shared" si="17"/>
        <v>0</v>
      </c>
      <c r="N31" s="27"/>
      <c r="O31" s="27">
        <f t="shared" si="18"/>
        <v>0</v>
      </c>
      <c r="P31" s="27">
        <f t="shared" si="19"/>
        <v>0</v>
      </c>
      <c r="Q31" s="27"/>
      <c r="R31" s="27">
        <f t="shared" si="20"/>
        <v>0</v>
      </c>
      <c r="S31" s="27">
        <f t="shared" si="21"/>
        <v>0</v>
      </c>
      <c r="T31" s="27"/>
      <c r="U31" s="27">
        <f t="shared" si="22"/>
        <v>0</v>
      </c>
      <c r="V31" s="27"/>
      <c r="W31" s="27">
        <f t="shared" si="23"/>
        <v>0</v>
      </c>
      <c r="X31" s="27"/>
      <c r="Y31" s="27">
        <f t="shared" si="24"/>
        <v>0</v>
      </c>
      <c r="Z31" s="27"/>
      <c r="AA31" s="27">
        <f t="shared" si="25"/>
        <v>0</v>
      </c>
      <c r="AB31" s="27">
        <f t="shared" si="26"/>
        <v>0</v>
      </c>
      <c r="AC31" s="21" t="str">
        <f t="shared" si="27"/>
        <v>ok</v>
      </c>
    </row>
    <row r="32" spans="1:29" x14ac:dyDescent="0.25">
      <c r="A32" s="65">
        <v>356</v>
      </c>
      <c r="B32" s="14" t="s">
        <v>350</v>
      </c>
      <c r="C32" s="14" t="s">
        <v>354</v>
      </c>
      <c r="D32" s="14" t="s">
        <v>390</v>
      </c>
      <c r="F32" s="167">
        <v>0</v>
      </c>
      <c r="G32" s="27"/>
      <c r="H32" s="27">
        <f t="shared" si="14"/>
        <v>0</v>
      </c>
      <c r="I32" s="27">
        <f t="shared" si="15"/>
        <v>0</v>
      </c>
      <c r="J32" s="27"/>
      <c r="K32" s="27">
        <f t="shared" si="16"/>
        <v>0</v>
      </c>
      <c r="L32" s="27"/>
      <c r="M32" s="27">
        <f t="shared" si="17"/>
        <v>0</v>
      </c>
      <c r="N32" s="27"/>
      <c r="O32" s="27">
        <f t="shared" si="18"/>
        <v>0</v>
      </c>
      <c r="P32" s="27">
        <f t="shared" si="19"/>
        <v>0</v>
      </c>
      <c r="Q32" s="27"/>
      <c r="R32" s="27">
        <f t="shared" si="20"/>
        <v>0</v>
      </c>
      <c r="S32" s="27">
        <f t="shared" si="21"/>
        <v>0</v>
      </c>
      <c r="T32" s="27"/>
      <c r="U32" s="27">
        <f t="shared" si="22"/>
        <v>0</v>
      </c>
      <c r="V32" s="27"/>
      <c r="W32" s="27">
        <f t="shared" si="23"/>
        <v>0</v>
      </c>
      <c r="X32" s="27"/>
      <c r="Y32" s="27">
        <f t="shared" si="24"/>
        <v>0</v>
      </c>
      <c r="Z32" s="27"/>
      <c r="AA32" s="27">
        <f t="shared" si="25"/>
        <v>0</v>
      </c>
      <c r="AB32" s="27">
        <f t="shared" si="26"/>
        <v>0</v>
      </c>
      <c r="AC32" s="21" t="str">
        <f t="shared" si="27"/>
        <v>ok</v>
      </c>
    </row>
    <row r="33" spans="1:29" x14ac:dyDescent="0.25">
      <c r="A33" s="65">
        <v>359</v>
      </c>
      <c r="B33" s="14" t="s">
        <v>421</v>
      </c>
      <c r="C33" s="14" t="s">
        <v>422</v>
      </c>
      <c r="D33" s="14" t="s">
        <v>390</v>
      </c>
      <c r="F33" s="167">
        <v>0</v>
      </c>
      <c r="G33" s="27"/>
      <c r="H33" s="27">
        <f t="shared" si="14"/>
        <v>0</v>
      </c>
      <c r="I33" s="27">
        <f t="shared" si="15"/>
        <v>0</v>
      </c>
      <c r="J33" s="27"/>
      <c r="K33" s="27">
        <f t="shared" si="16"/>
        <v>0</v>
      </c>
      <c r="L33" s="27"/>
      <c r="M33" s="27">
        <f t="shared" si="17"/>
        <v>0</v>
      </c>
      <c r="N33" s="27"/>
      <c r="O33" s="27">
        <f t="shared" si="18"/>
        <v>0</v>
      </c>
      <c r="P33" s="27">
        <f t="shared" si="19"/>
        <v>0</v>
      </c>
      <c r="Q33" s="27"/>
      <c r="R33" s="27">
        <f t="shared" si="20"/>
        <v>0</v>
      </c>
      <c r="S33" s="27">
        <f t="shared" si="21"/>
        <v>0</v>
      </c>
      <c r="T33" s="27"/>
      <c r="U33" s="27">
        <f t="shared" si="22"/>
        <v>0</v>
      </c>
      <c r="V33" s="27"/>
      <c r="W33" s="27">
        <f t="shared" si="23"/>
        <v>0</v>
      </c>
      <c r="X33" s="27"/>
      <c r="Y33" s="27">
        <f t="shared" si="24"/>
        <v>0</v>
      </c>
      <c r="Z33" s="27"/>
      <c r="AA33" s="27">
        <f t="shared" si="25"/>
        <v>0</v>
      </c>
      <c r="AB33" s="27">
        <f t="shared" si="26"/>
        <v>0</v>
      </c>
      <c r="AC33" s="21" t="str">
        <f t="shared" si="27"/>
        <v>ok</v>
      </c>
    </row>
    <row r="34" spans="1:29" x14ac:dyDescent="0.25">
      <c r="Q34" s="14"/>
      <c r="AB34" s="27"/>
      <c r="AC34" s="21"/>
    </row>
    <row r="35" spans="1:29" x14ac:dyDescent="0.25">
      <c r="B35" s="14" t="s">
        <v>358</v>
      </c>
      <c r="C35" s="14" t="s">
        <v>389</v>
      </c>
      <c r="F35" s="175">
        <f>SUM(F27:F34)</f>
        <v>0</v>
      </c>
      <c r="G35" s="64"/>
      <c r="H35" s="64">
        <f t="shared" ref="H35:AA35" si="28">SUM(H27:H34)</f>
        <v>0</v>
      </c>
      <c r="I35" s="64">
        <f t="shared" si="28"/>
        <v>0</v>
      </c>
      <c r="J35" s="64"/>
      <c r="K35" s="64">
        <f t="shared" si="28"/>
        <v>0</v>
      </c>
      <c r="L35" s="64"/>
      <c r="M35" s="64">
        <f t="shared" si="28"/>
        <v>0</v>
      </c>
      <c r="N35" s="64"/>
      <c r="O35" s="64">
        <f t="shared" si="28"/>
        <v>0</v>
      </c>
      <c r="P35" s="64">
        <f t="shared" si="28"/>
        <v>0</v>
      </c>
      <c r="Q35" s="64"/>
      <c r="R35" s="64">
        <f t="shared" si="28"/>
        <v>0</v>
      </c>
      <c r="S35" s="64">
        <f t="shared" si="28"/>
        <v>0</v>
      </c>
      <c r="T35" s="64"/>
      <c r="U35" s="64">
        <f t="shared" si="28"/>
        <v>0</v>
      </c>
      <c r="V35" s="64"/>
      <c r="W35" s="64">
        <f t="shared" si="28"/>
        <v>0</v>
      </c>
      <c r="X35" s="64"/>
      <c r="Y35" s="64">
        <f t="shared" si="28"/>
        <v>0</v>
      </c>
      <c r="Z35" s="64"/>
      <c r="AA35" s="64">
        <f t="shared" si="28"/>
        <v>0</v>
      </c>
      <c r="AB35" s="27">
        <f>SUM(H35:AA35)</f>
        <v>0</v>
      </c>
      <c r="AC35" s="21" t="str">
        <f>IF(ABS(AB35-F35)&lt;1,"ok","err")</f>
        <v>ok</v>
      </c>
    </row>
    <row r="36" spans="1:29" x14ac:dyDescent="0.25">
      <c r="Q36" s="14"/>
      <c r="AC36" s="21"/>
    </row>
    <row r="37" spans="1:29" x14ac:dyDescent="0.25">
      <c r="A37" s="19" t="s">
        <v>365</v>
      </c>
      <c r="Q37" s="14"/>
      <c r="AC37" s="21"/>
    </row>
    <row r="38" spans="1:29" x14ac:dyDescent="0.25">
      <c r="Q38" s="14"/>
      <c r="AC38" s="21"/>
    </row>
    <row r="39" spans="1:29" x14ac:dyDescent="0.25">
      <c r="A39" s="19" t="s">
        <v>21</v>
      </c>
      <c r="Q39" s="14"/>
      <c r="AC39" s="21"/>
    </row>
    <row r="40" spans="1:29" x14ac:dyDescent="0.25">
      <c r="A40" s="65">
        <v>360</v>
      </c>
      <c r="B40" s="14" t="s">
        <v>17</v>
      </c>
      <c r="C40" s="14" t="s">
        <v>18</v>
      </c>
      <c r="D40" s="14" t="s">
        <v>24</v>
      </c>
      <c r="F40" s="174">
        <v>0</v>
      </c>
      <c r="G40" s="40"/>
      <c r="H40" s="27">
        <f>IF(VLOOKUP($D40,$C$5:$AA$496,6,)=0,0,((VLOOKUP($D40,$C$5:$AA$496,6,)/VLOOKUP($D40,$C$5:$AA$496,4,))*$F63))</f>
        <v>0</v>
      </c>
      <c r="I40" s="27">
        <f>IF(VLOOKUP($D40,$C$5:$AA$496,7,)=0,0,((VLOOKUP($D40,$C$5:$AA$496,7,)/VLOOKUP($D40,$C$5:$AA$496,4,))*$F63))</f>
        <v>0</v>
      </c>
      <c r="J40" s="27"/>
      <c r="K40" s="27">
        <f>IF(VLOOKUP($D40,$C$5:$AA$496,9,)=0,0,((VLOOKUP($D40,$C$5:$AA$496,9,)/VLOOKUP($D40,$C$5:$AA$496,4,))*$F63))</f>
        <v>0</v>
      </c>
      <c r="L40" s="27"/>
      <c r="M40" s="27">
        <f t="shared" ref="M40:M52" si="29">IF(VLOOKUP($D40,$C$5:$AA$496,11,)=0,0,((VLOOKUP($D40,$C$5:$AA$496,11,)/VLOOKUP($D40,$C$5:$AA$496,4,))*$F40))</f>
        <v>0</v>
      </c>
      <c r="N40" s="27"/>
      <c r="O40" s="27">
        <f>IF(VLOOKUP($D40,$C$5:$AA$496,13,)=0,0,((VLOOKUP($D40,$C$5:$AA$496,13,)/VLOOKUP($D40,$C$5:$AA$496,4,))*$F63))</f>
        <v>0</v>
      </c>
      <c r="P40" s="27">
        <f>IF(VLOOKUP($D40,$C$5:$AA$496,14,)=0,0,((VLOOKUP($D40,$C$5:$AA$496,14,)/VLOOKUP($D40,$C$5:$AA$496,4,))*$F63))</f>
        <v>0</v>
      </c>
      <c r="Q40" s="27"/>
      <c r="R40" s="27">
        <f>IF(VLOOKUP($D40,$C$5:$AA$496,16,)=0,0,((VLOOKUP($D40,$C$5:$AA$496,16,)/VLOOKUP($D40,$C$5:$AA$496,4,))*$F63))</f>
        <v>0</v>
      </c>
      <c r="S40" s="27">
        <f>IF(VLOOKUP($D40,$C$5:$AA$496,17,)=0,0,((VLOOKUP($D40,$C$5:$AA$496,17,)/VLOOKUP($D40,$C$5:$AA$496,4,))*$F63))</f>
        <v>0</v>
      </c>
      <c r="T40" s="27"/>
      <c r="U40" s="27">
        <f>IF(VLOOKUP($D40,$C$5:$AA$496,19,)=0,0,((VLOOKUP($D40,$C$5:$AA$496,19,)/VLOOKUP($D40,$C$5:$AA$496,4,))*$F63))</f>
        <v>0</v>
      </c>
      <c r="V40" s="27"/>
      <c r="W40" s="27">
        <f>IF(VLOOKUP($D40,$C$5:$AA$496,21,)=0,0,((VLOOKUP($D40,$C$5:$AA$496,21,)/VLOOKUP($D40,$C$5:$AA$496,4,))*$F63))</f>
        <v>0</v>
      </c>
      <c r="X40" s="27"/>
      <c r="Y40" s="27">
        <f>IF(VLOOKUP($D40,$C$5:$AA$496,23,)=0,0,((VLOOKUP($D40,$C$5:$AA$496,23,)/VLOOKUP($D40,$C$5:$AA$496,4,))*$F63))</f>
        <v>0</v>
      </c>
      <c r="Z40" s="27"/>
      <c r="AA40" s="27">
        <f>IF(VLOOKUP($D40,$C$5:$AA$496,25,)=0,0,((VLOOKUP($D40,$C$5:$AA$496,25,)/VLOOKUP($D40,$C$5:$AA$496,4,))*$F63))</f>
        <v>0</v>
      </c>
      <c r="AB40" s="27">
        <f t="shared" ref="AB40:AB52" si="30">SUM(H40:AA40)</f>
        <v>0</v>
      </c>
      <c r="AC40" s="21" t="str">
        <f>IF(ABS(AB40-F40)&lt;1,"ok","err")</f>
        <v>ok</v>
      </c>
    </row>
    <row r="41" spans="1:29" x14ac:dyDescent="0.25">
      <c r="A41" s="65">
        <v>361</v>
      </c>
      <c r="B41" s="14" t="s">
        <v>53</v>
      </c>
      <c r="C41" s="14" t="s">
        <v>423</v>
      </c>
      <c r="D41" s="14" t="s">
        <v>24</v>
      </c>
      <c r="F41" s="167">
        <v>0</v>
      </c>
      <c r="G41" s="27"/>
      <c r="H41" s="27">
        <f t="shared" ref="H41:H52" si="31">IF(VLOOKUP($D41,$C$5:$AA$496,6,)=0,0,((VLOOKUP($D41,$C$5:$AA$496,6,)/VLOOKUP($D41,$C$5:$AA$496,4,))*$F41))</f>
        <v>0</v>
      </c>
      <c r="I41" s="27">
        <f t="shared" ref="I41:I52" si="32">IF(VLOOKUP($D41,$C$5:$AA$496,7,)=0,0,((VLOOKUP($D41,$C$5:$AA$496,7,)/VLOOKUP($D41,$C$5:$AA$496,4,))*$F41))</f>
        <v>0</v>
      </c>
      <c r="J41" s="27"/>
      <c r="K41" s="27">
        <f t="shared" ref="K41:K52" si="33">IF(VLOOKUP($D41,$C$5:$AA$496,9,)=0,0,((VLOOKUP($D41,$C$5:$AA$496,9,)/VLOOKUP($D41,$C$5:$AA$496,4,))*$F41))</f>
        <v>0</v>
      </c>
      <c r="L41" s="27"/>
      <c r="M41" s="27">
        <f t="shared" si="29"/>
        <v>0</v>
      </c>
      <c r="N41" s="27"/>
      <c r="O41" s="27">
        <f t="shared" ref="O41:O52" si="34">IF(VLOOKUP($D41,$C$5:$AA$496,13,)=0,0,((VLOOKUP($D41,$C$5:$AA$496,13,)/VLOOKUP($D41,$C$5:$AA$496,4,))*$F41))</f>
        <v>0</v>
      </c>
      <c r="P41" s="27">
        <f t="shared" ref="P41:P52" si="35">IF(VLOOKUP($D41,$C$5:$AA$496,14,)=0,0,((VLOOKUP($D41,$C$5:$AA$496,14,)/VLOOKUP($D41,$C$5:$AA$496,4,))*$F41))</f>
        <v>0</v>
      </c>
      <c r="Q41" s="27"/>
      <c r="R41" s="27">
        <f t="shared" ref="R41:R52" si="36">IF(VLOOKUP($D41,$C$5:$AA$496,16,)=0,0,((VLOOKUP($D41,$C$5:$AA$496,16,)/VLOOKUP($D41,$C$5:$AA$496,4,))*$F41))</f>
        <v>0</v>
      </c>
      <c r="S41" s="27">
        <f t="shared" ref="S41:S52" si="37">IF(VLOOKUP($D41,$C$5:$AA$496,17,)=0,0,((VLOOKUP($D41,$C$5:$AA$496,17,)/VLOOKUP($D41,$C$5:$AA$496,4,))*$F41))</f>
        <v>0</v>
      </c>
      <c r="T41" s="27"/>
      <c r="U41" s="27">
        <f t="shared" ref="U41:U52" si="38">IF(VLOOKUP($D41,$C$5:$AA$496,19,)=0,0,((VLOOKUP($D41,$C$5:$AA$496,19,)/VLOOKUP($D41,$C$5:$AA$496,4,))*$F41))</f>
        <v>0</v>
      </c>
      <c r="V41" s="27"/>
      <c r="W41" s="27">
        <f t="shared" ref="W41:W52" si="39">IF(VLOOKUP($D41,$C$5:$AA$496,21,)=0,0,((VLOOKUP($D41,$C$5:$AA$496,21,)/VLOOKUP($D41,$C$5:$AA$496,4,))*$F41))</f>
        <v>0</v>
      </c>
      <c r="X41" s="27"/>
      <c r="Y41" s="27">
        <f t="shared" ref="Y41:Y52" si="40">IF(VLOOKUP($D41,$C$5:$AA$496,23,)=0,0,((VLOOKUP($D41,$C$5:$AA$496,23,)/VLOOKUP($D41,$C$5:$AA$496,4,))*$F41))</f>
        <v>0</v>
      </c>
      <c r="Z41" s="27"/>
      <c r="AA41" s="27">
        <f t="shared" ref="AA41:AA52" si="41">IF(VLOOKUP($D41,$C$5:$AA$496,25,)=0,0,((VLOOKUP($D41,$C$5:$AA$496,25,)/VLOOKUP($D41,$C$5:$AA$496,4,))*$F41))</f>
        <v>0</v>
      </c>
      <c r="AB41" s="27">
        <f t="shared" si="30"/>
        <v>0</v>
      </c>
      <c r="AC41" s="21" t="str">
        <f t="shared" ref="AC41:AC52" si="42">IF(ABS(AB41-F41)&lt;1,"ok","err")</f>
        <v>ok</v>
      </c>
    </row>
    <row r="42" spans="1:29" x14ac:dyDescent="0.25">
      <c r="A42" s="65">
        <v>362</v>
      </c>
      <c r="B42" s="14" t="s">
        <v>22</v>
      </c>
      <c r="C42" s="14" t="s">
        <v>23</v>
      </c>
      <c r="D42" s="14" t="s">
        <v>24</v>
      </c>
      <c r="F42" s="167">
        <v>0</v>
      </c>
      <c r="G42" s="27"/>
      <c r="H42" s="27">
        <f t="shared" si="31"/>
        <v>0</v>
      </c>
      <c r="I42" s="27">
        <f t="shared" si="32"/>
        <v>0</v>
      </c>
      <c r="J42" s="27"/>
      <c r="K42" s="27">
        <f t="shared" si="33"/>
        <v>0</v>
      </c>
      <c r="L42" s="27"/>
      <c r="M42" s="27">
        <f t="shared" si="29"/>
        <v>0</v>
      </c>
      <c r="N42" s="27"/>
      <c r="O42" s="27">
        <f t="shared" si="34"/>
        <v>0</v>
      </c>
      <c r="P42" s="27">
        <f t="shared" si="35"/>
        <v>0</v>
      </c>
      <c r="Q42" s="27"/>
      <c r="R42" s="27">
        <f t="shared" si="36"/>
        <v>0</v>
      </c>
      <c r="S42" s="27">
        <f t="shared" si="37"/>
        <v>0</v>
      </c>
      <c r="T42" s="27"/>
      <c r="U42" s="27">
        <f t="shared" si="38"/>
        <v>0</v>
      </c>
      <c r="V42" s="27"/>
      <c r="W42" s="27">
        <f t="shared" si="39"/>
        <v>0</v>
      </c>
      <c r="X42" s="27"/>
      <c r="Y42" s="27">
        <f t="shared" si="40"/>
        <v>0</v>
      </c>
      <c r="Z42" s="27"/>
      <c r="AA42" s="27">
        <f t="shared" si="41"/>
        <v>0</v>
      </c>
      <c r="AB42" s="27">
        <f t="shared" si="30"/>
        <v>0</v>
      </c>
      <c r="AC42" s="21" t="str">
        <f t="shared" si="42"/>
        <v>ok</v>
      </c>
    </row>
    <row r="43" spans="1:29" x14ac:dyDescent="0.25">
      <c r="A43" s="65">
        <v>364</v>
      </c>
      <c r="B43" s="14" t="s">
        <v>25</v>
      </c>
      <c r="C43" s="14" t="s">
        <v>26</v>
      </c>
      <c r="D43" s="14" t="s">
        <v>27</v>
      </c>
      <c r="F43" s="167">
        <v>33707886.850000001</v>
      </c>
      <c r="G43" s="27"/>
      <c r="H43" s="27">
        <f t="shared" si="31"/>
        <v>0</v>
      </c>
      <c r="I43" s="27">
        <f t="shared" si="32"/>
        <v>0</v>
      </c>
      <c r="J43" s="27"/>
      <c r="K43" s="27">
        <f t="shared" si="33"/>
        <v>0</v>
      </c>
      <c r="L43" s="27"/>
      <c r="M43" s="27">
        <f t="shared" si="29"/>
        <v>0</v>
      </c>
      <c r="N43" s="27"/>
      <c r="O43" s="27">
        <f t="shared" si="34"/>
        <v>20003534.135942277</v>
      </c>
      <c r="P43" s="27">
        <f t="shared" si="35"/>
        <v>13704352.714057727</v>
      </c>
      <c r="Q43" s="27"/>
      <c r="R43" s="27">
        <f t="shared" si="36"/>
        <v>0</v>
      </c>
      <c r="S43" s="27">
        <f t="shared" si="37"/>
        <v>0</v>
      </c>
      <c r="T43" s="27"/>
      <c r="U43" s="27">
        <f t="shared" si="38"/>
        <v>0</v>
      </c>
      <c r="V43" s="27"/>
      <c r="W43" s="27">
        <f t="shared" si="39"/>
        <v>0</v>
      </c>
      <c r="X43" s="27"/>
      <c r="Y43" s="27">
        <f t="shared" si="40"/>
        <v>0</v>
      </c>
      <c r="Z43" s="27"/>
      <c r="AA43" s="27">
        <f t="shared" si="41"/>
        <v>0</v>
      </c>
      <c r="AB43" s="27">
        <f t="shared" si="30"/>
        <v>33707886.850000001</v>
      </c>
      <c r="AC43" s="21" t="str">
        <f t="shared" si="42"/>
        <v>ok</v>
      </c>
    </row>
    <row r="44" spans="1:29" x14ac:dyDescent="0.25">
      <c r="A44" s="65">
        <v>365</v>
      </c>
      <c r="B44" s="14" t="s">
        <v>28</v>
      </c>
      <c r="C44" s="14" t="s">
        <v>29</v>
      </c>
      <c r="D44" s="14" t="s">
        <v>30</v>
      </c>
      <c r="F44" s="167">
        <v>21945854.390000001</v>
      </c>
      <c r="G44" s="27"/>
      <c r="H44" s="27">
        <f t="shared" si="31"/>
        <v>0</v>
      </c>
      <c r="I44" s="27">
        <f t="shared" si="32"/>
        <v>0</v>
      </c>
      <c r="J44" s="27"/>
      <c r="K44" s="27">
        <f t="shared" si="33"/>
        <v>0</v>
      </c>
      <c r="L44" s="27"/>
      <c r="M44" s="27">
        <f t="shared" si="29"/>
        <v>0</v>
      </c>
      <c r="N44" s="27"/>
      <c r="O44" s="27">
        <f t="shared" si="34"/>
        <v>13023499.496907312</v>
      </c>
      <c r="P44" s="27">
        <f t="shared" si="35"/>
        <v>8922354.8930926882</v>
      </c>
      <c r="Q44" s="27"/>
      <c r="R44" s="27">
        <f t="shared" si="36"/>
        <v>0</v>
      </c>
      <c r="S44" s="27">
        <f t="shared" si="37"/>
        <v>0</v>
      </c>
      <c r="T44" s="27"/>
      <c r="U44" s="27">
        <f t="shared" si="38"/>
        <v>0</v>
      </c>
      <c r="V44" s="27"/>
      <c r="W44" s="27">
        <f t="shared" si="39"/>
        <v>0</v>
      </c>
      <c r="X44" s="27"/>
      <c r="Y44" s="27">
        <f t="shared" si="40"/>
        <v>0</v>
      </c>
      <c r="Z44" s="27"/>
      <c r="AA44" s="27">
        <f t="shared" si="41"/>
        <v>0</v>
      </c>
      <c r="AB44" s="27">
        <f t="shared" si="30"/>
        <v>21945854.390000001</v>
      </c>
      <c r="AC44" s="21" t="str">
        <f t="shared" si="42"/>
        <v>ok</v>
      </c>
    </row>
    <row r="45" spans="1:29" x14ac:dyDescent="0.25">
      <c r="A45" s="65">
        <v>366</v>
      </c>
      <c r="B45" s="14" t="s">
        <v>31</v>
      </c>
      <c r="C45" s="14" t="s">
        <v>32</v>
      </c>
      <c r="D45" s="14" t="s">
        <v>33</v>
      </c>
      <c r="F45" s="167">
        <v>1669350.48</v>
      </c>
      <c r="G45" s="27"/>
      <c r="H45" s="27">
        <f t="shared" si="31"/>
        <v>0</v>
      </c>
      <c r="I45" s="27">
        <f t="shared" si="32"/>
        <v>0</v>
      </c>
      <c r="J45" s="27"/>
      <c r="K45" s="27">
        <f t="shared" si="33"/>
        <v>0</v>
      </c>
      <c r="L45" s="27"/>
      <c r="M45" s="27">
        <f t="shared" si="29"/>
        <v>0</v>
      </c>
      <c r="N45" s="27"/>
      <c r="O45" s="27">
        <f t="shared" si="34"/>
        <v>155089.42849109092</v>
      </c>
      <c r="P45" s="27">
        <f t="shared" si="35"/>
        <v>1514261.0515089091</v>
      </c>
      <c r="Q45" s="27"/>
      <c r="R45" s="27">
        <f t="shared" si="36"/>
        <v>0</v>
      </c>
      <c r="S45" s="27">
        <f t="shared" si="37"/>
        <v>0</v>
      </c>
      <c r="T45" s="27"/>
      <c r="U45" s="27">
        <f t="shared" si="38"/>
        <v>0</v>
      </c>
      <c r="V45" s="27"/>
      <c r="W45" s="27">
        <f t="shared" si="39"/>
        <v>0</v>
      </c>
      <c r="X45" s="27"/>
      <c r="Y45" s="27">
        <f t="shared" si="40"/>
        <v>0</v>
      </c>
      <c r="Z45" s="27"/>
      <c r="AA45" s="27">
        <f t="shared" si="41"/>
        <v>0</v>
      </c>
      <c r="AB45" s="27">
        <f t="shared" si="30"/>
        <v>1669350.48</v>
      </c>
      <c r="AC45" s="21" t="str">
        <f t="shared" si="42"/>
        <v>ok</v>
      </c>
    </row>
    <row r="46" spans="1:29" x14ac:dyDescent="0.25">
      <c r="A46" s="65">
        <v>367</v>
      </c>
      <c r="B46" s="14" t="s">
        <v>34</v>
      </c>
      <c r="C46" s="14" t="s">
        <v>35</v>
      </c>
      <c r="D46" s="14" t="s">
        <v>33</v>
      </c>
      <c r="F46" s="167">
        <v>5607718.2599999998</v>
      </c>
      <c r="G46" s="27"/>
      <c r="H46" s="27">
        <f t="shared" si="31"/>
        <v>0</v>
      </c>
      <c r="I46" s="27">
        <f t="shared" si="32"/>
        <v>0</v>
      </c>
      <c r="J46" s="27"/>
      <c r="K46" s="27">
        <f t="shared" si="33"/>
        <v>0</v>
      </c>
      <c r="L46" s="27"/>
      <c r="M46" s="27">
        <f t="shared" si="29"/>
        <v>0</v>
      </c>
      <c r="N46" s="27"/>
      <c r="O46" s="27">
        <f t="shared" si="34"/>
        <v>520979.76458631671</v>
      </c>
      <c r="P46" s="27">
        <f t="shared" si="35"/>
        <v>5086738.4954136834</v>
      </c>
      <c r="Q46" s="27"/>
      <c r="R46" s="27">
        <f t="shared" si="36"/>
        <v>0</v>
      </c>
      <c r="S46" s="27">
        <f t="shared" si="37"/>
        <v>0</v>
      </c>
      <c r="T46" s="27"/>
      <c r="U46" s="27">
        <f t="shared" si="38"/>
        <v>0</v>
      </c>
      <c r="V46" s="27"/>
      <c r="W46" s="27">
        <f t="shared" si="39"/>
        <v>0</v>
      </c>
      <c r="X46" s="27"/>
      <c r="Y46" s="27">
        <f t="shared" si="40"/>
        <v>0</v>
      </c>
      <c r="Z46" s="27"/>
      <c r="AA46" s="27">
        <f t="shared" si="41"/>
        <v>0</v>
      </c>
      <c r="AB46" s="27">
        <f t="shared" si="30"/>
        <v>5607718.2599999998</v>
      </c>
      <c r="AC46" s="21" t="str">
        <f t="shared" si="42"/>
        <v>ok</v>
      </c>
    </row>
    <row r="47" spans="1:29" x14ac:dyDescent="0.25">
      <c r="A47" s="65">
        <v>368</v>
      </c>
      <c r="B47" s="14" t="s">
        <v>36</v>
      </c>
      <c r="C47" s="14" t="s">
        <v>37</v>
      </c>
      <c r="D47" s="14" t="s">
        <v>38</v>
      </c>
      <c r="F47" s="167">
        <v>17738779.629999999</v>
      </c>
      <c r="G47" s="27"/>
      <c r="H47" s="27">
        <f t="shared" si="31"/>
        <v>0</v>
      </c>
      <c r="I47" s="27">
        <f t="shared" si="32"/>
        <v>0</v>
      </c>
      <c r="J47" s="27"/>
      <c r="K47" s="27">
        <f t="shared" si="33"/>
        <v>0</v>
      </c>
      <c r="L47" s="27"/>
      <c r="M47" s="27">
        <f t="shared" si="29"/>
        <v>0</v>
      </c>
      <c r="N47" s="27"/>
      <c r="O47" s="27">
        <f t="shared" si="34"/>
        <v>6885434.8913425719</v>
      </c>
      <c r="P47" s="27">
        <f t="shared" si="35"/>
        <v>10853344.738657428</v>
      </c>
      <c r="Q47" s="27"/>
      <c r="R47" s="27">
        <f t="shared" si="36"/>
        <v>0</v>
      </c>
      <c r="S47" s="27">
        <f t="shared" si="37"/>
        <v>0</v>
      </c>
      <c r="T47" s="27"/>
      <c r="U47" s="27">
        <f t="shared" si="38"/>
        <v>0</v>
      </c>
      <c r="V47" s="27"/>
      <c r="W47" s="27">
        <f t="shared" si="39"/>
        <v>0</v>
      </c>
      <c r="X47" s="27"/>
      <c r="Y47" s="27">
        <f t="shared" si="40"/>
        <v>0</v>
      </c>
      <c r="Z47" s="27"/>
      <c r="AA47" s="27">
        <f t="shared" si="41"/>
        <v>0</v>
      </c>
      <c r="AB47" s="27">
        <f t="shared" si="30"/>
        <v>17738779.629999999</v>
      </c>
      <c r="AC47" s="21" t="str">
        <f t="shared" si="42"/>
        <v>ok</v>
      </c>
    </row>
    <row r="48" spans="1:29" x14ac:dyDescent="0.25">
      <c r="A48" s="65">
        <v>369</v>
      </c>
      <c r="B48" s="14" t="s">
        <v>39</v>
      </c>
      <c r="C48" s="14" t="s">
        <v>40</v>
      </c>
      <c r="D48" s="14" t="s">
        <v>41</v>
      </c>
      <c r="F48" s="167">
        <v>6464845.7699999996</v>
      </c>
      <c r="G48" s="27"/>
      <c r="H48" s="27">
        <f t="shared" si="31"/>
        <v>0</v>
      </c>
      <c r="I48" s="27">
        <f t="shared" si="32"/>
        <v>0</v>
      </c>
      <c r="J48" s="27"/>
      <c r="K48" s="27">
        <f t="shared" si="33"/>
        <v>0</v>
      </c>
      <c r="L48" s="27"/>
      <c r="M48" s="27">
        <f t="shared" si="29"/>
        <v>0</v>
      </c>
      <c r="N48" s="27"/>
      <c r="O48" s="27">
        <f t="shared" si="34"/>
        <v>0</v>
      </c>
      <c r="P48" s="27">
        <f t="shared" si="35"/>
        <v>0</v>
      </c>
      <c r="Q48" s="27"/>
      <c r="R48" s="27">
        <f t="shared" si="36"/>
        <v>0</v>
      </c>
      <c r="S48" s="27">
        <f t="shared" si="37"/>
        <v>6464845.7699999996</v>
      </c>
      <c r="T48" s="27"/>
      <c r="U48" s="27">
        <f t="shared" si="38"/>
        <v>0</v>
      </c>
      <c r="V48" s="27"/>
      <c r="W48" s="27">
        <f t="shared" si="39"/>
        <v>0</v>
      </c>
      <c r="X48" s="27"/>
      <c r="Y48" s="27">
        <f t="shared" si="40"/>
        <v>0</v>
      </c>
      <c r="Z48" s="27"/>
      <c r="AA48" s="27">
        <f t="shared" si="41"/>
        <v>0</v>
      </c>
      <c r="AB48" s="27">
        <f t="shared" si="30"/>
        <v>6464845.7699999996</v>
      </c>
      <c r="AC48" s="21" t="str">
        <f t="shared" si="42"/>
        <v>ok</v>
      </c>
    </row>
    <row r="49" spans="1:30" x14ac:dyDescent="0.25">
      <c r="A49" s="65">
        <v>370</v>
      </c>
      <c r="B49" s="14" t="s">
        <v>42</v>
      </c>
      <c r="C49" s="14" t="s">
        <v>43</v>
      </c>
      <c r="D49" s="14" t="s">
        <v>44</v>
      </c>
      <c r="F49" s="167">
        <v>6364644.5899999999</v>
      </c>
      <c r="G49" s="27"/>
      <c r="H49" s="27">
        <f t="shared" si="31"/>
        <v>0</v>
      </c>
      <c r="I49" s="27">
        <f t="shared" si="32"/>
        <v>0</v>
      </c>
      <c r="J49" s="27"/>
      <c r="K49" s="27">
        <f t="shared" si="33"/>
        <v>0</v>
      </c>
      <c r="L49" s="27"/>
      <c r="M49" s="27">
        <f t="shared" si="29"/>
        <v>0</v>
      </c>
      <c r="N49" s="27"/>
      <c r="O49" s="27">
        <f t="shared" si="34"/>
        <v>0</v>
      </c>
      <c r="P49" s="27">
        <f t="shared" si="35"/>
        <v>0</v>
      </c>
      <c r="Q49" s="27"/>
      <c r="R49" s="27">
        <f t="shared" si="36"/>
        <v>0</v>
      </c>
      <c r="S49" s="27">
        <f t="shared" si="37"/>
        <v>0</v>
      </c>
      <c r="T49" s="27"/>
      <c r="U49" s="27">
        <f t="shared" si="38"/>
        <v>6364644.5899999999</v>
      </c>
      <c r="V49" s="27"/>
      <c r="W49" s="27">
        <f t="shared" si="39"/>
        <v>0</v>
      </c>
      <c r="X49" s="27"/>
      <c r="Y49" s="27">
        <f t="shared" si="40"/>
        <v>0</v>
      </c>
      <c r="Z49" s="27"/>
      <c r="AA49" s="27">
        <f t="shared" si="41"/>
        <v>0</v>
      </c>
      <c r="AB49" s="27">
        <f t="shared" si="30"/>
        <v>6364644.5899999999</v>
      </c>
      <c r="AC49" s="21" t="str">
        <f t="shared" si="42"/>
        <v>ok</v>
      </c>
    </row>
    <row r="50" spans="1:30" x14ac:dyDescent="0.25">
      <c r="A50" s="65">
        <v>371</v>
      </c>
      <c r="B50" s="14" t="s">
        <v>45</v>
      </c>
      <c r="C50" s="14" t="s">
        <v>46</v>
      </c>
      <c r="D50" s="14" t="s">
        <v>545</v>
      </c>
      <c r="F50" s="167">
        <v>3124374.75</v>
      </c>
      <c r="G50" s="27"/>
      <c r="H50" s="27">
        <f t="shared" si="31"/>
        <v>0</v>
      </c>
      <c r="I50" s="27">
        <f t="shared" si="32"/>
        <v>0</v>
      </c>
      <c r="J50" s="27"/>
      <c r="K50" s="27">
        <f t="shared" si="33"/>
        <v>0</v>
      </c>
      <c r="L50" s="27"/>
      <c r="M50" s="27">
        <f t="shared" si="29"/>
        <v>0</v>
      </c>
      <c r="N50" s="27"/>
      <c r="O50" s="27">
        <f t="shared" si="34"/>
        <v>0</v>
      </c>
      <c r="P50" s="27">
        <f t="shared" si="35"/>
        <v>0</v>
      </c>
      <c r="Q50" s="27"/>
      <c r="R50" s="27">
        <f t="shared" si="36"/>
        <v>0</v>
      </c>
      <c r="S50" s="27">
        <f t="shared" si="37"/>
        <v>0</v>
      </c>
      <c r="T50" s="27"/>
      <c r="U50" s="27">
        <f t="shared" si="38"/>
        <v>0</v>
      </c>
      <c r="V50" s="27"/>
      <c r="W50" s="27">
        <f t="shared" si="39"/>
        <v>3124374.75</v>
      </c>
      <c r="X50" s="27"/>
      <c r="Y50" s="27">
        <f t="shared" si="40"/>
        <v>0</v>
      </c>
      <c r="Z50" s="27"/>
      <c r="AA50" s="27">
        <f t="shared" si="41"/>
        <v>0</v>
      </c>
      <c r="AB50" s="27">
        <f t="shared" si="30"/>
        <v>3124374.75</v>
      </c>
      <c r="AC50" s="21" t="str">
        <f t="shared" si="42"/>
        <v>ok</v>
      </c>
    </row>
    <row r="51" spans="1:30" x14ac:dyDescent="0.25">
      <c r="A51" s="65">
        <v>372</v>
      </c>
      <c r="B51" s="14" t="s">
        <v>573</v>
      </c>
      <c r="C51" s="14" t="s">
        <v>574</v>
      </c>
      <c r="D51" s="14" t="s">
        <v>545</v>
      </c>
      <c r="F51" s="167">
        <v>0</v>
      </c>
      <c r="G51" s="27"/>
      <c r="H51" s="27">
        <f t="shared" si="31"/>
        <v>0</v>
      </c>
      <c r="I51" s="27">
        <f t="shared" si="32"/>
        <v>0</v>
      </c>
      <c r="J51" s="27"/>
      <c r="K51" s="27">
        <f t="shared" si="33"/>
        <v>0</v>
      </c>
      <c r="L51" s="27"/>
      <c r="M51" s="27">
        <f t="shared" si="29"/>
        <v>0</v>
      </c>
      <c r="N51" s="27"/>
      <c r="O51" s="27">
        <f t="shared" si="34"/>
        <v>0</v>
      </c>
      <c r="P51" s="27">
        <f t="shared" si="35"/>
        <v>0</v>
      </c>
      <c r="Q51" s="27"/>
      <c r="R51" s="27">
        <f t="shared" si="36"/>
        <v>0</v>
      </c>
      <c r="S51" s="27">
        <f t="shared" si="37"/>
        <v>0</v>
      </c>
      <c r="T51" s="27"/>
      <c r="U51" s="27">
        <f t="shared" si="38"/>
        <v>0</v>
      </c>
      <c r="V51" s="27"/>
      <c r="W51" s="27">
        <f t="shared" si="39"/>
        <v>0</v>
      </c>
      <c r="X51" s="27"/>
      <c r="Y51" s="27">
        <f t="shared" si="40"/>
        <v>0</v>
      </c>
      <c r="Z51" s="27"/>
      <c r="AA51" s="27">
        <f t="shared" si="41"/>
        <v>0</v>
      </c>
      <c r="AB51" s="27">
        <f t="shared" si="30"/>
        <v>0</v>
      </c>
      <c r="AC51" s="21" t="str">
        <f t="shared" si="42"/>
        <v>ok</v>
      </c>
    </row>
    <row r="52" spans="1:30" x14ac:dyDescent="0.25">
      <c r="A52" s="65">
        <v>373</v>
      </c>
      <c r="B52" s="14" t="s">
        <v>47</v>
      </c>
      <c r="C52" s="14" t="s">
        <v>48</v>
      </c>
      <c r="D52" s="14" t="s">
        <v>49</v>
      </c>
      <c r="F52" s="167">
        <v>414637.94</v>
      </c>
      <c r="G52" s="27"/>
      <c r="H52" s="27">
        <f t="shared" si="31"/>
        <v>0</v>
      </c>
      <c r="I52" s="27">
        <f t="shared" si="32"/>
        <v>0</v>
      </c>
      <c r="J52" s="27"/>
      <c r="K52" s="27">
        <f t="shared" si="33"/>
        <v>0</v>
      </c>
      <c r="L52" s="27"/>
      <c r="M52" s="27">
        <f t="shared" si="29"/>
        <v>0</v>
      </c>
      <c r="N52" s="27"/>
      <c r="O52" s="27">
        <f t="shared" si="34"/>
        <v>0</v>
      </c>
      <c r="P52" s="27">
        <f t="shared" si="35"/>
        <v>0</v>
      </c>
      <c r="Q52" s="27"/>
      <c r="R52" s="27">
        <f t="shared" si="36"/>
        <v>0</v>
      </c>
      <c r="S52" s="27">
        <f t="shared" si="37"/>
        <v>0</v>
      </c>
      <c r="T52" s="27"/>
      <c r="U52" s="27">
        <f t="shared" si="38"/>
        <v>0</v>
      </c>
      <c r="V52" s="27"/>
      <c r="W52" s="27">
        <f t="shared" si="39"/>
        <v>414637.94</v>
      </c>
      <c r="X52" s="27"/>
      <c r="Y52" s="27">
        <f t="shared" si="40"/>
        <v>0</v>
      </c>
      <c r="Z52" s="27"/>
      <c r="AA52" s="27">
        <f t="shared" si="41"/>
        <v>0</v>
      </c>
      <c r="AB52" s="27">
        <f t="shared" si="30"/>
        <v>414637.94</v>
      </c>
      <c r="AC52" s="21" t="str">
        <f t="shared" si="42"/>
        <v>ok</v>
      </c>
    </row>
    <row r="53" spans="1:30" x14ac:dyDescent="0.25">
      <c r="A53" s="65"/>
      <c r="F53" s="16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1"/>
    </row>
    <row r="54" spans="1:30" x14ac:dyDescent="0.25">
      <c r="B54" s="14" t="s">
        <v>50</v>
      </c>
      <c r="C54" s="14" t="s">
        <v>16</v>
      </c>
      <c r="F54" s="174">
        <f>SUM(F40:F53)</f>
        <v>97038092.659999996</v>
      </c>
      <c r="G54" s="40"/>
      <c r="H54" s="40">
        <f>SUM(H40:H53)</f>
        <v>0</v>
      </c>
      <c r="I54" s="40">
        <f>SUM(I40:I53)</f>
        <v>0</v>
      </c>
      <c r="J54" s="40"/>
      <c r="K54" s="40"/>
      <c r="L54" s="40">
        <f>SUM(L40:L53)</f>
        <v>0</v>
      </c>
      <c r="M54" s="40">
        <f>SUM(M40:M53)</f>
        <v>0</v>
      </c>
      <c r="N54" s="40"/>
      <c r="O54" s="40">
        <f>SUM(O40:O53)</f>
        <v>40588537.71726957</v>
      </c>
      <c r="P54" s="40">
        <f>SUM(P40:P53)</f>
        <v>40081051.892730437</v>
      </c>
      <c r="Q54" s="40"/>
      <c r="R54" s="40">
        <f>SUM(R40:R52)</f>
        <v>0</v>
      </c>
      <c r="S54" s="40">
        <f>SUM(S40:S52)</f>
        <v>6464845.7699999996</v>
      </c>
      <c r="T54" s="40"/>
      <c r="U54" s="40">
        <f>SUM(U40:U52)</f>
        <v>6364644.5899999999</v>
      </c>
      <c r="V54" s="40"/>
      <c r="W54" s="40">
        <f>SUM(W40:W52)</f>
        <v>3539012.69</v>
      </c>
      <c r="X54" s="40"/>
      <c r="Y54" s="40">
        <f>SUM(Y40:Y52)</f>
        <v>0</v>
      </c>
      <c r="Z54" s="40"/>
      <c r="AA54" s="40">
        <f>SUM(AA40:AA52)</f>
        <v>0</v>
      </c>
      <c r="AB54" s="27">
        <f>SUM(H54:AA54)</f>
        <v>97038092.660000011</v>
      </c>
      <c r="AC54" s="21" t="str">
        <f>IF(ABS(AB54-F54)&lt;1,"ok","err")</f>
        <v>ok</v>
      </c>
      <c r="AD54" s="23"/>
    </row>
    <row r="55" spans="1:30" x14ac:dyDescent="0.25">
      <c r="Q55" s="14"/>
      <c r="AC55" s="21"/>
      <c r="AD55" s="23"/>
    </row>
    <row r="56" spans="1:30" x14ac:dyDescent="0.25">
      <c r="B56" s="14" t="s">
        <v>749</v>
      </c>
      <c r="C56" s="14" t="s">
        <v>391</v>
      </c>
      <c r="F56" s="175">
        <f t="shared" ref="F56:M56" si="43">F35+F54</f>
        <v>97038092.659999996</v>
      </c>
      <c r="G56" s="64"/>
      <c r="H56" s="64">
        <f t="shared" si="43"/>
        <v>0</v>
      </c>
      <c r="I56" s="64">
        <f t="shared" si="43"/>
        <v>0</v>
      </c>
      <c r="J56" s="64">
        <f t="shared" si="43"/>
        <v>0</v>
      </c>
      <c r="K56" s="64">
        <f t="shared" si="43"/>
        <v>0</v>
      </c>
      <c r="L56" s="64">
        <f t="shared" si="43"/>
        <v>0</v>
      </c>
      <c r="M56" s="64">
        <f t="shared" si="43"/>
        <v>0</v>
      </c>
      <c r="N56" s="64"/>
      <c r="O56" s="64">
        <f t="shared" ref="O56:AA56" si="44">O35+O54</f>
        <v>40588537.71726957</v>
      </c>
      <c r="P56" s="64">
        <f t="shared" si="44"/>
        <v>40081051.892730437</v>
      </c>
      <c r="Q56" s="64">
        <f t="shared" si="44"/>
        <v>0</v>
      </c>
      <c r="R56" s="64">
        <f t="shared" si="44"/>
        <v>0</v>
      </c>
      <c r="S56" s="64">
        <f t="shared" si="44"/>
        <v>6464845.7699999996</v>
      </c>
      <c r="T56" s="64">
        <f t="shared" si="44"/>
        <v>0</v>
      </c>
      <c r="U56" s="64">
        <f t="shared" si="44"/>
        <v>6364644.5899999999</v>
      </c>
      <c r="V56" s="64">
        <f t="shared" si="44"/>
        <v>0</v>
      </c>
      <c r="W56" s="64">
        <f t="shared" si="44"/>
        <v>3539012.69</v>
      </c>
      <c r="X56" s="64">
        <f t="shared" si="44"/>
        <v>0</v>
      </c>
      <c r="Y56" s="64">
        <f t="shared" si="44"/>
        <v>0</v>
      </c>
      <c r="Z56" s="64">
        <f t="shared" si="44"/>
        <v>0</v>
      </c>
      <c r="AA56" s="64">
        <f t="shared" si="44"/>
        <v>0</v>
      </c>
      <c r="AB56" s="27">
        <f>SUM(H56:AA56)</f>
        <v>97038092.660000011</v>
      </c>
      <c r="AC56" s="21" t="str">
        <f>IF(ABS(AB56-F56)&lt;1,"ok","err")</f>
        <v>ok</v>
      </c>
      <c r="AD56" s="23"/>
    </row>
    <row r="57" spans="1:30" x14ac:dyDescent="0.25">
      <c r="Q57" s="14"/>
      <c r="AC57" s="21"/>
    </row>
    <row r="58" spans="1:30" x14ac:dyDescent="0.25">
      <c r="B58" s="14" t="s">
        <v>781</v>
      </c>
      <c r="C58" s="14" t="s">
        <v>782</v>
      </c>
      <c r="F58" s="175">
        <f>F56+F24</f>
        <v>97038092.659999996</v>
      </c>
      <c r="G58" s="64"/>
      <c r="H58" s="64">
        <f t="shared" ref="H58:Y58" si="45">H56+H24</f>
        <v>0</v>
      </c>
      <c r="I58" s="64">
        <f t="shared" si="45"/>
        <v>0</v>
      </c>
      <c r="J58" s="64">
        <f t="shared" si="45"/>
        <v>0</v>
      </c>
      <c r="K58" s="64">
        <f t="shared" si="45"/>
        <v>0</v>
      </c>
      <c r="L58" s="64">
        <f t="shared" si="45"/>
        <v>0</v>
      </c>
      <c r="M58" s="64">
        <f t="shared" si="45"/>
        <v>0</v>
      </c>
      <c r="N58" s="64"/>
      <c r="O58" s="64">
        <f t="shared" si="45"/>
        <v>40588537.71726957</v>
      </c>
      <c r="P58" s="64">
        <f t="shared" si="45"/>
        <v>40081051.892730437</v>
      </c>
      <c r="Q58" s="64">
        <f t="shared" si="45"/>
        <v>0</v>
      </c>
      <c r="R58" s="64">
        <f t="shared" si="45"/>
        <v>0</v>
      </c>
      <c r="S58" s="64">
        <f t="shared" si="45"/>
        <v>6464845.7699999996</v>
      </c>
      <c r="T58" s="64">
        <f t="shared" si="45"/>
        <v>0</v>
      </c>
      <c r="U58" s="64">
        <f t="shared" si="45"/>
        <v>6364644.5899999999</v>
      </c>
      <c r="V58" s="64">
        <f t="shared" si="45"/>
        <v>0</v>
      </c>
      <c r="W58" s="64">
        <f t="shared" si="45"/>
        <v>3539012.69</v>
      </c>
      <c r="X58" s="64">
        <f t="shared" si="45"/>
        <v>0</v>
      </c>
      <c r="Y58" s="64">
        <f t="shared" si="45"/>
        <v>0</v>
      </c>
      <c r="AA58" s="64">
        <f>AA56+AA24</f>
        <v>0</v>
      </c>
      <c r="AB58" s="27">
        <f>SUM(H58:AA58)</f>
        <v>97038092.660000011</v>
      </c>
      <c r="AC58" s="21" t="str">
        <f>IF(ABS(AB58-F58)&lt;1,"ok","err")</f>
        <v>ok</v>
      </c>
    </row>
    <row r="59" spans="1:30" x14ac:dyDescent="0.25">
      <c r="Q59" s="14"/>
      <c r="AC59" s="21"/>
    </row>
    <row r="60" spans="1:30" x14ac:dyDescent="0.25">
      <c r="A60" s="19" t="s">
        <v>365</v>
      </c>
      <c r="Q60" s="14"/>
      <c r="AC60" s="21"/>
    </row>
    <row r="61" spans="1:30" x14ac:dyDescent="0.25">
      <c r="Q61" s="14"/>
      <c r="AC61" s="21"/>
    </row>
    <row r="62" spans="1:30" x14ac:dyDescent="0.25">
      <c r="A62" s="19" t="s">
        <v>51</v>
      </c>
      <c r="Q62" s="14"/>
      <c r="AC62" s="21"/>
    </row>
    <row r="63" spans="1:30" x14ac:dyDescent="0.25">
      <c r="A63" s="65">
        <v>389</v>
      </c>
      <c r="B63" s="14" t="s">
        <v>17</v>
      </c>
      <c r="C63" s="14" t="s">
        <v>52</v>
      </c>
      <c r="D63" s="14" t="s">
        <v>391</v>
      </c>
      <c r="F63" s="174">
        <v>59844.98</v>
      </c>
      <c r="G63" s="40"/>
      <c r="H63" s="27">
        <f t="shared" ref="H63:H73" si="46">IF(VLOOKUP($D63,$C$5:$AA$496,6,)=0,0,((VLOOKUP($D63,$C$5:$AA$496,6,)/VLOOKUP($D63,$C$5:$AA$496,4,))*$F63))</f>
        <v>0</v>
      </c>
      <c r="I63" s="27">
        <f t="shared" ref="I63:I73" si="47">IF(VLOOKUP($D63,$C$5:$AA$496,7,)=0,0,((VLOOKUP($D63,$C$5:$AA$496,7,)/VLOOKUP($D63,$C$5:$AA$496,4,))*$F63))</f>
        <v>0</v>
      </c>
      <c r="J63" s="27"/>
      <c r="K63" s="27">
        <f t="shared" ref="K63:K73" si="48">IF(VLOOKUP($D63,$C$5:$AA$496,9,)=0,0,((VLOOKUP($D63,$C$5:$AA$496,9,)/VLOOKUP($D63,$C$5:$AA$496,4,))*$F63))</f>
        <v>0</v>
      </c>
      <c r="L63" s="27"/>
      <c r="M63" s="27">
        <f t="shared" ref="M63:M73" si="49">IF(VLOOKUP($D63,$C$5:$AA$496,11,)=0,0,((VLOOKUP($D63,$C$5:$AA$496,11,)/VLOOKUP($D63,$C$5:$AA$496,4,))*$F63))</f>
        <v>0</v>
      </c>
      <c r="N63" s="27"/>
      <c r="O63" s="27">
        <f t="shared" ref="O63:O73" si="50">IF(VLOOKUP($D63,$C$5:$AA$496,13,)=0,0,((VLOOKUP($D63,$C$5:$AA$496,13,)/VLOOKUP($D63,$C$5:$AA$496,4,))*$F63))</f>
        <v>25031.615537106572</v>
      </c>
      <c r="P63" s="27">
        <f t="shared" ref="P63:P73" si="51">IF(VLOOKUP($D63,$C$5:$AA$496,14,)=0,0,((VLOOKUP($D63,$C$5:$AA$496,14,)/VLOOKUP($D63,$C$5:$AA$496,4,))*$F63))</f>
        <v>24718.640722914384</v>
      </c>
      <c r="Q63" s="27"/>
      <c r="R63" s="27">
        <f t="shared" ref="R63:R73" si="52">IF(VLOOKUP($D63,$C$5:$AA$496,16,)=0,0,((VLOOKUP($D63,$C$5:$AA$496,16,)/VLOOKUP($D63,$C$5:$AA$496,4,))*$F63))</f>
        <v>0</v>
      </c>
      <c r="S63" s="27">
        <f t="shared" ref="S63:S73" si="53">IF(VLOOKUP($D63,$C$5:$AA$496,17,)=0,0,((VLOOKUP($D63,$C$5:$AA$496,17,)/VLOOKUP($D63,$C$5:$AA$496,4,))*$F63))</f>
        <v>3986.976198762547</v>
      </c>
      <c r="T63" s="27"/>
      <c r="U63" s="27">
        <f t="shared" ref="U63:U73" si="54">IF(VLOOKUP($D63,$C$5:$AA$496,19,)=0,0,((VLOOKUP($D63,$C$5:$AA$496,19,)/VLOOKUP($D63,$C$5:$AA$496,4,))*$F63))</f>
        <v>3925.1804910286064</v>
      </c>
      <c r="V63" s="27"/>
      <c r="W63" s="27">
        <f t="shared" ref="W63:W73" si="55">IF(VLOOKUP($D63,$C$5:$AA$496,21,)=0,0,((VLOOKUP($D63,$C$5:$AA$496,21,)/VLOOKUP($D63,$C$5:$AA$496,4,))*$F63))</f>
        <v>2182.567050187899</v>
      </c>
      <c r="X63" s="27"/>
      <c r="Y63" s="27">
        <f t="shared" ref="Y63:Y73" si="56">IF(VLOOKUP($D63,$C$5:$AA$496,23,)=0,0,((VLOOKUP($D63,$C$5:$AA$496,23,)/VLOOKUP($D63,$C$5:$AA$496,4,))*$F63))</f>
        <v>0</v>
      </c>
      <c r="Z63" s="27"/>
      <c r="AA63" s="27">
        <f t="shared" ref="AA63:AA73" si="57">IF(VLOOKUP($D63,$C$5:$AA$496,25,)=0,0,((VLOOKUP($D63,$C$5:$AA$496,25,)/VLOOKUP($D63,$C$5:$AA$496,4,))*$F63))</f>
        <v>0</v>
      </c>
      <c r="AB63" s="27">
        <f>SUM(H63:AA63)</f>
        <v>59844.98000000001</v>
      </c>
      <c r="AC63" s="21" t="str">
        <f>IF(ABS(AB63-F63)&lt;1,"ok","err")</f>
        <v>ok</v>
      </c>
    </row>
    <row r="64" spans="1:30" x14ac:dyDescent="0.25">
      <c r="A64" s="65">
        <v>390</v>
      </c>
      <c r="B64" s="14" t="s">
        <v>53</v>
      </c>
      <c r="C64" s="14" t="s">
        <v>54</v>
      </c>
      <c r="D64" s="14" t="s">
        <v>391</v>
      </c>
      <c r="F64" s="167">
        <f>526358.41+21759.91+53651.41</f>
        <v>601769.7300000001</v>
      </c>
      <c r="G64" s="27"/>
      <c r="H64" s="27">
        <f t="shared" si="46"/>
        <v>0</v>
      </c>
      <c r="I64" s="27">
        <f t="shared" si="47"/>
        <v>0</v>
      </c>
      <c r="J64" s="27"/>
      <c r="K64" s="27">
        <f t="shared" si="48"/>
        <v>0</v>
      </c>
      <c r="L64" s="27"/>
      <c r="M64" s="27">
        <f t="shared" si="49"/>
        <v>0</v>
      </c>
      <c r="N64" s="27"/>
      <c r="O64" s="27">
        <f t="shared" si="50"/>
        <v>251704.79668016313</v>
      </c>
      <c r="P64" s="27">
        <f t="shared" si="51"/>
        <v>248557.68610491967</v>
      </c>
      <c r="Q64" s="27"/>
      <c r="R64" s="27">
        <f t="shared" si="52"/>
        <v>0</v>
      </c>
      <c r="S64" s="27">
        <f t="shared" si="53"/>
        <v>40090.941473215709</v>
      </c>
      <c r="T64" s="27"/>
      <c r="U64" s="27">
        <f t="shared" si="54"/>
        <v>39469.556248286026</v>
      </c>
      <c r="V64" s="27"/>
      <c r="W64" s="27">
        <f t="shared" si="55"/>
        <v>21946.749493415631</v>
      </c>
      <c r="X64" s="27"/>
      <c r="Y64" s="27">
        <f t="shared" si="56"/>
        <v>0</v>
      </c>
      <c r="Z64" s="27"/>
      <c r="AA64" s="27">
        <f t="shared" si="57"/>
        <v>0</v>
      </c>
      <c r="AB64" s="27">
        <f t="shared" ref="AB64:AB73" si="58">SUM(H64:AA64)</f>
        <v>601769.7300000001</v>
      </c>
      <c r="AC64" s="21" t="str">
        <f t="shared" ref="AC64:AC73" si="59">IF(ABS(AB64-F64)&lt;1,"ok","err")</f>
        <v>ok</v>
      </c>
    </row>
    <row r="65" spans="1:29" x14ac:dyDescent="0.25">
      <c r="A65" s="65">
        <v>391</v>
      </c>
      <c r="B65" s="14" t="s">
        <v>55</v>
      </c>
      <c r="C65" s="14" t="s">
        <v>56</v>
      </c>
      <c r="D65" s="14" t="s">
        <v>391</v>
      </c>
      <c r="F65" s="167">
        <f>237352.32+788038.18</f>
        <v>1025390.5</v>
      </c>
      <c r="G65" s="27"/>
      <c r="H65" s="27">
        <f t="shared" si="46"/>
        <v>0</v>
      </c>
      <c r="I65" s="27">
        <f t="shared" si="47"/>
        <v>0</v>
      </c>
      <c r="J65" s="27"/>
      <c r="K65" s="27">
        <f t="shared" si="48"/>
        <v>0</v>
      </c>
      <c r="L65" s="27"/>
      <c r="M65" s="27">
        <f t="shared" si="49"/>
        <v>0</v>
      </c>
      <c r="N65" s="27"/>
      <c r="O65" s="27">
        <f t="shared" si="50"/>
        <v>428894.46652670746</v>
      </c>
      <c r="P65" s="27">
        <f t="shared" si="51"/>
        <v>423531.92147761671</v>
      </c>
      <c r="Q65" s="27"/>
      <c r="R65" s="27">
        <f t="shared" si="52"/>
        <v>0</v>
      </c>
      <c r="S65" s="27">
        <f t="shared" si="53"/>
        <v>68313.290737789983</v>
      </c>
      <c r="T65" s="27"/>
      <c r="U65" s="27">
        <f t="shared" si="54"/>
        <v>67254.476253247441</v>
      </c>
      <c r="V65" s="27"/>
      <c r="W65" s="27">
        <f t="shared" si="55"/>
        <v>37396.34500463857</v>
      </c>
      <c r="X65" s="27"/>
      <c r="Y65" s="27">
        <f t="shared" si="56"/>
        <v>0</v>
      </c>
      <c r="Z65" s="27"/>
      <c r="AA65" s="27">
        <f t="shared" si="57"/>
        <v>0</v>
      </c>
      <c r="AB65" s="27">
        <f t="shared" si="58"/>
        <v>1025390.5000000001</v>
      </c>
      <c r="AC65" s="21" t="str">
        <f t="shared" si="59"/>
        <v>ok</v>
      </c>
    </row>
    <row r="66" spans="1:29" x14ac:dyDescent="0.25">
      <c r="A66" s="65">
        <v>392</v>
      </c>
      <c r="B66" s="14" t="s">
        <v>57</v>
      </c>
      <c r="C66" s="14" t="s">
        <v>58</v>
      </c>
      <c r="D66" s="14" t="s">
        <v>391</v>
      </c>
      <c r="F66" s="167">
        <v>2915042.24</v>
      </c>
      <c r="G66" s="27"/>
      <c r="H66" s="27">
        <f t="shared" si="46"/>
        <v>0</v>
      </c>
      <c r="I66" s="27">
        <f t="shared" si="47"/>
        <v>0</v>
      </c>
      <c r="J66" s="27"/>
      <c r="K66" s="27">
        <f t="shared" si="48"/>
        <v>0</v>
      </c>
      <c r="L66" s="27"/>
      <c r="M66" s="27">
        <f t="shared" si="49"/>
        <v>0</v>
      </c>
      <c r="N66" s="27"/>
      <c r="O66" s="27">
        <f t="shared" si="50"/>
        <v>1219287.1754006092</v>
      </c>
      <c r="P66" s="27">
        <f t="shared" si="51"/>
        <v>1204042.2074279175</v>
      </c>
      <c r="Q66" s="27"/>
      <c r="R66" s="27">
        <f t="shared" si="52"/>
        <v>0</v>
      </c>
      <c r="S66" s="27">
        <f t="shared" si="53"/>
        <v>194205.16189106356</v>
      </c>
      <c r="T66" s="27"/>
      <c r="U66" s="27">
        <f t="shared" si="54"/>
        <v>191195.09992270579</v>
      </c>
      <c r="V66" s="27"/>
      <c r="W66" s="27">
        <f t="shared" si="55"/>
        <v>106312.59535770463</v>
      </c>
      <c r="X66" s="27"/>
      <c r="Y66" s="27">
        <f t="shared" si="56"/>
        <v>0</v>
      </c>
      <c r="Z66" s="27"/>
      <c r="AA66" s="27">
        <f t="shared" si="57"/>
        <v>0</v>
      </c>
      <c r="AB66" s="27">
        <f t="shared" si="58"/>
        <v>2915042.2400000007</v>
      </c>
      <c r="AC66" s="21" t="str">
        <f t="shared" si="59"/>
        <v>ok</v>
      </c>
    </row>
    <row r="67" spans="1:29" x14ac:dyDescent="0.25">
      <c r="A67" s="65">
        <v>393</v>
      </c>
      <c r="B67" s="14" t="s">
        <v>59</v>
      </c>
      <c r="C67" s="14" t="s">
        <v>60</v>
      </c>
      <c r="D67" s="14" t="s">
        <v>391</v>
      </c>
      <c r="F67" s="167">
        <v>9385.07</v>
      </c>
      <c r="G67" s="27"/>
      <c r="H67" s="27">
        <f t="shared" si="46"/>
        <v>0</v>
      </c>
      <c r="I67" s="27">
        <f t="shared" si="47"/>
        <v>0</v>
      </c>
      <c r="J67" s="27"/>
      <c r="K67" s="27">
        <f t="shared" si="48"/>
        <v>0</v>
      </c>
      <c r="L67" s="27"/>
      <c r="M67" s="27">
        <f t="shared" si="49"/>
        <v>0</v>
      </c>
      <c r="N67" s="27"/>
      <c r="O67" s="27">
        <f t="shared" si="50"/>
        <v>3925.5333367783355</v>
      </c>
      <c r="P67" s="27">
        <f t="shared" si="51"/>
        <v>3876.4516838238078</v>
      </c>
      <c r="Q67" s="27"/>
      <c r="R67" s="27">
        <f t="shared" si="52"/>
        <v>0</v>
      </c>
      <c r="S67" s="27">
        <f t="shared" si="53"/>
        <v>625.2496151510187</v>
      </c>
      <c r="T67" s="27"/>
      <c r="U67" s="27">
        <f t="shared" si="54"/>
        <v>615.55862615273395</v>
      </c>
      <c r="V67" s="27"/>
      <c r="W67" s="27">
        <f t="shared" si="55"/>
        <v>342.27673809410487</v>
      </c>
      <c r="X67" s="27"/>
      <c r="Y67" s="27">
        <f t="shared" si="56"/>
        <v>0</v>
      </c>
      <c r="Z67" s="27"/>
      <c r="AA67" s="27">
        <f t="shared" si="57"/>
        <v>0</v>
      </c>
      <c r="AB67" s="27">
        <f t="shared" si="58"/>
        <v>9385.07</v>
      </c>
      <c r="AC67" s="21" t="str">
        <f t="shared" si="59"/>
        <v>ok</v>
      </c>
    </row>
    <row r="68" spans="1:29" x14ac:dyDescent="0.25">
      <c r="A68" s="65">
        <v>394</v>
      </c>
      <c r="B68" s="14" t="s">
        <v>61</v>
      </c>
      <c r="C68" s="14" t="s">
        <v>62</v>
      </c>
      <c r="D68" s="14" t="s">
        <v>391</v>
      </c>
      <c r="F68" s="167">
        <v>45038.69</v>
      </c>
      <c r="G68" s="27"/>
      <c r="H68" s="27">
        <f t="shared" si="46"/>
        <v>0</v>
      </c>
      <c r="I68" s="27">
        <f t="shared" si="47"/>
        <v>0</v>
      </c>
      <c r="J68" s="27"/>
      <c r="K68" s="27">
        <f t="shared" si="48"/>
        <v>0</v>
      </c>
      <c r="L68" s="27"/>
      <c r="M68" s="27">
        <f t="shared" si="49"/>
        <v>0</v>
      </c>
      <c r="N68" s="27"/>
      <c r="O68" s="27">
        <f t="shared" si="50"/>
        <v>18838.52534289303</v>
      </c>
      <c r="P68" s="27">
        <f t="shared" si="51"/>
        <v>18602.983854965227</v>
      </c>
      <c r="Q68" s="27"/>
      <c r="R68" s="27">
        <f t="shared" si="52"/>
        <v>0</v>
      </c>
      <c r="S68" s="27">
        <f t="shared" si="53"/>
        <v>3000.5555195012971</v>
      </c>
      <c r="T68" s="27"/>
      <c r="U68" s="27">
        <f t="shared" si="54"/>
        <v>2954.0487327338933</v>
      </c>
      <c r="V68" s="27"/>
      <c r="W68" s="27">
        <f t="shared" si="55"/>
        <v>1642.5765499065624</v>
      </c>
      <c r="X68" s="27"/>
      <c r="Y68" s="27">
        <f t="shared" si="56"/>
        <v>0</v>
      </c>
      <c r="Z68" s="27"/>
      <c r="AA68" s="27">
        <f t="shared" si="57"/>
        <v>0</v>
      </c>
      <c r="AB68" s="27">
        <f t="shared" si="58"/>
        <v>45038.69000000001</v>
      </c>
      <c r="AC68" s="21" t="str">
        <f t="shared" si="59"/>
        <v>ok</v>
      </c>
    </row>
    <row r="69" spans="1:29" x14ac:dyDescent="0.25">
      <c r="A69" s="65">
        <v>395</v>
      </c>
      <c r="B69" s="14" t="s">
        <v>63</v>
      </c>
      <c r="C69" s="14" t="s">
        <v>64</v>
      </c>
      <c r="D69" s="14" t="s">
        <v>391</v>
      </c>
      <c r="F69" s="167">
        <v>102154.46</v>
      </c>
      <c r="G69" s="27"/>
      <c r="H69" s="27">
        <f t="shared" si="46"/>
        <v>0</v>
      </c>
      <c r="I69" s="27">
        <f t="shared" si="47"/>
        <v>0</v>
      </c>
      <c r="J69" s="27"/>
      <c r="K69" s="27">
        <f t="shared" si="48"/>
        <v>0</v>
      </c>
      <c r="L69" s="27"/>
      <c r="M69" s="27">
        <f t="shared" si="49"/>
        <v>0</v>
      </c>
      <c r="N69" s="27"/>
      <c r="O69" s="27">
        <f t="shared" si="50"/>
        <v>42728.582549793347</v>
      </c>
      <c r="P69" s="27">
        <f t="shared" si="51"/>
        <v>42194.339357843026</v>
      </c>
      <c r="Q69" s="27"/>
      <c r="R69" s="27">
        <f t="shared" si="52"/>
        <v>0</v>
      </c>
      <c r="S69" s="27">
        <f t="shared" si="53"/>
        <v>6805.7070219998513</v>
      </c>
      <c r="T69" s="27"/>
      <c r="U69" s="27">
        <f t="shared" si="54"/>
        <v>6700.2226997746866</v>
      </c>
      <c r="V69" s="27"/>
      <c r="W69" s="27">
        <f t="shared" si="55"/>
        <v>3725.6083705891078</v>
      </c>
      <c r="X69" s="27"/>
      <c r="Y69" s="27">
        <f t="shared" si="56"/>
        <v>0</v>
      </c>
      <c r="Z69" s="27"/>
      <c r="AA69" s="27">
        <f t="shared" si="57"/>
        <v>0</v>
      </c>
      <c r="AB69" s="27">
        <f t="shared" si="58"/>
        <v>102154.46000000002</v>
      </c>
      <c r="AC69" s="21" t="str">
        <f t="shared" si="59"/>
        <v>ok</v>
      </c>
    </row>
    <row r="70" spans="1:29" x14ac:dyDescent="0.25">
      <c r="A70" s="65">
        <v>396</v>
      </c>
      <c r="B70" s="14" t="s">
        <v>65</v>
      </c>
      <c r="C70" s="14" t="s">
        <v>66</v>
      </c>
      <c r="D70" s="14" t="s">
        <v>391</v>
      </c>
      <c r="F70" s="167">
        <v>167024.82999999999</v>
      </c>
      <c r="G70" s="27"/>
      <c r="H70" s="27">
        <f t="shared" si="46"/>
        <v>0</v>
      </c>
      <c r="I70" s="27">
        <f t="shared" si="47"/>
        <v>0</v>
      </c>
      <c r="J70" s="27"/>
      <c r="K70" s="27">
        <f t="shared" si="48"/>
        <v>0</v>
      </c>
      <c r="L70" s="27"/>
      <c r="M70" s="27">
        <f t="shared" si="49"/>
        <v>0</v>
      </c>
      <c r="N70" s="27"/>
      <c r="O70" s="27">
        <f t="shared" si="50"/>
        <v>69862.189438622649</v>
      </c>
      <c r="P70" s="27">
        <f t="shared" si="51"/>
        <v>68988.689854618584</v>
      </c>
      <c r="Q70" s="27"/>
      <c r="R70" s="27">
        <f t="shared" si="52"/>
        <v>0</v>
      </c>
      <c r="S70" s="27">
        <f t="shared" si="53"/>
        <v>11127.48340482962</v>
      </c>
      <c r="T70" s="27"/>
      <c r="U70" s="27">
        <f t="shared" si="54"/>
        <v>10955.014175514294</v>
      </c>
      <c r="V70" s="27"/>
      <c r="W70" s="27">
        <f t="shared" si="55"/>
        <v>6091.4531264148682</v>
      </c>
      <c r="X70" s="27"/>
      <c r="Y70" s="27">
        <f t="shared" si="56"/>
        <v>0</v>
      </c>
      <c r="Z70" s="27"/>
      <c r="AA70" s="27">
        <f t="shared" si="57"/>
        <v>0</v>
      </c>
      <c r="AB70" s="27">
        <f t="shared" si="58"/>
        <v>167024.83000000002</v>
      </c>
      <c r="AC70" s="21" t="str">
        <f t="shared" si="59"/>
        <v>ok</v>
      </c>
    </row>
    <row r="71" spans="1:29" x14ac:dyDescent="0.25">
      <c r="A71" s="65">
        <v>397</v>
      </c>
      <c r="B71" s="14" t="s">
        <v>67</v>
      </c>
      <c r="C71" s="14" t="s">
        <v>68</v>
      </c>
      <c r="D71" s="14" t="s">
        <v>391</v>
      </c>
      <c r="F71" s="167">
        <v>186279.1</v>
      </c>
      <c r="G71" s="27"/>
      <c r="H71" s="27">
        <f t="shared" si="46"/>
        <v>0</v>
      </c>
      <c r="I71" s="27">
        <f t="shared" si="47"/>
        <v>0</v>
      </c>
      <c r="J71" s="27"/>
      <c r="K71" s="27">
        <f t="shared" si="48"/>
        <v>0</v>
      </c>
      <c r="L71" s="27"/>
      <c r="M71" s="27">
        <f t="shared" si="49"/>
        <v>0</v>
      </c>
      <c r="N71" s="27"/>
      <c r="O71" s="27">
        <f t="shared" si="50"/>
        <v>77915.755236249199</v>
      </c>
      <c r="P71" s="27">
        <f t="shared" si="51"/>
        <v>76941.560463180722</v>
      </c>
      <c r="Q71" s="27"/>
      <c r="R71" s="27">
        <f t="shared" si="52"/>
        <v>0</v>
      </c>
      <c r="S71" s="27">
        <f t="shared" si="53"/>
        <v>12410.236214080251</v>
      </c>
      <c r="T71" s="27"/>
      <c r="U71" s="27">
        <f t="shared" si="54"/>
        <v>12217.885095898884</v>
      </c>
      <c r="V71" s="27"/>
      <c r="W71" s="27">
        <f t="shared" si="55"/>
        <v>6793.6629905909685</v>
      </c>
      <c r="X71" s="27"/>
      <c r="Y71" s="27">
        <f t="shared" si="56"/>
        <v>0</v>
      </c>
      <c r="Z71" s="27"/>
      <c r="AA71" s="27">
        <f t="shared" si="57"/>
        <v>0</v>
      </c>
      <c r="AB71" s="27">
        <f t="shared" si="58"/>
        <v>186279.1</v>
      </c>
      <c r="AC71" s="21" t="str">
        <f t="shared" si="59"/>
        <v>ok</v>
      </c>
    </row>
    <row r="72" spans="1:29" x14ac:dyDescent="0.25">
      <c r="A72" s="65">
        <v>398</v>
      </c>
      <c r="B72" s="14" t="s">
        <v>361</v>
      </c>
      <c r="C72" s="14" t="s">
        <v>362</v>
      </c>
      <c r="D72" s="14" t="s">
        <v>391</v>
      </c>
      <c r="F72" s="167">
        <v>340409.89</v>
      </c>
      <c r="G72" s="27"/>
      <c r="H72" s="27">
        <f t="shared" si="46"/>
        <v>0</v>
      </c>
      <c r="I72" s="27">
        <f t="shared" si="47"/>
        <v>0</v>
      </c>
      <c r="J72" s="27"/>
      <c r="K72" s="27">
        <f t="shared" si="48"/>
        <v>0</v>
      </c>
      <c r="L72" s="27"/>
      <c r="M72" s="27">
        <f t="shared" si="49"/>
        <v>0</v>
      </c>
      <c r="N72" s="27"/>
      <c r="O72" s="27">
        <f t="shared" si="50"/>
        <v>142384.69946031796</v>
      </c>
      <c r="P72" s="27">
        <f t="shared" si="51"/>
        <v>140604.43782313581</v>
      </c>
      <c r="Q72" s="27"/>
      <c r="R72" s="27">
        <f t="shared" si="52"/>
        <v>0</v>
      </c>
      <c r="S72" s="27">
        <f t="shared" si="53"/>
        <v>22678.6963460156</v>
      </c>
      <c r="T72" s="27"/>
      <c r="U72" s="27">
        <f t="shared" si="54"/>
        <v>22327.190337120905</v>
      </c>
      <c r="V72" s="27"/>
      <c r="W72" s="27">
        <f t="shared" si="55"/>
        <v>12414.866033409773</v>
      </c>
      <c r="X72" s="27"/>
      <c r="Y72" s="27">
        <f t="shared" si="56"/>
        <v>0</v>
      </c>
      <c r="Z72" s="27"/>
      <c r="AA72" s="27">
        <f t="shared" si="57"/>
        <v>0</v>
      </c>
      <c r="AB72" s="27">
        <f t="shared" si="58"/>
        <v>340409.89000000007</v>
      </c>
      <c r="AC72" s="21" t="str">
        <f t="shared" si="59"/>
        <v>ok</v>
      </c>
    </row>
    <row r="73" spans="1:29" x14ac:dyDescent="0.25">
      <c r="A73" s="65">
        <v>399</v>
      </c>
      <c r="B73" s="14" t="s">
        <v>582</v>
      </c>
      <c r="C73" s="14" t="s">
        <v>583</v>
      </c>
      <c r="D73" s="14" t="s">
        <v>391</v>
      </c>
      <c r="F73" s="167">
        <v>0</v>
      </c>
      <c r="G73" s="27"/>
      <c r="H73" s="27">
        <f t="shared" si="46"/>
        <v>0</v>
      </c>
      <c r="I73" s="27">
        <f t="shared" si="47"/>
        <v>0</v>
      </c>
      <c r="J73" s="27"/>
      <c r="K73" s="27">
        <f t="shared" si="48"/>
        <v>0</v>
      </c>
      <c r="L73" s="27"/>
      <c r="M73" s="27">
        <f t="shared" si="49"/>
        <v>0</v>
      </c>
      <c r="N73" s="27"/>
      <c r="O73" s="27">
        <f t="shared" si="50"/>
        <v>0</v>
      </c>
      <c r="P73" s="27">
        <f t="shared" si="51"/>
        <v>0</v>
      </c>
      <c r="Q73" s="27"/>
      <c r="R73" s="27">
        <f t="shared" si="52"/>
        <v>0</v>
      </c>
      <c r="S73" s="27">
        <f t="shared" si="53"/>
        <v>0</v>
      </c>
      <c r="T73" s="27"/>
      <c r="U73" s="27">
        <f t="shared" si="54"/>
        <v>0</v>
      </c>
      <c r="V73" s="27"/>
      <c r="W73" s="27">
        <f t="shared" si="55"/>
        <v>0</v>
      </c>
      <c r="X73" s="27"/>
      <c r="Y73" s="27">
        <f t="shared" si="56"/>
        <v>0</v>
      </c>
      <c r="Z73" s="27"/>
      <c r="AA73" s="27">
        <f t="shared" si="57"/>
        <v>0</v>
      </c>
      <c r="AB73" s="27">
        <f t="shared" si="58"/>
        <v>0</v>
      </c>
      <c r="AC73" s="21" t="str">
        <f t="shared" si="59"/>
        <v>ok</v>
      </c>
    </row>
    <row r="74" spans="1:29" x14ac:dyDescent="0.25">
      <c r="Q74" s="14"/>
      <c r="AB74" s="27"/>
      <c r="AC74" s="21"/>
    </row>
    <row r="75" spans="1:29" x14ac:dyDescent="0.25">
      <c r="B75" s="14" t="s">
        <v>69</v>
      </c>
      <c r="C75" s="14" t="s">
        <v>70</v>
      </c>
      <c r="F75" s="174">
        <f>SUM(F63:F74)</f>
        <v>5452339.4900000002</v>
      </c>
      <c r="G75" s="40"/>
      <c r="H75" s="40">
        <f t="shared" ref="H75:W75" si="60">SUM(H63:H74)</f>
        <v>0</v>
      </c>
      <c r="I75" s="40">
        <f t="shared" si="60"/>
        <v>0</v>
      </c>
      <c r="J75" s="40"/>
      <c r="K75" s="40">
        <f>SUM(K63:K74)</f>
        <v>0</v>
      </c>
      <c r="L75" s="40"/>
      <c r="M75" s="40">
        <f t="shared" si="60"/>
        <v>0</v>
      </c>
      <c r="N75" s="40"/>
      <c r="O75" s="40">
        <f t="shared" si="60"/>
        <v>2280573.3395092413</v>
      </c>
      <c r="P75" s="40">
        <f t="shared" si="60"/>
        <v>2252058.9187709354</v>
      </c>
      <c r="Q75" s="40"/>
      <c r="R75" s="40">
        <f t="shared" si="60"/>
        <v>0</v>
      </c>
      <c r="S75" s="40">
        <f t="shared" si="60"/>
        <v>363244.29842240945</v>
      </c>
      <c r="T75" s="40"/>
      <c r="U75" s="40">
        <f t="shared" si="60"/>
        <v>357614.23258246324</v>
      </c>
      <c r="V75" s="40"/>
      <c r="W75" s="40">
        <f t="shared" si="60"/>
        <v>198848.70071495214</v>
      </c>
      <c r="X75" s="40"/>
      <c r="Y75" s="40">
        <f>SUM(Y63:Y74)</f>
        <v>0</v>
      </c>
      <c r="Z75" s="40"/>
      <c r="AA75" s="40">
        <f>SUM(AA63:AA74)</f>
        <v>0</v>
      </c>
      <c r="AB75" s="27">
        <f>SUM(H75:AA75)</f>
        <v>5452339.4900000012</v>
      </c>
      <c r="AC75" s="21" t="str">
        <f>IF(ABS(AB75-F75)&lt;1,"ok","err")</f>
        <v>ok</v>
      </c>
    </row>
    <row r="76" spans="1:29" x14ac:dyDescent="0.25">
      <c r="Q76" s="14"/>
      <c r="AB76" s="27"/>
      <c r="AC76" s="21"/>
    </row>
    <row r="77" spans="1:29" hidden="1" x14ac:dyDescent="0.25">
      <c r="A77" s="63">
        <v>106</v>
      </c>
      <c r="B77" s="14" t="s">
        <v>363</v>
      </c>
      <c r="C77" s="14" t="s">
        <v>364</v>
      </c>
      <c r="D77" s="14" t="s">
        <v>391</v>
      </c>
      <c r="F77" s="174">
        <v>0</v>
      </c>
      <c r="G77" s="40"/>
      <c r="H77" s="27">
        <f>IF(VLOOKUP($D77,$C$5:$AA$496,6,)=0,0,((VLOOKUP($D77,$C$5:$AA$496,6,)/VLOOKUP($D77,$C$5:$AA$496,4,))*$F77))</f>
        <v>0</v>
      </c>
      <c r="I77" s="27">
        <f>IF(VLOOKUP($D77,$C$5:$AA$496,7,)=0,0,((VLOOKUP($D77,$C$5:$AA$496,7,)/VLOOKUP($D77,$C$5:$AA$496,4,))*$F77))</f>
        <v>0</v>
      </c>
      <c r="J77" s="27"/>
      <c r="K77" s="27">
        <f>IF(VLOOKUP($D77,$C$5:$AA$496,9,)=0,0,((VLOOKUP($D77,$C$5:$AA$496,9,)/VLOOKUP($D77,$C$5:$AA$496,4,))*$F77))</f>
        <v>0</v>
      </c>
      <c r="L77" s="27"/>
      <c r="M77" s="27">
        <f>IF(VLOOKUP($D77,$C$5:$AA$496,11,)=0,0,((VLOOKUP($D77,$C$5:$AA$496,11,)/VLOOKUP($D77,$C$5:$AA$496,4,))*$F77))</f>
        <v>0</v>
      </c>
      <c r="N77" s="27"/>
      <c r="O77" s="27">
        <f>IF(VLOOKUP($D77,$C$5:$AA$496,13,)=0,0,((VLOOKUP($D77,$C$5:$AA$496,13,)/VLOOKUP($D77,$C$5:$AA$496,4,))*$F77))</f>
        <v>0</v>
      </c>
      <c r="P77" s="27">
        <f>IF(VLOOKUP($D77,$C$5:$AA$496,14,)=0,0,((VLOOKUP($D77,$C$5:$AA$496,14,)/VLOOKUP($D77,$C$5:$AA$496,4,))*$F77))</f>
        <v>0</v>
      </c>
      <c r="Q77" s="27"/>
      <c r="R77" s="27">
        <f>IF(VLOOKUP($D77,$C$5:$AA$496,16,)=0,0,((VLOOKUP($D77,$C$5:$AA$496,16,)/VLOOKUP($D77,$C$5:$AA$496,4,))*$F77))</f>
        <v>0</v>
      </c>
      <c r="S77" s="27">
        <f>IF(VLOOKUP($D77,$C$5:$AA$496,17,)=0,0,((VLOOKUP($D77,$C$5:$AA$496,17,)/VLOOKUP($D77,$C$5:$AA$496,4,))*$F77))</f>
        <v>0</v>
      </c>
      <c r="T77" s="27"/>
      <c r="U77" s="27">
        <f>IF(VLOOKUP($D77,$C$5:$AA$496,19,)=0,0,((VLOOKUP($D77,$C$5:$AA$496,19,)/VLOOKUP($D77,$C$5:$AA$496,4,))*$F77))</f>
        <v>0</v>
      </c>
      <c r="V77" s="27"/>
      <c r="W77" s="27">
        <f>IF(VLOOKUP($D77,$C$5:$AA$496,21,)=0,0,((VLOOKUP($D77,$C$5:$AA$496,21,)/VLOOKUP($D77,$C$5:$AA$496,4,))*$F77))</f>
        <v>0</v>
      </c>
      <c r="X77" s="27"/>
      <c r="Y77" s="27">
        <f>IF(VLOOKUP($D77,$C$5:$AA$496,23,)=0,0,((VLOOKUP($D77,$C$5:$AA$496,23,)/VLOOKUP($D77,$C$5:$AA$496,4,))*$F77))</f>
        <v>0</v>
      </c>
      <c r="Z77" s="27"/>
      <c r="AA77" s="27">
        <f>IF(VLOOKUP($D77,$C$5:$AA$496,25,)=0,0,((VLOOKUP($D77,$C$5:$AA$496,25,)/VLOOKUP($D77,$C$5:$AA$496,4,))*$F77))</f>
        <v>0</v>
      </c>
      <c r="AB77" s="27">
        <f>SUM(H77:AA77)</f>
        <v>0</v>
      </c>
      <c r="AC77" s="21" t="str">
        <f>IF(ABS(AB77-F77)&lt;1,"ok","err")</f>
        <v>ok</v>
      </c>
    </row>
    <row r="78" spans="1:29" hidden="1" x14ac:dyDescent="0.25">
      <c r="A78" s="63">
        <v>102</v>
      </c>
      <c r="B78" s="14" t="s">
        <v>703</v>
      </c>
      <c r="C78" s="14" t="s">
        <v>704</v>
      </c>
      <c r="D78" s="14" t="s">
        <v>16</v>
      </c>
      <c r="F78" s="174">
        <v>0</v>
      </c>
      <c r="G78" s="40"/>
      <c r="H78" s="27">
        <f>IF(VLOOKUP($D78,$C$5:$AA$496,6,)=0,0,((VLOOKUP($D78,$C$5:$AA$496,6,)/VLOOKUP($D78,$C$5:$AA$496,4,))*$F78))</f>
        <v>0</v>
      </c>
      <c r="I78" s="27">
        <f>IF(VLOOKUP($D78,$C$5:$AA$496,7,)=0,0,((VLOOKUP($D78,$C$5:$AA$496,7,)/VLOOKUP($D78,$C$5:$AA$496,4,))*$F78))</f>
        <v>0</v>
      </c>
      <c r="J78" s="27"/>
      <c r="K78" s="27">
        <f>IF(VLOOKUP($D78,$C$5:$AA$496,9,)=0,0,((VLOOKUP($D78,$C$5:$AA$496,9,)/VLOOKUP($D78,$C$5:$AA$496,4,))*$F78))</f>
        <v>0</v>
      </c>
      <c r="L78" s="27"/>
      <c r="M78" s="27">
        <f>IF(VLOOKUP($D78,$C$5:$AA$496,11,)=0,0,((VLOOKUP($D78,$C$5:$AA$496,11,)/VLOOKUP($D78,$C$5:$AA$496,4,))*$F78))</f>
        <v>0</v>
      </c>
      <c r="N78" s="27"/>
      <c r="O78" s="27">
        <f>IF(VLOOKUP($D78,$C$5:$AA$496,13,)=0,0,((VLOOKUP($D78,$C$5:$AA$496,13,)/VLOOKUP($D78,$C$5:$AA$496,4,))*$F78))</f>
        <v>0</v>
      </c>
      <c r="P78" s="27">
        <f>IF(VLOOKUP($D78,$C$5:$AA$496,14,)=0,0,((VLOOKUP($D78,$C$5:$AA$496,14,)/VLOOKUP($D78,$C$5:$AA$496,4,))*$F78))</f>
        <v>0</v>
      </c>
      <c r="Q78" s="27"/>
      <c r="R78" s="27">
        <f>IF(VLOOKUP($D78,$C$5:$AA$496,16,)=0,0,((VLOOKUP($D78,$C$5:$AA$496,16,)/VLOOKUP($D78,$C$5:$AA$496,4,))*$F78))</f>
        <v>0</v>
      </c>
      <c r="S78" s="27">
        <f>IF(VLOOKUP($D78,$C$5:$AA$496,17,)=0,0,((VLOOKUP($D78,$C$5:$AA$496,17,)/VLOOKUP($D78,$C$5:$AA$496,4,))*$F78))</f>
        <v>0</v>
      </c>
      <c r="T78" s="27"/>
      <c r="U78" s="27">
        <f>IF(VLOOKUP($D78,$C$5:$AA$496,19,)=0,0,((VLOOKUP($D78,$C$5:$AA$496,19,)/VLOOKUP($D78,$C$5:$AA$496,4,))*$F78))</f>
        <v>0</v>
      </c>
      <c r="V78" s="27"/>
      <c r="W78" s="27">
        <f>IF(VLOOKUP($D78,$C$5:$AA$496,21,)=0,0,((VLOOKUP($D78,$C$5:$AA$496,21,)/VLOOKUP($D78,$C$5:$AA$496,4,))*$F78))</f>
        <v>0</v>
      </c>
      <c r="X78" s="27"/>
      <c r="Y78" s="27">
        <f>IF(VLOOKUP($D78,$C$5:$AA$496,23,)=0,0,((VLOOKUP($D78,$C$5:$AA$496,23,)/VLOOKUP($D78,$C$5:$AA$496,4,))*$F78))</f>
        <v>0</v>
      </c>
      <c r="Z78" s="27"/>
      <c r="AA78" s="27">
        <f>IF(VLOOKUP($D78,$C$5:$AA$496,25,)=0,0,((VLOOKUP($D78,$C$5:$AA$496,25,)/VLOOKUP($D78,$C$5:$AA$496,4,))*$F78))</f>
        <v>0</v>
      </c>
      <c r="AB78" s="27">
        <f>SUM(H78:AA78)</f>
        <v>0</v>
      </c>
      <c r="AC78" s="21" t="str">
        <f>IF(ABS(AB78-F78)&lt;1,"ok","err")</f>
        <v>ok</v>
      </c>
    </row>
    <row r="79" spans="1:29" hidden="1" x14ac:dyDescent="0.25">
      <c r="Q79" s="14"/>
      <c r="AB79" s="27"/>
      <c r="AC79" s="21"/>
    </row>
    <row r="80" spans="1:29" hidden="1" x14ac:dyDescent="0.25">
      <c r="A80" s="63">
        <v>114</v>
      </c>
      <c r="B80" s="14" t="s">
        <v>827</v>
      </c>
      <c r="D80" s="14" t="s">
        <v>779</v>
      </c>
      <c r="F80" s="174"/>
      <c r="G80" s="40"/>
      <c r="H80" s="27">
        <f>IF(VLOOKUP($D80,$C$5:$AA$496,6,)=0,0,((VLOOKUP($D80,$C$5:$AA$496,6,)/VLOOKUP($D80,$C$5:$AA$496,4,))*$F80))</f>
        <v>0</v>
      </c>
      <c r="I80" s="27">
        <f>IF(VLOOKUP($D80,$C$5:$AA$496,7,)=0,0,((VLOOKUP($D80,$C$5:$AA$496,7,)/VLOOKUP($D80,$C$5:$AA$496,4,))*$F80))</f>
        <v>0</v>
      </c>
      <c r="J80" s="27"/>
      <c r="K80" s="27">
        <f>IF(VLOOKUP($D80,$C$5:$AA$496,9,)=0,0,((VLOOKUP($D80,$C$5:$AA$496,9,)/VLOOKUP($D80,$C$5:$AA$496,4,))*$F80))</f>
        <v>0</v>
      </c>
      <c r="L80" s="27"/>
      <c r="M80" s="27">
        <f>IF(VLOOKUP($D80,$C$5:$AA$496,11,)=0,0,((VLOOKUP($D80,$C$5:$AA$496,11,)/VLOOKUP($D80,$C$5:$AA$496,4,))*$F80))</f>
        <v>0</v>
      </c>
      <c r="N80" s="27"/>
      <c r="O80" s="27">
        <f>IF(VLOOKUP($D80,$C$5:$AA$496,13,)=0,0,((VLOOKUP($D80,$C$5:$AA$496,13,)/VLOOKUP($D80,$C$5:$AA$496,4,))*$F80))</f>
        <v>0</v>
      </c>
      <c r="P80" s="27">
        <f>IF(VLOOKUP($D80,$C$5:$AA$496,14,)=0,0,((VLOOKUP($D80,$C$5:$AA$496,14,)/VLOOKUP($D80,$C$5:$AA$496,4,))*$F80))</f>
        <v>0</v>
      </c>
      <c r="Q80" s="27"/>
      <c r="R80" s="27">
        <f>IF(VLOOKUP($D80,$C$5:$AA$496,16,)=0,0,((VLOOKUP($D80,$C$5:$AA$496,16,)/VLOOKUP($D80,$C$5:$AA$496,4,))*$F80))</f>
        <v>0</v>
      </c>
      <c r="S80" s="27">
        <f>IF(VLOOKUP($D80,$C$5:$AA$496,17,)=0,0,((VLOOKUP($D80,$C$5:$AA$496,17,)/VLOOKUP($D80,$C$5:$AA$496,4,))*$F80))</f>
        <v>0</v>
      </c>
      <c r="T80" s="27"/>
      <c r="U80" s="27">
        <f>IF(VLOOKUP($D80,$C$5:$AA$496,19,)=0,0,((VLOOKUP($D80,$C$5:$AA$496,19,)/VLOOKUP($D80,$C$5:$AA$496,4,))*$F80))</f>
        <v>0</v>
      </c>
      <c r="V80" s="27"/>
      <c r="W80" s="27">
        <f>IF(VLOOKUP($D80,$C$5:$AA$496,21,)=0,0,((VLOOKUP($D80,$C$5:$AA$496,21,)/VLOOKUP($D80,$C$5:$AA$496,4,))*$F80))</f>
        <v>0</v>
      </c>
      <c r="X80" s="27"/>
      <c r="Y80" s="27">
        <f>IF(VLOOKUP($D80,$C$5:$AA$496,23,)=0,0,((VLOOKUP($D80,$C$5:$AA$496,23,)/VLOOKUP($D80,$C$5:$AA$496,4,))*$F80))</f>
        <v>0</v>
      </c>
      <c r="Z80" s="27"/>
      <c r="AA80" s="27">
        <f>IF(VLOOKUP($D80,$C$5:$AA$496,25,)=0,0,((VLOOKUP($D80,$C$5:$AA$496,25,)/VLOOKUP($D80,$C$5:$AA$496,4,))*$F80))</f>
        <v>0</v>
      </c>
      <c r="AB80" s="27">
        <f>SUM(H80:AA80)</f>
        <v>0</v>
      </c>
      <c r="AC80" s="21" t="str">
        <f>IF(ABS(AB80-F80)&lt;1,"ok","err")</f>
        <v>ok</v>
      </c>
    </row>
    <row r="81" spans="1:29" hidden="1" x14ac:dyDescent="0.25">
      <c r="Q81" s="14"/>
      <c r="AB81" s="27"/>
      <c r="AC81" s="21"/>
    </row>
    <row r="82" spans="1:29" x14ac:dyDescent="0.25">
      <c r="B82" s="14" t="s">
        <v>71</v>
      </c>
      <c r="C82" s="14" t="s">
        <v>72</v>
      </c>
      <c r="F82" s="175">
        <f>F12+F24+F35+F54+F75+F77+F78+F80</f>
        <v>102490432.14999999</v>
      </c>
      <c r="G82" s="64"/>
      <c r="H82" s="64">
        <f>H12+H24+H35+H54+H75+H77+H78+H80</f>
        <v>0</v>
      </c>
      <c r="I82" s="64">
        <f>I12+I24+I35+I54+I75+I77+I78+I80</f>
        <v>0</v>
      </c>
      <c r="J82" s="64"/>
      <c r="K82" s="64">
        <f>K12+K24+K35+K54+K75+K77+K78+K80</f>
        <v>0</v>
      </c>
      <c r="L82" s="64"/>
      <c r="M82" s="64">
        <f>M12+M24+M35+M54+M75+M77+M78+M80</f>
        <v>0</v>
      </c>
      <c r="N82" s="64"/>
      <c r="O82" s="64">
        <f>O12+O24+O35+O54+O75+O77+O78+O80</f>
        <v>42869111.056778811</v>
      </c>
      <c r="P82" s="64">
        <f>P12+P24+P35+P54+P75+P77+P78+P80</f>
        <v>42333110.811501369</v>
      </c>
      <c r="Q82" s="64"/>
      <c r="R82" s="64">
        <f>R12+R24+R35+R54+R75+R77+R78+R80</f>
        <v>0</v>
      </c>
      <c r="S82" s="64">
        <f>S12+S24+S35+S54+S75+S77+S78+S80</f>
        <v>6828090.0684224088</v>
      </c>
      <c r="T82" s="64"/>
      <c r="U82" s="64">
        <f>U12+U24+U35+U54+U75+U77+U78+U80</f>
        <v>6722258.8225824628</v>
      </c>
      <c r="V82" s="64"/>
      <c r="W82" s="64">
        <f>W12+W24+W35+W54+W75+W77+W78+W80</f>
        <v>3737861.3907149523</v>
      </c>
      <c r="X82" s="64"/>
      <c r="Y82" s="64">
        <f>Y12+Y24+Y35+Y54+Y75+Y77+Y78+Y80</f>
        <v>0</v>
      </c>
      <c r="Z82" s="64"/>
      <c r="AA82" s="64">
        <f>AA12+AA24+AA35+AA54+AA75+AA77+AA78+AA80</f>
        <v>0</v>
      </c>
      <c r="AB82" s="27">
        <f>SUM(H82:AA82)</f>
        <v>102490432.15000001</v>
      </c>
      <c r="AC82" s="21" t="str">
        <f>IF(ABS(AB82-F82)&lt;1,"ok","err")</f>
        <v>ok</v>
      </c>
    </row>
    <row r="83" spans="1:29" x14ac:dyDescent="0.25">
      <c r="D83" s="64"/>
      <c r="F83" s="162"/>
      <c r="G83" s="27"/>
      <c r="AC83" s="21"/>
    </row>
    <row r="84" spans="1:29" x14ac:dyDescent="0.25">
      <c r="A84" s="19" t="s">
        <v>73</v>
      </c>
      <c r="F84" s="167"/>
      <c r="G84" s="27"/>
      <c r="AC84" s="21"/>
    </row>
    <row r="85" spans="1:29" x14ac:dyDescent="0.25">
      <c r="B85" s="14" t="s">
        <v>784</v>
      </c>
      <c r="C85" s="14" t="s">
        <v>552</v>
      </c>
      <c r="D85" s="14" t="s">
        <v>779</v>
      </c>
      <c r="F85" s="174">
        <v>0</v>
      </c>
      <c r="G85" s="40"/>
      <c r="H85" s="27">
        <f>IF(VLOOKUP($D85,$C$5:$AA$496,6,)=0,0,((VLOOKUP($D85,$C$5:$AA$496,6,)/VLOOKUP($D85,$C$5:$AA$496,4,))*$F85))</f>
        <v>0</v>
      </c>
      <c r="I85" s="27">
        <f>IF(VLOOKUP($D85,$C$5:$AA$496,7,)=0,0,((VLOOKUP($D85,$C$5:$AA$496,7,)/VLOOKUP($D85,$C$5:$AA$496,4,))*$F85))</f>
        <v>0</v>
      </c>
      <c r="J85" s="27"/>
      <c r="K85" s="27">
        <f>IF(VLOOKUP($D85,$C$5:$AA$496,9,)=0,0,((VLOOKUP($D85,$C$5:$AA$496,9,)/VLOOKUP($D85,$C$5:$AA$496,4,))*$F85))</f>
        <v>0</v>
      </c>
      <c r="L85" s="27"/>
      <c r="M85" s="27">
        <f>IF(VLOOKUP($D85,$C$5:$AA$496,11,)=0,0,((VLOOKUP($D85,$C$5:$AA$496,11,)/VLOOKUP($D85,$C$5:$AA$496,4,))*$F85))</f>
        <v>0</v>
      </c>
      <c r="N85" s="27"/>
      <c r="O85" s="27">
        <f>IF(VLOOKUP($D85,$C$5:$AA$496,13,)=0,0,((VLOOKUP($D85,$C$5:$AA$496,13,)/VLOOKUP($D85,$C$5:$AA$496,4,))*$F85))</f>
        <v>0</v>
      </c>
      <c r="P85" s="27">
        <f>IF(VLOOKUP($D85,$C$5:$AA$496,14,)=0,0,((VLOOKUP($D85,$C$5:$AA$496,14,)/VLOOKUP($D85,$C$5:$AA$496,4,))*$F85))</f>
        <v>0</v>
      </c>
      <c r="Q85" s="27"/>
      <c r="R85" s="27">
        <f>IF(VLOOKUP($D85,$C$5:$AA$496,16,)=0,0,((VLOOKUP($D85,$C$5:$AA$496,16,)/VLOOKUP($D85,$C$5:$AA$496,4,))*$F85))</f>
        <v>0</v>
      </c>
      <c r="S85" s="27">
        <f>IF(VLOOKUP($D85,$C$5:$AA$496,17,)=0,0,((VLOOKUP($D85,$C$5:$AA$496,17,)/VLOOKUP($D85,$C$5:$AA$496,4,))*$F85))</f>
        <v>0</v>
      </c>
      <c r="T85" s="27"/>
      <c r="U85" s="27">
        <f>IF(VLOOKUP($D85,$C$5:$AA$496,19,)=0,0,((VLOOKUP($D85,$C$5:$AA$496,19,)/VLOOKUP($D85,$C$5:$AA$496,4,))*$F85))</f>
        <v>0</v>
      </c>
      <c r="V85" s="27"/>
      <c r="W85" s="27">
        <f>IF(VLOOKUP($D85,$C$5:$AA$496,21,)=0,0,((VLOOKUP($D85,$C$5:$AA$496,21,)/VLOOKUP($D85,$C$5:$AA$496,4,))*$F85))</f>
        <v>0</v>
      </c>
      <c r="X85" s="27"/>
      <c r="Y85" s="27">
        <f>IF(VLOOKUP($D85,$C$5:$AA$496,23,)=0,0,((VLOOKUP($D85,$C$5:$AA$496,23,)/VLOOKUP($D85,$C$5:$AA$496,4,))*$F85))</f>
        <v>0</v>
      </c>
      <c r="Z85" s="27"/>
      <c r="AA85" s="27">
        <f>IF(VLOOKUP($D85,$C$5:$AA$496,25,)=0,0,((VLOOKUP($D85,$C$5:$AA$496,25,)/VLOOKUP($D85,$C$5:$AA$496,4,))*$F85))</f>
        <v>0</v>
      </c>
      <c r="AB85" s="27">
        <f>SUM(H85:AA85)</f>
        <v>0</v>
      </c>
      <c r="AC85" s="21" t="str">
        <f>IF(ABS(AB85-F85)&lt;1,"ok","err")</f>
        <v>ok</v>
      </c>
    </row>
    <row r="86" spans="1:29" x14ac:dyDescent="0.25">
      <c r="B86" s="14" t="s">
        <v>424</v>
      </c>
      <c r="C86" s="14" t="s">
        <v>553</v>
      </c>
      <c r="D86" s="14" t="s">
        <v>389</v>
      </c>
      <c r="F86" s="167">
        <v>0</v>
      </c>
      <c r="G86" s="27"/>
      <c r="H86" s="27">
        <f>IF(VLOOKUP($D86,$C$5:$AA$496,6,)=0,0,((VLOOKUP($D86,$C$5:$AA$496,6,)/VLOOKUP($D86,$C$5:$AA$496,4,))*$F86))</f>
        <v>0</v>
      </c>
      <c r="I86" s="27">
        <f>IF(VLOOKUP($D86,$C$5:$AA$496,7,)=0,0,((VLOOKUP($D86,$C$5:$AA$496,7,)/VLOOKUP($D86,$C$5:$AA$496,4,))*$F86))</f>
        <v>0</v>
      </c>
      <c r="J86" s="27"/>
      <c r="K86" s="27">
        <f>IF(VLOOKUP($D86,$C$5:$AA$496,9,)=0,0,((VLOOKUP($D86,$C$5:$AA$496,9,)/VLOOKUP($D86,$C$5:$AA$496,4,))*$F86))</f>
        <v>0</v>
      </c>
      <c r="L86" s="27"/>
      <c r="M86" s="27">
        <f>IF(VLOOKUP($D86,$C$5:$AA$496,11,)=0,0,((VLOOKUP($D86,$C$5:$AA$496,11,)/VLOOKUP($D86,$C$5:$AA$496,4,))*$F86))</f>
        <v>0</v>
      </c>
      <c r="N86" s="27"/>
      <c r="O86" s="27">
        <f>IF(VLOOKUP($D86,$C$5:$AA$496,13,)=0,0,((VLOOKUP($D86,$C$5:$AA$496,13,)/VLOOKUP($D86,$C$5:$AA$496,4,))*$F86))</f>
        <v>0</v>
      </c>
      <c r="P86" s="27">
        <f>IF(VLOOKUP($D86,$C$5:$AA$496,14,)=0,0,((VLOOKUP($D86,$C$5:$AA$496,14,)/VLOOKUP($D86,$C$5:$AA$496,4,))*$F86))</f>
        <v>0</v>
      </c>
      <c r="Q86" s="27"/>
      <c r="R86" s="27">
        <f>IF(VLOOKUP($D86,$C$5:$AA$496,16,)=0,0,((VLOOKUP($D86,$C$5:$AA$496,16,)/VLOOKUP($D86,$C$5:$AA$496,4,))*$F86))</f>
        <v>0</v>
      </c>
      <c r="S86" s="27">
        <f>IF(VLOOKUP($D86,$C$5:$AA$496,17,)=0,0,((VLOOKUP($D86,$C$5:$AA$496,17,)/VLOOKUP($D86,$C$5:$AA$496,4,))*$F86))</f>
        <v>0</v>
      </c>
      <c r="T86" s="27"/>
      <c r="U86" s="27">
        <f>IF(VLOOKUP($D86,$C$5:$AA$496,19,)=0,0,((VLOOKUP($D86,$C$5:$AA$496,19,)/VLOOKUP($D86,$C$5:$AA$496,4,))*$F86))</f>
        <v>0</v>
      </c>
      <c r="V86" s="27"/>
      <c r="W86" s="27">
        <f>IF(VLOOKUP($D86,$C$5:$AA$496,21,)=0,0,((VLOOKUP($D86,$C$5:$AA$496,21,)/VLOOKUP($D86,$C$5:$AA$496,4,))*$F86))</f>
        <v>0</v>
      </c>
      <c r="X86" s="27"/>
      <c r="Y86" s="27">
        <f>IF(VLOOKUP($D86,$C$5:$AA$496,23,)=0,0,((VLOOKUP($D86,$C$5:$AA$496,23,)/VLOOKUP($D86,$C$5:$AA$496,4,))*$F86))</f>
        <v>0</v>
      </c>
      <c r="Z86" s="27"/>
      <c r="AA86" s="27">
        <f>IF(VLOOKUP($D86,$C$5:$AA$496,25,)=0,0,((VLOOKUP($D86,$C$5:$AA$496,25,)/VLOOKUP($D86,$C$5:$AA$496,4,))*$F86))</f>
        <v>0</v>
      </c>
      <c r="AB86" s="27">
        <f>SUM(H86:AA86)</f>
        <v>0</v>
      </c>
      <c r="AC86" s="21" t="str">
        <f>IF(ABS(AB86-F86)&lt;1,"ok","err")</f>
        <v>ok</v>
      </c>
    </row>
    <row r="87" spans="1:29" x14ac:dyDescent="0.25">
      <c r="B87" s="14" t="s">
        <v>836</v>
      </c>
      <c r="C87" s="14" t="s">
        <v>554</v>
      </c>
      <c r="D87" s="14" t="s">
        <v>16</v>
      </c>
      <c r="F87" s="174">
        <v>348360.18</v>
      </c>
      <c r="G87" s="27"/>
      <c r="H87" s="27">
        <f>IF(VLOOKUP($D87,$C$5:$AA$496,6,)=0,0,((VLOOKUP($D87,$C$5:$AA$496,6,)/VLOOKUP($D87,$C$5:$AA$496,4,))*$F87))</f>
        <v>0</v>
      </c>
      <c r="I87" s="27">
        <f>IF(VLOOKUP($D87,$C$5:$AA$496,7,)=0,0,((VLOOKUP($D87,$C$5:$AA$496,7,)/VLOOKUP($D87,$C$5:$AA$496,4,))*$F87))</f>
        <v>0</v>
      </c>
      <c r="J87" s="27"/>
      <c r="K87" s="27">
        <f>IF(VLOOKUP($D87,$C$5:$AA$496,9,)=0,0,((VLOOKUP($D87,$C$5:$AA$496,9,)/VLOOKUP($D87,$C$5:$AA$496,4,))*$F87))</f>
        <v>0</v>
      </c>
      <c r="L87" s="27"/>
      <c r="M87" s="27">
        <f>IF(VLOOKUP($D87,$C$5:$AA$496,11,)=0,0,((VLOOKUP($D87,$C$5:$AA$496,11,)/VLOOKUP($D87,$C$5:$AA$496,4,))*$F87))</f>
        <v>0</v>
      </c>
      <c r="N87" s="27"/>
      <c r="O87" s="27">
        <f>IF(VLOOKUP($D87,$C$5:$AA$496,13,)=0,0,((VLOOKUP($D87,$C$5:$AA$496,13,)/VLOOKUP($D87,$C$5:$AA$496,4,))*$F87))</f>
        <v>145710.10123484445</v>
      </c>
      <c r="P87" s="27">
        <f>IF(VLOOKUP($D87,$C$5:$AA$496,14,)=0,0,((VLOOKUP($D87,$C$5:$AA$496,14,)/VLOOKUP($D87,$C$5:$AA$496,4,))*$F87))</f>
        <v>143888.26149812038</v>
      </c>
      <c r="Q87" s="27"/>
      <c r="R87" s="27">
        <f>IF(VLOOKUP($D87,$C$5:$AA$496,16,)=0,0,((VLOOKUP($D87,$C$5:$AA$496,16,)/VLOOKUP($D87,$C$5:$AA$496,4,))*$F87))</f>
        <v>0</v>
      </c>
      <c r="S87" s="27">
        <f>IF(VLOOKUP($D87,$C$5:$AA$496,17,)=0,0,((VLOOKUP($D87,$C$5:$AA$496,17,)/VLOOKUP($D87,$C$5:$AA$496,4,))*$F87))</f>
        <v>23208.358433015375</v>
      </c>
      <c r="T87" s="27"/>
      <c r="U87" s="27">
        <f>IF(VLOOKUP($D87,$C$5:$AA$496,19,)=0,0,((VLOOKUP($D87,$C$5:$AA$496,19,)/VLOOKUP($D87,$C$5:$AA$496,4,))*$F87))</f>
        <v>22848.642983709138</v>
      </c>
      <c r="V87" s="27"/>
      <c r="W87" s="27">
        <f>IF(VLOOKUP($D87,$C$5:$AA$496,21,)=0,0,((VLOOKUP($D87,$C$5:$AA$496,21,)/VLOOKUP($D87,$C$5:$AA$496,4,))*$F87))</f>
        <v>12704.815850310679</v>
      </c>
      <c r="X87" s="27"/>
      <c r="Y87" s="27">
        <f>IF(VLOOKUP($D87,$C$5:$AA$496,23,)=0,0,((VLOOKUP($D87,$C$5:$AA$496,23,)/VLOOKUP($D87,$C$5:$AA$496,4,))*$F87))</f>
        <v>0</v>
      </c>
      <c r="Z87" s="27"/>
      <c r="AA87" s="27">
        <f>IF(VLOOKUP($D87,$C$5:$AA$496,25,)=0,0,((VLOOKUP($D87,$C$5:$AA$496,25,)/VLOOKUP($D87,$C$5:$AA$496,4,))*$F87))</f>
        <v>0</v>
      </c>
      <c r="AB87" s="27">
        <f>SUM(H87:AA87)</f>
        <v>348360.17999999993</v>
      </c>
      <c r="AC87" s="21" t="str">
        <f>IF(ABS(AB87-F87)&lt;1,"ok","err")</f>
        <v>ok</v>
      </c>
    </row>
    <row r="88" spans="1:29" x14ac:dyDescent="0.25">
      <c r="B88" s="14" t="s">
        <v>448</v>
      </c>
      <c r="C88" s="14" t="s">
        <v>555</v>
      </c>
      <c r="D88" s="14" t="s">
        <v>70</v>
      </c>
      <c r="F88" s="167">
        <v>0</v>
      </c>
      <c r="G88" s="27"/>
      <c r="H88" s="27">
        <f>IF(VLOOKUP($D88,$C$5:$AA$496,6,)=0,0,((VLOOKUP($D88,$C$5:$AA$496,6,)/VLOOKUP($D88,$C$5:$AA$496,4,))*$F88))</f>
        <v>0</v>
      </c>
      <c r="I88" s="27">
        <f>IF(VLOOKUP($D88,$C$5:$AA$496,7,)=0,0,((VLOOKUP($D88,$C$5:$AA$496,7,)/VLOOKUP($D88,$C$5:$AA$496,4,))*$F88))</f>
        <v>0</v>
      </c>
      <c r="J88" s="27"/>
      <c r="K88" s="27">
        <f>IF(VLOOKUP($D88,$C$5:$AA$496,9,)=0,0,((VLOOKUP($D88,$C$5:$AA$496,9,)/VLOOKUP($D88,$C$5:$AA$496,4,))*$F88))</f>
        <v>0</v>
      </c>
      <c r="L88" s="27"/>
      <c r="M88" s="27">
        <f>IF(VLOOKUP($D88,$C$5:$AA$496,11,)=0,0,((VLOOKUP($D88,$C$5:$AA$496,11,)/VLOOKUP($D88,$C$5:$AA$496,4,))*$F88))</f>
        <v>0</v>
      </c>
      <c r="N88" s="27"/>
      <c r="O88" s="27">
        <f>IF(VLOOKUP($D88,$C$5:$AA$496,13,)=0,0,((VLOOKUP($D88,$C$5:$AA$496,13,)/VLOOKUP($D88,$C$5:$AA$496,4,))*$F88))</f>
        <v>0</v>
      </c>
      <c r="P88" s="27">
        <f>IF(VLOOKUP($D88,$C$5:$AA$496,14,)=0,0,((VLOOKUP($D88,$C$5:$AA$496,14,)/VLOOKUP($D88,$C$5:$AA$496,4,))*$F88))</f>
        <v>0</v>
      </c>
      <c r="Q88" s="27"/>
      <c r="R88" s="27">
        <f>IF(VLOOKUP($D88,$C$5:$AA$496,16,)=0,0,((VLOOKUP($D88,$C$5:$AA$496,16,)/VLOOKUP($D88,$C$5:$AA$496,4,))*$F88))</f>
        <v>0</v>
      </c>
      <c r="S88" s="27">
        <f>IF(VLOOKUP($D88,$C$5:$AA$496,17,)=0,0,((VLOOKUP($D88,$C$5:$AA$496,17,)/VLOOKUP($D88,$C$5:$AA$496,4,))*$F88))</f>
        <v>0</v>
      </c>
      <c r="T88" s="27"/>
      <c r="U88" s="27">
        <f>IF(VLOOKUP($D88,$C$5:$AA$496,19,)=0,0,((VLOOKUP($D88,$C$5:$AA$496,19,)/VLOOKUP($D88,$C$5:$AA$496,4,))*$F88))</f>
        <v>0</v>
      </c>
      <c r="V88" s="27"/>
      <c r="W88" s="27">
        <f>IF(VLOOKUP($D88,$C$5:$AA$496,21,)=0,0,((VLOOKUP($D88,$C$5:$AA$496,21,)/VLOOKUP($D88,$C$5:$AA$496,4,))*$F88))</f>
        <v>0</v>
      </c>
      <c r="X88" s="27"/>
      <c r="Y88" s="27">
        <f>IF(VLOOKUP($D88,$C$5:$AA$496,23,)=0,0,((VLOOKUP($D88,$C$5:$AA$496,23,)/VLOOKUP($D88,$C$5:$AA$496,4,))*$F88))</f>
        <v>0</v>
      </c>
      <c r="Z88" s="27"/>
      <c r="AA88" s="27">
        <f>IF(VLOOKUP($D88,$C$5:$AA$496,25,)=0,0,((VLOOKUP($D88,$C$5:$AA$496,25,)/VLOOKUP($D88,$C$5:$AA$496,4,))*$F88))</f>
        <v>0</v>
      </c>
      <c r="AB88" s="27">
        <f>SUM(H88:AA88)</f>
        <v>0</v>
      </c>
      <c r="AC88" s="21" t="str">
        <f>IF(ABS(AB88-F88)&lt;1,"ok","err")</f>
        <v>ok</v>
      </c>
    </row>
    <row r="89" spans="1:29" x14ac:dyDescent="0.25">
      <c r="B89" s="14" t="s">
        <v>922</v>
      </c>
      <c r="C89" s="14" t="s">
        <v>556</v>
      </c>
      <c r="D89" s="14" t="s">
        <v>16</v>
      </c>
      <c r="F89" s="167">
        <v>0</v>
      </c>
      <c r="G89" s="27"/>
      <c r="H89" s="27">
        <f>IF(VLOOKUP($D89,$C$5:$AA$496,6,)=0,0,((VLOOKUP($D89,$C$5:$AA$496,6,)/VLOOKUP($D89,$C$5:$AA$496,4,))*$F89))</f>
        <v>0</v>
      </c>
      <c r="I89" s="27">
        <f>IF(VLOOKUP($D89,$C$5:$AA$496,7,)=0,0,((VLOOKUP($D89,$C$5:$AA$496,7,)/VLOOKUP($D89,$C$5:$AA$496,4,))*$F89))</f>
        <v>0</v>
      </c>
      <c r="J89" s="27"/>
      <c r="K89" s="27">
        <f>IF(VLOOKUP($D89,$C$5:$AA$496,9,)=0,0,((VLOOKUP($D89,$C$5:$AA$496,9,)/VLOOKUP($D89,$C$5:$AA$496,4,))*$F89))</f>
        <v>0</v>
      </c>
      <c r="L89" s="27"/>
      <c r="M89" s="27">
        <f>IF(VLOOKUP($D89,$C$5:$AA$496,11,)=0,0,((VLOOKUP($D89,$C$5:$AA$496,11,)/VLOOKUP($D89,$C$5:$AA$496,4,))*$F89))</f>
        <v>0</v>
      </c>
      <c r="N89" s="27"/>
      <c r="O89" s="27">
        <f>IF(VLOOKUP($D89,$C$5:$AA$496,13,)=0,0,((VLOOKUP($D89,$C$5:$AA$496,13,)/VLOOKUP($D89,$C$5:$AA$496,4,))*$F89))</f>
        <v>0</v>
      </c>
      <c r="P89" s="27">
        <f>IF(VLOOKUP($D89,$C$5:$AA$496,14,)=0,0,((VLOOKUP($D89,$C$5:$AA$496,14,)/VLOOKUP($D89,$C$5:$AA$496,4,))*$F89))</f>
        <v>0</v>
      </c>
      <c r="Q89" s="27"/>
      <c r="R89" s="27">
        <f>IF(VLOOKUP($D89,$C$5:$AA$496,16,)=0,0,((VLOOKUP($D89,$C$5:$AA$496,16,)/VLOOKUP($D89,$C$5:$AA$496,4,))*$F89))</f>
        <v>0</v>
      </c>
      <c r="S89" s="27">
        <f>IF(VLOOKUP($D89,$C$5:$AA$496,17,)=0,0,((VLOOKUP($D89,$C$5:$AA$496,17,)/VLOOKUP($D89,$C$5:$AA$496,4,))*$F89))</f>
        <v>0</v>
      </c>
      <c r="T89" s="27"/>
      <c r="U89" s="27">
        <f>IF(VLOOKUP($D89,$C$5:$AA$496,19,)=0,0,((VLOOKUP($D89,$C$5:$AA$496,19,)/VLOOKUP($D89,$C$5:$AA$496,4,))*$F89))</f>
        <v>0</v>
      </c>
      <c r="V89" s="27"/>
      <c r="W89" s="27">
        <f>IF(VLOOKUP($D89,$C$5:$AA$496,21,)=0,0,((VLOOKUP($D89,$C$5:$AA$496,21,)/VLOOKUP($D89,$C$5:$AA$496,4,))*$F89))</f>
        <v>0</v>
      </c>
      <c r="X89" s="27"/>
      <c r="Y89" s="27">
        <f>IF(VLOOKUP($D89,$C$5:$AA$496,23,)=0,0,((VLOOKUP($D89,$C$5:$AA$496,23,)/VLOOKUP($D89,$C$5:$AA$496,4,))*$F89))</f>
        <v>0</v>
      </c>
      <c r="Z89" s="27"/>
      <c r="AA89" s="27">
        <f>IF(VLOOKUP($D89,$C$5:$AA$496,25,)=0,0,((VLOOKUP($D89,$C$5:$AA$496,25,)/VLOOKUP($D89,$C$5:$AA$496,4,))*$F89))</f>
        <v>0</v>
      </c>
      <c r="AB89" s="27">
        <f>SUM(H89:AA89)</f>
        <v>0</v>
      </c>
      <c r="AC89" s="21" t="str">
        <f>IF(ABS(AB89-F89)&lt;1,"ok","err")</f>
        <v>ok</v>
      </c>
    </row>
    <row r="90" spans="1:29" x14ac:dyDescent="0.25">
      <c r="F90" s="167"/>
      <c r="G90" s="27"/>
      <c r="AB90" s="27"/>
      <c r="AC90" s="21"/>
    </row>
    <row r="91" spans="1:29" x14ac:dyDescent="0.25">
      <c r="A91" s="66" t="s">
        <v>74</v>
      </c>
      <c r="C91" s="14" t="s">
        <v>75</v>
      </c>
      <c r="F91" s="174">
        <f>SUM(F85:F89)</f>
        <v>348360.18</v>
      </c>
      <c r="G91" s="40"/>
      <c r="H91" s="40">
        <f>SUM(H85:H89)</f>
        <v>0</v>
      </c>
      <c r="I91" s="40">
        <f>SUM(I85:I89)</f>
        <v>0</v>
      </c>
      <c r="J91" s="40"/>
      <c r="K91" s="40">
        <f>SUM(K85:K89)</f>
        <v>0</v>
      </c>
      <c r="L91" s="40"/>
      <c r="M91" s="40">
        <f>SUM(M85:M89)</f>
        <v>0</v>
      </c>
      <c r="N91" s="40"/>
      <c r="O91" s="40">
        <f>SUM(O85:O89)</f>
        <v>145710.10123484445</v>
      </c>
      <c r="P91" s="40">
        <f>SUM(P85:P89)</f>
        <v>143888.26149812038</v>
      </c>
      <c r="Q91" s="40"/>
      <c r="R91" s="40">
        <f>SUM(R85:R89)</f>
        <v>0</v>
      </c>
      <c r="S91" s="40">
        <f>SUM(S85:S89)</f>
        <v>23208.358433015375</v>
      </c>
      <c r="T91" s="40"/>
      <c r="U91" s="40">
        <f>SUM(U85:U89)</f>
        <v>22848.642983709138</v>
      </c>
      <c r="V91" s="40"/>
      <c r="W91" s="40">
        <f>SUM(W85:W89)</f>
        <v>12704.815850310679</v>
      </c>
      <c r="X91" s="40"/>
      <c r="Y91" s="40">
        <f>SUM(Y85:Y89)</f>
        <v>0</v>
      </c>
      <c r="Z91" s="40"/>
      <c r="AA91" s="40">
        <f>SUM(AA85:AA89)</f>
        <v>0</v>
      </c>
      <c r="AB91" s="27">
        <f>SUM(H91:AA91)</f>
        <v>348360.17999999993</v>
      </c>
      <c r="AC91" s="21" t="str">
        <f>IF(ABS(AB91-F91)&lt;1,"ok","err")</f>
        <v>ok</v>
      </c>
    </row>
    <row r="92" spans="1:29" x14ac:dyDescent="0.25">
      <c r="A92" s="66"/>
      <c r="F92" s="174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27"/>
      <c r="AC92" s="21"/>
    </row>
    <row r="93" spans="1:29" x14ac:dyDescent="0.25">
      <c r="A93" s="13" t="s">
        <v>366</v>
      </c>
      <c r="D93" s="64"/>
      <c r="F93" s="174">
        <f>F82+F91</f>
        <v>102838792.33</v>
      </c>
      <c r="G93" s="40"/>
      <c r="H93" s="40">
        <f>H82+H91</f>
        <v>0</v>
      </c>
      <c r="I93" s="40">
        <f>I82+I91</f>
        <v>0</v>
      </c>
      <c r="J93" s="40"/>
      <c r="K93" s="40">
        <f>K82+K91</f>
        <v>0</v>
      </c>
      <c r="L93" s="40"/>
      <c r="M93" s="40">
        <f>M82+M91</f>
        <v>0</v>
      </c>
      <c r="N93" s="40"/>
      <c r="O93" s="40">
        <f>O82+O91</f>
        <v>43014821.158013657</v>
      </c>
      <c r="P93" s="40">
        <f>P82+P91</f>
        <v>42476999.072999492</v>
      </c>
      <c r="Q93" s="40"/>
      <c r="R93" s="40">
        <f>R82+R91</f>
        <v>0</v>
      </c>
      <c r="S93" s="40">
        <f>S82+S91</f>
        <v>6851298.4268554244</v>
      </c>
      <c r="T93" s="40"/>
      <c r="U93" s="40">
        <f>U82+U91</f>
        <v>6745107.4655661723</v>
      </c>
      <c r="V93" s="40"/>
      <c r="W93" s="40">
        <f>W82+W91</f>
        <v>3750566.2065652627</v>
      </c>
      <c r="X93" s="40"/>
      <c r="Y93" s="40">
        <f>Y82+Y91</f>
        <v>0</v>
      </c>
      <c r="Z93" s="40"/>
      <c r="AA93" s="40">
        <f>AA82+AA91</f>
        <v>0</v>
      </c>
      <c r="AB93" s="27">
        <f>SUM(H93:AA93)</f>
        <v>102838792.33000001</v>
      </c>
      <c r="AC93" s="21" t="str">
        <f>IF(ABS(AB93-F93)&lt;1,"ok","err")</f>
        <v>ok</v>
      </c>
    </row>
    <row r="94" spans="1:29" x14ac:dyDescent="0.25">
      <c r="AC94" s="21"/>
    </row>
    <row r="95" spans="1:29" x14ac:dyDescent="0.25">
      <c r="A95" s="19" t="s">
        <v>76</v>
      </c>
      <c r="F95" s="175"/>
      <c r="G95" s="64"/>
      <c r="AC95" s="21"/>
    </row>
    <row r="96" spans="1:29" x14ac:dyDescent="0.25">
      <c r="AC96" s="21"/>
    </row>
    <row r="97" spans="1:29" x14ac:dyDescent="0.25">
      <c r="A97" s="19" t="s">
        <v>77</v>
      </c>
      <c r="AC97" s="21"/>
    </row>
    <row r="98" spans="1:29" x14ac:dyDescent="0.25">
      <c r="A98" s="14" t="s">
        <v>15</v>
      </c>
      <c r="F98" s="175">
        <f>F82</f>
        <v>102490432.14999999</v>
      </c>
      <c r="G98" s="64"/>
      <c r="H98" s="64">
        <f>H82</f>
        <v>0</v>
      </c>
      <c r="I98" s="64">
        <f>I82</f>
        <v>0</v>
      </c>
      <c r="J98" s="64"/>
      <c r="K98" s="64">
        <f>K82</f>
        <v>0</v>
      </c>
      <c r="L98" s="64"/>
      <c r="M98" s="64">
        <f>M82</f>
        <v>0</v>
      </c>
      <c r="N98" s="64"/>
      <c r="O98" s="64">
        <f>O82</f>
        <v>42869111.056778811</v>
      </c>
      <c r="P98" s="64">
        <f>P82</f>
        <v>42333110.811501369</v>
      </c>
      <c r="Q98" s="64"/>
      <c r="R98" s="64">
        <f>R82</f>
        <v>0</v>
      </c>
      <c r="S98" s="64">
        <f>S82</f>
        <v>6828090.0684224088</v>
      </c>
      <c r="T98" s="64"/>
      <c r="U98" s="64">
        <f>U82</f>
        <v>6722258.8225824628</v>
      </c>
      <c r="V98" s="64"/>
      <c r="W98" s="64">
        <f>W82</f>
        <v>3737861.3907149523</v>
      </c>
      <c r="X98" s="64"/>
      <c r="Y98" s="64">
        <f>Y82</f>
        <v>0</v>
      </c>
      <c r="Z98" s="64"/>
      <c r="AA98" s="64">
        <f>AA82</f>
        <v>0</v>
      </c>
      <c r="AB98" s="27">
        <f>SUM(H98:AA98)</f>
        <v>102490432.15000001</v>
      </c>
      <c r="AC98" s="21" t="str">
        <f>IF(ABS(AB98-F98)&lt;1,"ok","err")</f>
        <v>ok</v>
      </c>
    </row>
    <row r="99" spans="1:29" x14ac:dyDescent="0.25">
      <c r="A99" s="14" t="s">
        <v>73</v>
      </c>
      <c r="F99" s="167">
        <f>F91</f>
        <v>348360.18</v>
      </c>
      <c r="G99" s="27"/>
      <c r="H99" s="25">
        <f>H91</f>
        <v>0</v>
      </c>
      <c r="I99" s="25">
        <f>I91</f>
        <v>0</v>
      </c>
      <c r="J99" s="25"/>
      <c r="K99" s="25">
        <f>K91</f>
        <v>0</v>
      </c>
      <c r="L99" s="25"/>
      <c r="M99" s="25">
        <f>M91</f>
        <v>0</v>
      </c>
      <c r="N99" s="25"/>
      <c r="O99" s="25">
        <f>O91</f>
        <v>145710.10123484445</v>
      </c>
      <c r="P99" s="25">
        <f>P91</f>
        <v>143888.26149812038</v>
      </c>
      <c r="Q99" s="25"/>
      <c r="R99" s="25">
        <f>R91</f>
        <v>0</v>
      </c>
      <c r="S99" s="25">
        <f>S91</f>
        <v>23208.358433015375</v>
      </c>
      <c r="T99" s="25"/>
      <c r="U99" s="25">
        <f>U91</f>
        <v>22848.642983709138</v>
      </c>
      <c r="V99" s="25"/>
      <c r="W99" s="25">
        <f>W91</f>
        <v>12704.815850310679</v>
      </c>
      <c r="X99" s="25"/>
      <c r="Y99" s="25">
        <f>Y91</f>
        <v>0</v>
      </c>
      <c r="Z99" s="25"/>
      <c r="AA99" s="27">
        <f>AA91</f>
        <v>0</v>
      </c>
      <c r="AB99" s="27">
        <f>SUM(H99:AA99)</f>
        <v>348360.17999999993</v>
      </c>
      <c r="AC99" s="21" t="str">
        <f>IF(ABS(AB99-F99)&lt;1,"ok","err")</f>
        <v>ok</v>
      </c>
    </row>
    <row r="100" spans="1:29" x14ac:dyDescent="0.25">
      <c r="Q100" s="14"/>
      <c r="AB100" s="27"/>
      <c r="AC100" s="21"/>
    </row>
    <row r="101" spans="1:29" x14ac:dyDescent="0.25">
      <c r="A101" s="66" t="s">
        <v>78</v>
      </c>
      <c r="C101" s="14" t="s">
        <v>79</v>
      </c>
      <c r="F101" s="175">
        <f>F98+F99</f>
        <v>102838792.33</v>
      </c>
      <c r="G101" s="64"/>
      <c r="H101" s="64">
        <f t="shared" ref="H101:AA101" si="61">H98+H99</f>
        <v>0</v>
      </c>
      <c r="I101" s="64">
        <f t="shared" si="61"/>
        <v>0</v>
      </c>
      <c r="J101" s="64"/>
      <c r="K101" s="64">
        <f t="shared" si="61"/>
        <v>0</v>
      </c>
      <c r="L101" s="64"/>
      <c r="M101" s="64">
        <f t="shared" si="61"/>
        <v>0</v>
      </c>
      <c r="N101" s="64"/>
      <c r="O101" s="64">
        <f t="shared" si="61"/>
        <v>43014821.158013657</v>
      </c>
      <c r="P101" s="64">
        <f t="shared" si="61"/>
        <v>42476999.072999492</v>
      </c>
      <c r="Q101" s="64"/>
      <c r="R101" s="64">
        <f t="shared" si="61"/>
        <v>0</v>
      </c>
      <c r="S101" s="64">
        <f t="shared" si="61"/>
        <v>6851298.4268554244</v>
      </c>
      <c r="T101" s="64"/>
      <c r="U101" s="64">
        <f t="shared" si="61"/>
        <v>6745107.4655661723</v>
      </c>
      <c r="V101" s="64"/>
      <c r="W101" s="64">
        <f t="shared" si="61"/>
        <v>3750566.2065652627</v>
      </c>
      <c r="X101" s="64"/>
      <c r="Y101" s="64">
        <f t="shared" si="61"/>
        <v>0</v>
      </c>
      <c r="Z101" s="64"/>
      <c r="AA101" s="64">
        <f t="shared" si="61"/>
        <v>0</v>
      </c>
      <c r="AB101" s="27">
        <f>SUM(H101:AA101)</f>
        <v>102838792.33000001</v>
      </c>
      <c r="AC101" s="21" t="str">
        <f>IF(ABS(AB101-F101)&lt;1,"ok","err")</f>
        <v>ok</v>
      </c>
    </row>
    <row r="102" spans="1:29" x14ac:dyDescent="0.25">
      <c r="Q102" s="14"/>
      <c r="AC102" s="21"/>
    </row>
    <row r="103" spans="1:29" x14ac:dyDescent="0.25">
      <c r="A103" s="19" t="s">
        <v>80</v>
      </c>
      <c r="Q103" s="14"/>
      <c r="AC103" s="21"/>
    </row>
    <row r="104" spans="1:29" x14ac:dyDescent="0.25">
      <c r="A104" s="14" t="s">
        <v>368</v>
      </c>
      <c r="C104" s="14" t="s">
        <v>392</v>
      </c>
      <c r="D104" s="14" t="s">
        <v>79</v>
      </c>
      <c r="F104" s="174">
        <v>0</v>
      </c>
      <c r="G104" s="40"/>
      <c r="H104" s="27">
        <f t="shared" ref="H104:H122" si="62">IF(VLOOKUP($D104,$C$5:$AA$496,6,)=0,0,((VLOOKUP($D104,$C$5:$AA$496,6,)/VLOOKUP($D104,$C$5:$AA$496,4,))*$F104))</f>
        <v>0</v>
      </c>
      <c r="I104" s="27">
        <f t="shared" ref="I104:I122" si="63">IF(VLOOKUP($D104,$C$5:$AA$496,7,)=0,0,((VLOOKUP($D104,$C$5:$AA$496,7,)/VLOOKUP($D104,$C$5:$AA$496,4,))*$F104))</f>
        <v>0</v>
      </c>
      <c r="J104" s="27"/>
      <c r="K104" s="27">
        <f t="shared" ref="K104:K122" si="64">IF(VLOOKUP($D104,$C$5:$AA$496,9,)=0,0,((VLOOKUP($D104,$C$5:$AA$496,9,)/VLOOKUP($D104,$C$5:$AA$496,4,))*$F104))</f>
        <v>0</v>
      </c>
      <c r="L104" s="27"/>
      <c r="M104" s="27">
        <f t="shared" ref="M104:M122" si="65">IF(VLOOKUP($D104,$C$5:$AA$496,11,)=0,0,((VLOOKUP($D104,$C$5:$AA$496,11,)/VLOOKUP($D104,$C$5:$AA$496,4,))*$F104))</f>
        <v>0</v>
      </c>
      <c r="N104" s="27"/>
      <c r="O104" s="27">
        <f t="shared" ref="O104:O122" si="66">IF(VLOOKUP($D104,$C$5:$AA$496,13,)=0,0,((VLOOKUP($D104,$C$5:$AA$496,13,)/VLOOKUP($D104,$C$5:$AA$496,4,))*$F104))</f>
        <v>0</v>
      </c>
      <c r="P104" s="27">
        <f t="shared" ref="P104:P122" si="67">IF(VLOOKUP($D104,$C$5:$AA$496,14,)=0,0,((VLOOKUP($D104,$C$5:$AA$496,14,)/VLOOKUP($D104,$C$5:$AA$496,4,))*$F104))</f>
        <v>0</v>
      </c>
      <c r="Q104" s="27"/>
      <c r="R104" s="27">
        <f t="shared" ref="R104:R122" si="68">IF(VLOOKUP($D104,$C$5:$AA$496,16,)=0,0,((VLOOKUP($D104,$C$5:$AA$496,16,)/VLOOKUP($D104,$C$5:$AA$496,4,))*$F104))</f>
        <v>0</v>
      </c>
      <c r="S104" s="27">
        <f t="shared" ref="S104:S122" si="69">IF(VLOOKUP($D104,$C$5:$AA$496,17,)=0,0,((VLOOKUP($D104,$C$5:$AA$496,17,)/VLOOKUP($D104,$C$5:$AA$496,4,))*$F104))</f>
        <v>0</v>
      </c>
      <c r="T104" s="27"/>
      <c r="U104" s="27">
        <f t="shared" ref="U104:U122" si="70">IF(VLOOKUP($D104,$C$5:$AA$496,19,)=0,0,((VLOOKUP($D104,$C$5:$AA$496,19,)/VLOOKUP($D104,$C$5:$AA$496,4,))*$F104))</f>
        <v>0</v>
      </c>
      <c r="V104" s="27"/>
      <c r="W104" s="27">
        <f t="shared" ref="W104:W122" si="71">IF(VLOOKUP($D104,$C$5:$AA$496,21,)=0,0,((VLOOKUP($D104,$C$5:$AA$496,21,)/VLOOKUP($D104,$C$5:$AA$496,4,))*$F104))</f>
        <v>0</v>
      </c>
      <c r="X104" s="27"/>
      <c r="Y104" s="27">
        <f t="shared" ref="Y104:Y122" si="72">IF(VLOOKUP($D104,$C$5:$AA$496,23,)=0,0,((VLOOKUP($D104,$C$5:$AA$496,23,)/VLOOKUP($D104,$C$5:$AA$496,4,))*$F104))</f>
        <v>0</v>
      </c>
      <c r="Z104" s="27"/>
      <c r="AA104" s="27">
        <f t="shared" ref="AA104:AA122" si="73">IF(VLOOKUP($D104,$C$5:$AA$496,25,)=0,0,((VLOOKUP($D104,$C$5:$AA$496,25,)/VLOOKUP($D104,$C$5:$AA$496,4,))*$F104))</f>
        <v>0</v>
      </c>
      <c r="AB104" s="27">
        <f t="shared" ref="AB104:AB122" si="74">SUM(H104:AA104)</f>
        <v>0</v>
      </c>
      <c r="AC104" s="21" t="str">
        <f t="shared" ref="AC104:AC110" si="75">IF(ABS(AB104-F104)&lt;1,"ok","err")</f>
        <v>ok</v>
      </c>
    </row>
    <row r="105" spans="1:29" x14ac:dyDescent="0.25">
      <c r="A105" s="14" t="s">
        <v>369</v>
      </c>
      <c r="C105" s="14" t="s">
        <v>393</v>
      </c>
      <c r="D105" s="14" t="s">
        <v>16</v>
      </c>
      <c r="F105" s="167">
        <v>-100959.19</v>
      </c>
      <c r="G105" s="27"/>
      <c r="H105" s="27">
        <f t="shared" si="62"/>
        <v>0</v>
      </c>
      <c r="I105" s="27">
        <f t="shared" si="63"/>
        <v>0</v>
      </c>
      <c r="J105" s="27"/>
      <c r="K105" s="27">
        <f t="shared" si="64"/>
        <v>0</v>
      </c>
      <c r="L105" s="27"/>
      <c r="M105" s="27">
        <f t="shared" si="65"/>
        <v>0</v>
      </c>
      <c r="N105" s="27"/>
      <c r="O105" s="27">
        <f t="shared" si="66"/>
        <v>-42228.63185880745</v>
      </c>
      <c r="P105" s="27">
        <f t="shared" si="67"/>
        <v>-41700.639640725931</v>
      </c>
      <c r="Q105" s="27"/>
      <c r="R105" s="27">
        <f t="shared" si="68"/>
        <v>0</v>
      </c>
      <c r="S105" s="27">
        <f t="shared" si="69"/>
        <v>-6726.0760647985135</v>
      </c>
      <c r="T105" s="27"/>
      <c r="U105" s="27">
        <f t="shared" si="70"/>
        <v>-6621.8259740090207</v>
      </c>
      <c r="V105" s="27"/>
      <c r="W105" s="27">
        <f t="shared" si="71"/>
        <v>-3682.0164616591005</v>
      </c>
      <c r="X105" s="27"/>
      <c r="Y105" s="27">
        <f t="shared" si="72"/>
        <v>0</v>
      </c>
      <c r="Z105" s="27"/>
      <c r="AA105" s="27">
        <f t="shared" si="73"/>
        <v>0</v>
      </c>
      <c r="AB105" s="27">
        <f t="shared" si="74"/>
        <v>-100959.19000000002</v>
      </c>
      <c r="AC105" s="21" t="str">
        <f t="shared" si="75"/>
        <v>ok</v>
      </c>
    </row>
    <row r="106" spans="1:29" x14ac:dyDescent="0.25">
      <c r="A106" s="14" t="s">
        <v>830</v>
      </c>
      <c r="C106" s="14" t="s">
        <v>835</v>
      </c>
      <c r="D106" s="14" t="s">
        <v>779</v>
      </c>
      <c r="F106" s="167">
        <v>0</v>
      </c>
      <c r="G106" s="27"/>
      <c r="H106" s="27">
        <f t="shared" si="62"/>
        <v>0</v>
      </c>
      <c r="I106" s="27">
        <f t="shared" si="63"/>
        <v>0</v>
      </c>
      <c r="J106" s="27"/>
      <c r="K106" s="27">
        <f t="shared" si="64"/>
        <v>0</v>
      </c>
      <c r="L106" s="27"/>
      <c r="M106" s="27">
        <f t="shared" si="65"/>
        <v>0</v>
      </c>
      <c r="N106" s="27"/>
      <c r="O106" s="27">
        <f t="shared" si="66"/>
        <v>0</v>
      </c>
      <c r="P106" s="27">
        <f t="shared" si="67"/>
        <v>0</v>
      </c>
      <c r="Q106" s="27"/>
      <c r="R106" s="27">
        <f t="shared" si="68"/>
        <v>0</v>
      </c>
      <c r="S106" s="27">
        <f t="shared" si="69"/>
        <v>0</v>
      </c>
      <c r="T106" s="27"/>
      <c r="U106" s="27">
        <f t="shared" si="70"/>
        <v>0</v>
      </c>
      <c r="V106" s="27"/>
      <c r="W106" s="27">
        <f t="shared" si="71"/>
        <v>0</v>
      </c>
      <c r="X106" s="27"/>
      <c r="Y106" s="27">
        <f t="shared" si="72"/>
        <v>0</v>
      </c>
      <c r="Z106" s="27"/>
      <c r="AA106" s="27">
        <f t="shared" si="73"/>
        <v>0</v>
      </c>
      <c r="AB106" s="27">
        <f t="shared" si="74"/>
        <v>0</v>
      </c>
      <c r="AC106" s="21" t="str">
        <f t="shared" si="75"/>
        <v>ok</v>
      </c>
    </row>
    <row r="107" spans="1:29" x14ac:dyDescent="0.25">
      <c r="A107" s="14" t="s">
        <v>367</v>
      </c>
      <c r="C107" s="14" t="s">
        <v>394</v>
      </c>
      <c r="D107" s="14" t="s">
        <v>389</v>
      </c>
      <c r="F107" s="167">
        <v>0</v>
      </c>
      <c r="G107" s="27"/>
      <c r="H107" s="27">
        <f t="shared" si="62"/>
        <v>0</v>
      </c>
      <c r="I107" s="27">
        <f t="shared" si="63"/>
        <v>0</v>
      </c>
      <c r="J107" s="27"/>
      <c r="K107" s="27">
        <f t="shared" si="64"/>
        <v>0</v>
      </c>
      <c r="L107" s="27"/>
      <c r="M107" s="27">
        <f t="shared" si="65"/>
        <v>0</v>
      </c>
      <c r="N107" s="27"/>
      <c r="O107" s="27">
        <f t="shared" si="66"/>
        <v>0</v>
      </c>
      <c r="P107" s="27">
        <f t="shared" si="67"/>
        <v>0</v>
      </c>
      <c r="Q107" s="27"/>
      <c r="R107" s="27">
        <f t="shared" si="68"/>
        <v>0</v>
      </c>
      <c r="S107" s="27">
        <f t="shared" si="69"/>
        <v>0</v>
      </c>
      <c r="T107" s="27"/>
      <c r="U107" s="27">
        <f t="shared" si="70"/>
        <v>0</v>
      </c>
      <c r="V107" s="27"/>
      <c r="W107" s="27">
        <f t="shared" si="71"/>
        <v>0</v>
      </c>
      <c r="X107" s="27"/>
      <c r="Y107" s="27">
        <f t="shared" si="72"/>
        <v>0</v>
      </c>
      <c r="Z107" s="27"/>
      <c r="AA107" s="27">
        <f t="shared" si="73"/>
        <v>0</v>
      </c>
      <c r="AB107" s="27">
        <f t="shared" si="74"/>
        <v>0</v>
      </c>
      <c r="AC107" s="21" t="str">
        <f t="shared" si="75"/>
        <v>ok</v>
      </c>
    </row>
    <row r="108" spans="1:29" x14ac:dyDescent="0.25">
      <c r="A108" s="14" t="s">
        <v>1021</v>
      </c>
      <c r="C108" s="14" t="s">
        <v>447</v>
      </c>
      <c r="D108" s="14" t="s">
        <v>16</v>
      </c>
      <c r="F108" s="167">
        <v>34511772.469999999</v>
      </c>
      <c r="G108" s="27"/>
      <c r="H108" s="27">
        <f t="shared" si="62"/>
        <v>0</v>
      </c>
      <c r="I108" s="27">
        <f t="shared" si="63"/>
        <v>0</v>
      </c>
      <c r="J108" s="27"/>
      <c r="K108" s="27">
        <f t="shared" si="64"/>
        <v>0</v>
      </c>
      <c r="L108" s="27"/>
      <c r="M108" s="27">
        <f t="shared" si="65"/>
        <v>0</v>
      </c>
      <c r="N108" s="27"/>
      <c r="O108" s="27">
        <f t="shared" si="66"/>
        <v>14435386.559961066</v>
      </c>
      <c r="P108" s="27">
        <f t="shared" si="67"/>
        <v>14254898.312220966</v>
      </c>
      <c r="Q108" s="27"/>
      <c r="R108" s="27">
        <f t="shared" si="68"/>
        <v>0</v>
      </c>
      <c r="S108" s="27">
        <f t="shared" si="69"/>
        <v>2299234.0446098987</v>
      </c>
      <c r="T108" s="27"/>
      <c r="U108" s="27">
        <f t="shared" si="70"/>
        <v>2263597.314429082</v>
      </c>
      <c r="V108" s="27"/>
      <c r="W108" s="27">
        <f t="shared" si="71"/>
        <v>1258656.2387789893</v>
      </c>
      <c r="X108" s="27"/>
      <c r="Y108" s="27">
        <f t="shared" si="72"/>
        <v>0</v>
      </c>
      <c r="Z108" s="27"/>
      <c r="AA108" s="27">
        <f t="shared" si="73"/>
        <v>0</v>
      </c>
      <c r="AB108" s="27">
        <f t="shared" si="74"/>
        <v>34511772.469999999</v>
      </c>
      <c r="AC108" s="21" t="str">
        <f t="shared" si="75"/>
        <v>ok</v>
      </c>
    </row>
    <row r="109" spans="1:29" x14ac:dyDescent="0.25">
      <c r="A109" s="14" t="s">
        <v>425</v>
      </c>
      <c r="C109" s="14" t="s">
        <v>435</v>
      </c>
      <c r="D109" s="14" t="s">
        <v>423</v>
      </c>
      <c r="F109" s="167">
        <v>0</v>
      </c>
      <c r="G109" s="27"/>
      <c r="H109" s="27">
        <f t="shared" si="62"/>
        <v>0</v>
      </c>
      <c r="I109" s="27">
        <f t="shared" si="63"/>
        <v>0</v>
      </c>
      <c r="J109" s="27"/>
      <c r="K109" s="27">
        <f t="shared" si="64"/>
        <v>0</v>
      </c>
      <c r="L109" s="27"/>
      <c r="M109" s="27">
        <f t="shared" si="65"/>
        <v>0</v>
      </c>
      <c r="N109" s="27"/>
      <c r="O109" s="27">
        <f t="shared" si="66"/>
        <v>0</v>
      </c>
      <c r="P109" s="27">
        <f t="shared" si="67"/>
        <v>0</v>
      </c>
      <c r="Q109" s="27"/>
      <c r="R109" s="27">
        <f t="shared" si="68"/>
        <v>0</v>
      </c>
      <c r="S109" s="27">
        <f t="shared" si="69"/>
        <v>0</v>
      </c>
      <c r="T109" s="27"/>
      <c r="U109" s="27">
        <f t="shared" si="70"/>
        <v>0</v>
      </c>
      <c r="V109" s="27"/>
      <c r="W109" s="27">
        <f t="shared" si="71"/>
        <v>0</v>
      </c>
      <c r="X109" s="27"/>
      <c r="Y109" s="27">
        <f t="shared" si="72"/>
        <v>0</v>
      </c>
      <c r="Z109" s="27"/>
      <c r="AA109" s="27">
        <f t="shared" si="73"/>
        <v>0</v>
      </c>
      <c r="AB109" s="27">
        <f t="shared" si="74"/>
        <v>0</v>
      </c>
      <c r="AC109" s="21" t="str">
        <f t="shared" si="75"/>
        <v>ok</v>
      </c>
    </row>
    <row r="110" spans="1:29" x14ac:dyDescent="0.25">
      <c r="A110" s="14" t="s">
        <v>426</v>
      </c>
      <c r="C110" s="14" t="s">
        <v>436</v>
      </c>
      <c r="D110" s="14" t="s">
        <v>23</v>
      </c>
      <c r="F110" s="167">
        <v>0</v>
      </c>
      <c r="G110" s="27"/>
      <c r="H110" s="27">
        <f t="shared" si="62"/>
        <v>0</v>
      </c>
      <c r="I110" s="27">
        <f t="shared" si="63"/>
        <v>0</v>
      </c>
      <c r="J110" s="27"/>
      <c r="K110" s="27">
        <f t="shared" si="64"/>
        <v>0</v>
      </c>
      <c r="L110" s="27"/>
      <c r="M110" s="27">
        <f t="shared" si="65"/>
        <v>0</v>
      </c>
      <c r="N110" s="27"/>
      <c r="O110" s="27">
        <f t="shared" si="66"/>
        <v>0</v>
      </c>
      <c r="P110" s="27">
        <f t="shared" si="67"/>
        <v>0</v>
      </c>
      <c r="Q110" s="27"/>
      <c r="R110" s="27">
        <f t="shared" si="68"/>
        <v>0</v>
      </c>
      <c r="S110" s="27">
        <f t="shared" si="69"/>
        <v>0</v>
      </c>
      <c r="T110" s="27"/>
      <c r="U110" s="27">
        <f t="shared" si="70"/>
        <v>0</v>
      </c>
      <c r="V110" s="27"/>
      <c r="W110" s="27">
        <f t="shared" si="71"/>
        <v>0</v>
      </c>
      <c r="X110" s="27"/>
      <c r="Y110" s="27">
        <f t="shared" si="72"/>
        <v>0</v>
      </c>
      <c r="Z110" s="27"/>
      <c r="AA110" s="27">
        <f t="shared" si="73"/>
        <v>0</v>
      </c>
      <c r="AB110" s="27">
        <f t="shared" si="74"/>
        <v>0</v>
      </c>
      <c r="AC110" s="21" t="str">
        <f t="shared" si="75"/>
        <v>ok</v>
      </c>
    </row>
    <row r="111" spans="1:29" x14ac:dyDescent="0.25">
      <c r="A111" s="14" t="s">
        <v>427</v>
      </c>
      <c r="C111" s="14" t="s">
        <v>437</v>
      </c>
      <c r="D111" s="14" t="s">
        <v>26</v>
      </c>
      <c r="F111" s="167">
        <v>0</v>
      </c>
      <c r="G111" s="27"/>
      <c r="H111" s="27">
        <f t="shared" si="62"/>
        <v>0</v>
      </c>
      <c r="I111" s="27">
        <f t="shared" si="63"/>
        <v>0</v>
      </c>
      <c r="J111" s="27"/>
      <c r="K111" s="27">
        <f t="shared" si="64"/>
        <v>0</v>
      </c>
      <c r="L111" s="27"/>
      <c r="M111" s="27">
        <f t="shared" si="65"/>
        <v>0</v>
      </c>
      <c r="N111" s="27"/>
      <c r="O111" s="27">
        <f t="shared" si="66"/>
        <v>0</v>
      </c>
      <c r="P111" s="27">
        <f t="shared" si="67"/>
        <v>0</v>
      </c>
      <c r="Q111" s="27"/>
      <c r="R111" s="27">
        <f t="shared" si="68"/>
        <v>0</v>
      </c>
      <c r="S111" s="27">
        <f t="shared" si="69"/>
        <v>0</v>
      </c>
      <c r="T111" s="27"/>
      <c r="U111" s="27">
        <f t="shared" si="70"/>
        <v>0</v>
      </c>
      <c r="V111" s="27"/>
      <c r="W111" s="27">
        <f t="shared" si="71"/>
        <v>0</v>
      </c>
      <c r="X111" s="27"/>
      <c r="Y111" s="27">
        <f t="shared" si="72"/>
        <v>0</v>
      </c>
      <c r="Z111" s="27"/>
      <c r="AA111" s="27">
        <f t="shared" si="73"/>
        <v>0</v>
      </c>
      <c r="AB111" s="27">
        <f t="shared" si="74"/>
        <v>0</v>
      </c>
      <c r="AC111" s="21" t="str">
        <f t="shared" ref="AC111:AC119" si="76">IF(ABS(AB111-F111)&lt;1,"ok","err")</f>
        <v>ok</v>
      </c>
    </row>
    <row r="112" spans="1:29" x14ac:dyDescent="0.25">
      <c r="A112" s="14" t="s">
        <v>428</v>
      </c>
      <c r="C112" s="14" t="s">
        <v>438</v>
      </c>
      <c r="D112" s="14" t="s">
        <v>29</v>
      </c>
      <c r="F112" s="167">
        <v>0</v>
      </c>
      <c r="G112" s="27"/>
      <c r="H112" s="27">
        <f t="shared" si="62"/>
        <v>0</v>
      </c>
      <c r="I112" s="27">
        <f t="shared" si="63"/>
        <v>0</v>
      </c>
      <c r="J112" s="27"/>
      <c r="K112" s="27">
        <f t="shared" si="64"/>
        <v>0</v>
      </c>
      <c r="L112" s="27"/>
      <c r="M112" s="27">
        <f t="shared" si="65"/>
        <v>0</v>
      </c>
      <c r="N112" s="27"/>
      <c r="O112" s="27">
        <f t="shared" si="66"/>
        <v>0</v>
      </c>
      <c r="P112" s="27">
        <f t="shared" si="67"/>
        <v>0</v>
      </c>
      <c r="Q112" s="27"/>
      <c r="R112" s="27">
        <f t="shared" si="68"/>
        <v>0</v>
      </c>
      <c r="S112" s="27">
        <f t="shared" si="69"/>
        <v>0</v>
      </c>
      <c r="T112" s="27"/>
      <c r="U112" s="27">
        <f t="shared" si="70"/>
        <v>0</v>
      </c>
      <c r="V112" s="27"/>
      <c r="W112" s="27">
        <f t="shared" si="71"/>
        <v>0</v>
      </c>
      <c r="X112" s="27"/>
      <c r="Y112" s="27">
        <f t="shared" si="72"/>
        <v>0</v>
      </c>
      <c r="Z112" s="27"/>
      <c r="AA112" s="27">
        <f t="shared" si="73"/>
        <v>0</v>
      </c>
      <c r="AB112" s="27">
        <f t="shared" si="74"/>
        <v>0</v>
      </c>
      <c r="AC112" s="21" t="str">
        <f t="shared" si="76"/>
        <v>ok</v>
      </c>
    </row>
    <row r="113" spans="1:29" x14ac:dyDescent="0.25">
      <c r="A113" s="14" t="s">
        <v>446</v>
      </c>
      <c r="C113" s="14" t="s">
        <v>439</v>
      </c>
      <c r="D113" s="14" t="s">
        <v>32</v>
      </c>
      <c r="F113" s="167">
        <v>0</v>
      </c>
      <c r="G113" s="27"/>
      <c r="H113" s="27">
        <f t="shared" si="62"/>
        <v>0</v>
      </c>
      <c r="I113" s="27">
        <f t="shared" si="63"/>
        <v>0</v>
      </c>
      <c r="J113" s="27"/>
      <c r="K113" s="27">
        <f t="shared" si="64"/>
        <v>0</v>
      </c>
      <c r="L113" s="27"/>
      <c r="M113" s="27">
        <f t="shared" si="65"/>
        <v>0</v>
      </c>
      <c r="N113" s="27"/>
      <c r="O113" s="27">
        <f t="shared" si="66"/>
        <v>0</v>
      </c>
      <c r="P113" s="27">
        <f t="shared" si="67"/>
        <v>0</v>
      </c>
      <c r="Q113" s="27"/>
      <c r="R113" s="27">
        <f t="shared" si="68"/>
        <v>0</v>
      </c>
      <c r="S113" s="27">
        <f t="shared" si="69"/>
        <v>0</v>
      </c>
      <c r="T113" s="27"/>
      <c r="U113" s="27">
        <f t="shared" si="70"/>
        <v>0</v>
      </c>
      <c r="V113" s="27"/>
      <c r="W113" s="27">
        <f t="shared" si="71"/>
        <v>0</v>
      </c>
      <c r="X113" s="27"/>
      <c r="Y113" s="27">
        <f t="shared" si="72"/>
        <v>0</v>
      </c>
      <c r="Z113" s="27"/>
      <c r="AA113" s="27">
        <f t="shared" si="73"/>
        <v>0</v>
      </c>
      <c r="AB113" s="27">
        <f t="shared" si="74"/>
        <v>0</v>
      </c>
      <c r="AC113" s="21" t="str">
        <f t="shared" si="76"/>
        <v>ok</v>
      </c>
    </row>
    <row r="114" spans="1:29" x14ac:dyDescent="0.25">
      <c r="A114" s="14" t="s">
        <v>429</v>
      </c>
      <c r="C114" s="14" t="s">
        <v>440</v>
      </c>
      <c r="D114" s="14" t="s">
        <v>35</v>
      </c>
      <c r="F114" s="167">
        <v>0</v>
      </c>
      <c r="G114" s="27"/>
      <c r="H114" s="27">
        <f t="shared" si="62"/>
        <v>0</v>
      </c>
      <c r="I114" s="27">
        <f t="shared" si="63"/>
        <v>0</v>
      </c>
      <c r="J114" s="27"/>
      <c r="K114" s="27">
        <f t="shared" si="64"/>
        <v>0</v>
      </c>
      <c r="L114" s="27"/>
      <c r="M114" s="27">
        <f t="shared" si="65"/>
        <v>0</v>
      </c>
      <c r="N114" s="27"/>
      <c r="O114" s="27">
        <f t="shared" si="66"/>
        <v>0</v>
      </c>
      <c r="P114" s="27">
        <f t="shared" si="67"/>
        <v>0</v>
      </c>
      <c r="Q114" s="27"/>
      <c r="R114" s="27">
        <f t="shared" si="68"/>
        <v>0</v>
      </c>
      <c r="S114" s="27">
        <f t="shared" si="69"/>
        <v>0</v>
      </c>
      <c r="T114" s="27"/>
      <c r="U114" s="27">
        <f t="shared" si="70"/>
        <v>0</v>
      </c>
      <c r="V114" s="27"/>
      <c r="W114" s="27">
        <f t="shared" si="71"/>
        <v>0</v>
      </c>
      <c r="X114" s="27"/>
      <c r="Y114" s="27">
        <f t="shared" si="72"/>
        <v>0</v>
      </c>
      <c r="Z114" s="27"/>
      <c r="AA114" s="27">
        <f t="shared" si="73"/>
        <v>0</v>
      </c>
      <c r="AB114" s="27">
        <f t="shared" si="74"/>
        <v>0</v>
      </c>
      <c r="AC114" s="21" t="str">
        <f t="shared" si="76"/>
        <v>ok</v>
      </c>
    </row>
    <row r="115" spans="1:29" x14ac:dyDescent="0.25">
      <c r="A115" s="14" t="s">
        <v>430</v>
      </c>
      <c r="C115" s="14" t="s">
        <v>441</v>
      </c>
      <c r="D115" s="14" t="s">
        <v>37</v>
      </c>
      <c r="F115" s="167">
        <v>0</v>
      </c>
      <c r="G115" s="27"/>
      <c r="H115" s="27">
        <f t="shared" si="62"/>
        <v>0</v>
      </c>
      <c r="I115" s="27">
        <f t="shared" si="63"/>
        <v>0</v>
      </c>
      <c r="J115" s="27"/>
      <c r="K115" s="27">
        <f t="shared" si="64"/>
        <v>0</v>
      </c>
      <c r="L115" s="27"/>
      <c r="M115" s="27">
        <f t="shared" si="65"/>
        <v>0</v>
      </c>
      <c r="N115" s="27"/>
      <c r="O115" s="27">
        <f t="shared" si="66"/>
        <v>0</v>
      </c>
      <c r="P115" s="27">
        <f t="shared" si="67"/>
        <v>0</v>
      </c>
      <c r="Q115" s="27"/>
      <c r="R115" s="27">
        <f t="shared" si="68"/>
        <v>0</v>
      </c>
      <c r="S115" s="27">
        <f t="shared" si="69"/>
        <v>0</v>
      </c>
      <c r="T115" s="27"/>
      <c r="U115" s="27">
        <f t="shared" si="70"/>
        <v>0</v>
      </c>
      <c r="V115" s="27"/>
      <c r="W115" s="27">
        <f t="shared" si="71"/>
        <v>0</v>
      </c>
      <c r="X115" s="27"/>
      <c r="Y115" s="27">
        <f t="shared" si="72"/>
        <v>0</v>
      </c>
      <c r="Z115" s="27"/>
      <c r="AA115" s="27">
        <f t="shared" si="73"/>
        <v>0</v>
      </c>
      <c r="AB115" s="27">
        <f t="shared" si="74"/>
        <v>0</v>
      </c>
      <c r="AC115" s="21" t="str">
        <f>IF(ABS(AB115-F115)&lt;1,"ok","err")</f>
        <v>ok</v>
      </c>
    </row>
    <row r="116" spans="1:29" x14ac:dyDescent="0.25">
      <c r="A116" s="14" t="s">
        <v>431</v>
      </c>
      <c r="C116" s="14" t="s">
        <v>442</v>
      </c>
      <c r="D116" s="14" t="s">
        <v>40</v>
      </c>
      <c r="F116" s="167">
        <v>0</v>
      </c>
      <c r="G116" s="27"/>
      <c r="H116" s="27">
        <f t="shared" si="62"/>
        <v>0</v>
      </c>
      <c r="I116" s="27">
        <f t="shared" si="63"/>
        <v>0</v>
      </c>
      <c r="J116" s="27"/>
      <c r="K116" s="27">
        <f t="shared" si="64"/>
        <v>0</v>
      </c>
      <c r="L116" s="27"/>
      <c r="M116" s="27">
        <f t="shared" si="65"/>
        <v>0</v>
      </c>
      <c r="N116" s="27"/>
      <c r="O116" s="27">
        <f t="shared" si="66"/>
        <v>0</v>
      </c>
      <c r="P116" s="27">
        <f t="shared" si="67"/>
        <v>0</v>
      </c>
      <c r="Q116" s="27"/>
      <c r="R116" s="27">
        <f t="shared" si="68"/>
        <v>0</v>
      </c>
      <c r="S116" s="27">
        <f t="shared" si="69"/>
        <v>0</v>
      </c>
      <c r="T116" s="27"/>
      <c r="U116" s="27">
        <f t="shared" si="70"/>
        <v>0</v>
      </c>
      <c r="V116" s="27"/>
      <c r="W116" s="27">
        <f t="shared" si="71"/>
        <v>0</v>
      </c>
      <c r="X116" s="27"/>
      <c r="Y116" s="27">
        <f t="shared" si="72"/>
        <v>0</v>
      </c>
      <c r="Z116" s="27"/>
      <c r="AA116" s="27">
        <f t="shared" si="73"/>
        <v>0</v>
      </c>
      <c r="AB116" s="27">
        <f t="shared" si="74"/>
        <v>0</v>
      </c>
      <c r="AC116" s="21" t="str">
        <f t="shared" si="76"/>
        <v>ok</v>
      </c>
    </row>
    <row r="117" spans="1:29" x14ac:dyDescent="0.25">
      <c r="A117" s="14" t="s">
        <v>432</v>
      </c>
      <c r="C117" s="14" t="s">
        <v>443</v>
      </c>
      <c r="D117" s="14" t="s">
        <v>43</v>
      </c>
      <c r="F117" s="167">
        <v>0</v>
      </c>
      <c r="G117" s="27"/>
      <c r="H117" s="27">
        <f t="shared" si="62"/>
        <v>0</v>
      </c>
      <c r="I117" s="27">
        <f t="shared" si="63"/>
        <v>0</v>
      </c>
      <c r="J117" s="27"/>
      <c r="K117" s="27">
        <f t="shared" si="64"/>
        <v>0</v>
      </c>
      <c r="L117" s="27"/>
      <c r="M117" s="27">
        <f t="shared" si="65"/>
        <v>0</v>
      </c>
      <c r="N117" s="27"/>
      <c r="O117" s="27">
        <f t="shared" si="66"/>
        <v>0</v>
      </c>
      <c r="P117" s="27">
        <f t="shared" si="67"/>
        <v>0</v>
      </c>
      <c r="Q117" s="27"/>
      <c r="R117" s="27">
        <f t="shared" si="68"/>
        <v>0</v>
      </c>
      <c r="S117" s="27">
        <f t="shared" si="69"/>
        <v>0</v>
      </c>
      <c r="T117" s="27"/>
      <c r="U117" s="27">
        <f t="shared" si="70"/>
        <v>0</v>
      </c>
      <c r="V117" s="27"/>
      <c r="W117" s="27">
        <f t="shared" si="71"/>
        <v>0</v>
      </c>
      <c r="X117" s="27"/>
      <c r="Y117" s="27">
        <f t="shared" si="72"/>
        <v>0</v>
      </c>
      <c r="Z117" s="27"/>
      <c r="AA117" s="27">
        <f t="shared" si="73"/>
        <v>0</v>
      </c>
      <c r="AB117" s="27">
        <f t="shared" si="74"/>
        <v>0</v>
      </c>
      <c r="AC117" s="21" t="str">
        <f t="shared" si="76"/>
        <v>ok</v>
      </c>
    </row>
    <row r="118" spans="1:29" x14ac:dyDescent="0.25">
      <c r="A118" s="14" t="s">
        <v>433</v>
      </c>
      <c r="C118" s="14" t="s">
        <v>444</v>
      </c>
      <c r="D118" s="14" t="s">
        <v>46</v>
      </c>
      <c r="F118" s="167">
        <v>0</v>
      </c>
      <c r="G118" s="27"/>
      <c r="H118" s="27">
        <f t="shared" si="62"/>
        <v>0</v>
      </c>
      <c r="I118" s="27">
        <f t="shared" si="63"/>
        <v>0</v>
      </c>
      <c r="J118" s="27"/>
      <c r="K118" s="27">
        <f t="shared" si="64"/>
        <v>0</v>
      </c>
      <c r="L118" s="27"/>
      <c r="M118" s="27">
        <f t="shared" si="65"/>
        <v>0</v>
      </c>
      <c r="N118" s="27"/>
      <c r="O118" s="27">
        <f t="shared" si="66"/>
        <v>0</v>
      </c>
      <c r="P118" s="27">
        <f t="shared" si="67"/>
        <v>0</v>
      </c>
      <c r="Q118" s="27"/>
      <c r="R118" s="27">
        <f t="shared" si="68"/>
        <v>0</v>
      </c>
      <c r="S118" s="27">
        <f t="shared" si="69"/>
        <v>0</v>
      </c>
      <c r="T118" s="27"/>
      <c r="U118" s="27">
        <f t="shared" si="70"/>
        <v>0</v>
      </c>
      <c r="V118" s="27"/>
      <c r="W118" s="27">
        <f t="shared" si="71"/>
        <v>0</v>
      </c>
      <c r="X118" s="27"/>
      <c r="Y118" s="27">
        <f t="shared" si="72"/>
        <v>0</v>
      </c>
      <c r="Z118" s="27"/>
      <c r="AA118" s="27">
        <f t="shared" si="73"/>
        <v>0</v>
      </c>
      <c r="AB118" s="27">
        <f t="shared" si="74"/>
        <v>0</v>
      </c>
      <c r="AC118" s="21" t="str">
        <f t="shared" si="76"/>
        <v>ok</v>
      </c>
    </row>
    <row r="119" spans="1:29" x14ac:dyDescent="0.25">
      <c r="A119" s="14" t="s">
        <v>434</v>
      </c>
      <c r="C119" s="14" t="s">
        <v>445</v>
      </c>
      <c r="D119" s="14" t="s">
        <v>48</v>
      </c>
      <c r="F119" s="167">
        <v>0</v>
      </c>
      <c r="G119" s="27"/>
      <c r="H119" s="27">
        <f t="shared" si="62"/>
        <v>0</v>
      </c>
      <c r="I119" s="27">
        <f t="shared" si="63"/>
        <v>0</v>
      </c>
      <c r="J119" s="27"/>
      <c r="K119" s="27">
        <f t="shared" si="64"/>
        <v>0</v>
      </c>
      <c r="L119" s="27"/>
      <c r="M119" s="27">
        <f t="shared" si="65"/>
        <v>0</v>
      </c>
      <c r="N119" s="27"/>
      <c r="O119" s="27">
        <f t="shared" si="66"/>
        <v>0</v>
      </c>
      <c r="P119" s="27">
        <f t="shared" si="67"/>
        <v>0</v>
      </c>
      <c r="Q119" s="27"/>
      <c r="R119" s="27">
        <f t="shared" si="68"/>
        <v>0</v>
      </c>
      <c r="S119" s="27">
        <f t="shared" si="69"/>
        <v>0</v>
      </c>
      <c r="T119" s="27"/>
      <c r="U119" s="27">
        <f t="shared" si="70"/>
        <v>0</v>
      </c>
      <c r="V119" s="27"/>
      <c r="W119" s="27">
        <f t="shared" si="71"/>
        <v>0</v>
      </c>
      <c r="X119" s="27"/>
      <c r="Y119" s="27">
        <f t="shared" si="72"/>
        <v>0</v>
      </c>
      <c r="Z119" s="27"/>
      <c r="AA119" s="27">
        <f t="shared" si="73"/>
        <v>0</v>
      </c>
      <c r="AB119" s="27">
        <f t="shared" si="74"/>
        <v>0</v>
      </c>
      <c r="AC119" s="21" t="str">
        <f t="shared" si="76"/>
        <v>ok</v>
      </c>
    </row>
    <row r="120" spans="1:29" x14ac:dyDescent="0.25">
      <c r="A120" s="14" t="s">
        <v>832</v>
      </c>
      <c r="D120" s="14" t="s">
        <v>70</v>
      </c>
      <c r="F120" s="167">
        <v>0</v>
      </c>
      <c r="G120" s="27"/>
      <c r="H120" s="27">
        <f t="shared" si="62"/>
        <v>0</v>
      </c>
      <c r="I120" s="27">
        <f t="shared" si="63"/>
        <v>0</v>
      </c>
      <c r="J120" s="27"/>
      <c r="K120" s="27">
        <f t="shared" si="64"/>
        <v>0</v>
      </c>
      <c r="L120" s="27"/>
      <c r="M120" s="27">
        <f t="shared" si="65"/>
        <v>0</v>
      </c>
      <c r="N120" s="27"/>
      <c r="O120" s="27">
        <f t="shared" si="66"/>
        <v>0</v>
      </c>
      <c r="P120" s="27">
        <f t="shared" si="67"/>
        <v>0</v>
      </c>
      <c r="Q120" s="27"/>
      <c r="R120" s="27">
        <f t="shared" si="68"/>
        <v>0</v>
      </c>
      <c r="S120" s="27">
        <f t="shared" si="69"/>
        <v>0</v>
      </c>
      <c r="T120" s="27"/>
      <c r="U120" s="27">
        <f t="shared" si="70"/>
        <v>0</v>
      </c>
      <c r="V120" s="27"/>
      <c r="W120" s="27">
        <f t="shared" si="71"/>
        <v>0</v>
      </c>
      <c r="X120" s="27"/>
      <c r="Y120" s="27">
        <f t="shared" si="72"/>
        <v>0</v>
      </c>
      <c r="Z120" s="27"/>
      <c r="AA120" s="27">
        <f t="shared" si="73"/>
        <v>0</v>
      </c>
      <c r="AB120" s="27">
        <f t="shared" si="74"/>
        <v>0</v>
      </c>
      <c r="AC120" s="21" t="str">
        <f>IF(ABS(AB120-F120)&lt;1,"ok","err")</f>
        <v>ok</v>
      </c>
    </row>
    <row r="121" spans="1:29" x14ac:dyDescent="0.25">
      <c r="A121" s="114" t="s">
        <v>833</v>
      </c>
      <c r="D121" s="14" t="s">
        <v>70</v>
      </c>
      <c r="F121" s="167">
        <v>0</v>
      </c>
      <c r="G121" s="27"/>
      <c r="H121" s="27">
        <f t="shared" si="62"/>
        <v>0</v>
      </c>
      <c r="I121" s="27">
        <f t="shared" si="63"/>
        <v>0</v>
      </c>
      <c r="J121" s="27"/>
      <c r="K121" s="27">
        <f t="shared" si="64"/>
        <v>0</v>
      </c>
      <c r="L121" s="27"/>
      <c r="M121" s="27">
        <f t="shared" si="65"/>
        <v>0</v>
      </c>
      <c r="N121" s="27"/>
      <c r="O121" s="27">
        <f t="shared" si="66"/>
        <v>0</v>
      </c>
      <c r="P121" s="27">
        <f t="shared" si="67"/>
        <v>0</v>
      </c>
      <c r="Q121" s="27"/>
      <c r="R121" s="27">
        <f t="shared" si="68"/>
        <v>0</v>
      </c>
      <c r="S121" s="27">
        <f t="shared" si="69"/>
        <v>0</v>
      </c>
      <c r="T121" s="27"/>
      <c r="U121" s="27">
        <f t="shared" si="70"/>
        <v>0</v>
      </c>
      <c r="V121" s="27"/>
      <c r="W121" s="27">
        <f t="shared" si="71"/>
        <v>0</v>
      </c>
      <c r="X121" s="27"/>
      <c r="Y121" s="27">
        <f t="shared" si="72"/>
        <v>0</v>
      </c>
      <c r="Z121" s="27"/>
      <c r="AA121" s="27">
        <f t="shared" si="73"/>
        <v>0</v>
      </c>
      <c r="AB121" s="27">
        <f t="shared" si="74"/>
        <v>0</v>
      </c>
      <c r="AC121" s="21" t="str">
        <f>IF(ABS(AB121-F121)&lt;1,"ok","err")</f>
        <v>ok</v>
      </c>
    </row>
    <row r="122" spans="1:29" x14ac:dyDescent="0.25">
      <c r="A122" s="14" t="s">
        <v>834</v>
      </c>
      <c r="D122" s="14" t="s">
        <v>70</v>
      </c>
      <c r="F122" s="167">
        <v>4536431.88</v>
      </c>
      <c r="G122" s="27"/>
      <c r="H122" s="27">
        <f t="shared" si="62"/>
        <v>0</v>
      </c>
      <c r="I122" s="27">
        <f t="shared" si="63"/>
        <v>0</v>
      </c>
      <c r="J122" s="27"/>
      <c r="K122" s="27">
        <f t="shared" si="64"/>
        <v>0</v>
      </c>
      <c r="L122" s="27"/>
      <c r="M122" s="27">
        <f t="shared" si="65"/>
        <v>0</v>
      </c>
      <c r="N122" s="27"/>
      <c r="O122" s="27">
        <f t="shared" si="66"/>
        <v>1897472.7492670831</v>
      </c>
      <c r="P122" s="27">
        <f t="shared" si="67"/>
        <v>1873748.3044642182</v>
      </c>
      <c r="Q122" s="27"/>
      <c r="R122" s="27">
        <f t="shared" si="68"/>
        <v>0</v>
      </c>
      <c r="S122" s="27">
        <f t="shared" si="69"/>
        <v>302224.94740356889</v>
      </c>
      <c r="T122" s="27"/>
      <c r="U122" s="27">
        <f t="shared" si="70"/>
        <v>297540.64441589289</v>
      </c>
      <c r="V122" s="27"/>
      <c r="W122" s="27">
        <f t="shared" si="71"/>
        <v>165445.23444923779</v>
      </c>
      <c r="X122" s="27"/>
      <c r="Y122" s="27">
        <f t="shared" si="72"/>
        <v>0</v>
      </c>
      <c r="Z122" s="27"/>
      <c r="AA122" s="27">
        <f t="shared" si="73"/>
        <v>0</v>
      </c>
      <c r="AB122" s="27">
        <f t="shared" si="74"/>
        <v>4536431.8800000008</v>
      </c>
      <c r="AC122" s="21" t="str">
        <f>IF(ABS(AB122-F122)&lt;1,"ok","err")</f>
        <v>ok</v>
      </c>
    </row>
    <row r="123" spans="1:29" x14ac:dyDescent="0.25">
      <c r="Q123" s="14"/>
      <c r="AB123" s="27"/>
      <c r="AC123" s="21"/>
    </row>
    <row r="124" spans="1:29" x14ac:dyDescent="0.25">
      <c r="A124" s="14" t="s">
        <v>831</v>
      </c>
      <c r="C124" s="14" t="s">
        <v>82</v>
      </c>
      <c r="F124" s="175">
        <f>SUM(F104:F122)</f>
        <v>38947245.160000004</v>
      </c>
      <c r="G124" s="64"/>
      <c r="H124" s="64">
        <f>SUM(H104:H122)</f>
        <v>0</v>
      </c>
      <c r="I124" s="64">
        <f>SUM(I104:I122)</f>
        <v>0</v>
      </c>
      <c r="J124" s="64"/>
      <c r="K124" s="64">
        <f>SUM(K104:K122)</f>
        <v>0</v>
      </c>
      <c r="L124" s="64"/>
      <c r="M124" s="64">
        <f>SUM(M104:M122)</f>
        <v>0</v>
      </c>
      <c r="N124" s="64"/>
      <c r="O124" s="64">
        <f>SUM(O104:O122)</f>
        <v>16290630.677369341</v>
      </c>
      <c r="P124" s="64">
        <f>SUM(P104:P122)</f>
        <v>16086945.977044459</v>
      </c>
      <c r="Q124" s="64"/>
      <c r="R124" s="64">
        <f>SUM(R104:R122)</f>
        <v>0</v>
      </c>
      <c r="S124" s="64">
        <f>SUM(S104:S122)</f>
        <v>2594732.915948669</v>
      </c>
      <c r="T124" s="64"/>
      <c r="U124" s="64">
        <f>SUM(U104:U122)</f>
        <v>2554516.1328709656</v>
      </c>
      <c r="V124" s="64"/>
      <c r="W124" s="64">
        <f>SUM(W104:W122)</f>
        <v>1420419.4567665681</v>
      </c>
      <c r="X124" s="64"/>
      <c r="Y124" s="64">
        <f>SUM(Y104:Y122)</f>
        <v>0</v>
      </c>
      <c r="Z124" s="64"/>
      <c r="AA124" s="64">
        <f>SUM(AA104:AA122)</f>
        <v>0</v>
      </c>
      <c r="AB124" s="27">
        <f>SUM(H124:AA124)</f>
        <v>38947245.160000004</v>
      </c>
      <c r="AC124" s="21" t="str">
        <f>IF(ABS(AB124-F124)&lt;1,"ok","err")</f>
        <v>ok</v>
      </c>
    </row>
    <row r="125" spans="1:29" x14ac:dyDescent="0.25">
      <c r="D125" s="151"/>
      <c r="F125" s="175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27"/>
      <c r="AC125" s="21"/>
    </row>
    <row r="126" spans="1:29" x14ac:dyDescent="0.25">
      <c r="A126" s="19" t="s">
        <v>83</v>
      </c>
      <c r="C126" s="14" t="s">
        <v>84</v>
      </c>
      <c r="F126" s="175">
        <f>F101-F124</f>
        <v>63891547.169999994</v>
      </c>
      <c r="G126" s="64"/>
      <c r="H126" s="64">
        <f>H101-H124</f>
        <v>0</v>
      </c>
      <c r="I126" s="64">
        <f>I101-I124</f>
        <v>0</v>
      </c>
      <c r="J126" s="64"/>
      <c r="K126" s="64">
        <f>K101-K124</f>
        <v>0</v>
      </c>
      <c r="L126" s="64"/>
      <c r="M126" s="64">
        <f>M101-M124</f>
        <v>0</v>
      </c>
      <c r="N126" s="64"/>
      <c r="O126" s="64">
        <f>O101-O124</f>
        <v>26724190.480644315</v>
      </c>
      <c r="P126" s="64">
        <f>P101-P124</f>
        <v>26390053.095955033</v>
      </c>
      <c r="Q126" s="64"/>
      <c r="R126" s="64">
        <f>R101-R124</f>
        <v>0</v>
      </c>
      <c r="S126" s="64">
        <f>S101-S124</f>
        <v>4256565.5109067559</v>
      </c>
      <c r="T126" s="64"/>
      <c r="U126" s="64">
        <f>U101-U124</f>
        <v>4190591.3326952066</v>
      </c>
      <c r="V126" s="64"/>
      <c r="W126" s="64">
        <f>W101-W124</f>
        <v>2330146.7497986946</v>
      </c>
      <c r="X126" s="64"/>
      <c r="Y126" s="64">
        <f>Y101-Y124</f>
        <v>0</v>
      </c>
      <c r="Z126" s="64"/>
      <c r="AA126" s="64">
        <f>AA101-AA124</f>
        <v>0</v>
      </c>
      <c r="AB126" s="27">
        <f>SUM(H126:AA126)</f>
        <v>63891547.170000002</v>
      </c>
      <c r="AC126" s="21" t="str">
        <f>IF(ABS(AB126-F126)&lt;1,"ok","err")</f>
        <v>ok</v>
      </c>
    </row>
    <row r="127" spans="1:29" x14ac:dyDescent="0.25">
      <c r="Q127" s="14"/>
      <c r="AC127" s="21"/>
    </row>
    <row r="128" spans="1:29" x14ac:dyDescent="0.25">
      <c r="A128" s="19" t="s">
        <v>85</v>
      </c>
      <c r="Q128" s="14"/>
      <c r="AC128" s="21"/>
    </row>
    <row r="129" spans="1:29" x14ac:dyDescent="0.25">
      <c r="A129" s="14" t="s">
        <v>412</v>
      </c>
      <c r="C129" s="14" t="s">
        <v>87</v>
      </c>
      <c r="D129" s="14" t="s">
        <v>88</v>
      </c>
      <c r="F129" s="174">
        <f>0.125*(F285-F180)</f>
        <v>1003100.3087499999</v>
      </c>
      <c r="G129" s="40"/>
      <c r="H129" s="40">
        <f>0.125*(H285-H180)</f>
        <v>0</v>
      </c>
      <c r="I129" s="40">
        <f>0.125*(I285-I180)</f>
        <v>0</v>
      </c>
      <c r="J129" s="40"/>
      <c r="K129" s="40">
        <f>0.125*(K285-K180)</f>
        <v>0</v>
      </c>
      <c r="L129" s="40"/>
      <c r="M129" s="40">
        <f>0.125*(M285-M180)</f>
        <v>0</v>
      </c>
      <c r="N129" s="40"/>
      <c r="O129" s="40">
        <f>0.125*(O285-O180)</f>
        <v>390387.55801881407</v>
      </c>
      <c r="P129" s="40">
        <f>0.125*(P285-P180)</f>
        <v>289790.645519413</v>
      </c>
      <c r="Q129" s="40"/>
      <c r="R129" s="40">
        <f>0.125*(R285-R180)</f>
        <v>0</v>
      </c>
      <c r="S129" s="40">
        <f>0.125*(S285-S180)</f>
        <v>11168.913549885081</v>
      </c>
      <c r="T129" s="40"/>
      <c r="U129" s="40">
        <f>0.125*(U285-U180)</f>
        <v>80306.482884538185</v>
      </c>
      <c r="V129" s="40"/>
      <c r="W129" s="40">
        <f>0.125*(W285-W180)</f>
        <v>9685.5930450188353</v>
      </c>
      <c r="X129" s="40"/>
      <c r="Y129" s="40">
        <f>0.125*(Y285-Y180)</f>
        <v>221761.11573233095</v>
      </c>
      <c r="Z129" s="40"/>
      <c r="AA129" s="40">
        <f>0.125*(AA285-AA180)</f>
        <v>0</v>
      </c>
      <c r="AB129" s="27">
        <f>SUM(H129:AA129)</f>
        <v>1003100.3087500002</v>
      </c>
      <c r="AC129" s="21" t="str">
        <f>IF(ABS(AB129-F129)&lt;1,"ok","err")</f>
        <v>ok</v>
      </c>
    </row>
    <row r="130" spans="1:29" x14ac:dyDescent="0.25">
      <c r="A130" s="14" t="s">
        <v>944</v>
      </c>
      <c r="C130" s="14" t="s">
        <v>395</v>
      </c>
      <c r="D130" s="14" t="s">
        <v>72</v>
      </c>
      <c r="F130" s="167">
        <v>74861.63</v>
      </c>
      <c r="G130" s="27"/>
      <c r="H130" s="27">
        <f>IF(VLOOKUP($D130,$C$5:$AA$496,6,)=0,0,((VLOOKUP($D130,$C$5:$AA$496,6,)/VLOOKUP($D130,$C$5:$AA$496,4,))*$F130))</f>
        <v>0</v>
      </c>
      <c r="I130" s="27">
        <f>IF(VLOOKUP($D130,$C$5:$AA$496,7,)=0,0,((VLOOKUP($D130,$C$5:$AA$496,7,)/VLOOKUP($D130,$C$5:$AA$496,4,))*$F130))</f>
        <v>0</v>
      </c>
      <c r="J130" s="27"/>
      <c r="K130" s="27">
        <f>IF(VLOOKUP($D130,$C$5:$AA$496,9,)=0,0,((VLOOKUP($D130,$C$5:$AA$496,9,)/VLOOKUP($D130,$C$5:$AA$496,4,))*$F130))</f>
        <v>0</v>
      </c>
      <c r="L130" s="27"/>
      <c r="M130" s="27">
        <f>IF(VLOOKUP($D130,$C$5:$AA$496,11,)=0,0,((VLOOKUP($D130,$C$5:$AA$496,11,)/VLOOKUP($D130,$C$5:$AA$496,4,))*$F130))</f>
        <v>0</v>
      </c>
      <c r="N130" s="27"/>
      <c r="O130" s="27">
        <f>IF(VLOOKUP($D130,$C$5:$AA$496,13,)=0,0,((VLOOKUP($D130,$C$5:$AA$496,13,)/VLOOKUP($D130,$C$5:$AA$496,4,))*$F130))</f>
        <v>31312.6939075111</v>
      </c>
      <c r="P130" s="27">
        <f>IF(VLOOKUP($D130,$C$5:$AA$496,14,)=0,0,((VLOOKUP($D130,$C$5:$AA$496,14,)/VLOOKUP($D130,$C$5:$AA$496,4,))*$F130))</f>
        <v>30921.185634981397</v>
      </c>
      <c r="Q130" s="27"/>
      <c r="R130" s="27">
        <f>IF(VLOOKUP($D130,$C$5:$AA$496,16,)=0,0,((VLOOKUP($D130,$C$5:$AA$496,16,)/VLOOKUP($D130,$C$5:$AA$496,4,))*$F130))</f>
        <v>0</v>
      </c>
      <c r="S130" s="27">
        <f>IF(VLOOKUP($D130,$C$5:$AA$496,17,)=0,0,((VLOOKUP($D130,$C$5:$AA$496,17,)/VLOOKUP($D130,$C$5:$AA$496,4,))*$F130))</f>
        <v>4987.4114254958104</v>
      </c>
      <c r="T130" s="27"/>
      <c r="U130" s="27">
        <f>IF(VLOOKUP($D130,$C$5:$AA$496,19,)=0,0,((VLOOKUP($D130,$C$5:$AA$496,19,)/VLOOKUP($D130,$C$5:$AA$496,4,))*$F130))</f>
        <v>4910.1095798277793</v>
      </c>
      <c r="V130" s="27"/>
      <c r="W130" s="27">
        <f>IF(VLOOKUP($D130,$C$5:$AA$496,21,)=0,0,((VLOOKUP($D130,$C$5:$AA$496,21,)/VLOOKUP($D130,$C$5:$AA$496,4,))*$F130))</f>
        <v>2730.2294521839249</v>
      </c>
      <c r="X130" s="27"/>
      <c r="Y130" s="27">
        <f>IF(VLOOKUP($D130,$C$5:$AA$496,23,)=0,0,((VLOOKUP($D130,$C$5:$AA$496,23,)/VLOOKUP($D130,$C$5:$AA$496,4,))*$F130))</f>
        <v>0</v>
      </c>
      <c r="Z130" s="27"/>
      <c r="AA130" s="27">
        <f>IF(VLOOKUP($D130,$C$5:$AA$496,25,)=0,0,((VLOOKUP($D130,$C$5:$AA$496,25,)/VLOOKUP($D130,$C$5:$AA$496,4,))*$F130))</f>
        <v>0</v>
      </c>
      <c r="AB130" s="27">
        <f>SUM(H130:AA130)</f>
        <v>74861.63</v>
      </c>
      <c r="AC130" s="21" t="str">
        <f>IF(ABS(AB130-F130)&lt;1,"ok","err")</f>
        <v>ok</v>
      </c>
    </row>
    <row r="131" spans="1:29" x14ac:dyDescent="0.25">
      <c r="A131" s="14" t="s">
        <v>945</v>
      </c>
      <c r="C131" s="14" t="s">
        <v>89</v>
      </c>
      <c r="D131" s="14" t="s">
        <v>72</v>
      </c>
      <c r="F131" s="167">
        <v>23276.877692307688</v>
      </c>
      <c r="G131" s="27"/>
      <c r="H131" s="27">
        <f>IF(VLOOKUP($D131,$C$5:$AA$496,6,)=0,0,((VLOOKUP($D131,$C$5:$AA$496,6,)/VLOOKUP($D131,$C$5:$AA$496,4,))*$F131))</f>
        <v>0</v>
      </c>
      <c r="I131" s="27">
        <f>IF(VLOOKUP($D131,$C$5:$AA$496,7,)=0,0,((VLOOKUP($D131,$C$5:$AA$496,7,)/VLOOKUP($D131,$C$5:$AA$496,4,))*$F131))</f>
        <v>0</v>
      </c>
      <c r="J131" s="27"/>
      <c r="K131" s="27">
        <f>IF(VLOOKUP($D131,$C$5:$AA$496,9,)=0,0,((VLOOKUP($D131,$C$5:$AA$496,9,)/VLOOKUP($D131,$C$5:$AA$496,4,))*$F131))</f>
        <v>0</v>
      </c>
      <c r="L131" s="27"/>
      <c r="M131" s="27">
        <f>IF(VLOOKUP($D131,$C$5:$AA$496,11,)=0,0,((VLOOKUP($D131,$C$5:$AA$496,11,)/VLOOKUP($D131,$C$5:$AA$496,4,))*$F131))</f>
        <v>0</v>
      </c>
      <c r="N131" s="27"/>
      <c r="O131" s="27">
        <f>IF(VLOOKUP($D131,$C$5:$AA$496,13,)=0,0,((VLOOKUP($D131,$C$5:$AA$496,13,)/VLOOKUP($D131,$C$5:$AA$496,4,))*$F131))</f>
        <v>9736.1191080371063</v>
      </c>
      <c r="P131" s="27">
        <f>IF(VLOOKUP($D131,$C$5:$AA$496,14,)=0,0,((VLOOKUP($D131,$C$5:$AA$496,14,)/VLOOKUP($D131,$C$5:$AA$496,4,))*$F131))</f>
        <v>9614.3866507662642</v>
      </c>
      <c r="Q131" s="27"/>
      <c r="R131" s="27">
        <f>IF(VLOOKUP($D131,$C$5:$AA$496,16,)=0,0,((VLOOKUP($D131,$C$5:$AA$496,16,)/VLOOKUP($D131,$C$5:$AA$496,4,))*$F131))</f>
        <v>0</v>
      </c>
      <c r="S131" s="27">
        <f>IF(VLOOKUP($D131,$C$5:$AA$496,17,)=0,0,((VLOOKUP($D131,$C$5:$AA$496,17,)/VLOOKUP($D131,$C$5:$AA$496,4,))*$F131))</f>
        <v>1550.7458995013053</v>
      </c>
      <c r="T131" s="27"/>
      <c r="U131" s="27">
        <f>IF(VLOOKUP($D131,$C$5:$AA$496,19,)=0,0,((VLOOKUP($D131,$C$5:$AA$496,19,)/VLOOKUP($D131,$C$5:$AA$496,4,))*$F131))</f>
        <v>1526.7102806267978</v>
      </c>
      <c r="V131" s="27"/>
      <c r="W131" s="27">
        <f>IF(VLOOKUP($D131,$C$5:$AA$496,21,)=0,0,((VLOOKUP($D131,$C$5:$AA$496,21,)/VLOOKUP($D131,$C$5:$AA$496,4,))*$F131))</f>
        <v>848.91575337621464</v>
      </c>
      <c r="X131" s="27"/>
      <c r="Y131" s="27">
        <f>IF(VLOOKUP($D131,$C$5:$AA$496,23,)=0,0,((VLOOKUP($D131,$C$5:$AA$496,23,)/VLOOKUP($D131,$C$5:$AA$496,4,))*$F131))</f>
        <v>0</v>
      </c>
      <c r="Z131" s="27"/>
      <c r="AA131" s="27">
        <f>IF(VLOOKUP($D131,$C$5:$AA$496,25,)=0,0,((VLOOKUP($D131,$C$5:$AA$496,25,)/VLOOKUP($D131,$C$5:$AA$496,4,))*$F131))</f>
        <v>0</v>
      </c>
      <c r="AB131" s="27">
        <f>SUM(H131:AA131)</f>
        <v>23276.877692307688</v>
      </c>
      <c r="AC131" s="21" t="str">
        <f>IF(ABS(AB131-F131)&lt;1,"ok","err")</f>
        <v>ok</v>
      </c>
    </row>
    <row r="132" spans="1:29" x14ac:dyDescent="0.25">
      <c r="Q132" s="14"/>
      <c r="AB132" s="27"/>
      <c r="AC132" s="21"/>
    </row>
    <row r="133" spans="1:29" x14ac:dyDescent="0.25">
      <c r="A133" s="67" t="s">
        <v>90</v>
      </c>
      <c r="C133" s="14" t="s">
        <v>91</v>
      </c>
      <c r="F133" s="175">
        <f>SUM(F129:F132)</f>
        <v>1101238.8164423073</v>
      </c>
      <c r="G133" s="64"/>
      <c r="H133" s="64">
        <f t="shared" ref="H133:W133" si="77">SUM(H129:H132)</f>
        <v>0</v>
      </c>
      <c r="I133" s="64">
        <f t="shared" si="77"/>
        <v>0</v>
      </c>
      <c r="J133" s="64"/>
      <c r="K133" s="64">
        <f t="shared" si="77"/>
        <v>0</v>
      </c>
      <c r="L133" s="64"/>
      <c r="M133" s="64">
        <f t="shared" si="77"/>
        <v>0</v>
      </c>
      <c r="N133" s="64"/>
      <c r="O133" s="64">
        <f t="shared" si="77"/>
        <v>431436.37103436224</v>
      </c>
      <c r="P133" s="64">
        <f t="shared" si="77"/>
        <v>330326.21780516062</v>
      </c>
      <c r="Q133" s="64"/>
      <c r="R133" s="64">
        <f t="shared" si="77"/>
        <v>0</v>
      </c>
      <c r="S133" s="64">
        <f t="shared" si="77"/>
        <v>17707.070874882196</v>
      </c>
      <c r="T133" s="64"/>
      <c r="U133" s="64">
        <f t="shared" si="77"/>
        <v>86743.302744992761</v>
      </c>
      <c r="V133" s="64"/>
      <c r="W133" s="64">
        <f t="shared" si="77"/>
        <v>13264.738250578976</v>
      </c>
      <c r="X133" s="64"/>
      <c r="Y133" s="64">
        <f>SUM(Y129:Y132)</f>
        <v>221761.11573233095</v>
      </c>
      <c r="Z133" s="64"/>
      <c r="AA133" s="64">
        <f>SUM(AA129:AA132)</f>
        <v>0</v>
      </c>
      <c r="AB133" s="27">
        <f>SUM(H133:AA133)</f>
        <v>1101238.8164423076</v>
      </c>
      <c r="AC133" s="21" t="str">
        <f>IF(ABS(AB133-F133)&lt;1,"ok","err")</f>
        <v>ok</v>
      </c>
    </row>
    <row r="134" spans="1:29" x14ac:dyDescent="0.25">
      <c r="Q134" s="14"/>
      <c r="AC134" s="21"/>
    </row>
    <row r="135" spans="1:29" hidden="1" x14ac:dyDescent="0.25">
      <c r="A135" s="19" t="s">
        <v>923</v>
      </c>
      <c r="Q135" s="14"/>
      <c r="AC135" s="21"/>
    </row>
    <row r="136" spans="1:29" hidden="1" x14ac:dyDescent="0.25">
      <c r="A136" s="22">
        <v>1</v>
      </c>
      <c r="C136" s="14" t="s">
        <v>924</v>
      </c>
      <c r="D136" s="14" t="s">
        <v>16</v>
      </c>
      <c r="F136" s="174">
        <v>0</v>
      </c>
      <c r="G136" s="40"/>
      <c r="H136" s="27">
        <f>IF(VLOOKUP($D136,$C$5:$AA$496,6,)=0,0,((VLOOKUP($D136,$C$5:$AA$496,6,)/VLOOKUP($D136,$C$5:$AA$496,4,))*$F136))</f>
        <v>0</v>
      </c>
      <c r="I136" s="27">
        <f>IF(VLOOKUP($D136,$C$5:$AA$496,7,)=0,0,((VLOOKUP($D136,$C$5:$AA$496,7,)/VLOOKUP($D136,$C$5:$AA$496,4,))*$F136))</f>
        <v>0</v>
      </c>
      <c r="J136" s="27"/>
      <c r="K136" s="27">
        <f>IF(VLOOKUP($D136,$C$5:$AA$496,9,)=0,0,((VLOOKUP($D136,$C$5:$AA$496,9,)/VLOOKUP($D136,$C$5:$AA$496,4,))*$F136))</f>
        <v>0</v>
      </c>
      <c r="L136" s="27"/>
      <c r="M136" s="27">
        <f>IF(VLOOKUP($D136,$C$5:$AA$496,11,)=0,0,((VLOOKUP($D136,$C$5:$AA$496,11,)/VLOOKUP($D136,$C$5:$AA$496,4,))*$F136))</f>
        <v>0</v>
      </c>
      <c r="N136" s="27"/>
      <c r="O136" s="27">
        <f>IF(VLOOKUP($D136,$C$5:$AA$496,13,)=0,0,((VLOOKUP($D136,$C$5:$AA$496,13,)/VLOOKUP($D136,$C$5:$AA$496,4,))*$F136))</f>
        <v>0</v>
      </c>
      <c r="P136" s="27">
        <f>IF(VLOOKUP($D136,$C$5:$AA$496,14,)=0,0,((VLOOKUP($D136,$C$5:$AA$496,14,)/VLOOKUP($D136,$C$5:$AA$496,4,))*$F136))</f>
        <v>0</v>
      </c>
      <c r="Q136" s="27"/>
      <c r="R136" s="27">
        <f>IF(VLOOKUP($D136,$C$5:$AA$496,16,)=0,0,((VLOOKUP($D136,$C$5:$AA$496,16,)/VLOOKUP($D136,$C$5:$AA$496,4,))*$F136))</f>
        <v>0</v>
      </c>
      <c r="S136" s="27">
        <f>IF(VLOOKUP($D136,$C$5:$AA$496,17,)=0,0,((VLOOKUP($D136,$C$5:$AA$496,17,)/VLOOKUP($D136,$C$5:$AA$496,4,))*$F136))</f>
        <v>0</v>
      </c>
      <c r="T136" s="27"/>
      <c r="U136" s="27">
        <f>IF(VLOOKUP($D136,$C$5:$AA$496,19,)=0,0,((VLOOKUP($D136,$C$5:$AA$496,19,)/VLOOKUP($D136,$C$5:$AA$496,4,))*$F136))</f>
        <v>0</v>
      </c>
      <c r="V136" s="27"/>
      <c r="W136" s="27">
        <f>IF(VLOOKUP($D136,$C$5:$AA$496,21,)=0,0,((VLOOKUP($D136,$C$5:$AA$496,21,)/VLOOKUP($D136,$C$5:$AA$496,4,))*$F136))</f>
        <v>0</v>
      </c>
      <c r="X136" s="27"/>
      <c r="Y136" s="27">
        <f>IF(VLOOKUP($D136,$C$5:$AA$496,23,)=0,0,((VLOOKUP($D136,$C$5:$AA$496,23,)/VLOOKUP($D136,$C$5:$AA$496,4,))*$F136))</f>
        <v>0</v>
      </c>
      <c r="Z136" s="27"/>
      <c r="AA136" s="27">
        <f>IF(VLOOKUP($D136,$C$5:$AA$496,25,)=0,0,((VLOOKUP($D136,$C$5:$AA$496,25,)/VLOOKUP($D136,$C$5:$AA$496,4,))*$F136))</f>
        <v>0</v>
      </c>
      <c r="AB136" s="27">
        <f>SUM(H136:AA136)</f>
        <v>0</v>
      </c>
      <c r="AC136" s="21" t="str">
        <f>IF(ABS(AB136-F136)&lt;1,"ok","err")</f>
        <v>ok</v>
      </c>
    </row>
    <row r="137" spans="1:29" hidden="1" x14ac:dyDescent="0.25">
      <c r="A137" s="22">
        <v>2</v>
      </c>
      <c r="C137" s="14" t="s">
        <v>925</v>
      </c>
      <c r="D137" s="14" t="s">
        <v>16</v>
      </c>
      <c r="F137" s="174">
        <v>0</v>
      </c>
      <c r="G137" s="40"/>
      <c r="H137" s="27">
        <f>IF(VLOOKUP($D137,$C$5:$AA$496,6,)=0,0,((VLOOKUP($D137,$C$5:$AA$496,6,)/VLOOKUP($D137,$C$5:$AA$496,4,))*$F137))</f>
        <v>0</v>
      </c>
      <c r="I137" s="27">
        <f>IF(VLOOKUP($D137,$C$5:$AA$496,7,)=0,0,((VLOOKUP($D137,$C$5:$AA$496,7,)/VLOOKUP($D137,$C$5:$AA$496,4,))*$F137))</f>
        <v>0</v>
      </c>
      <c r="J137" s="27"/>
      <c r="K137" s="27">
        <f>IF(VLOOKUP($D137,$C$5:$AA$496,9,)=0,0,((VLOOKUP($D137,$C$5:$AA$496,9,)/VLOOKUP($D137,$C$5:$AA$496,4,))*$F137))</f>
        <v>0</v>
      </c>
      <c r="L137" s="27"/>
      <c r="M137" s="27">
        <f>IF(VLOOKUP($D137,$C$5:$AA$496,11,)=0,0,((VLOOKUP($D137,$C$5:$AA$496,11,)/VLOOKUP($D137,$C$5:$AA$496,4,))*$F137))</f>
        <v>0</v>
      </c>
      <c r="N137" s="27"/>
      <c r="O137" s="27">
        <f>IF(VLOOKUP($D137,$C$5:$AA$496,13,)=0,0,((VLOOKUP($D137,$C$5:$AA$496,13,)/VLOOKUP($D137,$C$5:$AA$496,4,))*$F137))</f>
        <v>0</v>
      </c>
      <c r="P137" s="27">
        <f>IF(VLOOKUP($D137,$C$5:$AA$496,14,)=0,0,((VLOOKUP($D137,$C$5:$AA$496,14,)/VLOOKUP($D137,$C$5:$AA$496,4,))*$F137))</f>
        <v>0</v>
      </c>
      <c r="Q137" s="27"/>
      <c r="R137" s="27">
        <f>IF(VLOOKUP($D137,$C$5:$AA$496,16,)=0,0,((VLOOKUP($D137,$C$5:$AA$496,16,)/VLOOKUP($D137,$C$5:$AA$496,4,))*$F137))</f>
        <v>0</v>
      </c>
      <c r="S137" s="27">
        <f>IF(VLOOKUP($D137,$C$5:$AA$496,17,)=0,0,((VLOOKUP($D137,$C$5:$AA$496,17,)/VLOOKUP($D137,$C$5:$AA$496,4,))*$F137))</f>
        <v>0</v>
      </c>
      <c r="T137" s="27"/>
      <c r="U137" s="27">
        <f>IF(VLOOKUP($D137,$C$5:$AA$496,19,)=0,0,((VLOOKUP($D137,$C$5:$AA$496,19,)/VLOOKUP($D137,$C$5:$AA$496,4,))*$F137))</f>
        <v>0</v>
      </c>
      <c r="V137" s="27"/>
      <c r="W137" s="27">
        <f>IF(VLOOKUP($D137,$C$5:$AA$496,21,)=0,0,((VLOOKUP($D137,$C$5:$AA$496,21,)/VLOOKUP($D137,$C$5:$AA$496,4,))*$F137))</f>
        <v>0</v>
      </c>
      <c r="X137" s="27"/>
      <c r="Y137" s="27">
        <f>IF(VLOOKUP($D137,$C$5:$AA$496,23,)=0,0,((VLOOKUP($D137,$C$5:$AA$496,23,)/VLOOKUP($D137,$C$5:$AA$496,4,))*$F137))</f>
        <v>0</v>
      </c>
      <c r="Z137" s="27"/>
      <c r="AA137" s="27">
        <f>IF(VLOOKUP($D137,$C$5:$AA$496,25,)=0,0,((VLOOKUP($D137,$C$5:$AA$496,25,)/VLOOKUP($D137,$C$5:$AA$496,4,))*$F137))</f>
        <v>0</v>
      </c>
      <c r="AB137" s="27">
        <f>SUM(H137:AA137)</f>
        <v>0</v>
      </c>
      <c r="AC137" s="21" t="str">
        <f>IF(ABS(AB137-F137)&lt;1,"ok","err")</f>
        <v>ok</v>
      </c>
    </row>
    <row r="138" spans="1:29" hidden="1" x14ac:dyDescent="0.25">
      <c r="A138" s="22">
        <v>3</v>
      </c>
      <c r="C138" s="14" t="s">
        <v>926</v>
      </c>
      <c r="D138" s="14" t="s">
        <v>16</v>
      </c>
      <c r="F138" s="174">
        <v>0</v>
      </c>
      <c r="G138" s="40"/>
      <c r="H138" s="27">
        <f>IF(VLOOKUP($D138,$C$5:$AA$496,6,)=0,0,((VLOOKUP($D138,$C$5:$AA$496,6,)/VLOOKUP($D138,$C$5:$AA$496,4,))*$F138))</f>
        <v>0</v>
      </c>
      <c r="I138" s="27">
        <f>IF(VLOOKUP($D138,$C$5:$AA$496,7,)=0,0,((VLOOKUP($D138,$C$5:$AA$496,7,)/VLOOKUP($D138,$C$5:$AA$496,4,))*$F138))</f>
        <v>0</v>
      </c>
      <c r="J138" s="27"/>
      <c r="K138" s="27">
        <f>IF(VLOOKUP($D138,$C$5:$AA$496,9,)=0,0,((VLOOKUP($D138,$C$5:$AA$496,9,)/VLOOKUP($D138,$C$5:$AA$496,4,))*$F138))</f>
        <v>0</v>
      </c>
      <c r="L138" s="27"/>
      <c r="M138" s="27">
        <f>IF(VLOOKUP($D138,$C$5:$AA$496,11,)=0,0,((VLOOKUP($D138,$C$5:$AA$496,11,)/VLOOKUP($D138,$C$5:$AA$496,4,))*$F138))</f>
        <v>0</v>
      </c>
      <c r="N138" s="27"/>
      <c r="O138" s="27">
        <f>IF(VLOOKUP($D138,$C$5:$AA$496,13,)=0,0,((VLOOKUP($D138,$C$5:$AA$496,13,)/VLOOKUP($D138,$C$5:$AA$496,4,))*$F138))</f>
        <v>0</v>
      </c>
      <c r="P138" s="27">
        <f>IF(VLOOKUP($D138,$C$5:$AA$496,14,)=0,0,((VLOOKUP($D138,$C$5:$AA$496,14,)/VLOOKUP($D138,$C$5:$AA$496,4,))*$F138))</f>
        <v>0</v>
      </c>
      <c r="Q138" s="27"/>
      <c r="R138" s="27">
        <f>IF(VLOOKUP($D138,$C$5:$AA$496,16,)=0,0,((VLOOKUP($D138,$C$5:$AA$496,16,)/VLOOKUP($D138,$C$5:$AA$496,4,))*$F138))</f>
        <v>0</v>
      </c>
      <c r="S138" s="27">
        <f>IF(VLOOKUP($D138,$C$5:$AA$496,17,)=0,0,((VLOOKUP($D138,$C$5:$AA$496,17,)/VLOOKUP($D138,$C$5:$AA$496,4,))*$F138))</f>
        <v>0</v>
      </c>
      <c r="T138" s="27"/>
      <c r="U138" s="27">
        <f>IF(VLOOKUP($D138,$C$5:$AA$496,19,)=0,0,((VLOOKUP($D138,$C$5:$AA$496,19,)/VLOOKUP($D138,$C$5:$AA$496,4,))*$F138))</f>
        <v>0</v>
      </c>
      <c r="V138" s="27"/>
      <c r="W138" s="27">
        <f>IF(VLOOKUP($D138,$C$5:$AA$496,21,)=0,0,((VLOOKUP($D138,$C$5:$AA$496,21,)/VLOOKUP($D138,$C$5:$AA$496,4,))*$F138))</f>
        <v>0</v>
      </c>
      <c r="X138" s="27"/>
      <c r="Y138" s="27">
        <f>IF(VLOOKUP($D138,$C$5:$AA$496,23,)=0,0,((VLOOKUP($D138,$C$5:$AA$496,23,)/VLOOKUP($D138,$C$5:$AA$496,4,))*$F138))</f>
        <v>0</v>
      </c>
      <c r="Z138" s="27"/>
      <c r="AA138" s="27">
        <f>IF(VLOOKUP($D138,$C$5:$AA$496,25,)=0,0,((VLOOKUP($D138,$C$5:$AA$496,25,)/VLOOKUP($D138,$C$5:$AA$496,4,))*$F138))</f>
        <v>0</v>
      </c>
      <c r="AB138" s="27">
        <f>SUM(H138:AA138)</f>
        <v>0</v>
      </c>
      <c r="AC138" s="21" t="str">
        <f>IF(ABS(AB138-F138)&lt;1,"ok","err")</f>
        <v>ok</v>
      </c>
    </row>
    <row r="139" spans="1:29" hidden="1" x14ac:dyDescent="0.25">
      <c r="A139" s="22">
        <v>4</v>
      </c>
      <c r="C139" s="14" t="s">
        <v>927</v>
      </c>
      <c r="D139" s="14" t="s">
        <v>16</v>
      </c>
      <c r="F139" s="174">
        <v>0</v>
      </c>
      <c r="G139" s="40"/>
      <c r="H139" s="27">
        <f>IF(VLOOKUP($D139,$C$5:$AA$496,6,)=0,0,((VLOOKUP($D139,$C$5:$AA$496,6,)/VLOOKUP($D139,$C$5:$AA$496,4,))*$F139))</f>
        <v>0</v>
      </c>
      <c r="I139" s="27">
        <f>IF(VLOOKUP($D139,$C$5:$AA$496,7,)=0,0,((VLOOKUP($D139,$C$5:$AA$496,7,)/VLOOKUP($D139,$C$5:$AA$496,4,))*$F139))</f>
        <v>0</v>
      </c>
      <c r="J139" s="27"/>
      <c r="K139" s="27">
        <f>IF(VLOOKUP($D139,$C$5:$AA$496,9,)=0,0,((VLOOKUP($D139,$C$5:$AA$496,9,)/VLOOKUP($D139,$C$5:$AA$496,4,))*$F139))</f>
        <v>0</v>
      </c>
      <c r="L139" s="27"/>
      <c r="M139" s="27">
        <f>IF(VLOOKUP($D139,$C$5:$AA$496,11,)=0,0,((VLOOKUP($D139,$C$5:$AA$496,11,)/VLOOKUP($D139,$C$5:$AA$496,4,))*$F139))</f>
        <v>0</v>
      </c>
      <c r="N139" s="27"/>
      <c r="O139" s="27">
        <f>IF(VLOOKUP($D139,$C$5:$AA$496,13,)=0,0,((VLOOKUP($D139,$C$5:$AA$496,13,)/VLOOKUP($D139,$C$5:$AA$496,4,))*$F139))</f>
        <v>0</v>
      </c>
      <c r="P139" s="27">
        <f>IF(VLOOKUP($D139,$C$5:$AA$496,14,)=0,0,((VLOOKUP($D139,$C$5:$AA$496,14,)/VLOOKUP($D139,$C$5:$AA$496,4,))*$F139))</f>
        <v>0</v>
      </c>
      <c r="Q139" s="27"/>
      <c r="R139" s="27">
        <f>IF(VLOOKUP($D139,$C$5:$AA$496,16,)=0,0,((VLOOKUP($D139,$C$5:$AA$496,16,)/VLOOKUP($D139,$C$5:$AA$496,4,))*$F139))</f>
        <v>0</v>
      </c>
      <c r="S139" s="27">
        <f>IF(VLOOKUP($D139,$C$5:$AA$496,17,)=0,0,((VLOOKUP($D139,$C$5:$AA$496,17,)/VLOOKUP($D139,$C$5:$AA$496,4,))*$F139))</f>
        <v>0</v>
      </c>
      <c r="T139" s="27"/>
      <c r="U139" s="27">
        <f>IF(VLOOKUP($D139,$C$5:$AA$496,19,)=0,0,((VLOOKUP($D139,$C$5:$AA$496,19,)/VLOOKUP($D139,$C$5:$AA$496,4,))*$F139))</f>
        <v>0</v>
      </c>
      <c r="V139" s="27"/>
      <c r="W139" s="27">
        <f>IF(VLOOKUP($D139,$C$5:$AA$496,21,)=0,0,((VLOOKUP($D139,$C$5:$AA$496,21,)/VLOOKUP($D139,$C$5:$AA$496,4,))*$F139))</f>
        <v>0</v>
      </c>
      <c r="X139" s="27"/>
      <c r="Y139" s="27">
        <f>IF(VLOOKUP($D139,$C$5:$AA$496,23,)=0,0,((VLOOKUP($D139,$C$5:$AA$496,23,)/VLOOKUP($D139,$C$5:$AA$496,4,))*$F139))</f>
        <v>0</v>
      </c>
      <c r="Z139" s="27"/>
      <c r="AA139" s="27">
        <f>IF(VLOOKUP($D139,$C$5:$AA$496,25,)=0,0,((VLOOKUP($D139,$C$5:$AA$496,25,)/VLOOKUP($D139,$C$5:$AA$496,4,))*$F139))</f>
        <v>0</v>
      </c>
      <c r="AB139" s="27">
        <f>SUM(H139:AA139)</f>
        <v>0</v>
      </c>
      <c r="AC139" s="21" t="str">
        <f>IF(ABS(AB139-F139)&lt;1,"ok","err")</f>
        <v>ok</v>
      </c>
    </row>
    <row r="140" spans="1:29" hidden="1" x14ac:dyDescent="0.25">
      <c r="F140" s="174"/>
      <c r="G140" s="40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1"/>
    </row>
    <row r="141" spans="1:29" hidden="1" x14ac:dyDescent="0.25">
      <c r="A141" s="14" t="s">
        <v>928</v>
      </c>
      <c r="F141" s="175">
        <v>0</v>
      </c>
      <c r="G141" s="64"/>
      <c r="H141" s="64">
        <f>SUM(H136:H139)</f>
        <v>0</v>
      </c>
      <c r="I141" s="64">
        <f>SUM(I136:I139)</f>
        <v>0</v>
      </c>
      <c r="J141" s="64"/>
      <c r="K141" s="64">
        <f>SUM(K136:K139)</f>
        <v>0</v>
      </c>
      <c r="L141" s="64"/>
      <c r="M141" s="64">
        <f>SUM(M136:M139)</f>
        <v>0</v>
      </c>
      <c r="N141" s="64"/>
      <c r="O141" s="64">
        <f>SUM(O136:O139)</f>
        <v>0</v>
      </c>
      <c r="P141" s="64">
        <f>SUM(P136:P139)</f>
        <v>0</v>
      </c>
      <c r="Q141" s="64"/>
      <c r="R141" s="64">
        <f>SUM(R136:R139)</f>
        <v>0</v>
      </c>
      <c r="S141" s="64">
        <f>SUM(S136:S139)</f>
        <v>0</v>
      </c>
      <c r="T141" s="64"/>
      <c r="U141" s="64">
        <f>SUM(U136:U139)</f>
        <v>0</v>
      </c>
      <c r="V141" s="64"/>
      <c r="W141" s="64">
        <f>SUM(W136:W139)</f>
        <v>0</v>
      </c>
      <c r="X141" s="64"/>
      <c r="Y141" s="64">
        <f>SUM(Y136:Y139)</f>
        <v>0</v>
      </c>
      <c r="Z141" s="64"/>
      <c r="AA141" s="64">
        <f>SUM(AA136:AA139)</f>
        <v>0</v>
      </c>
      <c r="AB141" s="27">
        <f>SUM(H141:AA141)</f>
        <v>0</v>
      </c>
      <c r="AC141" s="21" t="str">
        <f>IF(ABS(AB141-F141)&lt;1,"ok","err")</f>
        <v>ok</v>
      </c>
    </row>
    <row r="142" spans="1:29" x14ac:dyDescent="0.25">
      <c r="A142" s="14" t="s">
        <v>92</v>
      </c>
      <c r="C142" s="14" t="s">
        <v>93</v>
      </c>
      <c r="D142" s="14" t="s">
        <v>72</v>
      </c>
      <c r="F142" s="175">
        <v>1911908</v>
      </c>
      <c r="G142" s="64"/>
      <c r="H142" s="27">
        <f>IF(VLOOKUP($D142,$C$5:$AA$496,6,)=0,0,((VLOOKUP($D142,$C$5:$AA$496,6,)/VLOOKUP($D142,$C$5:$AA$496,4,))*$F142))</f>
        <v>0</v>
      </c>
      <c r="I142" s="27">
        <f>IF(VLOOKUP($D142,$C$5:$AA$496,7,)=0,0,((VLOOKUP($D142,$C$5:$AA$496,7,)/VLOOKUP($D142,$C$5:$AA$496,4,))*$F142))</f>
        <v>0</v>
      </c>
      <c r="J142" s="27"/>
      <c r="K142" s="27">
        <f>IF(VLOOKUP($D142,$C$5:$AA$496,9,)=0,0,((VLOOKUP($D142,$C$5:$AA$496,9,)/VLOOKUP($D142,$C$5:$AA$496,4,))*$F142))</f>
        <v>0</v>
      </c>
      <c r="L142" s="27"/>
      <c r="M142" s="27">
        <f>IF(VLOOKUP($D142,$C$5:$AA$496,11,)=0,0,((VLOOKUP($D142,$C$5:$AA$496,11,)/VLOOKUP($D142,$C$5:$AA$496,4,))*$F142))</f>
        <v>0</v>
      </c>
      <c r="N142" s="27"/>
      <c r="O142" s="27">
        <f>IF(VLOOKUP($D142,$C$5:$AA$496,13,)=0,0,((VLOOKUP($D142,$C$5:$AA$496,13,)/VLOOKUP($D142,$C$5:$AA$496,4,))*$F142))</f>
        <v>799701.92985808256</v>
      </c>
      <c r="P142" s="27">
        <f>IF(VLOOKUP($D142,$C$5:$AA$496,14,)=0,0,((VLOOKUP($D142,$C$5:$AA$496,14,)/VLOOKUP($D142,$C$5:$AA$496,4,))*$F142))</f>
        <v>789703.11206162639</v>
      </c>
      <c r="Q142" s="27"/>
      <c r="R142" s="27">
        <f>IF(VLOOKUP($D142,$C$5:$AA$496,16,)=0,0,((VLOOKUP($D142,$C$5:$AA$496,16,)/VLOOKUP($D142,$C$5:$AA$496,4,))*$F142))</f>
        <v>0</v>
      </c>
      <c r="S142" s="27">
        <f>IF(VLOOKUP($D142,$C$5:$AA$496,17,)=0,0,((VLOOKUP($D142,$C$5:$AA$496,17,)/VLOOKUP($D142,$C$5:$AA$496,4,))*$F142))</f>
        <v>127374.6217347504</v>
      </c>
      <c r="T142" s="27"/>
      <c r="U142" s="27">
        <f>IF(VLOOKUP($D142,$C$5:$AA$496,19,)=0,0,((VLOOKUP($D142,$C$5:$AA$496,19,)/VLOOKUP($D142,$C$5:$AA$496,4,))*$F142))</f>
        <v>125400.39251816143</v>
      </c>
      <c r="V142" s="27"/>
      <c r="W142" s="27">
        <f>IF(VLOOKUP($D142,$C$5:$AA$496,21,)=0,0,((VLOOKUP($D142,$C$5:$AA$496,21,)/VLOOKUP($D142,$C$5:$AA$496,4,))*$F142))</f>
        <v>69727.943827379437</v>
      </c>
      <c r="X142" s="27"/>
      <c r="Y142" s="27">
        <f>IF(VLOOKUP($D142,$C$5:$AA$496,23,)=0,0,((VLOOKUP($D142,$C$5:$AA$496,23,)/VLOOKUP($D142,$C$5:$AA$496,4,))*$F142))</f>
        <v>0</v>
      </c>
      <c r="Z142" s="27"/>
      <c r="AA142" s="27">
        <f>IF(VLOOKUP($D142,$C$5:$AA$496,25,)=0,0,((VLOOKUP($D142,$C$5:$AA$496,25,)/VLOOKUP($D142,$C$5:$AA$496,4,))*$F142))</f>
        <v>0</v>
      </c>
      <c r="AB142" s="27">
        <f>SUM(H142:AA142)</f>
        <v>1911908.0000000002</v>
      </c>
      <c r="AC142" s="21" t="str">
        <f>IF(ABS(AB142-F142)&lt;1,"ok","err")</f>
        <v>ok</v>
      </c>
    </row>
    <row r="143" spans="1:29" x14ac:dyDescent="0.25">
      <c r="F143" s="174"/>
      <c r="G143" s="40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1"/>
    </row>
    <row r="144" spans="1:29" x14ac:dyDescent="0.25">
      <c r="A144" s="13" t="s">
        <v>94</v>
      </c>
      <c r="C144" s="14" t="s">
        <v>95</v>
      </c>
      <c r="F144" s="175">
        <f>F126+F133-F142</f>
        <v>63080877.986442305</v>
      </c>
      <c r="G144" s="64"/>
      <c r="H144" s="64">
        <f>H126+H133-H142</f>
        <v>0</v>
      </c>
      <c r="I144" s="64">
        <f>I126+I133-I142</f>
        <v>0</v>
      </c>
      <c r="J144" s="64"/>
      <c r="K144" s="64">
        <f>K126+K133-K142</f>
        <v>0</v>
      </c>
      <c r="L144" s="64"/>
      <c r="M144" s="64">
        <f>M126+M133-M142</f>
        <v>0</v>
      </c>
      <c r="N144" s="64"/>
      <c r="O144" s="64">
        <f>O126+O133-O142</f>
        <v>26355924.921820596</v>
      </c>
      <c r="P144" s="64">
        <f>P126+P133-P142</f>
        <v>25930676.201698568</v>
      </c>
      <c r="Q144" s="64"/>
      <c r="R144" s="64">
        <f>R126+R133-R142</f>
        <v>0</v>
      </c>
      <c r="S144" s="64">
        <f>S126+S133-S142</f>
        <v>4146897.9600468874</v>
      </c>
      <c r="T144" s="64"/>
      <c r="U144" s="64">
        <f>U126+U133-U142</f>
        <v>4151934.2429220383</v>
      </c>
      <c r="V144" s="64"/>
      <c r="W144" s="64">
        <f>W126+W133-W142</f>
        <v>2273683.5442218939</v>
      </c>
      <c r="X144" s="64"/>
      <c r="Y144" s="64">
        <f>Y126+Y133-Y142</f>
        <v>221761.11573233095</v>
      </c>
      <c r="Z144" s="64"/>
      <c r="AA144" s="64">
        <f>AA126+AA133-AA142</f>
        <v>0</v>
      </c>
      <c r="AB144" s="27">
        <f>SUM(H144:AA144)</f>
        <v>63080877.98644232</v>
      </c>
      <c r="AC144" s="21" t="str">
        <f>IF(ABS(AB144-F144)&lt;1,"ok","err")</f>
        <v>ok</v>
      </c>
    </row>
    <row r="145" spans="1:29" x14ac:dyDescent="0.25">
      <c r="Q145" s="14"/>
      <c r="AC145" s="21"/>
    </row>
    <row r="146" spans="1:29" x14ac:dyDescent="0.25">
      <c r="A146" s="19" t="s">
        <v>86</v>
      </c>
      <c r="Q146" s="14"/>
      <c r="AC146" s="21"/>
    </row>
    <row r="147" spans="1:29" x14ac:dyDescent="0.25">
      <c r="A147" s="19"/>
      <c r="Q147" s="14"/>
      <c r="AC147" s="21"/>
    </row>
    <row r="148" spans="1:29" x14ac:dyDescent="0.25">
      <c r="A148" s="13" t="s">
        <v>785</v>
      </c>
      <c r="Q148" s="14"/>
      <c r="AC148" s="21"/>
    </row>
    <row r="149" spans="1:29" x14ac:dyDescent="0.25">
      <c r="A149" s="14">
        <v>500</v>
      </c>
      <c r="B149" s="14" t="s">
        <v>790</v>
      </c>
      <c r="C149" s="14" t="s">
        <v>803</v>
      </c>
      <c r="D149" s="14" t="s">
        <v>779</v>
      </c>
      <c r="F149" s="174">
        <v>0</v>
      </c>
      <c r="G149" s="40"/>
      <c r="H149" s="27">
        <f t="shared" ref="H149:H157" si="78">IF(VLOOKUP($D149,$C$5:$AA$496,6,)=0,0,((VLOOKUP($D149,$C$5:$AA$496,6,)/VLOOKUP($D149,$C$5:$AA$496,4,))*$F149))</f>
        <v>0</v>
      </c>
      <c r="I149" s="27">
        <f t="shared" ref="I149:I157" si="79">IF(VLOOKUP($D149,$C$5:$AA$496,7,)=0,0,((VLOOKUP($D149,$C$5:$AA$496,7,)/VLOOKUP($D149,$C$5:$AA$496,4,))*$F149))</f>
        <v>0</v>
      </c>
      <c r="J149" s="27"/>
      <c r="K149" s="27">
        <f t="shared" ref="K149:K157" si="80">IF(VLOOKUP($D149,$C$5:$AA$496,9,)=0,0,((VLOOKUP($D149,$C$5:$AA$496,9,)/VLOOKUP($D149,$C$5:$AA$496,4,))*$F149))</f>
        <v>0</v>
      </c>
      <c r="L149" s="27"/>
      <c r="M149" s="27">
        <f t="shared" ref="M149:M157" si="81">IF(VLOOKUP($D149,$C$5:$AA$496,11,)=0,0,((VLOOKUP($D149,$C$5:$AA$496,11,)/VLOOKUP($D149,$C$5:$AA$496,4,))*$F149))</f>
        <v>0</v>
      </c>
      <c r="N149" s="27"/>
      <c r="O149" s="27">
        <f t="shared" ref="O149:O157" si="82">IF(VLOOKUP($D149,$C$5:$AA$496,13,)=0,0,((VLOOKUP($D149,$C$5:$AA$496,13,)/VLOOKUP($D149,$C$5:$AA$496,4,))*$F149))</f>
        <v>0</v>
      </c>
      <c r="P149" s="27">
        <f t="shared" ref="P149:P157" si="83">IF(VLOOKUP($D149,$C$5:$AA$496,14,)=0,0,((VLOOKUP($D149,$C$5:$AA$496,14,)/VLOOKUP($D149,$C$5:$AA$496,4,))*$F149))</f>
        <v>0</v>
      </c>
      <c r="Q149" s="27"/>
      <c r="R149" s="27">
        <f t="shared" ref="R149:R157" si="84">IF(VLOOKUP($D149,$C$5:$AA$496,16,)=0,0,((VLOOKUP($D149,$C$5:$AA$496,16,)/VLOOKUP($D149,$C$5:$AA$496,4,))*$F149))</f>
        <v>0</v>
      </c>
      <c r="S149" s="27">
        <f t="shared" ref="S149:S157" si="85">IF(VLOOKUP($D149,$C$5:$AA$496,17,)=0,0,((VLOOKUP($D149,$C$5:$AA$496,17,)/VLOOKUP($D149,$C$5:$AA$496,4,))*$F149))</f>
        <v>0</v>
      </c>
      <c r="T149" s="27"/>
      <c r="U149" s="27">
        <f t="shared" ref="U149:U157" si="86">IF(VLOOKUP($D149,$C$5:$AA$496,19,)=0,0,((VLOOKUP($D149,$C$5:$AA$496,19,)/VLOOKUP($D149,$C$5:$AA$496,4,))*$F149))</f>
        <v>0</v>
      </c>
      <c r="V149" s="27"/>
      <c r="W149" s="27">
        <f t="shared" ref="W149:W157" si="87">IF(VLOOKUP($D149,$C$5:$AA$496,21,)=0,0,((VLOOKUP($D149,$C$5:$AA$496,21,)/VLOOKUP($D149,$C$5:$AA$496,4,))*$F149))</f>
        <v>0</v>
      </c>
      <c r="X149" s="27"/>
      <c r="Y149" s="27">
        <f t="shared" ref="Y149:Y157" si="88">IF(VLOOKUP($D149,$C$5:$AA$496,23,)=0,0,((VLOOKUP($D149,$C$5:$AA$496,23,)/VLOOKUP($D149,$C$5:$AA$496,4,))*$F149))</f>
        <v>0</v>
      </c>
      <c r="Z149" s="27"/>
      <c r="AA149" s="27">
        <f t="shared" ref="AA149:AA157" si="89">IF(VLOOKUP($D149,$C$5:$AA$496,25,)=0,0,((VLOOKUP($D149,$C$5:$AA$496,25,)/VLOOKUP($D149,$C$5:$AA$496,4,))*$F149))</f>
        <v>0</v>
      </c>
      <c r="AB149" s="27">
        <f t="shared" ref="AB149:AB157" si="90">SUM(H149:AA149)</f>
        <v>0</v>
      </c>
      <c r="AC149" s="21" t="str">
        <f t="shared" ref="AC149:AC157" si="91">IF(ABS(AB149-F149)&lt;1,"ok","err")</f>
        <v>ok</v>
      </c>
    </row>
    <row r="150" spans="1:29" x14ac:dyDescent="0.25">
      <c r="A150" s="14">
        <v>501</v>
      </c>
      <c r="B150" s="14" t="s">
        <v>791</v>
      </c>
      <c r="C150" s="14" t="s">
        <v>804</v>
      </c>
      <c r="D150" s="14" t="s">
        <v>783</v>
      </c>
      <c r="F150" s="167">
        <v>0</v>
      </c>
      <c r="G150" s="27"/>
      <c r="H150" s="27">
        <f t="shared" si="78"/>
        <v>0</v>
      </c>
      <c r="I150" s="27">
        <f t="shared" si="79"/>
        <v>0</v>
      </c>
      <c r="J150" s="27"/>
      <c r="K150" s="27">
        <f t="shared" si="80"/>
        <v>0</v>
      </c>
      <c r="L150" s="27"/>
      <c r="M150" s="27">
        <f t="shared" si="81"/>
        <v>0</v>
      </c>
      <c r="N150" s="27"/>
      <c r="O150" s="27">
        <f t="shared" si="82"/>
        <v>0</v>
      </c>
      <c r="P150" s="27">
        <f t="shared" si="83"/>
        <v>0</v>
      </c>
      <c r="Q150" s="27"/>
      <c r="R150" s="27">
        <f t="shared" si="84"/>
        <v>0</v>
      </c>
      <c r="S150" s="27">
        <f t="shared" si="85"/>
        <v>0</v>
      </c>
      <c r="T150" s="27"/>
      <c r="U150" s="27">
        <f t="shared" si="86"/>
        <v>0</v>
      </c>
      <c r="V150" s="27"/>
      <c r="W150" s="27">
        <f t="shared" si="87"/>
        <v>0</v>
      </c>
      <c r="X150" s="27"/>
      <c r="Y150" s="27">
        <f t="shared" si="88"/>
        <v>0</v>
      </c>
      <c r="Z150" s="27"/>
      <c r="AA150" s="27">
        <f t="shared" si="89"/>
        <v>0</v>
      </c>
      <c r="AB150" s="27">
        <f t="shared" si="90"/>
        <v>0</v>
      </c>
      <c r="AC150" s="21" t="str">
        <f t="shared" si="91"/>
        <v>ok</v>
      </c>
    </row>
    <row r="151" spans="1:29" x14ac:dyDescent="0.25">
      <c r="A151" s="14">
        <v>502</v>
      </c>
      <c r="B151" s="14" t="s">
        <v>792</v>
      </c>
      <c r="C151" s="14" t="s">
        <v>805</v>
      </c>
      <c r="D151" s="14" t="s">
        <v>551</v>
      </c>
      <c r="F151" s="167">
        <v>0</v>
      </c>
      <c r="G151" s="27"/>
      <c r="H151" s="27">
        <f t="shared" si="78"/>
        <v>0</v>
      </c>
      <c r="I151" s="27">
        <f t="shared" si="79"/>
        <v>0</v>
      </c>
      <c r="J151" s="27"/>
      <c r="K151" s="27">
        <f t="shared" si="80"/>
        <v>0</v>
      </c>
      <c r="L151" s="27"/>
      <c r="M151" s="27">
        <f t="shared" si="81"/>
        <v>0</v>
      </c>
      <c r="N151" s="27"/>
      <c r="O151" s="27">
        <f t="shared" si="82"/>
        <v>0</v>
      </c>
      <c r="P151" s="27">
        <f t="shared" si="83"/>
        <v>0</v>
      </c>
      <c r="Q151" s="27"/>
      <c r="R151" s="27">
        <f t="shared" si="84"/>
        <v>0</v>
      </c>
      <c r="S151" s="27">
        <f t="shared" si="85"/>
        <v>0</v>
      </c>
      <c r="T151" s="27"/>
      <c r="U151" s="27">
        <f t="shared" si="86"/>
        <v>0</v>
      </c>
      <c r="V151" s="27"/>
      <c r="W151" s="27">
        <f t="shared" si="87"/>
        <v>0</v>
      </c>
      <c r="X151" s="27"/>
      <c r="Y151" s="27">
        <f t="shared" si="88"/>
        <v>0</v>
      </c>
      <c r="Z151" s="27"/>
      <c r="AA151" s="27">
        <f t="shared" si="89"/>
        <v>0</v>
      </c>
      <c r="AB151" s="27">
        <f t="shared" si="90"/>
        <v>0</v>
      </c>
      <c r="AC151" s="21" t="str">
        <f t="shared" si="91"/>
        <v>ok</v>
      </c>
    </row>
    <row r="152" spans="1:29" x14ac:dyDescent="0.25">
      <c r="A152" s="14">
        <v>503</v>
      </c>
      <c r="B152" s="14" t="s">
        <v>793</v>
      </c>
      <c r="C152" s="14" t="s">
        <v>806</v>
      </c>
      <c r="D152" s="14" t="s">
        <v>551</v>
      </c>
      <c r="F152" s="167">
        <v>0</v>
      </c>
      <c r="G152" s="27"/>
      <c r="H152" s="27">
        <f t="shared" si="78"/>
        <v>0</v>
      </c>
      <c r="I152" s="27">
        <f t="shared" si="79"/>
        <v>0</v>
      </c>
      <c r="J152" s="27"/>
      <c r="K152" s="27">
        <f t="shared" si="80"/>
        <v>0</v>
      </c>
      <c r="L152" s="27"/>
      <c r="M152" s="27">
        <f t="shared" si="81"/>
        <v>0</v>
      </c>
      <c r="N152" s="27"/>
      <c r="O152" s="27">
        <f t="shared" si="82"/>
        <v>0</v>
      </c>
      <c r="P152" s="27">
        <f t="shared" si="83"/>
        <v>0</v>
      </c>
      <c r="Q152" s="27"/>
      <c r="R152" s="27">
        <f t="shared" si="84"/>
        <v>0</v>
      </c>
      <c r="S152" s="27">
        <f t="shared" si="85"/>
        <v>0</v>
      </c>
      <c r="T152" s="27"/>
      <c r="U152" s="27">
        <f t="shared" si="86"/>
        <v>0</v>
      </c>
      <c r="V152" s="27"/>
      <c r="W152" s="27">
        <f t="shared" si="87"/>
        <v>0</v>
      </c>
      <c r="X152" s="27"/>
      <c r="Y152" s="27">
        <f t="shared" si="88"/>
        <v>0</v>
      </c>
      <c r="Z152" s="27"/>
      <c r="AA152" s="27">
        <f t="shared" si="89"/>
        <v>0</v>
      </c>
      <c r="AB152" s="27">
        <f t="shared" si="90"/>
        <v>0</v>
      </c>
      <c r="AC152" s="21" t="str">
        <f t="shared" si="91"/>
        <v>ok</v>
      </c>
    </row>
    <row r="153" spans="1:29" x14ac:dyDescent="0.25">
      <c r="A153" s="14">
        <v>504</v>
      </c>
      <c r="B153" s="14" t="s">
        <v>794</v>
      </c>
      <c r="C153" s="14" t="s">
        <v>807</v>
      </c>
      <c r="D153" s="14" t="s">
        <v>551</v>
      </c>
      <c r="F153" s="167">
        <v>0</v>
      </c>
      <c r="G153" s="27"/>
      <c r="H153" s="27">
        <f t="shared" si="78"/>
        <v>0</v>
      </c>
      <c r="I153" s="27">
        <f t="shared" si="79"/>
        <v>0</v>
      </c>
      <c r="J153" s="27"/>
      <c r="K153" s="27">
        <f t="shared" si="80"/>
        <v>0</v>
      </c>
      <c r="L153" s="27"/>
      <c r="M153" s="27">
        <f t="shared" si="81"/>
        <v>0</v>
      </c>
      <c r="N153" s="27"/>
      <c r="O153" s="27">
        <f t="shared" si="82"/>
        <v>0</v>
      </c>
      <c r="P153" s="27">
        <f t="shared" si="83"/>
        <v>0</v>
      </c>
      <c r="Q153" s="27"/>
      <c r="R153" s="27">
        <f t="shared" si="84"/>
        <v>0</v>
      </c>
      <c r="S153" s="27">
        <f t="shared" si="85"/>
        <v>0</v>
      </c>
      <c r="T153" s="27"/>
      <c r="U153" s="27">
        <f t="shared" si="86"/>
        <v>0</v>
      </c>
      <c r="V153" s="27"/>
      <c r="W153" s="27">
        <f t="shared" si="87"/>
        <v>0</v>
      </c>
      <c r="X153" s="27"/>
      <c r="Y153" s="27">
        <f t="shared" si="88"/>
        <v>0</v>
      </c>
      <c r="Z153" s="27"/>
      <c r="AA153" s="27">
        <f t="shared" si="89"/>
        <v>0</v>
      </c>
      <c r="AB153" s="27">
        <f t="shared" si="90"/>
        <v>0</v>
      </c>
      <c r="AC153" s="21" t="str">
        <f t="shared" si="91"/>
        <v>ok</v>
      </c>
    </row>
    <row r="154" spans="1:29" x14ac:dyDescent="0.25">
      <c r="A154" s="14">
        <v>505</v>
      </c>
      <c r="B154" s="14" t="s">
        <v>795</v>
      </c>
      <c r="C154" s="14" t="s">
        <v>808</v>
      </c>
      <c r="D154" s="14" t="s">
        <v>551</v>
      </c>
      <c r="F154" s="167">
        <v>0</v>
      </c>
      <c r="G154" s="27"/>
      <c r="H154" s="27">
        <f t="shared" si="78"/>
        <v>0</v>
      </c>
      <c r="I154" s="27">
        <f t="shared" si="79"/>
        <v>0</v>
      </c>
      <c r="J154" s="27"/>
      <c r="K154" s="27">
        <f t="shared" si="80"/>
        <v>0</v>
      </c>
      <c r="L154" s="27"/>
      <c r="M154" s="27">
        <f t="shared" si="81"/>
        <v>0</v>
      </c>
      <c r="N154" s="27"/>
      <c r="O154" s="27">
        <f t="shared" si="82"/>
        <v>0</v>
      </c>
      <c r="P154" s="27">
        <f t="shared" si="83"/>
        <v>0</v>
      </c>
      <c r="Q154" s="27"/>
      <c r="R154" s="27">
        <f t="shared" si="84"/>
        <v>0</v>
      </c>
      <c r="S154" s="27">
        <f t="shared" si="85"/>
        <v>0</v>
      </c>
      <c r="T154" s="27"/>
      <c r="U154" s="27">
        <f t="shared" si="86"/>
        <v>0</v>
      </c>
      <c r="V154" s="27"/>
      <c r="W154" s="27">
        <f t="shared" si="87"/>
        <v>0</v>
      </c>
      <c r="X154" s="27"/>
      <c r="Y154" s="27">
        <f t="shared" si="88"/>
        <v>0</v>
      </c>
      <c r="Z154" s="27"/>
      <c r="AA154" s="27">
        <f t="shared" si="89"/>
        <v>0</v>
      </c>
      <c r="AB154" s="27">
        <f t="shared" si="90"/>
        <v>0</v>
      </c>
      <c r="AC154" s="21" t="str">
        <f t="shared" si="91"/>
        <v>ok</v>
      </c>
    </row>
    <row r="155" spans="1:29" x14ac:dyDescent="0.25">
      <c r="A155" s="14">
        <v>506</v>
      </c>
      <c r="B155" s="14" t="s">
        <v>796</v>
      </c>
      <c r="C155" s="14" t="s">
        <v>809</v>
      </c>
      <c r="D155" s="14" t="s">
        <v>551</v>
      </c>
      <c r="F155" s="167">
        <v>0</v>
      </c>
      <c r="G155" s="27"/>
      <c r="H155" s="27">
        <f t="shared" si="78"/>
        <v>0</v>
      </c>
      <c r="I155" s="27">
        <f t="shared" si="79"/>
        <v>0</v>
      </c>
      <c r="J155" s="27"/>
      <c r="K155" s="27">
        <f t="shared" si="80"/>
        <v>0</v>
      </c>
      <c r="L155" s="27"/>
      <c r="M155" s="27">
        <f t="shared" si="81"/>
        <v>0</v>
      </c>
      <c r="N155" s="27"/>
      <c r="O155" s="27">
        <f t="shared" si="82"/>
        <v>0</v>
      </c>
      <c r="P155" s="27">
        <f t="shared" si="83"/>
        <v>0</v>
      </c>
      <c r="Q155" s="27"/>
      <c r="R155" s="27">
        <f t="shared" si="84"/>
        <v>0</v>
      </c>
      <c r="S155" s="27">
        <f t="shared" si="85"/>
        <v>0</v>
      </c>
      <c r="T155" s="27"/>
      <c r="U155" s="27">
        <f t="shared" si="86"/>
        <v>0</v>
      </c>
      <c r="V155" s="27"/>
      <c r="W155" s="27">
        <f t="shared" si="87"/>
        <v>0</v>
      </c>
      <c r="X155" s="27"/>
      <c r="Y155" s="27">
        <f t="shared" si="88"/>
        <v>0</v>
      </c>
      <c r="Z155" s="27"/>
      <c r="AA155" s="27">
        <f t="shared" si="89"/>
        <v>0</v>
      </c>
      <c r="AB155" s="27">
        <f t="shared" si="90"/>
        <v>0</v>
      </c>
      <c r="AC155" s="21" t="str">
        <f t="shared" si="91"/>
        <v>ok</v>
      </c>
    </row>
    <row r="156" spans="1:29" x14ac:dyDescent="0.25">
      <c r="A156" s="14">
        <v>507</v>
      </c>
      <c r="B156" s="14" t="s">
        <v>115</v>
      </c>
      <c r="C156" s="14" t="s">
        <v>810</v>
      </c>
      <c r="D156" s="14" t="s">
        <v>551</v>
      </c>
      <c r="F156" s="167">
        <v>0</v>
      </c>
      <c r="G156" s="27"/>
      <c r="H156" s="27">
        <f t="shared" si="78"/>
        <v>0</v>
      </c>
      <c r="I156" s="27">
        <f t="shared" si="79"/>
        <v>0</v>
      </c>
      <c r="J156" s="27"/>
      <c r="K156" s="27">
        <f t="shared" si="80"/>
        <v>0</v>
      </c>
      <c r="L156" s="27"/>
      <c r="M156" s="27">
        <f t="shared" si="81"/>
        <v>0</v>
      </c>
      <c r="N156" s="27"/>
      <c r="O156" s="27">
        <f t="shared" si="82"/>
        <v>0</v>
      </c>
      <c r="P156" s="27">
        <f t="shared" si="83"/>
        <v>0</v>
      </c>
      <c r="Q156" s="27"/>
      <c r="R156" s="27">
        <f t="shared" si="84"/>
        <v>0</v>
      </c>
      <c r="S156" s="27">
        <f t="shared" si="85"/>
        <v>0</v>
      </c>
      <c r="T156" s="27"/>
      <c r="U156" s="27">
        <f t="shared" si="86"/>
        <v>0</v>
      </c>
      <c r="V156" s="27"/>
      <c r="W156" s="27">
        <f t="shared" si="87"/>
        <v>0</v>
      </c>
      <c r="X156" s="27"/>
      <c r="Y156" s="27">
        <f t="shared" si="88"/>
        <v>0</v>
      </c>
      <c r="Z156" s="27"/>
      <c r="AA156" s="27">
        <f t="shared" si="89"/>
        <v>0</v>
      </c>
      <c r="AB156" s="27">
        <f t="shared" si="90"/>
        <v>0</v>
      </c>
      <c r="AC156" s="21" t="str">
        <f t="shared" si="91"/>
        <v>ok</v>
      </c>
    </row>
    <row r="157" spans="1:29" x14ac:dyDescent="0.25">
      <c r="A157" s="14">
        <v>509</v>
      </c>
      <c r="B157" s="14" t="s">
        <v>797</v>
      </c>
      <c r="C157" s="14" t="s">
        <v>811</v>
      </c>
      <c r="D157" s="14" t="s">
        <v>783</v>
      </c>
      <c r="F157" s="167">
        <v>0</v>
      </c>
      <c r="G157" s="27"/>
      <c r="H157" s="27">
        <f t="shared" si="78"/>
        <v>0</v>
      </c>
      <c r="I157" s="27">
        <f t="shared" si="79"/>
        <v>0</v>
      </c>
      <c r="J157" s="27"/>
      <c r="K157" s="27">
        <f t="shared" si="80"/>
        <v>0</v>
      </c>
      <c r="L157" s="27"/>
      <c r="M157" s="27">
        <f t="shared" si="81"/>
        <v>0</v>
      </c>
      <c r="N157" s="27"/>
      <c r="O157" s="27">
        <f t="shared" si="82"/>
        <v>0</v>
      </c>
      <c r="P157" s="27">
        <f t="shared" si="83"/>
        <v>0</v>
      </c>
      <c r="Q157" s="27"/>
      <c r="R157" s="27">
        <f t="shared" si="84"/>
        <v>0</v>
      </c>
      <c r="S157" s="27">
        <f t="shared" si="85"/>
        <v>0</v>
      </c>
      <c r="T157" s="27"/>
      <c r="U157" s="27">
        <f t="shared" si="86"/>
        <v>0</v>
      </c>
      <c r="V157" s="27"/>
      <c r="W157" s="27">
        <f t="shared" si="87"/>
        <v>0</v>
      </c>
      <c r="X157" s="27"/>
      <c r="Y157" s="27">
        <f t="shared" si="88"/>
        <v>0</v>
      </c>
      <c r="Z157" s="27"/>
      <c r="AA157" s="27">
        <f t="shared" si="89"/>
        <v>0</v>
      </c>
      <c r="AB157" s="27">
        <f t="shared" si="90"/>
        <v>0</v>
      </c>
      <c r="AC157" s="21" t="str">
        <f t="shared" si="91"/>
        <v>ok</v>
      </c>
    </row>
    <row r="158" spans="1:29" x14ac:dyDescent="0.25">
      <c r="F158" s="16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C158" s="21"/>
    </row>
    <row r="159" spans="1:29" x14ac:dyDescent="0.25">
      <c r="A159" s="14" t="s">
        <v>789</v>
      </c>
      <c r="C159" s="14" t="s">
        <v>812</v>
      </c>
      <c r="F159" s="174">
        <f>SUM(F149:F158)</f>
        <v>0</v>
      </c>
      <c r="G159" s="40"/>
      <c r="H159" s="40">
        <f>SUM(H149:H158)</f>
        <v>0</v>
      </c>
      <c r="I159" s="40">
        <f>SUM(I149:I158)</f>
        <v>0</v>
      </c>
      <c r="J159" s="40"/>
      <c r="K159" s="40">
        <f>SUM(K149:K158)</f>
        <v>0</v>
      </c>
      <c r="L159" s="40"/>
      <c r="M159" s="40">
        <f>SUM(M149:M158)</f>
        <v>0</v>
      </c>
      <c r="N159" s="40"/>
      <c r="O159" s="40">
        <f>SUM(O149:O158)</f>
        <v>0</v>
      </c>
      <c r="P159" s="40">
        <f>SUM(P149:P158)</f>
        <v>0</v>
      </c>
      <c r="Q159" s="40"/>
      <c r="R159" s="40">
        <f>SUM(R149:R158)</f>
        <v>0</v>
      </c>
      <c r="S159" s="40">
        <f>SUM(S149:S158)</f>
        <v>0</v>
      </c>
      <c r="T159" s="40"/>
      <c r="U159" s="40">
        <f>SUM(U149:U158)</f>
        <v>0</v>
      </c>
      <c r="V159" s="40"/>
      <c r="W159" s="40">
        <f>SUM(W149:W158)</f>
        <v>0</v>
      </c>
      <c r="X159" s="40"/>
      <c r="Y159" s="40">
        <f>SUM(Y149:Y158)</f>
        <v>0</v>
      </c>
      <c r="Z159" s="40"/>
      <c r="AA159" s="40">
        <f>SUM(AA149:AA158)</f>
        <v>0</v>
      </c>
      <c r="AB159" s="27">
        <f>SUM(H159:AA159)</f>
        <v>0</v>
      </c>
      <c r="AC159" s="21" t="str">
        <f>IF(ABS(AB159-F159)&lt;1,"ok","err")</f>
        <v>ok</v>
      </c>
    </row>
    <row r="160" spans="1:29" x14ac:dyDescent="0.25">
      <c r="A160" s="13"/>
      <c r="F160" s="16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C160" s="21"/>
    </row>
    <row r="161" spans="1:29" x14ac:dyDescent="0.25">
      <c r="A161" s="13" t="s">
        <v>786</v>
      </c>
      <c r="F161" s="16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C161" s="21"/>
    </row>
    <row r="162" spans="1:29" x14ac:dyDescent="0.25">
      <c r="A162" s="14">
        <v>510</v>
      </c>
      <c r="B162" s="14" t="s">
        <v>798</v>
      </c>
      <c r="C162" s="14" t="s">
        <v>814</v>
      </c>
      <c r="D162" s="14" t="s">
        <v>783</v>
      </c>
      <c r="F162" s="174">
        <v>0</v>
      </c>
      <c r="G162" s="40"/>
      <c r="H162" s="27">
        <f>IF(VLOOKUP($D162,$C$5:$AA$496,6,)=0,0,((VLOOKUP($D162,$C$5:$AA$496,6,)/VLOOKUP($D162,$C$5:$AA$496,4,))*$F162))</f>
        <v>0</v>
      </c>
      <c r="I162" s="27">
        <f>IF(VLOOKUP($D162,$C$5:$AA$496,7,)=0,0,((VLOOKUP($D162,$C$5:$AA$496,7,)/VLOOKUP($D162,$C$5:$AA$496,4,))*$F162))</f>
        <v>0</v>
      </c>
      <c r="J162" s="27"/>
      <c r="K162" s="27">
        <f>IF(VLOOKUP($D162,$C$5:$AA$496,9,)=0,0,((VLOOKUP($D162,$C$5:$AA$496,9,)/VLOOKUP($D162,$C$5:$AA$496,4,))*$F162))</f>
        <v>0</v>
      </c>
      <c r="L162" s="27"/>
      <c r="M162" s="27">
        <f>IF(VLOOKUP($D162,$C$5:$AA$496,11,)=0,0,((VLOOKUP($D162,$C$5:$AA$496,11,)/VLOOKUP($D162,$C$5:$AA$496,4,))*$F162))</f>
        <v>0</v>
      </c>
      <c r="N162" s="27"/>
      <c r="O162" s="27">
        <f>IF(VLOOKUP($D162,$C$5:$AA$496,13,)=0,0,((VLOOKUP($D162,$C$5:$AA$496,13,)/VLOOKUP($D162,$C$5:$AA$496,4,))*$F162))</f>
        <v>0</v>
      </c>
      <c r="P162" s="27">
        <f>IF(VLOOKUP($D162,$C$5:$AA$496,14,)=0,0,((VLOOKUP($D162,$C$5:$AA$496,14,)/VLOOKUP($D162,$C$5:$AA$496,4,))*$F162))</f>
        <v>0</v>
      </c>
      <c r="Q162" s="27"/>
      <c r="R162" s="27">
        <f>IF(VLOOKUP($D162,$C$5:$AA$496,16,)=0,0,((VLOOKUP($D162,$C$5:$AA$496,16,)/VLOOKUP($D162,$C$5:$AA$496,4,))*$F162))</f>
        <v>0</v>
      </c>
      <c r="S162" s="27">
        <f>IF(VLOOKUP($D162,$C$5:$AA$496,17,)=0,0,((VLOOKUP($D162,$C$5:$AA$496,17,)/VLOOKUP($D162,$C$5:$AA$496,4,))*$F162))</f>
        <v>0</v>
      </c>
      <c r="T162" s="27"/>
      <c r="U162" s="27">
        <f>IF(VLOOKUP($D162,$C$5:$AA$496,19,)=0,0,((VLOOKUP($D162,$C$5:$AA$496,19,)/VLOOKUP($D162,$C$5:$AA$496,4,))*$F162))</f>
        <v>0</v>
      </c>
      <c r="V162" s="27"/>
      <c r="W162" s="27">
        <f>IF(VLOOKUP($D162,$C$5:$AA$496,21,)=0,0,((VLOOKUP($D162,$C$5:$AA$496,21,)/VLOOKUP($D162,$C$5:$AA$496,4,))*$F162))</f>
        <v>0</v>
      </c>
      <c r="X162" s="27"/>
      <c r="Y162" s="27">
        <f>IF(VLOOKUP($D162,$C$5:$AA$496,23,)=0,0,((VLOOKUP($D162,$C$5:$AA$496,23,)/VLOOKUP($D162,$C$5:$AA$496,4,))*$F162))</f>
        <v>0</v>
      </c>
      <c r="Z162" s="27"/>
      <c r="AA162" s="27">
        <f>IF(VLOOKUP($D162,$C$5:$AA$496,25,)=0,0,((VLOOKUP($D162,$C$5:$AA$496,25,)/VLOOKUP($D162,$C$5:$AA$496,4,))*$F162))</f>
        <v>0</v>
      </c>
      <c r="AB162" s="27">
        <f>SUM(H162:AA162)</f>
        <v>0</v>
      </c>
      <c r="AC162" s="21" t="str">
        <f>IF(ABS(AB162-F162)&lt;1,"ok","err")</f>
        <v>ok</v>
      </c>
    </row>
    <row r="163" spans="1:29" x14ac:dyDescent="0.25">
      <c r="A163" s="14">
        <v>511</v>
      </c>
      <c r="B163" s="14" t="s">
        <v>799</v>
      </c>
      <c r="C163" s="14" t="s">
        <v>815</v>
      </c>
      <c r="D163" s="14" t="s">
        <v>551</v>
      </c>
      <c r="F163" s="167">
        <v>0</v>
      </c>
      <c r="G163" s="27"/>
      <c r="H163" s="27">
        <f>IF(VLOOKUP($D163,$C$5:$AA$496,6,)=0,0,((VLOOKUP($D163,$C$5:$AA$496,6,)/VLOOKUP($D163,$C$5:$AA$496,4,))*$F163))</f>
        <v>0</v>
      </c>
      <c r="I163" s="27">
        <f>IF(VLOOKUP($D163,$C$5:$AA$496,7,)=0,0,((VLOOKUP($D163,$C$5:$AA$496,7,)/VLOOKUP($D163,$C$5:$AA$496,4,))*$F163))</f>
        <v>0</v>
      </c>
      <c r="J163" s="27"/>
      <c r="K163" s="27">
        <f>IF(VLOOKUP($D163,$C$5:$AA$496,9,)=0,0,((VLOOKUP($D163,$C$5:$AA$496,9,)/VLOOKUP($D163,$C$5:$AA$496,4,))*$F163))</f>
        <v>0</v>
      </c>
      <c r="L163" s="27"/>
      <c r="M163" s="27">
        <f>IF(VLOOKUP($D163,$C$5:$AA$496,11,)=0,0,((VLOOKUP($D163,$C$5:$AA$496,11,)/VLOOKUP($D163,$C$5:$AA$496,4,))*$F163))</f>
        <v>0</v>
      </c>
      <c r="N163" s="27"/>
      <c r="O163" s="27">
        <f>IF(VLOOKUP($D163,$C$5:$AA$496,13,)=0,0,((VLOOKUP($D163,$C$5:$AA$496,13,)/VLOOKUP($D163,$C$5:$AA$496,4,))*$F163))</f>
        <v>0</v>
      </c>
      <c r="P163" s="27">
        <f>IF(VLOOKUP($D163,$C$5:$AA$496,14,)=0,0,((VLOOKUP($D163,$C$5:$AA$496,14,)/VLOOKUP($D163,$C$5:$AA$496,4,))*$F163))</f>
        <v>0</v>
      </c>
      <c r="Q163" s="27"/>
      <c r="R163" s="27">
        <f>IF(VLOOKUP($D163,$C$5:$AA$496,16,)=0,0,((VLOOKUP($D163,$C$5:$AA$496,16,)/VLOOKUP($D163,$C$5:$AA$496,4,))*$F163))</f>
        <v>0</v>
      </c>
      <c r="S163" s="27">
        <f>IF(VLOOKUP($D163,$C$5:$AA$496,17,)=0,0,((VLOOKUP($D163,$C$5:$AA$496,17,)/VLOOKUP($D163,$C$5:$AA$496,4,))*$F163))</f>
        <v>0</v>
      </c>
      <c r="T163" s="27"/>
      <c r="U163" s="27">
        <f>IF(VLOOKUP($D163,$C$5:$AA$496,19,)=0,0,((VLOOKUP($D163,$C$5:$AA$496,19,)/VLOOKUP($D163,$C$5:$AA$496,4,))*$F163))</f>
        <v>0</v>
      </c>
      <c r="V163" s="27"/>
      <c r="W163" s="27">
        <f>IF(VLOOKUP($D163,$C$5:$AA$496,21,)=0,0,((VLOOKUP($D163,$C$5:$AA$496,21,)/VLOOKUP($D163,$C$5:$AA$496,4,))*$F163))</f>
        <v>0</v>
      </c>
      <c r="X163" s="27"/>
      <c r="Y163" s="27">
        <f>IF(VLOOKUP($D163,$C$5:$AA$496,23,)=0,0,((VLOOKUP($D163,$C$5:$AA$496,23,)/VLOOKUP($D163,$C$5:$AA$496,4,))*$F163))</f>
        <v>0</v>
      </c>
      <c r="Z163" s="27"/>
      <c r="AA163" s="27">
        <f>IF(VLOOKUP($D163,$C$5:$AA$496,25,)=0,0,((VLOOKUP($D163,$C$5:$AA$496,25,)/VLOOKUP($D163,$C$5:$AA$496,4,))*$F163))</f>
        <v>0</v>
      </c>
      <c r="AB163" s="27">
        <f>SUM(H163:AA163)</f>
        <v>0</v>
      </c>
      <c r="AC163" s="21" t="str">
        <f>IF(ABS(AB163-F163)&lt;1,"ok","err")</f>
        <v>ok</v>
      </c>
    </row>
    <row r="164" spans="1:29" x14ac:dyDescent="0.25">
      <c r="A164" s="14">
        <v>512</v>
      </c>
      <c r="B164" s="14" t="s">
        <v>800</v>
      </c>
      <c r="C164" s="14" t="s">
        <v>816</v>
      </c>
      <c r="D164" s="14" t="s">
        <v>783</v>
      </c>
      <c r="F164" s="167">
        <v>0</v>
      </c>
      <c r="G164" s="27"/>
      <c r="H164" s="27">
        <f>IF(VLOOKUP($D164,$C$5:$AA$496,6,)=0,0,((VLOOKUP($D164,$C$5:$AA$496,6,)/VLOOKUP($D164,$C$5:$AA$496,4,))*$F164))</f>
        <v>0</v>
      </c>
      <c r="I164" s="27">
        <f>IF(VLOOKUP($D164,$C$5:$AA$496,7,)=0,0,((VLOOKUP($D164,$C$5:$AA$496,7,)/VLOOKUP($D164,$C$5:$AA$496,4,))*$F164))</f>
        <v>0</v>
      </c>
      <c r="J164" s="27"/>
      <c r="K164" s="27">
        <f>IF(VLOOKUP($D164,$C$5:$AA$496,9,)=0,0,((VLOOKUP($D164,$C$5:$AA$496,9,)/VLOOKUP($D164,$C$5:$AA$496,4,))*$F164))</f>
        <v>0</v>
      </c>
      <c r="L164" s="27"/>
      <c r="M164" s="27">
        <f>IF(VLOOKUP($D164,$C$5:$AA$496,11,)=0,0,((VLOOKUP($D164,$C$5:$AA$496,11,)/VLOOKUP($D164,$C$5:$AA$496,4,))*$F164))</f>
        <v>0</v>
      </c>
      <c r="N164" s="27"/>
      <c r="O164" s="27">
        <f>IF(VLOOKUP($D164,$C$5:$AA$496,13,)=0,0,((VLOOKUP($D164,$C$5:$AA$496,13,)/VLOOKUP($D164,$C$5:$AA$496,4,))*$F164))</f>
        <v>0</v>
      </c>
      <c r="P164" s="27">
        <f>IF(VLOOKUP($D164,$C$5:$AA$496,14,)=0,0,((VLOOKUP($D164,$C$5:$AA$496,14,)/VLOOKUP($D164,$C$5:$AA$496,4,))*$F164))</f>
        <v>0</v>
      </c>
      <c r="Q164" s="27"/>
      <c r="R164" s="27">
        <f>IF(VLOOKUP($D164,$C$5:$AA$496,16,)=0,0,((VLOOKUP($D164,$C$5:$AA$496,16,)/VLOOKUP($D164,$C$5:$AA$496,4,))*$F164))</f>
        <v>0</v>
      </c>
      <c r="S164" s="27">
        <f>IF(VLOOKUP($D164,$C$5:$AA$496,17,)=0,0,((VLOOKUP($D164,$C$5:$AA$496,17,)/VLOOKUP($D164,$C$5:$AA$496,4,))*$F164))</f>
        <v>0</v>
      </c>
      <c r="T164" s="27"/>
      <c r="U164" s="27">
        <f>IF(VLOOKUP($D164,$C$5:$AA$496,19,)=0,0,((VLOOKUP($D164,$C$5:$AA$496,19,)/VLOOKUP($D164,$C$5:$AA$496,4,))*$F164))</f>
        <v>0</v>
      </c>
      <c r="V164" s="27"/>
      <c r="W164" s="27">
        <f>IF(VLOOKUP($D164,$C$5:$AA$496,21,)=0,0,((VLOOKUP($D164,$C$5:$AA$496,21,)/VLOOKUP($D164,$C$5:$AA$496,4,))*$F164))</f>
        <v>0</v>
      </c>
      <c r="X164" s="27"/>
      <c r="Y164" s="27">
        <f>IF(VLOOKUP($D164,$C$5:$AA$496,23,)=0,0,((VLOOKUP($D164,$C$5:$AA$496,23,)/VLOOKUP($D164,$C$5:$AA$496,4,))*$F164))</f>
        <v>0</v>
      </c>
      <c r="Z164" s="27"/>
      <c r="AA164" s="27">
        <f>IF(VLOOKUP($D164,$C$5:$AA$496,25,)=0,0,((VLOOKUP($D164,$C$5:$AA$496,25,)/VLOOKUP($D164,$C$5:$AA$496,4,))*$F164))</f>
        <v>0</v>
      </c>
      <c r="AB164" s="27">
        <f>SUM(H164:AA164)</f>
        <v>0</v>
      </c>
      <c r="AC164" s="21" t="str">
        <f>IF(ABS(AB164-F164)&lt;1,"ok","err")</f>
        <v>ok</v>
      </c>
    </row>
    <row r="165" spans="1:29" x14ac:dyDescent="0.25">
      <c r="A165" s="14">
        <v>513</v>
      </c>
      <c r="B165" s="14" t="s">
        <v>801</v>
      </c>
      <c r="C165" s="14" t="s">
        <v>817</v>
      </c>
      <c r="D165" s="14" t="s">
        <v>783</v>
      </c>
      <c r="F165" s="167">
        <v>0</v>
      </c>
      <c r="G165" s="27"/>
      <c r="H165" s="27">
        <f>IF(VLOOKUP($D165,$C$5:$AA$496,6,)=0,0,((VLOOKUP($D165,$C$5:$AA$496,6,)/VLOOKUP($D165,$C$5:$AA$496,4,))*$F165))</f>
        <v>0</v>
      </c>
      <c r="I165" s="27">
        <f>IF(VLOOKUP($D165,$C$5:$AA$496,7,)=0,0,((VLOOKUP($D165,$C$5:$AA$496,7,)/VLOOKUP($D165,$C$5:$AA$496,4,))*$F165))</f>
        <v>0</v>
      </c>
      <c r="J165" s="27"/>
      <c r="K165" s="27">
        <f>IF(VLOOKUP($D165,$C$5:$AA$496,9,)=0,0,((VLOOKUP($D165,$C$5:$AA$496,9,)/VLOOKUP($D165,$C$5:$AA$496,4,))*$F165))</f>
        <v>0</v>
      </c>
      <c r="L165" s="27"/>
      <c r="M165" s="27">
        <f>IF(VLOOKUP($D165,$C$5:$AA$496,11,)=0,0,((VLOOKUP($D165,$C$5:$AA$496,11,)/VLOOKUP($D165,$C$5:$AA$496,4,))*$F165))</f>
        <v>0</v>
      </c>
      <c r="N165" s="27"/>
      <c r="O165" s="27">
        <f>IF(VLOOKUP($D165,$C$5:$AA$496,13,)=0,0,((VLOOKUP($D165,$C$5:$AA$496,13,)/VLOOKUP($D165,$C$5:$AA$496,4,))*$F165))</f>
        <v>0</v>
      </c>
      <c r="P165" s="27">
        <f>IF(VLOOKUP($D165,$C$5:$AA$496,14,)=0,0,((VLOOKUP($D165,$C$5:$AA$496,14,)/VLOOKUP($D165,$C$5:$AA$496,4,))*$F165))</f>
        <v>0</v>
      </c>
      <c r="Q165" s="27"/>
      <c r="R165" s="27">
        <f>IF(VLOOKUP($D165,$C$5:$AA$496,16,)=0,0,((VLOOKUP($D165,$C$5:$AA$496,16,)/VLOOKUP($D165,$C$5:$AA$496,4,))*$F165))</f>
        <v>0</v>
      </c>
      <c r="S165" s="27">
        <f>IF(VLOOKUP($D165,$C$5:$AA$496,17,)=0,0,((VLOOKUP($D165,$C$5:$AA$496,17,)/VLOOKUP($D165,$C$5:$AA$496,4,))*$F165))</f>
        <v>0</v>
      </c>
      <c r="T165" s="27"/>
      <c r="U165" s="27">
        <f>IF(VLOOKUP($D165,$C$5:$AA$496,19,)=0,0,((VLOOKUP($D165,$C$5:$AA$496,19,)/VLOOKUP($D165,$C$5:$AA$496,4,))*$F165))</f>
        <v>0</v>
      </c>
      <c r="V165" s="27"/>
      <c r="W165" s="27">
        <f>IF(VLOOKUP($D165,$C$5:$AA$496,21,)=0,0,((VLOOKUP($D165,$C$5:$AA$496,21,)/VLOOKUP($D165,$C$5:$AA$496,4,))*$F165))</f>
        <v>0</v>
      </c>
      <c r="X165" s="27"/>
      <c r="Y165" s="27">
        <f>IF(VLOOKUP($D165,$C$5:$AA$496,23,)=0,0,((VLOOKUP($D165,$C$5:$AA$496,23,)/VLOOKUP($D165,$C$5:$AA$496,4,))*$F165))</f>
        <v>0</v>
      </c>
      <c r="Z165" s="27"/>
      <c r="AA165" s="27">
        <f>IF(VLOOKUP($D165,$C$5:$AA$496,25,)=0,0,((VLOOKUP($D165,$C$5:$AA$496,25,)/VLOOKUP($D165,$C$5:$AA$496,4,))*$F165))</f>
        <v>0</v>
      </c>
      <c r="AB165" s="27">
        <f>SUM(H165:AA165)</f>
        <v>0</v>
      </c>
      <c r="AC165" s="21" t="str">
        <f>IF(ABS(AB165-F165)&lt;1,"ok","err")</f>
        <v>ok</v>
      </c>
    </row>
    <row r="166" spans="1:29" x14ac:dyDescent="0.25">
      <c r="A166" s="14">
        <v>514</v>
      </c>
      <c r="B166" s="14" t="s">
        <v>802</v>
      </c>
      <c r="C166" s="14" t="s">
        <v>818</v>
      </c>
      <c r="D166" s="14" t="s">
        <v>551</v>
      </c>
      <c r="F166" s="167">
        <v>0</v>
      </c>
      <c r="G166" s="27"/>
      <c r="H166" s="27">
        <f>IF(VLOOKUP($D166,$C$5:$AA$496,6,)=0,0,((VLOOKUP($D166,$C$5:$AA$496,6,)/VLOOKUP($D166,$C$5:$AA$496,4,))*$F166))</f>
        <v>0</v>
      </c>
      <c r="I166" s="27">
        <f>IF(VLOOKUP($D166,$C$5:$AA$496,7,)=0,0,((VLOOKUP($D166,$C$5:$AA$496,7,)/VLOOKUP($D166,$C$5:$AA$496,4,))*$F166))</f>
        <v>0</v>
      </c>
      <c r="J166" s="27"/>
      <c r="K166" s="27">
        <f>IF(VLOOKUP($D166,$C$5:$AA$496,9,)=0,0,((VLOOKUP($D166,$C$5:$AA$496,9,)/VLOOKUP($D166,$C$5:$AA$496,4,))*$F166))</f>
        <v>0</v>
      </c>
      <c r="L166" s="27"/>
      <c r="M166" s="27">
        <f>IF(VLOOKUP($D166,$C$5:$AA$496,11,)=0,0,((VLOOKUP($D166,$C$5:$AA$496,11,)/VLOOKUP($D166,$C$5:$AA$496,4,))*$F166))</f>
        <v>0</v>
      </c>
      <c r="N166" s="27"/>
      <c r="O166" s="27">
        <f>IF(VLOOKUP($D166,$C$5:$AA$496,13,)=0,0,((VLOOKUP($D166,$C$5:$AA$496,13,)/VLOOKUP($D166,$C$5:$AA$496,4,))*$F166))</f>
        <v>0</v>
      </c>
      <c r="P166" s="27">
        <f>IF(VLOOKUP($D166,$C$5:$AA$496,14,)=0,0,((VLOOKUP($D166,$C$5:$AA$496,14,)/VLOOKUP($D166,$C$5:$AA$496,4,))*$F166))</f>
        <v>0</v>
      </c>
      <c r="Q166" s="27"/>
      <c r="R166" s="27">
        <f>IF(VLOOKUP($D166,$C$5:$AA$496,16,)=0,0,((VLOOKUP($D166,$C$5:$AA$496,16,)/VLOOKUP($D166,$C$5:$AA$496,4,))*$F166))</f>
        <v>0</v>
      </c>
      <c r="S166" s="27">
        <f>IF(VLOOKUP($D166,$C$5:$AA$496,17,)=0,0,((VLOOKUP($D166,$C$5:$AA$496,17,)/VLOOKUP($D166,$C$5:$AA$496,4,))*$F166))</f>
        <v>0</v>
      </c>
      <c r="T166" s="27"/>
      <c r="U166" s="27">
        <f>IF(VLOOKUP($D166,$C$5:$AA$496,19,)=0,0,((VLOOKUP($D166,$C$5:$AA$496,19,)/VLOOKUP($D166,$C$5:$AA$496,4,))*$F166))</f>
        <v>0</v>
      </c>
      <c r="V166" s="27"/>
      <c r="W166" s="27">
        <f>IF(VLOOKUP($D166,$C$5:$AA$496,21,)=0,0,((VLOOKUP($D166,$C$5:$AA$496,21,)/VLOOKUP($D166,$C$5:$AA$496,4,))*$F166))</f>
        <v>0</v>
      </c>
      <c r="X166" s="27"/>
      <c r="Y166" s="27">
        <f>IF(VLOOKUP($D166,$C$5:$AA$496,23,)=0,0,((VLOOKUP($D166,$C$5:$AA$496,23,)/VLOOKUP($D166,$C$5:$AA$496,4,))*$F166))</f>
        <v>0</v>
      </c>
      <c r="Z166" s="27"/>
      <c r="AA166" s="27">
        <f>IF(VLOOKUP($D166,$C$5:$AA$496,25,)=0,0,((VLOOKUP($D166,$C$5:$AA$496,25,)/VLOOKUP($D166,$C$5:$AA$496,4,))*$F166))</f>
        <v>0</v>
      </c>
      <c r="AB166" s="27">
        <f>SUM(H166:AA166)</f>
        <v>0</v>
      </c>
      <c r="AC166" s="21" t="str">
        <f>IF(ABS(AB166-F166)&lt;1,"ok","err")</f>
        <v>ok</v>
      </c>
    </row>
    <row r="167" spans="1:29" x14ac:dyDescent="0.25">
      <c r="F167" s="16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1"/>
    </row>
    <row r="168" spans="1:29" x14ac:dyDescent="0.25">
      <c r="A168" s="14" t="s">
        <v>787</v>
      </c>
      <c r="C168" s="14" t="s">
        <v>813</v>
      </c>
      <c r="F168" s="174">
        <f>SUM(F162:F167)</f>
        <v>0</v>
      </c>
      <c r="G168" s="40"/>
      <c r="H168" s="40">
        <f>SUM(H162:H167)</f>
        <v>0</v>
      </c>
      <c r="I168" s="40">
        <f>SUM(I162:I167)</f>
        <v>0</v>
      </c>
      <c r="J168" s="40"/>
      <c r="K168" s="40">
        <f>SUM(K162:K167)</f>
        <v>0</v>
      </c>
      <c r="L168" s="40"/>
      <c r="M168" s="40">
        <f>SUM(M162:M167)</f>
        <v>0</v>
      </c>
      <c r="N168" s="40"/>
      <c r="O168" s="40">
        <f>SUM(O162:O167)</f>
        <v>0</v>
      </c>
      <c r="P168" s="40">
        <f>SUM(P162:P167)</f>
        <v>0</v>
      </c>
      <c r="Q168" s="40"/>
      <c r="R168" s="40">
        <f>SUM(R162:R167)</f>
        <v>0</v>
      </c>
      <c r="S168" s="40">
        <f>SUM(S162:S167)</f>
        <v>0</v>
      </c>
      <c r="T168" s="40"/>
      <c r="U168" s="40">
        <f>SUM(U162:U167)</f>
        <v>0</v>
      </c>
      <c r="V168" s="40"/>
      <c r="W168" s="40">
        <f>SUM(W162:W167)</f>
        <v>0</v>
      </c>
      <c r="X168" s="40"/>
      <c r="Y168" s="40">
        <f>SUM(Y162:Y167)</f>
        <v>0</v>
      </c>
      <c r="Z168" s="40"/>
      <c r="AA168" s="40">
        <f>SUM(AA162:AA167)</f>
        <v>0</v>
      </c>
      <c r="AB168" s="27">
        <f>SUM(H168:AA168)</f>
        <v>0</v>
      </c>
      <c r="AC168" s="21" t="str">
        <f>IF(ABS(AB168-F168)&lt;1,"ok","err")</f>
        <v>ok</v>
      </c>
    </row>
    <row r="169" spans="1:29" x14ac:dyDescent="0.25">
      <c r="F169" s="16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C169" s="21"/>
    </row>
    <row r="170" spans="1:29" x14ac:dyDescent="0.25">
      <c r="A170" s="14" t="s">
        <v>788</v>
      </c>
      <c r="C170" s="14" t="s">
        <v>821</v>
      </c>
      <c r="F170" s="167">
        <f>F159+F168</f>
        <v>0</v>
      </c>
      <c r="G170" s="27"/>
      <c r="H170" s="27">
        <f>H159+H168</f>
        <v>0</v>
      </c>
      <c r="I170" s="27">
        <f>I159+I168</f>
        <v>0</v>
      </c>
      <c r="J170" s="27"/>
      <c r="K170" s="27">
        <f>K159+K168</f>
        <v>0</v>
      </c>
      <c r="L170" s="27"/>
      <c r="M170" s="27">
        <f>M159+M168</f>
        <v>0</v>
      </c>
      <c r="N170" s="27"/>
      <c r="O170" s="27">
        <f>O159+O168</f>
        <v>0</v>
      </c>
      <c r="P170" s="27">
        <f>P159+P168</f>
        <v>0</v>
      </c>
      <c r="Q170" s="27"/>
      <c r="R170" s="27">
        <f>R159+R168</f>
        <v>0</v>
      </c>
      <c r="S170" s="27">
        <f>S159+S168</f>
        <v>0</v>
      </c>
      <c r="T170" s="27"/>
      <c r="U170" s="27">
        <f>U159+U168</f>
        <v>0</v>
      </c>
      <c r="V170" s="27"/>
      <c r="W170" s="27">
        <f>W159+W168</f>
        <v>0</v>
      </c>
      <c r="X170" s="27"/>
      <c r="Y170" s="27">
        <f>Y159+Y168</f>
        <v>0</v>
      </c>
      <c r="Z170" s="27"/>
      <c r="AA170" s="27">
        <f>AA159+AA168</f>
        <v>0</v>
      </c>
      <c r="AB170" s="27">
        <f>SUM(H170:AA170)</f>
        <v>0</v>
      </c>
      <c r="AC170" s="21" t="str">
        <f>IF(ABS(AB170-F170)&lt;1,"ok","err")</f>
        <v>ok</v>
      </c>
    </row>
    <row r="171" spans="1:29" x14ac:dyDescent="0.25">
      <c r="F171" s="16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C171" s="21"/>
    </row>
    <row r="172" spans="1:29" x14ac:dyDescent="0.25">
      <c r="A172" s="19" t="s">
        <v>136</v>
      </c>
      <c r="F172" s="16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C172" s="21"/>
    </row>
    <row r="173" spans="1:29" x14ac:dyDescent="0.25">
      <c r="F173" s="16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C173" s="21"/>
    </row>
    <row r="174" spans="1:29" x14ac:dyDescent="0.25">
      <c r="A174" s="13" t="s">
        <v>96</v>
      </c>
      <c r="H174" s="40"/>
      <c r="I174" s="40"/>
      <c r="Q174" s="14"/>
      <c r="AC174" s="21"/>
    </row>
    <row r="175" spans="1:29" x14ac:dyDescent="0.25">
      <c r="A175" s="14">
        <v>555</v>
      </c>
      <c r="B175" s="14" t="s">
        <v>378</v>
      </c>
      <c r="C175" s="14" t="s">
        <v>396</v>
      </c>
      <c r="D175" s="14" t="s">
        <v>97</v>
      </c>
      <c r="F175" s="174">
        <f>34947369+3852652</f>
        <v>38800021</v>
      </c>
      <c r="G175" s="40"/>
      <c r="H175" s="40">
        <f>IF(VLOOKUP($D175,$C$5:$AA$496,6,)=0,0,((VLOOKUP($D175,$C$5:$AA$496,6,)/VLOOKUP($D175,$C$5:$AA$496,4,))*$F175))</f>
        <v>9549281.9872807246</v>
      </c>
      <c r="I175" s="40">
        <f>IF(VLOOKUP($D175,$C$5:$AA$496,7,)=0,0,((VLOOKUP($D175,$C$5:$AA$496,7,)/VLOOKUP($D175,$C$5:$AA$496,4,))*$F175))</f>
        <v>29250739.012719277</v>
      </c>
      <c r="J175" s="27"/>
      <c r="K175" s="27">
        <f>IF(VLOOKUP($D175,$C$5:$AA$496,9,)=0,0,((VLOOKUP($D175,$C$5:$AA$496,9,)/VLOOKUP($D175,$C$5:$AA$496,4,))*$F175))</f>
        <v>0</v>
      </c>
      <c r="L175" s="27"/>
      <c r="M175" s="27">
        <f>IF(VLOOKUP($D175,$C$5:$AA$496,11,)=0,0,((VLOOKUP($D175,$C$5:$AA$496,11,)/VLOOKUP($D175,$C$5:$AA$496,4,))*$F175))</f>
        <v>0</v>
      </c>
      <c r="N175" s="27"/>
      <c r="O175" s="27">
        <f>IF(VLOOKUP($D175,$C$5:$AA$496,13,)=0,0,((VLOOKUP($D175,$C$5:$AA$496,13,)/VLOOKUP($D175,$C$5:$AA$496,4,))*$F175))</f>
        <v>0</v>
      </c>
      <c r="P175" s="27">
        <f>IF(VLOOKUP($D175,$C$5:$AA$496,14,)=0,0,((VLOOKUP($D175,$C$5:$AA$496,14,)/VLOOKUP($D175,$C$5:$AA$496,4,))*$F175))</f>
        <v>0</v>
      </c>
      <c r="Q175" s="27"/>
      <c r="R175" s="27">
        <f>IF(VLOOKUP($D175,$C$5:$AA$496,16,)=0,0,((VLOOKUP($D175,$C$5:$AA$496,16,)/VLOOKUP($D175,$C$5:$AA$496,4,))*$F175))</f>
        <v>0</v>
      </c>
      <c r="S175" s="27">
        <f>IF(VLOOKUP($D175,$C$5:$AA$496,17,)=0,0,((VLOOKUP($D175,$C$5:$AA$496,17,)/VLOOKUP($D175,$C$5:$AA$496,4,))*$F175))</f>
        <v>0</v>
      </c>
      <c r="T175" s="27"/>
      <c r="U175" s="27">
        <f>IF(VLOOKUP($D175,$C$5:$AA$496,19,)=0,0,((VLOOKUP($D175,$C$5:$AA$496,19,)/VLOOKUP($D175,$C$5:$AA$496,4,))*$F175))</f>
        <v>0</v>
      </c>
      <c r="V175" s="27"/>
      <c r="W175" s="27">
        <f>IF(VLOOKUP($D175,$C$5:$AA$496,21,)=0,0,((VLOOKUP($D175,$C$5:$AA$496,21,)/VLOOKUP($D175,$C$5:$AA$496,4,))*$F175))</f>
        <v>0</v>
      </c>
      <c r="X175" s="27"/>
      <c r="Y175" s="27">
        <f>IF(VLOOKUP($D175,$C$5:$AA$496,23,)=0,0,((VLOOKUP($D175,$C$5:$AA$496,23,)/VLOOKUP($D175,$C$5:$AA$496,4,))*$F175))</f>
        <v>0</v>
      </c>
      <c r="Z175" s="27"/>
      <c r="AA175" s="27">
        <f>IF(VLOOKUP($D175,$C$5:$AA$496,25,)=0,0,((VLOOKUP($D175,$C$5:$AA$496,25,)/VLOOKUP($D175,$C$5:$AA$496,4,))*$F175))</f>
        <v>0</v>
      </c>
      <c r="AB175" s="27">
        <f>SUM(H175:AA175)</f>
        <v>38800021</v>
      </c>
      <c r="AC175" s="21" t="str">
        <f>IF(ABS(AB175-F175)&lt;1,"ok","err")</f>
        <v>ok</v>
      </c>
    </row>
    <row r="176" spans="1:29" x14ac:dyDescent="0.25">
      <c r="A176" s="14">
        <v>556</v>
      </c>
      <c r="B176" s="14" t="s">
        <v>900</v>
      </c>
      <c r="C176" s="14" t="s">
        <v>901</v>
      </c>
      <c r="D176" s="14" t="s">
        <v>97</v>
      </c>
      <c r="F176" s="167">
        <v>0</v>
      </c>
      <c r="G176" s="27"/>
      <c r="H176" s="27">
        <f>IF(VLOOKUP($D176,$C$5:$AA$496,6,)=0,0,((VLOOKUP($D176,$C$5:$AA$496,6,)/VLOOKUP($D176,$C$5:$AA$496,4,))*$F176))</f>
        <v>0</v>
      </c>
      <c r="I176" s="27">
        <f>IF(VLOOKUP($D176,$C$5:$AA$496,7,)=0,0,((VLOOKUP($D176,$C$5:$AA$496,7,)/VLOOKUP($D176,$C$5:$AA$496,4,))*$F176))</f>
        <v>0</v>
      </c>
      <c r="J176" s="27"/>
      <c r="K176" s="27">
        <f>IF(VLOOKUP($D176,$C$5:$AA$496,9,)=0,0,((VLOOKUP($D176,$C$5:$AA$496,9,)/VLOOKUP($D176,$C$5:$AA$496,4,))*$F176))</f>
        <v>0</v>
      </c>
      <c r="L176" s="27"/>
      <c r="M176" s="27">
        <f>IF(VLOOKUP($D176,$C$5:$AA$496,11,)=0,0,((VLOOKUP($D176,$C$5:$AA$496,11,)/VLOOKUP($D176,$C$5:$AA$496,4,))*$F176))</f>
        <v>0</v>
      </c>
      <c r="N176" s="27"/>
      <c r="O176" s="27">
        <f>IF(VLOOKUP($D176,$C$5:$AA$496,13,)=0,0,((VLOOKUP($D176,$C$5:$AA$496,13,)/VLOOKUP($D176,$C$5:$AA$496,4,))*$F176))</f>
        <v>0</v>
      </c>
      <c r="P176" s="27">
        <f>IF(VLOOKUP($D176,$C$5:$AA$496,14,)=0,0,((VLOOKUP($D176,$C$5:$AA$496,14,)/VLOOKUP($D176,$C$5:$AA$496,4,))*$F176))</f>
        <v>0</v>
      </c>
      <c r="Q176" s="27"/>
      <c r="R176" s="27">
        <f>IF(VLOOKUP($D176,$C$5:$AA$496,16,)=0,0,((VLOOKUP($D176,$C$5:$AA$496,16,)/VLOOKUP($D176,$C$5:$AA$496,4,))*$F176))</f>
        <v>0</v>
      </c>
      <c r="S176" s="27">
        <f>IF(VLOOKUP($D176,$C$5:$AA$496,17,)=0,0,((VLOOKUP($D176,$C$5:$AA$496,17,)/VLOOKUP($D176,$C$5:$AA$496,4,))*$F176))</f>
        <v>0</v>
      </c>
      <c r="T176" s="27"/>
      <c r="U176" s="27">
        <f>IF(VLOOKUP($D176,$C$5:$AA$496,19,)=0,0,((VLOOKUP($D176,$C$5:$AA$496,19,)/VLOOKUP($D176,$C$5:$AA$496,4,))*$F176))</f>
        <v>0</v>
      </c>
      <c r="V176" s="27"/>
      <c r="W176" s="27">
        <f>IF(VLOOKUP($D176,$C$5:$AA$496,21,)=0,0,((VLOOKUP($D176,$C$5:$AA$496,21,)/VLOOKUP($D176,$C$5:$AA$496,4,))*$F176))</f>
        <v>0</v>
      </c>
      <c r="X176" s="27"/>
      <c r="Y176" s="27">
        <f>IF(VLOOKUP($D176,$C$5:$AA$496,23,)=0,0,((VLOOKUP($D176,$C$5:$AA$496,23,)/VLOOKUP($D176,$C$5:$AA$496,4,))*$F176))</f>
        <v>0</v>
      </c>
      <c r="Z176" s="27"/>
      <c r="AA176" s="27">
        <f>IF(VLOOKUP($D176,$C$5:$AA$496,25,)=0,0,((VLOOKUP($D176,$C$5:$AA$496,25,)/VLOOKUP($D176,$C$5:$AA$496,4,))*$F176))</f>
        <v>0</v>
      </c>
      <c r="AB176" s="27">
        <f>SUM(H176:AA176)</f>
        <v>0</v>
      </c>
      <c r="AC176" s="21" t="str">
        <f>IF(ABS(AB176-F176)&lt;1,"ok","err")</f>
        <v>ok</v>
      </c>
    </row>
    <row r="177" spans="1:29" x14ac:dyDescent="0.25">
      <c r="A177" s="14">
        <v>557</v>
      </c>
      <c r="B177" s="14" t="s">
        <v>397</v>
      </c>
      <c r="C177" s="14" t="s">
        <v>399</v>
      </c>
      <c r="D177" s="14" t="s">
        <v>97</v>
      </c>
      <c r="F177" s="167">
        <v>0</v>
      </c>
      <c r="G177" s="27"/>
      <c r="H177" s="27">
        <f>IF(VLOOKUP($D177,$C$5:$AA$496,6,)=0,0,((VLOOKUP($D177,$C$5:$AA$496,6,)/VLOOKUP($D177,$C$5:$AA$496,4,))*$F177))</f>
        <v>0</v>
      </c>
      <c r="I177" s="27">
        <f>IF(VLOOKUP($D177,$C$5:$AA$496,7,)=0,0,((VLOOKUP($D177,$C$5:$AA$496,7,)/VLOOKUP($D177,$C$5:$AA$496,4,))*$F177))</f>
        <v>0</v>
      </c>
      <c r="J177" s="27"/>
      <c r="K177" s="27">
        <f>IF(VLOOKUP($D177,$C$5:$AA$496,9,)=0,0,((VLOOKUP($D177,$C$5:$AA$496,9,)/VLOOKUP($D177,$C$5:$AA$496,4,))*$F177))</f>
        <v>0</v>
      </c>
      <c r="L177" s="27"/>
      <c r="M177" s="27">
        <f>IF(VLOOKUP($D177,$C$5:$AA$496,11,)=0,0,((VLOOKUP($D177,$C$5:$AA$496,11,)/VLOOKUP($D177,$C$5:$AA$496,4,))*$F177))</f>
        <v>0</v>
      </c>
      <c r="N177" s="27"/>
      <c r="O177" s="27">
        <f>IF(VLOOKUP($D177,$C$5:$AA$496,13,)=0,0,((VLOOKUP($D177,$C$5:$AA$496,13,)/VLOOKUP($D177,$C$5:$AA$496,4,))*$F177))</f>
        <v>0</v>
      </c>
      <c r="P177" s="27">
        <f>IF(VLOOKUP($D177,$C$5:$AA$496,14,)=0,0,((VLOOKUP($D177,$C$5:$AA$496,14,)/VLOOKUP($D177,$C$5:$AA$496,4,))*$F177))</f>
        <v>0</v>
      </c>
      <c r="Q177" s="27"/>
      <c r="R177" s="27">
        <f>IF(VLOOKUP($D177,$C$5:$AA$496,16,)=0,0,((VLOOKUP($D177,$C$5:$AA$496,16,)/VLOOKUP($D177,$C$5:$AA$496,4,))*$F177))</f>
        <v>0</v>
      </c>
      <c r="S177" s="27">
        <f>IF(VLOOKUP($D177,$C$5:$AA$496,17,)=0,0,((VLOOKUP($D177,$C$5:$AA$496,17,)/VLOOKUP($D177,$C$5:$AA$496,4,))*$F177))</f>
        <v>0</v>
      </c>
      <c r="T177" s="27"/>
      <c r="U177" s="27">
        <f>IF(VLOOKUP($D177,$C$5:$AA$496,19,)=0,0,((VLOOKUP($D177,$C$5:$AA$496,19,)/VLOOKUP($D177,$C$5:$AA$496,4,))*$F177))</f>
        <v>0</v>
      </c>
      <c r="V177" s="27"/>
      <c r="W177" s="27">
        <f>IF(VLOOKUP($D177,$C$5:$AA$496,21,)=0,0,((VLOOKUP($D177,$C$5:$AA$496,21,)/VLOOKUP($D177,$C$5:$AA$496,4,))*$F177))</f>
        <v>0</v>
      </c>
      <c r="X177" s="27"/>
      <c r="Y177" s="27">
        <f>IF(VLOOKUP($D177,$C$5:$AA$496,23,)=0,0,((VLOOKUP($D177,$C$5:$AA$496,23,)/VLOOKUP($D177,$C$5:$AA$496,4,))*$F177))</f>
        <v>0</v>
      </c>
      <c r="Z177" s="27"/>
      <c r="AA177" s="27">
        <f>IF(VLOOKUP($D177,$C$5:$AA$496,25,)=0,0,((VLOOKUP($D177,$C$5:$AA$496,25,)/VLOOKUP($D177,$C$5:$AA$496,4,))*$F177))</f>
        <v>0</v>
      </c>
      <c r="AB177" s="27">
        <f>SUM(H177:AA177)</f>
        <v>0</v>
      </c>
      <c r="AC177" s="21" t="str">
        <f>IF(ABS(AB177-F177)&lt;1,"ok","err")</f>
        <v>ok</v>
      </c>
    </row>
    <row r="178" spans="1:29" x14ac:dyDescent="0.25">
      <c r="A178" s="14">
        <v>559</v>
      </c>
      <c r="B178" s="14" t="s">
        <v>828</v>
      </c>
      <c r="C178" s="14" t="s">
        <v>829</v>
      </c>
      <c r="D178" s="14" t="s">
        <v>97</v>
      </c>
      <c r="F178" s="167">
        <v>0</v>
      </c>
      <c r="G178" s="27"/>
      <c r="H178" s="27">
        <f>IF(VLOOKUP($D178,$C$5:$AA$496,6,)=0,0,((VLOOKUP($D178,$C$5:$AA$496,6,)/VLOOKUP($D178,$C$5:$AA$496,4,))*$F178))</f>
        <v>0</v>
      </c>
      <c r="I178" s="27">
        <f>IF(VLOOKUP($D178,$C$5:$AA$496,7,)=0,0,((VLOOKUP($D178,$C$5:$AA$496,7,)/VLOOKUP($D178,$C$5:$AA$496,4,))*$F178))</f>
        <v>0</v>
      </c>
      <c r="J178" s="27"/>
      <c r="K178" s="27">
        <f>IF(VLOOKUP($D178,$C$5:$AA$496,9,)=0,0,((VLOOKUP($D178,$C$5:$AA$496,9,)/VLOOKUP($D178,$C$5:$AA$496,4,))*$F178))</f>
        <v>0</v>
      </c>
      <c r="L178" s="27"/>
      <c r="M178" s="27">
        <f>IF(VLOOKUP($D178,$C$5:$AA$496,11,)=0,0,((VLOOKUP($D178,$C$5:$AA$496,11,)/VLOOKUP($D178,$C$5:$AA$496,4,))*$F178))</f>
        <v>0</v>
      </c>
      <c r="N178" s="27"/>
      <c r="O178" s="27">
        <f>IF(VLOOKUP($D178,$C$5:$AA$496,13,)=0,0,((VLOOKUP($D178,$C$5:$AA$496,13,)/VLOOKUP($D178,$C$5:$AA$496,4,))*$F178))</f>
        <v>0</v>
      </c>
      <c r="P178" s="27">
        <f>IF(VLOOKUP($D178,$C$5:$AA$496,14,)=0,0,((VLOOKUP($D178,$C$5:$AA$496,14,)/VLOOKUP($D178,$C$5:$AA$496,4,))*$F178))</f>
        <v>0</v>
      </c>
      <c r="Q178" s="27"/>
      <c r="R178" s="27">
        <f>IF(VLOOKUP($D178,$C$5:$AA$496,16,)=0,0,((VLOOKUP($D178,$C$5:$AA$496,16,)/VLOOKUP($D178,$C$5:$AA$496,4,))*$F178))</f>
        <v>0</v>
      </c>
      <c r="S178" s="27">
        <f>IF(VLOOKUP($D178,$C$5:$AA$496,17,)=0,0,((VLOOKUP($D178,$C$5:$AA$496,17,)/VLOOKUP($D178,$C$5:$AA$496,4,))*$F178))</f>
        <v>0</v>
      </c>
      <c r="T178" s="27"/>
      <c r="U178" s="27">
        <f>IF(VLOOKUP($D178,$C$5:$AA$496,19,)=0,0,((VLOOKUP($D178,$C$5:$AA$496,19,)/VLOOKUP($D178,$C$5:$AA$496,4,))*$F178))</f>
        <v>0</v>
      </c>
      <c r="V178" s="27"/>
      <c r="W178" s="27">
        <f>IF(VLOOKUP($D178,$C$5:$AA$496,21,)=0,0,((VLOOKUP($D178,$C$5:$AA$496,21,)/VLOOKUP($D178,$C$5:$AA$496,4,))*$F178))</f>
        <v>0</v>
      </c>
      <c r="X178" s="27"/>
      <c r="Y178" s="27">
        <f>IF(VLOOKUP($D178,$C$5:$AA$496,23,)=0,0,((VLOOKUP($D178,$C$5:$AA$496,23,)/VLOOKUP($D178,$C$5:$AA$496,4,))*$F178))</f>
        <v>0</v>
      </c>
      <c r="Z178" s="27"/>
      <c r="AA178" s="27">
        <f>IF(VLOOKUP($D178,$C$5:$AA$496,25,)=0,0,((VLOOKUP($D178,$C$5:$AA$496,25,)/VLOOKUP($D178,$C$5:$AA$496,4,))*$F178))</f>
        <v>0</v>
      </c>
      <c r="AB178" s="27">
        <f>SUM(H178:AA178)</f>
        <v>0</v>
      </c>
      <c r="AC178" s="21" t="str">
        <f>IF(ABS(AB178-F178)&lt;1,"ok","err")</f>
        <v>ok</v>
      </c>
    </row>
    <row r="179" spans="1:29" x14ac:dyDescent="0.25">
      <c r="F179" s="174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27"/>
      <c r="AC179" s="21"/>
    </row>
    <row r="180" spans="1:29" x14ac:dyDescent="0.25">
      <c r="A180" s="14" t="s">
        <v>398</v>
      </c>
      <c r="C180" s="14" t="s">
        <v>400</v>
      </c>
      <c r="F180" s="174">
        <f>SUM(F175:F179)</f>
        <v>38800021</v>
      </c>
      <c r="G180" s="40"/>
      <c r="H180" s="40">
        <f>SUM(H175:H179)</f>
        <v>9549281.9872807246</v>
      </c>
      <c r="I180" s="40">
        <f t="shared" ref="I180:AA180" si="92">SUM(I175:I179)</f>
        <v>29250739.012719277</v>
      </c>
      <c r="J180" s="40"/>
      <c r="K180" s="40">
        <f t="shared" si="92"/>
        <v>0</v>
      </c>
      <c r="L180" s="40"/>
      <c r="M180" s="40">
        <f t="shared" si="92"/>
        <v>0</v>
      </c>
      <c r="N180" s="40"/>
      <c r="O180" s="40">
        <f t="shared" si="92"/>
        <v>0</v>
      </c>
      <c r="P180" s="40">
        <f t="shared" si="92"/>
        <v>0</v>
      </c>
      <c r="Q180" s="40"/>
      <c r="R180" s="40">
        <f t="shared" si="92"/>
        <v>0</v>
      </c>
      <c r="S180" s="40">
        <f t="shared" si="92"/>
        <v>0</v>
      </c>
      <c r="T180" s="40"/>
      <c r="U180" s="40">
        <f t="shared" si="92"/>
        <v>0</v>
      </c>
      <c r="V180" s="40"/>
      <c r="W180" s="40">
        <f t="shared" si="92"/>
        <v>0</v>
      </c>
      <c r="X180" s="40"/>
      <c r="Y180" s="40">
        <f t="shared" si="92"/>
        <v>0</v>
      </c>
      <c r="Z180" s="40"/>
      <c r="AA180" s="40">
        <f t="shared" si="92"/>
        <v>0</v>
      </c>
      <c r="AB180" s="27">
        <f>SUM(H180:AA180)</f>
        <v>38800021</v>
      </c>
      <c r="AC180" s="21" t="str">
        <f>IF(ABS(AB180-F180)&lt;1,"ok","err")</f>
        <v>ok</v>
      </c>
    </row>
    <row r="181" spans="1:29" x14ac:dyDescent="0.25">
      <c r="F181" s="174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27"/>
      <c r="AC181" s="21"/>
    </row>
    <row r="182" spans="1:29" x14ac:dyDescent="0.25">
      <c r="A182" s="13" t="s">
        <v>370</v>
      </c>
      <c r="F182" s="174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27"/>
      <c r="AC182" s="21"/>
    </row>
    <row r="183" spans="1:29" x14ac:dyDescent="0.25">
      <c r="A183" s="14">
        <v>560</v>
      </c>
      <c r="B183" s="14" t="s">
        <v>373</v>
      </c>
      <c r="C183" s="14" t="s">
        <v>402</v>
      </c>
      <c r="D183" s="14" t="s">
        <v>389</v>
      </c>
      <c r="F183" s="174">
        <v>0</v>
      </c>
      <c r="G183" s="40"/>
      <c r="H183" s="27">
        <f t="shared" ref="H183:H197" si="93">IF((VLOOKUP($D183,$C$5:$AA$496,6,)=0),0,((VLOOKUP($D183,$C$5:$AA$496,6,)/VLOOKUP($D183,$C$5:$AA$496,4,))*$F183))</f>
        <v>0</v>
      </c>
      <c r="I183" s="27">
        <f t="shared" ref="I183:I197" si="94">IF((VLOOKUP($D183,$C$5:$AA$496,7,)=0),0,((VLOOKUP($D183,$C$5:$AA$496,7,)/VLOOKUP($D183,$C$5:$AA$496,4,))*$F183))</f>
        <v>0</v>
      </c>
      <c r="J183" s="27"/>
      <c r="K183" s="27">
        <f t="shared" ref="K183:K197" si="95">IF((VLOOKUP($D183,$C$5:$AA$496,9,)=0),0,((VLOOKUP($D183,$C$5:$AA$496,9,)/VLOOKUP($D183,$C$5:$AA$496,4,))*$F183))</f>
        <v>0</v>
      </c>
      <c r="L183" s="27"/>
      <c r="M183" s="27">
        <f t="shared" ref="M183:M197" si="96">IF((VLOOKUP($D183,$C$5:$AA$496,11,)=0),0,((VLOOKUP($D183,$C$5:$AA$496,11,)/VLOOKUP($D183,$C$5:$AA$496,4,))*$F183))</f>
        <v>0</v>
      </c>
      <c r="N183" s="27"/>
      <c r="O183" s="27">
        <f t="shared" ref="O183:O197" si="97">IF((VLOOKUP($D183,$C$5:$AA$496,13,)=0),0,((VLOOKUP($D183,$C$5:$AA$496,13,)/VLOOKUP($D183,$C$5:$AA$496,4,))*$F183))</f>
        <v>0</v>
      </c>
      <c r="P183" s="27">
        <f t="shared" ref="P183:P197" si="98">IF((VLOOKUP($D183,$C$5:$AA$496,14,)=0),0,((VLOOKUP($D183,$C$5:$AA$496,14,)/VLOOKUP($D183,$C$5:$AA$496,4,))*$F183))</f>
        <v>0</v>
      </c>
      <c r="Q183" s="27"/>
      <c r="R183" s="27">
        <f t="shared" ref="R183:R197" si="99">IF((VLOOKUP($D183,$C$5:$AA$496,16,)=0),0,((VLOOKUP($D183,$C$5:$AA$496,16,)/VLOOKUP($D183,$C$5:$AA$496,4,))*$F183))</f>
        <v>0</v>
      </c>
      <c r="S183" s="27">
        <f t="shared" ref="S183:S197" si="100">IF((VLOOKUP($D183,$C$5:$AA$496,17,)=0),0,((VLOOKUP($D183,$C$5:$AA$496,17,)/VLOOKUP($D183,$C$5:$AA$496,4,))*$F183))</f>
        <v>0</v>
      </c>
      <c r="T183" s="27"/>
      <c r="U183" s="27">
        <f t="shared" ref="U183:U197" si="101">IF((VLOOKUP($D183,$C$5:$AA$496,19,)=0),0,((VLOOKUP($D183,$C$5:$AA$496,19,)/VLOOKUP($D183,$C$5:$AA$496,4,))*$F183))</f>
        <v>0</v>
      </c>
      <c r="V183" s="27"/>
      <c r="W183" s="27">
        <f t="shared" ref="W183:W197" si="102">IF((VLOOKUP($D183,$C$5:$AA$496,21,)=0),0,((VLOOKUP($D183,$C$5:$AA$496,21,)/VLOOKUP($D183,$C$5:$AA$496,4,))*$F183))</f>
        <v>0</v>
      </c>
      <c r="X183" s="27"/>
      <c r="Y183" s="27">
        <f t="shared" ref="Y183:Y197" si="103">IF((VLOOKUP($D183,$C$5:$AA$496,23,)=0),0,((VLOOKUP($D183,$C$5:$AA$496,23,)/VLOOKUP($D183,$C$5:$AA$496,4,))*$F183))</f>
        <v>0</v>
      </c>
      <c r="Z183" s="27"/>
      <c r="AA183" s="27">
        <f t="shared" ref="AA183:AA197" si="104">IF((VLOOKUP($D183,$C$5:$AA$496,25,)=0),0,((VLOOKUP($D183,$C$5:$AA$496,25,)/VLOOKUP($D183,$C$5:$AA$496,4,))*$F183))</f>
        <v>0</v>
      </c>
      <c r="AB183" s="27">
        <f t="shared" ref="AB183:AB197" si="105">SUM(H183:AA183)</f>
        <v>0</v>
      </c>
      <c r="AC183" s="21" t="str">
        <f t="shared" ref="AC183:AC197" si="106">IF(ABS(AB183-F183)&lt;1,"ok","err")</f>
        <v>ok</v>
      </c>
    </row>
    <row r="184" spans="1:29" x14ac:dyDescent="0.25">
      <c r="A184" s="14">
        <v>561</v>
      </c>
      <c r="B184" s="14" t="s">
        <v>101</v>
      </c>
      <c r="C184" s="14" t="s">
        <v>403</v>
      </c>
      <c r="D184" s="14" t="s">
        <v>389</v>
      </c>
      <c r="F184" s="167">
        <v>0</v>
      </c>
      <c r="G184" s="27"/>
      <c r="H184" s="27">
        <f t="shared" si="93"/>
        <v>0</v>
      </c>
      <c r="I184" s="27">
        <f t="shared" si="94"/>
        <v>0</v>
      </c>
      <c r="J184" s="27"/>
      <c r="K184" s="27">
        <f t="shared" si="95"/>
        <v>0</v>
      </c>
      <c r="L184" s="27"/>
      <c r="M184" s="27">
        <f t="shared" si="96"/>
        <v>0</v>
      </c>
      <c r="N184" s="27"/>
      <c r="O184" s="27">
        <f t="shared" si="97"/>
        <v>0</v>
      </c>
      <c r="P184" s="27">
        <f t="shared" si="98"/>
        <v>0</v>
      </c>
      <c r="Q184" s="27"/>
      <c r="R184" s="27">
        <f t="shared" si="99"/>
        <v>0</v>
      </c>
      <c r="S184" s="27">
        <f t="shared" si="100"/>
        <v>0</v>
      </c>
      <c r="T184" s="27"/>
      <c r="U184" s="27">
        <f t="shared" si="101"/>
        <v>0</v>
      </c>
      <c r="V184" s="27"/>
      <c r="W184" s="27">
        <f t="shared" si="102"/>
        <v>0</v>
      </c>
      <c r="X184" s="27"/>
      <c r="Y184" s="27">
        <f t="shared" si="103"/>
        <v>0</v>
      </c>
      <c r="Z184" s="27"/>
      <c r="AA184" s="27">
        <f t="shared" si="104"/>
        <v>0</v>
      </c>
      <c r="AB184" s="27">
        <f t="shared" si="105"/>
        <v>0</v>
      </c>
      <c r="AC184" s="21" t="str">
        <f t="shared" si="106"/>
        <v>ok</v>
      </c>
    </row>
    <row r="185" spans="1:29" x14ac:dyDescent="0.25">
      <c r="A185" s="14">
        <v>562</v>
      </c>
      <c r="B185" s="14" t="s">
        <v>371</v>
      </c>
      <c r="C185" s="14" t="s">
        <v>404</v>
      </c>
      <c r="D185" s="14" t="s">
        <v>389</v>
      </c>
      <c r="F185" s="167">
        <v>0</v>
      </c>
      <c r="G185" s="27"/>
      <c r="H185" s="27">
        <f t="shared" si="93"/>
        <v>0</v>
      </c>
      <c r="I185" s="27">
        <f t="shared" si="94"/>
        <v>0</v>
      </c>
      <c r="J185" s="27"/>
      <c r="K185" s="27">
        <f t="shared" si="95"/>
        <v>0</v>
      </c>
      <c r="L185" s="27"/>
      <c r="M185" s="27">
        <f t="shared" si="96"/>
        <v>0</v>
      </c>
      <c r="N185" s="27"/>
      <c r="O185" s="27">
        <f t="shared" si="97"/>
        <v>0</v>
      </c>
      <c r="P185" s="27">
        <f t="shared" si="98"/>
        <v>0</v>
      </c>
      <c r="Q185" s="27"/>
      <c r="R185" s="27">
        <f t="shared" si="99"/>
        <v>0</v>
      </c>
      <c r="S185" s="27">
        <f t="shared" si="100"/>
        <v>0</v>
      </c>
      <c r="T185" s="27"/>
      <c r="U185" s="27">
        <f t="shared" si="101"/>
        <v>0</v>
      </c>
      <c r="V185" s="27"/>
      <c r="W185" s="27">
        <f t="shared" si="102"/>
        <v>0</v>
      </c>
      <c r="X185" s="27"/>
      <c r="Y185" s="27">
        <f t="shared" si="103"/>
        <v>0</v>
      </c>
      <c r="Z185" s="27"/>
      <c r="AA185" s="27">
        <f t="shared" si="104"/>
        <v>0</v>
      </c>
      <c r="AB185" s="27">
        <f t="shared" si="105"/>
        <v>0</v>
      </c>
      <c r="AC185" s="21" t="str">
        <f t="shared" si="106"/>
        <v>ok</v>
      </c>
    </row>
    <row r="186" spans="1:29" x14ac:dyDescent="0.25">
      <c r="A186" s="14">
        <v>563</v>
      </c>
      <c r="B186" s="14" t="s">
        <v>103</v>
      </c>
      <c r="C186" s="14" t="s">
        <v>405</v>
      </c>
      <c r="D186" s="14" t="s">
        <v>389</v>
      </c>
      <c r="F186" s="167">
        <v>0</v>
      </c>
      <c r="G186" s="27"/>
      <c r="H186" s="27">
        <f t="shared" si="93"/>
        <v>0</v>
      </c>
      <c r="I186" s="27">
        <f t="shared" si="94"/>
        <v>0</v>
      </c>
      <c r="J186" s="27"/>
      <c r="K186" s="27">
        <f t="shared" si="95"/>
        <v>0</v>
      </c>
      <c r="L186" s="27"/>
      <c r="M186" s="27">
        <f t="shared" si="96"/>
        <v>0</v>
      </c>
      <c r="N186" s="27"/>
      <c r="O186" s="27">
        <f t="shared" si="97"/>
        <v>0</v>
      </c>
      <c r="P186" s="27">
        <f t="shared" si="98"/>
        <v>0</v>
      </c>
      <c r="Q186" s="27"/>
      <c r="R186" s="27">
        <f t="shared" si="99"/>
        <v>0</v>
      </c>
      <c r="S186" s="27">
        <f t="shared" si="100"/>
        <v>0</v>
      </c>
      <c r="T186" s="27"/>
      <c r="U186" s="27">
        <f t="shared" si="101"/>
        <v>0</v>
      </c>
      <c r="V186" s="27"/>
      <c r="W186" s="27">
        <f t="shared" si="102"/>
        <v>0</v>
      </c>
      <c r="X186" s="27"/>
      <c r="Y186" s="27">
        <f t="shared" si="103"/>
        <v>0</v>
      </c>
      <c r="Z186" s="27"/>
      <c r="AA186" s="27">
        <f t="shared" si="104"/>
        <v>0</v>
      </c>
      <c r="AB186" s="27">
        <f t="shared" si="105"/>
        <v>0</v>
      </c>
      <c r="AC186" s="21" t="str">
        <f t="shared" si="106"/>
        <v>ok</v>
      </c>
    </row>
    <row r="187" spans="1:29" x14ac:dyDescent="0.25">
      <c r="A187" s="14">
        <v>564</v>
      </c>
      <c r="B187" s="14" t="s">
        <v>105</v>
      </c>
      <c r="C187" s="14" t="s">
        <v>903</v>
      </c>
      <c r="D187" s="14" t="s">
        <v>389</v>
      </c>
      <c r="F187" s="167">
        <v>0</v>
      </c>
      <c r="G187" s="27"/>
      <c r="H187" s="27">
        <f t="shared" si="93"/>
        <v>0</v>
      </c>
      <c r="I187" s="27">
        <f t="shared" si="94"/>
        <v>0</v>
      </c>
      <c r="J187" s="27"/>
      <c r="K187" s="27">
        <f t="shared" si="95"/>
        <v>0</v>
      </c>
      <c r="L187" s="27"/>
      <c r="M187" s="27">
        <f t="shared" si="96"/>
        <v>0</v>
      </c>
      <c r="N187" s="27"/>
      <c r="O187" s="27">
        <f t="shared" si="97"/>
        <v>0</v>
      </c>
      <c r="P187" s="27">
        <f t="shared" si="98"/>
        <v>0</v>
      </c>
      <c r="Q187" s="27"/>
      <c r="R187" s="27">
        <f t="shared" si="99"/>
        <v>0</v>
      </c>
      <c r="S187" s="27">
        <f t="shared" si="100"/>
        <v>0</v>
      </c>
      <c r="T187" s="27"/>
      <c r="U187" s="27">
        <f t="shared" si="101"/>
        <v>0</v>
      </c>
      <c r="V187" s="27"/>
      <c r="W187" s="27">
        <f t="shared" si="102"/>
        <v>0</v>
      </c>
      <c r="X187" s="27"/>
      <c r="Y187" s="27">
        <f t="shared" si="103"/>
        <v>0</v>
      </c>
      <c r="Z187" s="27"/>
      <c r="AA187" s="27">
        <f t="shared" si="104"/>
        <v>0</v>
      </c>
      <c r="AB187" s="27">
        <f>SUM(H187:AA187)</f>
        <v>0</v>
      </c>
      <c r="AC187" s="21" t="str">
        <f>IF(ABS(AB187-F187)&lt;1,"ok","err")</f>
        <v>ok</v>
      </c>
    </row>
    <row r="188" spans="1:29" x14ac:dyDescent="0.25">
      <c r="A188" s="14">
        <v>565</v>
      </c>
      <c r="B188" s="14" t="s">
        <v>902</v>
      </c>
      <c r="C188" s="14" t="s">
        <v>904</v>
      </c>
      <c r="D188" s="14" t="s">
        <v>389</v>
      </c>
      <c r="F188" s="167">
        <v>0</v>
      </c>
      <c r="G188" s="27"/>
      <c r="H188" s="27">
        <f t="shared" si="93"/>
        <v>0</v>
      </c>
      <c r="I188" s="27">
        <f t="shared" si="94"/>
        <v>0</v>
      </c>
      <c r="J188" s="27"/>
      <c r="K188" s="27">
        <f t="shared" si="95"/>
        <v>0</v>
      </c>
      <c r="L188" s="27"/>
      <c r="M188" s="27">
        <f t="shared" si="96"/>
        <v>0</v>
      </c>
      <c r="N188" s="27"/>
      <c r="O188" s="27">
        <f t="shared" si="97"/>
        <v>0</v>
      </c>
      <c r="P188" s="27">
        <f t="shared" si="98"/>
        <v>0</v>
      </c>
      <c r="Q188" s="27"/>
      <c r="R188" s="27">
        <f t="shared" si="99"/>
        <v>0</v>
      </c>
      <c r="S188" s="27">
        <f t="shared" si="100"/>
        <v>0</v>
      </c>
      <c r="T188" s="27"/>
      <c r="U188" s="27">
        <f t="shared" si="101"/>
        <v>0</v>
      </c>
      <c r="V188" s="27"/>
      <c r="W188" s="27">
        <f t="shared" si="102"/>
        <v>0</v>
      </c>
      <c r="X188" s="27"/>
      <c r="Y188" s="27">
        <f t="shared" si="103"/>
        <v>0</v>
      </c>
      <c r="Z188" s="27"/>
      <c r="AA188" s="27">
        <f t="shared" si="104"/>
        <v>0</v>
      </c>
      <c r="AB188" s="27">
        <f>SUM(H188:AA188)</f>
        <v>0</v>
      </c>
      <c r="AC188" s="21" t="str">
        <f>IF(ABS(AB188-F188)&lt;1,"ok","err")</f>
        <v>ok</v>
      </c>
    </row>
    <row r="189" spans="1:29" x14ac:dyDescent="0.25">
      <c r="A189" s="14">
        <v>566</v>
      </c>
      <c r="B189" s="14" t="s">
        <v>584</v>
      </c>
      <c r="C189" s="14" t="s">
        <v>585</v>
      </c>
      <c r="D189" s="14" t="s">
        <v>389</v>
      </c>
      <c r="F189" s="167">
        <v>0</v>
      </c>
      <c r="G189" s="27"/>
      <c r="H189" s="27">
        <f t="shared" si="93"/>
        <v>0</v>
      </c>
      <c r="I189" s="27">
        <f t="shared" si="94"/>
        <v>0</v>
      </c>
      <c r="J189" s="27"/>
      <c r="K189" s="27">
        <f t="shared" si="95"/>
        <v>0</v>
      </c>
      <c r="L189" s="27"/>
      <c r="M189" s="27">
        <f t="shared" si="96"/>
        <v>0</v>
      </c>
      <c r="N189" s="27"/>
      <c r="O189" s="27">
        <f t="shared" si="97"/>
        <v>0</v>
      </c>
      <c r="P189" s="27">
        <f t="shared" si="98"/>
        <v>0</v>
      </c>
      <c r="Q189" s="27"/>
      <c r="R189" s="27">
        <f t="shared" si="99"/>
        <v>0</v>
      </c>
      <c r="S189" s="27">
        <f t="shared" si="100"/>
        <v>0</v>
      </c>
      <c r="T189" s="27"/>
      <c r="U189" s="27">
        <f t="shared" si="101"/>
        <v>0</v>
      </c>
      <c r="V189" s="27"/>
      <c r="W189" s="27">
        <f t="shared" si="102"/>
        <v>0</v>
      </c>
      <c r="X189" s="27"/>
      <c r="Y189" s="27">
        <f t="shared" si="103"/>
        <v>0</v>
      </c>
      <c r="Z189" s="27"/>
      <c r="AA189" s="27">
        <f t="shared" si="104"/>
        <v>0</v>
      </c>
      <c r="AB189" s="27">
        <f>SUM(H189:AA189)</f>
        <v>0</v>
      </c>
      <c r="AC189" s="21" t="str">
        <f>IF(ABS(AB189-F189)&lt;1,"ok","err")</f>
        <v>ok</v>
      </c>
    </row>
    <row r="190" spans="1:29" x14ac:dyDescent="0.25">
      <c r="A190" s="14">
        <v>567</v>
      </c>
      <c r="B190" s="14" t="s">
        <v>115</v>
      </c>
      <c r="C190" s="14" t="s">
        <v>905</v>
      </c>
      <c r="D190" s="14" t="s">
        <v>389</v>
      </c>
      <c r="F190" s="167">
        <v>0</v>
      </c>
      <c r="G190" s="27"/>
      <c r="H190" s="27">
        <f t="shared" si="93"/>
        <v>0</v>
      </c>
      <c r="I190" s="27">
        <f t="shared" si="94"/>
        <v>0</v>
      </c>
      <c r="J190" s="27"/>
      <c r="K190" s="27">
        <f t="shared" si="95"/>
        <v>0</v>
      </c>
      <c r="L190" s="27"/>
      <c r="M190" s="27">
        <f t="shared" si="96"/>
        <v>0</v>
      </c>
      <c r="N190" s="27"/>
      <c r="O190" s="27">
        <f t="shared" si="97"/>
        <v>0</v>
      </c>
      <c r="P190" s="27">
        <f t="shared" si="98"/>
        <v>0</v>
      </c>
      <c r="Q190" s="27"/>
      <c r="R190" s="27">
        <f t="shared" si="99"/>
        <v>0</v>
      </c>
      <c r="S190" s="27">
        <f t="shared" si="100"/>
        <v>0</v>
      </c>
      <c r="T190" s="27"/>
      <c r="U190" s="27">
        <f t="shared" si="101"/>
        <v>0</v>
      </c>
      <c r="V190" s="27"/>
      <c r="W190" s="27">
        <f t="shared" si="102"/>
        <v>0</v>
      </c>
      <c r="X190" s="27"/>
      <c r="Y190" s="27">
        <f t="shared" si="103"/>
        <v>0</v>
      </c>
      <c r="Z190" s="27"/>
      <c r="AA190" s="27">
        <f t="shared" si="104"/>
        <v>0</v>
      </c>
      <c r="AB190" s="27">
        <f>SUM(H190:AA190)</f>
        <v>0</v>
      </c>
      <c r="AC190" s="21" t="str">
        <f>IF(ABS(AB190-F190)&lt;1,"ok","err")</f>
        <v>ok</v>
      </c>
    </row>
    <row r="191" spans="1:29" x14ac:dyDescent="0.25">
      <c r="A191" s="14">
        <v>568</v>
      </c>
      <c r="B191" s="14" t="s">
        <v>906</v>
      </c>
      <c r="C191" s="14" t="s">
        <v>406</v>
      </c>
      <c r="D191" s="14" t="s">
        <v>389</v>
      </c>
      <c r="F191" s="167">
        <v>0</v>
      </c>
      <c r="G191" s="27"/>
      <c r="H191" s="27">
        <f t="shared" si="93"/>
        <v>0</v>
      </c>
      <c r="I191" s="27">
        <f t="shared" si="94"/>
        <v>0</v>
      </c>
      <c r="J191" s="27"/>
      <c r="K191" s="27">
        <f t="shared" si="95"/>
        <v>0</v>
      </c>
      <c r="L191" s="27"/>
      <c r="M191" s="27">
        <f t="shared" si="96"/>
        <v>0</v>
      </c>
      <c r="N191" s="27"/>
      <c r="O191" s="27">
        <f t="shared" si="97"/>
        <v>0</v>
      </c>
      <c r="P191" s="27">
        <f t="shared" si="98"/>
        <v>0</v>
      </c>
      <c r="Q191" s="27"/>
      <c r="R191" s="27">
        <f t="shared" si="99"/>
        <v>0</v>
      </c>
      <c r="S191" s="27">
        <f t="shared" si="100"/>
        <v>0</v>
      </c>
      <c r="T191" s="27"/>
      <c r="U191" s="27">
        <f t="shared" si="101"/>
        <v>0</v>
      </c>
      <c r="V191" s="27"/>
      <c r="W191" s="27">
        <f t="shared" si="102"/>
        <v>0</v>
      </c>
      <c r="X191" s="27"/>
      <c r="Y191" s="27">
        <f t="shared" si="103"/>
        <v>0</v>
      </c>
      <c r="Z191" s="27"/>
      <c r="AA191" s="27">
        <f t="shared" si="104"/>
        <v>0</v>
      </c>
      <c r="AB191" s="27">
        <f>SUM(H191:AA191)</f>
        <v>0</v>
      </c>
      <c r="AC191" s="21" t="str">
        <f>IF(ABS(AB191-F191)&lt;1,"ok","err")</f>
        <v>ok</v>
      </c>
    </row>
    <row r="192" spans="1:29" x14ac:dyDescent="0.25">
      <c r="A192" s="14">
        <v>569</v>
      </c>
      <c r="B192" s="14" t="s">
        <v>799</v>
      </c>
      <c r="C192" s="14" t="s">
        <v>907</v>
      </c>
      <c r="D192" s="14" t="s">
        <v>389</v>
      </c>
      <c r="F192" s="167">
        <v>0</v>
      </c>
      <c r="G192" s="27"/>
      <c r="H192" s="27">
        <f t="shared" si="93"/>
        <v>0</v>
      </c>
      <c r="I192" s="27">
        <f t="shared" si="94"/>
        <v>0</v>
      </c>
      <c r="J192" s="27"/>
      <c r="K192" s="27">
        <f t="shared" si="95"/>
        <v>0</v>
      </c>
      <c r="L192" s="27"/>
      <c r="M192" s="27">
        <f t="shared" si="96"/>
        <v>0</v>
      </c>
      <c r="N192" s="27"/>
      <c r="O192" s="27">
        <f t="shared" si="97"/>
        <v>0</v>
      </c>
      <c r="P192" s="27">
        <f t="shared" si="98"/>
        <v>0</v>
      </c>
      <c r="Q192" s="27"/>
      <c r="R192" s="27">
        <f t="shared" si="99"/>
        <v>0</v>
      </c>
      <c r="S192" s="27">
        <f t="shared" si="100"/>
        <v>0</v>
      </c>
      <c r="T192" s="27"/>
      <c r="U192" s="27">
        <f t="shared" si="101"/>
        <v>0</v>
      </c>
      <c r="V192" s="27"/>
      <c r="W192" s="27">
        <f t="shared" si="102"/>
        <v>0</v>
      </c>
      <c r="X192" s="27"/>
      <c r="Y192" s="27">
        <f t="shared" si="103"/>
        <v>0</v>
      </c>
      <c r="Z192" s="27"/>
      <c r="AA192" s="27">
        <f t="shared" si="104"/>
        <v>0</v>
      </c>
      <c r="AB192" s="27">
        <f t="shared" si="105"/>
        <v>0</v>
      </c>
      <c r="AC192" s="21" t="str">
        <f t="shared" si="106"/>
        <v>ok</v>
      </c>
    </row>
    <row r="193" spans="1:29" x14ac:dyDescent="0.25">
      <c r="A193" s="14">
        <v>570</v>
      </c>
      <c r="B193" s="14" t="s">
        <v>374</v>
      </c>
      <c r="C193" s="14" t="s">
        <v>407</v>
      </c>
      <c r="D193" s="14" t="s">
        <v>389</v>
      </c>
      <c r="F193" s="167">
        <v>0</v>
      </c>
      <c r="G193" s="27"/>
      <c r="H193" s="27">
        <f t="shared" si="93"/>
        <v>0</v>
      </c>
      <c r="I193" s="27">
        <f t="shared" si="94"/>
        <v>0</v>
      </c>
      <c r="J193" s="27"/>
      <c r="K193" s="27">
        <f t="shared" si="95"/>
        <v>0</v>
      </c>
      <c r="L193" s="27"/>
      <c r="M193" s="27">
        <f t="shared" si="96"/>
        <v>0</v>
      </c>
      <c r="N193" s="27"/>
      <c r="O193" s="27">
        <f t="shared" si="97"/>
        <v>0</v>
      </c>
      <c r="P193" s="27">
        <f t="shared" si="98"/>
        <v>0</v>
      </c>
      <c r="Q193" s="27"/>
      <c r="R193" s="27">
        <f t="shared" si="99"/>
        <v>0</v>
      </c>
      <c r="S193" s="27">
        <f t="shared" si="100"/>
        <v>0</v>
      </c>
      <c r="T193" s="27"/>
      <c r="U193" s="27">
        <f t="shared" si="101"/>
        <v>0</v>
      </c>
      <c r="V193" s="27"/>
      <c r="W193" s="27">
        <f t="shared" si="102"/>
        <v>0</v>
      </c>
      <c r="X193" s="27"/>
      <c r="Y193" s="27">
        <f t="shared" si="103"/>
        <v>0</v>
      </c>
      <c r="Z193" s="27"/>
      <c r="AA193" s="27">
        <f t="shared" si="104"/>
        <v>0</v>
      </c>
      <c r="AB193" s="27">
        <f t="shared" si="105"/>
        <v>0</v>
      </c>
      <c r="AC193" s="21" t="str">
        <f t="shared" si="106"/>
        <v>ok</v>
      </c>
    </row>
    <row r="194" spans="1:29" x14ac:dyDescent="0.25">
      <c r="A194" s="14">
        <v>571</v>
      </c>
      <c r="B194" s="14" t="s">
        <v>375</v>
      </c>
      <c r="C194" s="14" t="s">
        <v>408</v>
      </c>
      <c r="D194" s="14" t="s">
        <v>389</v>
      </c>
      <c r="F194" s="167">
        <v>0</v>
      </c>
      <c r="G194" s="27"/>
      <c r="H194" s="27">
        <f t="shared" si="93"/>
        <v>0</v>
      </c>
      <c r="I194" s="27">
        <f t="shared" si="94"/>
        <v>0</v>
      </c>
      <c r="J194" s="27"/>
      <c r="K194" s="27">
        <f t="shared" si="95"/>
        <v>0</v>
      </c>
      <c r="L194" s="27"/>
      <c r="M194" s="27">
        <f t="shared" si="96"/>
        <v>0</v>
      </c>
      <c r="N194" s="27"/>
      <c r="O194" s="27">
        <f t="shared" si="97"/>
        <v>0</v>
      </c>
      <c r="P194" s="27">
        <f t="shared" si="98"/>
        <v>0</v>
      </c>
      <c r="Q194" s="27"/>
      <c r="R194" s="27">
        <f t="shared" si="99"/>
        <v>0</v>
      </c>
      <c r="S194" s="27">
        <f t="shared" si="100"/>
        <v>0</v>
      </c>
      <c r="T194" s="27"/>
      <c r="U194" s="27">
        <f t="shared" si="101"/>
        <v>0</v>
      </c>
      <c r="V194" s="27"/>
      <c r="W194" s="27">
        <f t="shared" si="102"/>
        <v>0</v>
      </c>
      <c r="X194" s="27"/>
      <c r="Y194" s="27">
        <f t="shared" si="103"/>
        <v>0</v>
      </c>
      <c r="Z194" s="27"/>
      <c r="AA194" s="27">
        <f t="shared" si="104"/>
        <v>0</v>
      </c>
      <c r="AB194" s="27">
        <f t="shared" si="105"/>
        <v>0</v>
      </c>
      <c r="AC194" s="21" t="str">
        <f t="shared" si="106"/>
        <v>ok</v>
      </c>
    </row>
    <row r="195" spans="1:29" x14ac:dyDescent="0.25">
      <c r="A195" s="14">
        <v>572</v>
      </c>
      <c r="B195" s="14" t="s">
        <v>913</v>
      </c>
      <c r="C195" s="14" t="s">
        <v>910</v>
      </c>
      <c r="D195" s="14" t="s">
        <v>389</v>
      </c>
      <c r="F195" s="167">
        <v>0</v>
      </c>
      <c r="G195" s="27"/>
      <c r="H195" s="27">
        <f t="shared" si="93"/>
        <v>0</v>
      </c>
      <c r="I195" s="27">
        <f t="shared" si="94"/>
        <v>0</v>
      </c>
      <c r="J195" s="27"/>
      <c r="K195" s="27">
        <f t="shared" si="95"/>
        <v>0</v>
      </c>
      <c r="L195" s="27"/>
      <c r="M195" s="27">
        <f t="shared" si="96"/>
        <v>0</v>
      </c>
      <c r="N195" s="27"/>
      <c r="O195" s="27">
        <f t="shared" si="97"/>
        <v>0</v>
      </c>
      <c r="P195" s="27">
        <f t="shared" si="98"/>
        <v>0</v>
      </c>
      <c r="Q195" s="27"/>
      <c r="R195" s="27">
        <f t="shared" si="99"/>
        <v>0</v>
      </c>
      <c r="S195" s="27">
        <f t="shared" si="100"/>
        <v>0</v>
      </c>
      <c r="T195" s="27"/>
      <c r="U195" s="27">
        <f t="shared" si="101"/>
        <v>0</v>
      </c>
      <c r="V195" s="27"/>
      <c r="W195" s="27">
        <f t="shared" si="102"/>
        <v>0</v>
      </c>
      <c r="X195" s="27"/>
      <c r="Y195" s="27">
        <f t="shared" si="103"/>
        <v>0</v>
      </c>
      <c r="Z195" s="27"/>
      <c r="AA195" s="27">
        <f t="shared" si="104"/>
        <v>0</v>
      </c>
      <c r="AB195" s="27">
        <f>SUM(H195:AA195)</f>
        <v>0</v>
      </c>
      <c r="AC195" s="21" t="str">
        <f>IF(ABS(AB195-F195)&lt;1,"ok","err")</f>
        <v>ok</v>
      </c>
    </row>
    <row r="196" spans="1:29" x14ac:dyDescent="0.25">
      <c r="A196" s="14">
        <v>573</v>
      </c>
      <c r="B196" s="14" t="s">
        <v>908</v>
      </c>
      <c r="C196" s="14" t="s">
        <v>911</v>
      </c>
      <c r="D196" s="14" t="s">
        <v>389</v>
      </c>
      <c r="F196" s="167">
        <v>0</v>
      </c>
      <c r="G196" s="27"/>
      <c r="H196" s="27">
        <f t="shared" si="93"/>
        <v>0</v>
      </c>
      <c r="I196" s="27">
        <f t="shared" si="94"/>
        <v>0</v>
      </c>
      <c r="J196" s="27"/>
      <c r="K196" s="27">
        <f t="shared" si="95"/>
        <v>0</v>
      </c>
      <c r="L196" s="27"/>
      <c r="M196" s="27">
        <f t="shared" si="96"/>
        <v>0</v>
      </c>
      <c r="N196" s="27"/>
      <c r="O196" s="27">
        <f t="shared" si="97"/>
        <v>0</v>
      </c>
      <c r="P196" s="27">
        <f t="shared" si="98"/>
        <v>0</v>
      </c>
      <c r="Q196" s="27"/>
      <c r="R196" s="27">
        <f t="shared" si="99"/>
        <v>0</v>
      </c>
      <c r="S196" s="27">
        <f t="shared" si="100"/>
        <v>0</v>
      </c>
      <c r="T196" s="27"/>
      <c r="U196" s="27">
        <f t="shared" si="101"/>
        <v>0</v>
      </c>
      <c r="V196" s="27"/>
      <c r="W196" s="27">
        <f t="shared" si="102"/>
        <v>0</v>
      </c>
      <c r="X196" s="27"/>
      <c r="Y196" s="27">
        <f t="shared" si="103"/>
        <v>0</v>
      </c>
      <c r="Z196" s="27"/>
      <c r="AA196" s="27">
        <f t="shared" si="104"/>
        <v>0</v>
      </c>
      <c r="AB196" s="27">
        <f>SUM(H196:AA196)</f>
        <v>0</v>
      </c>
      <c r="AC196" s="21" t="str">
        <f>IF(ABS(AB196-F196)&lt;1,"ok","err")</f>
        <v>ok</v>
      </c>
    </row>
    <row r="197" spans="1:29" x14ac:dyDescent="0.25">
      <c r="A197" s="14">
        <v>574</v>
      </c>
      <c r="B197" s="14" t="s">
        <v>909</v>
      </c>
      <c r="C197" s="14" t="s">
        <v>912</v>
      </c>
      <c r="D197" s="14" t="s">
        <v>389</v>
      </c>
      <c r="F197" s="167">
        <v>0</v>
      </c>
      <c r="G197" s="27"/>
      <c r="H197" s="27">
        <f t="shared" si="93"/>
        <v>0</v>
      </c>
      <c r="I197" s="27">
        <f t="shared" si="94"/>
        <v>0</v>
      </c>
      <c r="J197" s="27"/>
      <c r="K197" s="27">
        <f t="shared" si="95"/>
        <v>0</v>
      </c>
      <c r="L197" s="27"/>
      <c r="M197" s="27">
        <f t="shared" si="96"/>
        <v>0</v>
      </c>
      <c r="N197" s="27"/>
      <c r="O197" s="27">
        <f t="shared" si="97"/>
        <v>0</v>
      </c>
      <c r="P197" s="27">
        <f t="shared" si="98"/>
        <v>0</v>
      </c>
      <c r="Q197" s="27"/>
      <c r="R197" s="27">
        <f t="shared" si="99"/>
        <v>0</v>
      </c>
      <c r="S197" s="27">
        <f t="shared" si="100"/>
        <v>0</v>
      </c>
      <c r="T197" s="27"/>
      <c r="U197" s="27">
        <f t="shared" si="101"/>
        <v>0</v>
      </c>
      <c r="V197" s="27"/>
      <c r="W197" s="27">
        <f t="shared" si="102"/>
        <v>0</v>
      </c>
      <c r="X197" s="27"/>
      <c r="Y197" s="27">
        <f t="shared" si="103"/>
        <v>0</v>
      </c>
      <c r="Z197" s="27"/>
      <c r="AA197" s="27">
        <f t="shared" si="104"/>
        <v>0</v>
      </c>
      <c r="AB197" s="27">
        <f t="shared" si="105"/>
        <v>0</v>
      </c>
      <c r="AC197" s="21" t="str">
        <f t="shared" si="106"/>
        <v>ok</v>
      </c>
    </row>
    <row r="198" spans="1:29" x14ac:dyDescent="0.25">
      <c r="F198" s="174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27"/>
      <c r="AC198" s="21"/>
    </row>
    <row r="199" spans="1:29" x14ac:dyDescent="0.25">
      <c r="A199" s="14" t="s">
        <v>376</v>
      </c>
      <c r="F199" s="175">
        <f>SUM(F183:F197)</f>
        <v>0</v>
      </c>
      <c r="G199" s="64"/>
      <c r="H199" s="64">
        <f t="shared" ref="H199:AA199" si="107">SUM(H183:H197)</f>
        <v>0</v>
      </c>
      <c r="I199" s="64">
        <f t="shared" si="107"/>
        <v>0</v>
      </c>
      <c r="J199" s="64"/>
      <c r="K199" s="64">
        <f t="shared" si="107"/>
        <v>0</v>
      </c>
      <c r="L199" s="64"/>
      <c r="M199" s="64">
        <f t="shared" si="107"/>
        <v>0</v>
      </c>
      <c r="N199" s="64"/>
      <c r="O199" s="64">
        <f t="shared" si="107"/>
        <v>0</v>
      </c>
      <c r="P199" s="64">
        <f t="shared" si="107"/>
        <v>0</v>
      </c>
      <c r="Q199" s="64"/>
      <c r="R199" s="64">
        <f t="shared" si="107"/>
        <v>0</v>
      </c>
      <c r="S199" s="64">
        <f t="shared" si="107"/>
        <v>0</v>
      </c>
      <c r="T199" s="64"/>
      <c r="U199" s="64">
        <f t="shared" si="107"/>
        <v>0</v>
      </c>
      <c r="V199" s="64"/>
      <c r="W199" s="64">
        <f t="shared" si="107"/>
        <v>0</v>
      </c>
      <c r="X199" s="64"/>
      <c r="Y199" s="64">
        <f t="shared" si="107"/>
        <v>0</v>
      </c>
      <c r="Z199" s="64"/>
      <c r="AA199" s="64">
        <f t="shared" si="107"/>
        <v>0</v>
      </c>
      <c r="AB199" s="40">
        <f>SUM(H199:AA199)</f>
        <v>0</v>
      </c>
      <c r="AC199" s="21" t="str">
        <f>IF(ABS(AB199-F199)&lt;1,"ok","err")</f>
        <v>ok</v>
      </c>
    </row>
    <row r="200" spans="1:29" x14ac:dyDescent="0.25">
      <c r="B200" s="64"/>
      <c r="Q200" s="14"/>
      <c r="AC200" s="21"/>
    </row>
    <row r="201" spans="1:29" x14ac:dyDescent="0.25">
      <c r="A201" s="13" t="s">
        <v>98</v>
      </c>
      <c r="Q201" s="14"/>
      <c r="AC201" s="21"/>
    </row>
    <row r="202" spans="1:29" x14ac:dyDescent="0.25">
      <c r="A202" s="14">
        <v>580</v>
      </c>
      <c r="B202" s="14" t="s">
        <v>99</v>
      </c>
      <c r="C202" s="14" t="s">
        <v>100</v>
      </c>
      <c r="D202" s="14" t="s">
        <v>16</v>
      </c>
      <c r="F202" s="174">
        <v>276113.09999999998</v>
      </c>
      <c r="G202" s="40"/>
      <c r="H202" s="27">
        <f t="shared" ref="H202:H213" si="108">IF(VLOOKUP($D202,$C$5:$AA$496,6,)=0,0,((VLOOKUP($D202,$C$5:$AA$496,6,)/VLOOKUP($D202,$C$5:$AA$496,4,))*$F202))</f>
        <v>0</v>
      </c>
      <c r="I202" s="27">
        <f t="shared" ref="I202:I213" si="109">IF(VLOOKUP($D202,$C$5:$AA$496,7,)=0,0,((VLOOKUP($D202,$C$5:$AA$496,7,)/VLOOKUP($D202,$C$5:$AA$496,4,))*$F202))</f>
        <v>0</v>
      </c>
      <c r="J202" s="27"/>
      <c r="K202" s="27">
        <f t="shared" ref="K202:K213" si="110">IF(VLOOKUP($D202,$C$5:$AA$496,9,)=0,0,((VLOOKUP($D202,$C$5:$AA$496,9,)/VLOOKUP($D202,$C$5:$AA$496,4,))*$F202))</f>
        <v>0</v>
      </c>
      <c r="L202" s="27"/>
      <c r="M202" s="27">
        <f t="shared" ref="M202:M213" si="111">IF(VLOOKUP($D202,$C$5:$AA$496,11,)=0,0,((VLOOKUP($D202,$C$5:$AA$496,11,)/VLOOKUP($D202,$C$5:$AA$496,4,))*$F202))</f>
        <v>0</v>
      </c>
      <c r="N202" s="27"/>
      <c r="O202" s="27">
        <f t="shared" ref="O202:O213" si="112">IF(VLOOKUP($D202,$C$5:$AA$496,13,)=0,0,((VLOOKUP($D202,$C$5:$AA$496,13,)/VLOOKUP($D202,$C$5:$AA$496,4,))*$F202))</f>
        <v>115491.00632933054</v>
      </c>
      <c r="P202" s="27">
        <f t="shared" ref="P202:P213" si="113">IF(VLOOKUP($D202,$C$5:$AA$496,14,)=0,0,((VLOOKUP($D202,$C$5:$AA$496,14,)/VLOOKUP($D202,$C$5:$AA$496,4,))*$F202))</f>
        <v>114047.00139911704</v>
      </c>
      <c r="Q202" s="27"/>
      <c r="R202" s="27">
        <f t="shared" ref="R202:R213" si="114">IF(VLOOKUP($D202,$C$5:$AA$496,16,)=0,0,((VLOOKUP($D202,$C$5:$AA$496,16,)/VLOOKUP($D202,$C$5:$AA$496,4,))*$F202))</f>
        <v>0</v>
      </c>
      <c r="S202" s="27">
        <f t="shared" ref="S202:S213" si="115">IF(VLOOKUP($D202,$C$5:$AA$496,17,)=0,0,((VLOOKUP($D202,$C$5:$AA$496,17,)/VLOOKUP($D202,$C$5:$AA$496,4,))*$F202))</f>
        <v>18395.132856031414</v>
      </c>
      <c r="T202" s="27"/>
      <c r="U202" s="27">
        <f t="shared" ref="U202:U213" si="116">IF(VLOOKUP($D202,$C$5:$AA$496,19,)=0,0,((VLOOKUP($D202,$C$5:$AA$496,19,)/VLOOKUP($D202,$C$5:$AA$496,4,))*$F202))</f>
        <v>18110.019477614173</v>
      </c>
      <c r="V202" s="27"/>
      <c r="W202" s="27">
        <f t="shared" ref="W202:W213" si="117">IF(VLOOKUP($D202,$C$5:$AA$496,21,)=0,0,((VLOOKUP($D202,$C$5:$AA$496,21,)/VLOOKUP($D202,$C$5:$AA$496,4,))*$F202))</f>
        <v>10069.939937906844</v>
      </c>
      <c r="X202" s="27"/>
      <c r="Y202" s="27">
        <f t="shared" ref="Y202:Y213" si="118">IF(VLOOKUP($D202,$C$5:$AA$496,23,)=0,0,((VLOOKUP($D202,$C$5:$AA$496,23,)/VLOOKUP($D202,$C$5:$AA$496,4,))*$F202))</f>
        <v>0</v>
      </c>
      <c r="Z202" s="27"/>
      <c r="AA202" s="27">
        <f t="shared" ref="AA202:AA213" si="119">IF(VLOOKUP($D202,$C$5:$AA$496,25,)=0,0,((VLOOKUP($D202,$C$5:$AA$496,25,)/VLOOKUP($D202,$C$5:$AA$496,4,))*$F202))</f>
        <v>0</v>
      </c>
      <c r="AB202" s="27">
        <f t="shared" ref="AB202:AB213" si="120">SUM(H202:AA202)</f>
        <v>276113.10000000003</v>
      </c>
      <c r="AC202" s="21" t="str">
        <f t="shared" ref="AC202:AC213" si="121">IF(ABS(AB202-F202)&lt;1,"ok","err")</f>
        <v>ok</v>
      </c>
    </row>
    <row r="203" spans="1:29" x14ac:dyDescent="0.25">
      <c r="A203" s="14">
        <v>581</v>
      </c>
      <c r="B203" s="14" t="s">
        <v>101</v>
      </c>
      <c r="C203" s="14" t="s">
        <v>102</v>
      </c>
      <c r="D203" s="14" t="s">
        <v>23</v>
      </c>
      <c r="F203" s="167">
        <v>0</v>
      </c>
      <c r="G203" s="27"/>
      <c r="H203" s="27">
        <f t="shared" si="108"/>
        <v>0</v>
      </c>
      <c r="I203" s="27">
        <f t="shared" si="109"/>
        <v>0</v>
      </c>
      <c r="J203" s="27"/>
      <c r="K203" s="27">
        <f t="shared" si="110"/>
        <v>0</v>
      </c>
      <c r="L203" s="27"/>
      <c r="M203" s="27">
        <f t="shared" si="111"/>
        <v>0</v>
      </c>
      <c r="N203" s="27"/>
      <c r="O203" s="27">
        <f t="shared" si="112"/>
        <v>0</v>
      </c>
      <c r="P203" s="27">
        <f t="shared" si="113"/>
        <v>0</v>
      </c>
      <c r="Q203" s="27"/>
      <c r="R203" s="27">
        <f t="shared" si="114"/>
        <v>0</v>
      </c>
      <c r="S203" s="27">
        <f t="shared" si="115"/>
        <v>0</v>
      </c>
      <c r="T203" s="27"/>
      <c r="U203" s="27">
        <f t="shared" si="116"/>
        <v>0</v>
      </c>
      <c r="V203" s="27"/>
      <c r="W203" s="27">
        <f t="shared" si="117"/>
        <v>0</v>
      </c>
      <c r="X203" s="27"/>
      <c r="Y203" s="27">
        <f t="shared" si="118"/>
        <v>0</v>
      </c>
      <c r="Z203" s="27"/>
      <c r="AA203" s="27">
        <f t="shared" si="119"/>
        <v>0</v>
      </c>
      <c r="AB203" s="27">
        <f t="shared" si="120"/>
        <v>0</v>
      </c>
      <c r="AC203" s="21" t="str">
        <f t="shared" si="121"/>
        <v>ok</v>
      </c>
    </row>
    <row r="204" spans="1:29" x14ac:dyDescent="0.25">
      <c r="A204" s="14">
        <v>582</v>
      </c>
      <c r="B204" s="14" t="s">
        <v>371</v>
      </c>
      <c r="C204" s="14" t="s">
        <v>377</v>
      </c>
      <c r="D204" s="178" t="s">
        <v>29</v>
      </c>
      <c r="F204" s="167">
        <v>3309.34</v>
      </c>
      <c r="G204" s="27"/>
      <c r="H204" s="27">
        <f t="shared" si="108"/>
        <v>0</v>
      </c>
      <c r="I204" s="27">
        <f t="shared" si="109"/>
        <v>0</v>
      </c>
      <c r="J204" s="27"/>
      <c r="K204" s="27">
        <f t="shared" si="110"/>
        <v>0</v>
      </c>
      <c r="L204" s="27"/>
      <c r="M204" s="27">
        <f t="shared" si="111"/>
        <v>0</v>
      </c>
      <c r="N204" s="27"/>
      <c r="O204" s="27">
        <f t="shared" si="112"/>
        <v>1963.8874412988962</v>
      </c>
      <c r="P204" s="27">
        <f t="shared" si="113"/>
        <v>1345.452558701104</v>
      </c>
      <c r="Q204" s="27"/>
      <c r="R204" s="27">
        <f t="shared" si="114"/>
        <v>0</v>
      </c>
      <c r="S204" s="27">
        <f t="shared" si="115"/>
        <v>0</v>
      </c>
      <c r="T204" s="27"/>
      <c r="U204" s="27">
        <f t="shared" si="116"/>
        <v>0</v>
      </c>
      <c r="V204" s="27"/>
      <c r="W204" s="27">
        <f t="shared" si="117"/>
        <v>0</v>
      </c>
      <c r="X204" s="27"/>
      <c r="Y204" s="27">
        <f t="shared" si="118"/>
        <v>0</v>
      </c>
      <c r="Z204" s="27"/>
      <c r="AA204" s="27">
        <f t="shared" si="119"/>
        <v>0</v>
      </c>
      <c r="AB204" s="27">
        <f t="shared" ref="AB204" si="122">SUM(H204:AA204)</f>
        <v>3309.34</v>
      </c>
      <c r="AC204" s="21" t="str">
        <f t="shared" si="121"/>
        <v>ok</v>
      </c>
    </row>
    <row r="205" spans="1:29" x14ac:dyDescent="0.25">
      <c r="A205" s="14">
        <v>583</v>
      </c>
      <c r="B205" s="14" t="s">
        <v>103</v>
      </c>
      <c r="C205" s="14" t="s">
        <v>104</v>
      </c>
      <c r="D205" s="14" t="s">
        <v>29</v>
      </c>
      <c r="F205" s="167">
        <v>1306093.52</v>
      </c>
      <c r="G205" s="27"/>
      <c r="H205" s="27">
        <f t="shared" si="108"/>
        <v>0</v>
      </c>
      <c r="I205" s="27">
        <f t="shared" si="109"/>
        <v>0</v>
      </c>
      <c r="J205" s="27"/>
      <c r="K205" s="27">
        <f t="shared" si="110"/>
        <v>0</v>
      </c>
      <c r="L205" s="27"/>
      <c r="M205" s="27">
        <f t="shared" si="111"/>
        <v>0</v>
      </c>
      <c r="N205" s="27"/>
      <c r="O205" s="27">
        <f t="shared" si="112"/>
        <v>775085.26204314712</v>
      </c>
      <c r="P205" s="27">
        <f t="shared" si="113"/>
        <v>531008.2579568529</v>
      </c>
      <c r="Q205" s="27"/>
      <c r="R205" s="27">
        <f t="shared" si="114"/>
        <v>0</v>
      </c>
      <c r="S205" s="27">
        <f t="shared" si="115"/>
        <v>0</v>
      </c>
      <c r="T205" s="27"/>
      <c r="U205" s="27">
        <f t="shared" si="116"/>
        <v>0</v>
      </c>
      <c r="V205" s="27"/>
      <c r="W205" s="27">
        <f t="shared" si="117"/>
        <v>0</v>
      </c>
      <c r="X205" s="27"/>
      <c r="Y205" s="27">
        <f t="shared" si="118"/>
        <v>0</v>
      </c>
      <c r="Z205" s="27"/>
      <c r="AA205" s="27">
        <f t="shared" si="119"/>
        <v>0</v>
      </c>
      <c r="AB205" s="27">
        <f t="shared" ref="AB205" si="123">SUM(H205:AA205)</f>
        <v>1306093.52</v>
      </c>
      <c r="AC205" s="21" t="str">
        <f t="shared" si="121"/>
        <v>ok</v>
      </c>
    </row>
    <row r="206" spans="1:29" x14ac:dyDescent="0.25">
      <c r="A206" s="14">
        <v>584</v>
      </c>
      <c r="B206" s="14" t="s">
        <v>105</v>
      </c>
      <c r="C206" s="14" t="s">
        <v>106</v>
      </c>
      <c r="D206" s="14" t="s">
        <v>35</v>
      </c>
      <c r="F206" s="167">
        <v>32354.74</v>
      </c>
      <c r="G206" s="27"/>
      <c r="H206" s="27">
        <f t="shared" si="108"/>
        <v>0</v>
      </c>
      <c r="I206" s="27">
        <f t="shared" si="109"/>
        <v>0</v>
      </c>
      <c r="J206" s="27"/>
      <c r="K206" s="27">
        <f t="shared" si="110"/>
        <v>0</v>
      </c>
      <c r="L206" s="27"/>
      <c r="M206" s="27">
        <f t="shared" si="111"/>
        <v>0</v>
      </c>
      <c r="N206" s="27"/>
      <c r="O206" s="27">
        <f t="shared" si="112"/>
        <v>3005.886538324678</v>
      </c>
      <c r="P206" s="27">
        <f t="shared" si="113"/>
        <v>29348.853461675324</v>
      </c>
      <c r="Q206" s="27"/>
      <c r="R206" s="27">
        <f t="shared" si="114"/>
        <v>0</v>
      </c>
      <c r="S206" s="27">
        <f t="shared" si="115"/>
        <v>0</v>
      </c>
      <c r="T206" s="27"/>
      <c r="U206" s="27">
        <f t="shared" si="116"/>
        <v>0</v>
      </c>
      <c r="V206" s="27"/>
      <c r="W206" s="27">
        <f t="shared" si="117"/>
        <v>0</v>
      </c>
      <c r="X206" s="27"/>
      <c r="Y206" s="27">
        <f t="shared" si="118"/>
        <v>0</v>
      </c>
      <c r="Z206" s="27"/>
      <c r="AA206" s="27">
        <f t="shared" si="119"/>
        <v>0</v>
      </c>
      <c r="AB206" s="27">
        <f t="shared" si="120"/>
        <v>32354.74</v>
      </c>
      <c r="AC206" s="21" t="str">
        <f t="shared" si="121"/>
        <v>ok</v>
      </c>
    </row>
    <row r="207" spans="1:29" x14ac:dyDescent="0.25">
      <c r="A207" s="14">
        <v>585</v>
      </c>
      <c r="B207" s="14" t="s">
        <v>107</v>
      </c>
      <c r="C207" s="14" t="s">
        <v>108</v>
      </c>
      <c r="D207" s="14" t="s">
        <v>46</v>
      </c>
      <c r="F207" s="167">
        <v>0</v>
      </c>
      <c r="G207" s="27"/>
      <c r="H207" s="27">
        <f t="shared" si="108"/>
        <v>0</v>
      </c>
      <c r="I207" s="27">
        <f t="shared" si="109"/>
        <v>0</v>
      </c>
      <c r="J207" s="27"/>
      <c r="K207" s="27">
        <f t="shared" si="110"/>
        <v>0</v>
      </c>
      <c r="L207" s="27"/>
      <c r="M207" s="27">
        <f t="shared" si="111"/>
        <v>0</v>
      </c>
      <c r="N207" s="27"/>
      <c r="O207" s="27">
        <f t="shared" si="112"/>
        <v>0</v>
      </c>
      <c r="P207" s="27">
        <f t="shared" si="113"/>
        <v>0</v>
      </c>
      <c r="Q207" s="27"/>
      <c r="R207" s="27">
        <f t="shared" si="114"/>
        <v>0</v>
      </c>
      <c r="S207" s="27">
        <f t="shared" si="115"/>
        <v>0</v>
      </c>
      <c r="T207" s="27"/>
      <c r="U207" s="27">
        <f t="shared" si="116"/>
        <v>0</v>
      </c>
      <c r="V207" s="27"/>
      <c r="W207" s="27">
        <f t="shared" si="117"/>
        <v>0</v>
      </c>
      <c r="X207" s="27"/>
      <c r="Y207" s="27">
        <f t="shared" si="118"/>
        <v>0</v>
      </c>
      <c r="Z207" s="27"/>
      <c r="AA207" s="27">
        <f t="shared" si="119"/>
        <v>0</v>
      </c>
      <c r="AB207" s="27">
        <f t="shared" si="120"/>
        <v>0</v>
      </c>
      <c r="AC207" s="21" t="str">
        <f t="shared" si="121"/>
        <v>ok</v>
      </c>
    </row>
    <row r="208" spans="1:29" x14ac:dyDescent="0.25">
      <c r="A208" s="14">
        <v>586</v>
      </c>
      <c r="B208" s="14" t="s">
        <v>109</v>
      </c>
      <c r="C208" s="14" t="s">
        <v>110</v>
      </c>
      <c r="D208" s="14" t="s">
        <v>43</v>
      </c>
      <c r="F208" s="167">
        <v>486030.67</v>
      </c>
      <c r="G208" s="27"/>
      <c r="H208" s="27">
        <f t="shared" si="108"/>
        <v>0</v>
      </c>
      <c r="I208" s="27">
        <f t="shared" si="109"/>
        <v>0</v>
      </c>
      <c r="J208" s="27"/>
      <c r="K208" s="27">
        <f t="shared" si="110"/>
        <v>0</v>
      </c>
      <c r="L208" s="27"/>
      <c r="M208" s="27">
        <f t="shared" si="111"/>
        <v>0</v>
      </c>
      <c r="N208" s="27"/>
      <c r="O208" s="27">
        <f t="shared" si="112"/>
        <v>0</v>
      </c>
      <c r="P208" s="27">
        <f t="shared" si="113"/>
        <v>0</v>
      </c>
      <c r="Q208" s="27"/>
      <c r="R208" s="27">
        <f t="shared" si="114"/>
        <v>0</v>
      </c>
      <c r="S208" s="27">
        <f t="shared" si="115"/>
        <v>0</v>
      </c>
      <c r="T208" s="27"/>
      <c r="U208" s="27">
        <f t="shared" si="116"/>
        <v>486030.67</v>
      </c>
      <c r="V208" s="27"/>
      <c r="W208" s="27">
        <f t="shared" si="117"/>
        <v>0</v>
      </c>
      <c r="X208" s="27"/>
      <c r="Y208" s="27">
        <f t="shared" si="118"/>
        <v>0</v>
      </c>
      <c r="Z208" s="27"/>
      <c r="AA208" s="27">
        <f t="shared" si="119"/>
        <v>0</v>
      </c>
      <c r="AB208" s="27">
        <f t="shared" si="120"/>
        <v>486030.67</v>
      </c>
      <c r="AC208" s="21" t="str">
        <f t="shared" si="121"/>
        <v>ok</v>
      </c>
    </row>
    <row r="209" spans="1:29" x14ac:dyDescent="0.25">
      <c r="A209" s="14">
        <v>586</v>
      </c>
      <c r="B209" s="14" t="s">
        <v>449</v>
      </c>
      <c r="C209" s="14" t="s">
        <v>450</v>
      </c>
      <c r="D209" s="14" t="s">
        <v>470</v>
      </c>
      <c r="F209" s="167">
        <v>0</v>
      </c>
      <c r="G209" s="27"/>
      <c r="H209" s="27">
        <f t="shared" si="108"/>
        <v>0</v>
      </c>
      <c r="I209" s="27">
        <f t="shared" si="109"/>
        <v>0</v>
      </c>
      <c r="J209" s="27"/>
      <c r="K209" s="27">
        <f t="shared" si="110"/>
        <v>0</v>
      </c>
      <c r="L209" s="27"/>
      <c r="M209" s="27">
        <f t="shared" si="111"/>
        <v>0</v>
      </c>
      <c r="N209" s="27"/>
      <c r="O209" s="27">
        <f t="shared" si="112"/>
        <v>0</v>
      </c>
      <c r="P209" s="27">
        <f t="shared" si="113"/>
        <v>0</v>
      </c>
      <c r="Q209" s="27"/>
      <c r="R209" s="27">
        <f t="shared" si="114"/>
        <v>0</v>
      </c>
      <c r="S209" s="27">
        <f t="shared" si="115"/>
        <v>0</v>
      </c>
      <c r="T209" s="27"/>
      <c r="U209" s="27">
        <f t="shared" si="116"/>
        <v>0</v>
      </c>
      <c r="V209" s="27"/>
      <c r="W209" s="27">
        <f t="shared" si="117"/>
        <v>0</v>
      </c>
      <c r="X209" s="27"/>
      <c r="Y209" s="27">
        <f t="shared" si="118"/>
        <v>0</v>
      </c>
      <c r="Z209" s="27"/>
      <c r="AA209" s="27">
        <f t="shared" si="119"/>
        <v>0</v>
      </c>
      <c r="AB209" s="27">
        <f t="shared" si="120"/>
        <v>0</v>
      </c>
      <c r="AC209" s="21" t="str">
        <f t="shared" si="121"/>
        <v>ok</v>
      </c>
    </row>
    <row r="210" spans="1:29" x14ac:dyDescent="0.25">
      <c r="A210" s="14">
        <v>587</v>
      </c>
      <c r="B210" s="14" t="s">
        <v>111</v>
      </c>
      <c r="C210" s="14" t="s">
        <v>112</v>
      </c>
      <c r="D210" s="14" t="s">
        <v>40</v>
      </c>
      <c r="F210" s="167">
        <v>17111.009999999998</v>
      </c>
      <c r="G210" s="27"/>
      <c r="H210" s="27">
        <f t="shared" si="108"/>
        <v>0</v>
      </c>
      <c r="I210" s="27">
        <f t="shared" si="109"/>
        <v>0</v>
      </c>
      <c r="J210" s="27"/>
      <c r="K210" s="27">
        <f t="shared" si="110"/>
        <v>0</v>
      </c>
      <c r="L210" s="27"/>
      <c r="M210" s="27">
        <f t="shared" si="111"/>
        <v>0</v>
      </c>
      <c r="N210" s="27"/>
      <c r="O210" s="27">
        <f t="shared" si="112"/>
        <v>0</v>
      </c>
      <c r="P210" s="27">
        <f t="shared" si="113"/>
        <v>0</v>
      </c>
      <c r="Q210" s="27"/>
      <c r="R210" s="27">
        <f t="shared" si="114"/>
        <v>0</v>
      </c>
      <c r="S210" s="27">
        <f t="shared" si="115"/>
        <v>17111.009999999998</v>
      </c>
      <c r="T210" s="27"/>
      <c r="U210" s="27">
        <f t="shared" si="116"/>
        <v>0</v>
      </c>
      <c r="V210" s="27"/>
      <c r="W210" s="27">
        <f t="shared" si="117"/>
        <v>0</v>
      </c>
      <c r="X210" s="27"/>
      <c r="Y210" s="27">
        <f t="shared" si="118"/>
        <v>0</v>
      </c>
      <c r="Z210" s="27"/>
      <c r="AA210" s="27">
        <f t="shared" si="119"/>
        <v>0</v>
      </c>
      <c r="AB210" s="27">
        <f t="shared" si="120"/>
        <v>17111.009999999998</v>
      </c>
      <c r="AC210" s="21" t="str">
        <f t="shared" si="121"/>
        <v>ok</v>
      </c>
    </row>
    <row r="211" spans="1:29" x14ac:dyDescent="0.25">
      <c r="A211" s="14">
        <v>588</v>
      </c>
      <c r="B211" s="14" t="s">
        <v>113</v>
      </c>
      <c r="C211" s="14" t="s">
        <v>114</v>
      </c>
      <c r="D211" s="14" t="s">
        <v>16</v>
      </c>
      <c r="F211" s="167">
        <v>140599.48000000001</v>
      </c>
      <c r="G211" s="27"/>
      <c r="H211" s="27">
        <f t="shared" si="108"/>
        <v>0</v>
      </c>
      <c r="I211" s="27">
        <f t="shared" si="109"/>
        <v>0</v>
      </c>
      <c r="J211" s="27"/>
      <c r="K211" s="27">
        <f t="shared" si="110"/>
        <v>0</v>
      </c>
      <c r="L211" s="27"/>
      <c r="M211" s="27">
        <f t="shared" si="111"/>
        <v>0</v>
      </c>
      <c r="N211" s="27"/>
      <c r="O211" s="27">
        <f t="shared" si="112"/>
        <v>58809.145363188443</v>
      </c>
      <c r="P211" s="27">
        <f t="shared" si="113"/>
        <v>58073.843987391869</v>
      </c>
      <c r="Q211" s="27"/>
      <c r="R211" s="27">
        <f t="shared" si="114"/>
        <v>0</v>
      </c>
      <c r="S211" s="27">
        <f t="shared" si="115"/>
        <v>9366.9808281060632</v>
      </c>
      <c r="T211" s="27"/>
      <c r="U211" s="27">
        <f t="shared" si="116"/>
        <v>9221.7983186687798</v>
      </c>
      <c r="V211" s="27"/>
      <c r="W211" s="27">
        <f t="shared" si="117"/>
        <v>5127.7115026448755</v>
      </c>
      <c r="X211" s="27"/>
      <c r="Y211" s="27">
        <f t="shared" si="118"/>
        <v>0</v>
      </c>
      <c r="Z211" s="27"/>
      <c r="AA211" s="27">
        <f t="shared" si="119"/>
        <v>0</v>
      </c>
      <c r="AB211" s="27">
        <f t="shared" si="120"/>
        <v>140599.48000000004</v>
      </c>
      <c r="AC211" s="21" t="str">
        <f t="shared" si="121"/>
        <v>ok</v>
      </c>
    </row>
    <row r="212" spans="1:29" x14ac:dyDescent="0.25">
      <c r="A212" s="14">
        <v>588</v>
      </c>
      <c r="B212" s="14" t="s">
        <v>706</v>
      </c>
      <c r="C212" s="14" t="s">
        <v>549</v>
      </c>
      <c r="D212" s="14" t="s">
        <v>550</v>
      </c>
      <c r="F212" s="167">
        <v>0</v>
      </c>
      <c r="G212" s="27"/>
      <c r="H212" s="27">
        <f t="shared" si="108"/>
        <v>0</v>
      </c>
      <c r="I212" s="27">
        <f t="shared" si="109"/>
        <v>0</v>
      </c>
      <c r="J212" s="27"/>
      <c r="K212" s="27">
        <f t="shared" si="110"/>
        <v>0</v>
      </c>
      <c r="L212" s="27"/>
      <c r="M212" s="27">
        <f t="shared" si="111"/>
        <v>0</v>
      </c>
      <c r="N212" s="27"/>
      <c r="O212" s="27">
        <f t="shared" si="112"/>
        <v>0</v>
      </c>
      <c r="P212" s="27">
        <f t="shared" si="113"/>
        <v>0</v>
      </c>
      <c r="Q212" s="27"/>
      <c r="R212" s="27">
        <f t="shared" si="114"/>
        <v>0</v>
      </c>
      <c r="S212" s="27">
        <f t="shared" si="115"/>
        <v>0</v>
      </c>
      <c r="T212" s="27"/>
      <c r="U212" s="27">
        <f t="shared" si="116"/>
        <v>0</v>
      </c>
      <c r="V212" s="27"/>
      <c r="W212" s="27">
        <f t="shared" si="117"/>
        <v>0</v>
      </c>
      <c r="X212" s="27"/>
      <c r="Y212" s="27">
        <f t="shared" si="118"/>
        <v>0</v>
      </c>
      <c r="Z212" s="27"/>
      <c r="AA212" s="27">
        <f t="shared" si="119"/>
        <v>0</v>
      </c>
      <c r="AB212" s="27">
        <f t="shared" si="120"/>
        <v>0</v>
      </c>
      <c r="AC212" s="21" t="str">
        <f t="shared" si="121"/>
        <v>ok</v>
      </c>
    </row>
    <row r="213" spans="1:29" x14ac:dyDescent="0.25">
      <c r="A213" s="14">
        <v>589</v>
      </c>
      <c r="B213" s="14" t="s">
        <v>115</v>
      </c>
      <c r="C213" s="14" t="s">
        <v>116</v>
      </c>
      <c r="D213" s="14" t="s">
        <v>16</v>
      </c>
      <c r="F213" s="167">
        <v>5147.82</v>
      </c>
      <c r="G213" s="27"/>
      <c r="H213" s="27">
        <f t="shared" si="108"/>
        <v>0</v>
      </c>
      <c r="I213" s="27">
        <f t="shared" si="109"/>
        <v>0</v>
      </c>
      <c r="J213" s="27"/>
      <c r="K213" s="27">
        <f t="shared" si="110"/>
        <v>0</v>
      </c>
      <c r="L213" s="27"/>
      <c r="M213" s="27">
        <f t="shared" si="111"/>
        <v>0</v>
      </c>
      <c r="N213" s="27"/>
      <c r="O213" s="27">
        <f t="shared" si="112"/>
        <v>2153.2006710375363</v>
      </c>
      <c r="P213" s="27">
        <f t="shared" si="113"/>
        <v>2126.2788137991374</v>
      </c>
      <c r="Q213" s="27"/>
      <c r="R213" s="27">
        <f t="shared" si="114"/>
        <v>0</v>
      </c>
      <c r="S213" s="27">
        <f t="shared" si="115"/>
        <v>342.95668267436656</v>
      </c>
      <c r="T213" s="27"/>
      <c r="U213" s="27">
        <f t="shared" si="116"/>
        <v>337.64106254738289</v>
      </c>
      <c r="V213" s="27"/>
      <c r="W213" s="27">
        <f t="shared" si="117"/>
        <v>187.74276994157688</v>
      </c>
      <c r="X213" s="27"/>
      <c r="Y213" s="27">
        <f t="shared" si="118"/>
        <v>0</v>
      </c>
      <c r="Z213" s="27"/>
      <c r="AA213" s="27">
        <f t="shared" si="119"/>
        <v>0</v>
      </c>
      <c r="AB213" s="27">
        <f t="shared" si="120"/>
        <v>5147.82</v>
      </c>
      <c r="AC213" s="21" t="str">
        <f t="shared" si="121"/>
        <v>ok</v>
      </c>
    </row>
    <row r="214" spans="1:29" x14ac:dyDescent="0.25">
      <c r="F214" s="16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C214" s="21"/>
    </row>
    <row r="215" spans="1:29" x14ac:dyDescent="0.25">
      <c r="A215" s="14" t="s">
        <v>117</v>
      </c>
      <c r="C215" s="14" t="s">
        <v>118</v>
      </c>
      <c r="F215" s="174">
        <f>SUM(F202:F214)</f>
        <v>2266759.6799999997</v>
      </c>
      <c r="G215" s="40"/>
      <c r="H215" s="40">
        <f t="shared" ref="H215:AA215" si="124">SUM(H202:H214)</f>
        <v>0</v>
      </c>
      <c r="I215" s="40">
        <f t="shared" si="124"/>
        <v>0</v>
      </c>
      <c r="J215" s="40"/>
      <c r="K215" s="40">
        <f t="shared" si="124"/>
        <v>0</v>
      </c>
      <c r="L215" s="40"/>
      <c r="M215" s="40">
        <f t="shared" si="124"/>
        <v>0</v>
      </c>
      <c r="N215" s="40"/>
      <c r="O215" s="40">
        <f t="shared" si="124"/>
        <v>956508.38838632719</v>
      </c>
      <c r="P215" s="40">
        <f t="shared" si="124"/>
        <v>735949.68817753741</v>
      </c>
      <c r="Q215" s="40"/>
      <c r="R215" s="40">
        <f t="shared" si="124"/>
        <v>0</v>
      </c>
      <c r="S215" s="40">
        <f t="shared" si="124"/>
        <v>45216.080366811839</v>
      </c>
      <c r="T215" s="40"/>
      <c r="U215" s="40">
        <f t="shared" si="124"/>
        <v>513700.12885883031</v>
      </c>
      <c r="V215" s="40"/>
      <c r="W215" s="40">
        <f t="shared" si="124"/>
        <v>15385.394210493296</v>
      </c>
      <c r="X215" s="40"/>
      <c r="Y215" s="40">
        <f t="shared" si="124"/>
        <v>0</v>
      </c>
      <c r="Z215" s="40"/>
      <c r="AA215" s="40">
        <f t="shared" si="124"/>
        <v>0</v>
      </c>
      <c r="AB215" s="27">
        <f>SUM(H215:AA215)</f>
        <v>2266759.6799999997</v>
      </c>
      <c r="AC215" s="21" t="str">
        <f>IF(ABS(AB215-F215)&lt;1,"ok","err")</f>
        <v>ok</v>
      </c>
    </row>
    <row r="216" spans="1:29" x14ac:dyDescent="0.25">
      <c r="F216" s="174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27"/>
      <c r="AC216" s="21"/>
    </row>
    <row r="217" spans="1:29" x14ac:dyDescent="0.25">
      <c r="A217" s="19" t="s">
        <v>136</v>
      </c>
      <c r="F217" s="16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C217" s="21"/>
    </row>
    <row r="218" spans="1:29" x14ac:dyDescent="0.25">
      <c r="F218" s="16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C218" s="21"/>
    </row>
    <row r="219" spans="1:29" x14ac:dyDescent="0.25">
      <c r="A219" s="13" t="s">
        <v>119</v>
      </c>
      <c r="F219" s="16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C219" s="21"/>
    </row>
    <row r="220" spans="1:29" x14ac:dyDescent="0.25">
      <c r="A220" s="14">
        <v>590</v>
      </c>
      <c r="B220" s="14" t="s">
        <v>120</v>
      </c>
      <c r="C220" s="14" t="s">
        <v>121</v>
      </c>
      <c r="D220" s="14" t="s">
        <v>16</v>
      </c>
      <c r="F220" s="174">
        <v>222803.22</v>
      </c>
      <c r="G220" s="40"/>
      <c r="H220" s="27">
        <f t="shared" ref="H220:H227" si="125">IF(VLOOKUP($D220,$C$5:$AA$496,6,)=0,0,((VLOOKUP($D220,$C$5:$AA$496,6,)/VLOOKUP($D220,$C$5:$AA$496,4,))*$F220))</f>
        <v>0</v>
      </c>
      <c r="I220" s="27">
        <f t="shared" ref="I220:I227" si="126">IF(VLOOKUP($D220,$C$5:$AA$496,7,)=0,0,((VLOOKUP($D220,$C$5:$AA$496,7,)/VLOOKUP($D220,$C$5:$AA$496,4,))*$F220))</f>
        <v>0</v>
      </c>
      <c r="J220" s="27"/>
      <c r="K220" s="27">
        <f t="shared" ref="K220:K227" si="127">IF(VLOOKUP($D220,$C$5:$AA$496,9,)=0,0,((VLOOKUP($D220,$C$5:$AA$496,9,)/VLOOKUP($D220,$C$5:$AA$496,4,))*$F220))</f>
        <v>0</v>
      </c>
      <c r="L220" s="27"/>
      <c r="M220" s="27">
        <f t="shared" ref="M220:M227" si="128">IF(VLOOKUP($D220,$C$5:$AA$496,11,)=0,0,((VLOOKUP($D220,$C$5:$AA$496,11,)/VLOOKUP($D220,$C$5:$AA$496,4,))*$F220))</f>
        <v>0</v>
      </c>
      <c r="N220" s="27"/>
      <c r="O220" s="27">
        <f t="shared" ref="O220:O227" si="129">IF(VLOOKUP($D220,$C$5:$AA$496,13,)=0,0,((VLOOKUP($D220,$C$5:$AA$496,13,)/VLOOKUP($D220,$C$5:$AA$496,4,))*$F220))</f>
        <v>93192.854997518152</v>
      </c>
      <c r="P220" s="27">
        <f t="shared" ref="P220:P227" si="130">IF(VLOOKUP($D220,$C$5:$AA$496,14,)=0,0,((VLOOKUP($D220,$C$5:$AA$496,14,)/VLOOKUP($D220,$C$5:$AA$496,4,))*$F220))</f>
        <v>92027.64788439151</v>
      </c>
      <c r="Q220" s="27"/>
      <c r="R220" s="27">
        <f t="shared" ref="R220:R227" si="131">IF(VLOOKUP($D220,$C$5:$AA$496,16,)=0,0,((VLOOKUP($D220,$C$5:$AA$496,16,)/VLOOKUP($D220,$C$5:$AA$496,4,))*$F220))</f>
        <v>0</v>
      </c>
      <c r="S220" s="27">
        <f t="shared" ref="S220:S227" si="132">IF(VLOOKUP($D220,$C$5:$AA$496,17,)=0,0,((VLOOKUP($D220,$C$5:$AA$496,17,)/VLOOKUP($D220,$C$5:$AA$496,4,))*$F220))</f>
        <v>14843.536335840625</v>
      </c>
      <c r="T220" s="27"/>
      <c r="U220" s="27">
        <f t="shared" ref="U220:U227" si="133">IF(VLOOKUP($D220,$C$5:$AA$496,19,)=0,0,((VLOOKUP($D220,$C$5:$AA$496,19,)/VLOOKUP($D220,$C$5:$AA$496,4,))*$F220))</f>
        <v>14613.47054477008</v>
      </c>
      <c r="V220" s="27"/>
      <c r="W220" s="27">
        <f t="shared" ref="W220:W227" si="134">IF(VLOOKUP($D220,$C$5:$AA$496,21,)=0,0,((VLOOKUP($D220,$C$5:$AA$496,21,)/VLOOKUP($D220,$C$5:$AA$496,4,))*$F220))</f>
        <v>8125.7102374796605</v>
      </c>
      <c r="X220" s="27"/>
      <c r="Y220" s="27">
        <f t="shared" ref="Y220:Y227" si="135">IF(VLOOKUP($D220,$C$5:$AA$496,23,)=0,0,((VLOOKUP($D220,$C$5:$AA$496,23,)/VLOOKUP($D220,$C$5:$AA$496,4,))*$F220))</f>
        <v>0</v>
      </c>
      <c r="Z220" s="27"/>
      <c r="AA220" s="27">
        <f t="shared" ref="AA220:AA227" si="136">IF(VLOOKUP($D220,$C$5:$AA$496,25,)=0,0,((VLOOKUP($D220,$C$5:$AA$496,25,)/VLOOKUP($D220,$C$5:$AA$496,4,))*$F220))</f>
        <v>0</v>
      </c>
      <c r="AB220" s="27">
        <f t="shared" ref="AB220:AB227" si="137">SUM(H220:AA220)</f>
        <v>222803.22</v>
      </c>
      <c r="AC220" s="21" t="str">
        <f t="shared" ref="AC220:AC227" si="138">IF(ABS(AB220-F220)&lt;1,"ok","err")</f>
        <v>ok</v>
      </c>
    </row>
    <row r="221" spans="1:29" x14ac:dyDescent="0.25">
      <c r="A221" s="14">
        <v>592</v>
      </c>
      <c r="B221" s="14" t="s">
        <v>122</v>
      </c>
      <c r="C221" s="14" t="s">
        <v>123</v>
      </c>
      <c r="D221" s="14" t="s">
        <v>23</v>
      </c>
      <c r="F221" s="167">
        <v>0</v>
      </c>
      <c r="G221" s="27"/>
      <c r="H221" s="27">
        <f t="shared" si="125"/>
        <v>0</v>
      </c>
      <c r="I221" s="27">
        <f t="shared" si="126"/>
        <v>0</v>
      </c>
      <c r="J221" s="27"/>
      <c r="K221" s="27">
        <f t="shared" si="127"/>
        <v>0</v>
      </c>
      <c r="L221" s="27"/>
      <c r="M221" s="27">
        <f t="shared" si="128"/>
        <v>0</v>
      </c>
      <c r="N221" s="27"/>
      <c r="O221" s="27">
        <f t="shared" si="129"/>
        <v>0</v>
      </c>
      <c r="P221" s="27">
        <f t="shared" si="130"/>
        <v>0</v>
      </c>
      <c r="Q221" s="27"/>
      <c r="R221" s="27">
        <f t="shared" si="131"/>
        <v>0</v>
      </c>
      <c r="S221" s="27">
        <f t="shared" si="132"/>
        <v>0</v>
      </c>
      <c r="T221" s="27"/>
      <c r="U221" s="27">
        <f t="shared" si="133"/>
        <v>0</v>
      </c>
      <c r="V221" s="27"/>
      <c r="W221" s="27">
        <f t="shared" si="134"/>
        <v>0</v>
      </c>
      <c r="X221" s="27"/>
      <c r="Y221" s="27">
        <f t="shared" si="135"/>
        <v>0</v>
      </c>
      <c r="Z221" s="27"/>
      <c r="AA221" s="27">
        <f t="shared" si="136"/>
        <v>0</v>
      </c>
      <c r="AB221" s="27">
        <f t="shared" si="137"/>
        <v>0</v>
      </c>
      <c r="AC221" s="21" t="str">
        <f t="shared" si="138"/>
        <v>ok</v>
      </c>
    </row>
    <row r="222" spans="1:29" x14ac:dyDescent="0.25">
      <c r="A222" s="14">
        <v>593</v>
      </c>
      <c r="B222" s="14" t="s">
        <v>124</v>
      </c>
      <c r="C222" s="14" t="s">
        <v>125</v>
      </c>
      <c r="D222" s="14" t="s">
        <v>29</v>
      </c>
      <c r="F222" s="167">
        <f>2335201.5+60699.95</f>
        <v>2395901.4500000002</v>
      </c>
      <c r="G222" s="27"/>
      <c r="H222" s="27">
        <f t="shared" si="125"/>
        <v>0</v>
      </c>
      <c r="I222" s="27">
        <f t="shared" si="126"/>
        <v>0</v>
      </c>
      <c r="J222" s="27"/>
      <c r="K222" s="27">
        <f t="shared" si="127"/>
        <v>0</v>
      </c>
      <c r="L222" s="27"/>
      <c r="M222" s="27">
        <f t="shared" si="128"/>
        <v>0</v>
      </c>
      <c r="N222" s="27"/>
      <c r="O222" s="27">
        <f t="shared" si="129"/>
        <v>1421818.4798917051</v>
      </c>
      <c r="P222" s="27">
        <f t="shared" si="130"/>
        <v>974082.97010829509</v>
      </c>
      <c r="Q222" s="27"/>
      <c r="R222" s="27">
        <f t="shared" si="131"/>
        <v>0</v>
      </c>
      <c r="S222" s="27">
        <f t="shared" si="132"/>
        <v>0</v>
      </c>
      <c r="T222" s="27"/>
      <c r="U222" s="27">
        <f t="shared" si="133"/>
        <v>0</v>
      </c>
      <c r="V222" s="27"/>
      <c r="W222" s="27">
        <f t="shared" si="134"/>
        <v>0</v>
      </c>
      <c r="X222" s="27"/>
      <c r="Y222" s="27">
        <f t="shared" si="135"/>
        <v>0</v>
      </c>
      <c r="Z222" s="27"/>
      <c r="AA222" s="27">
        <f t="shared" si="136"/>
        <v>0</v>
      </c>
      <c r="AB222" s="27">
        <f t="shared" si="137"/>
        <v>2395901.4500000002</v>
      </c>
      <c r="AC222" s="21" t="str">
        <f t="shared" si="138"/>
        <v>ok</v>
      </c>
    </row>
    <row r="223" spans="1:29" x14ac:dyDescent="0.25">
      <c r="A223" s="14">
        <v>594</v>
      </c>
      <c r="B223" s="14" t="s">
        <v>126</v>
      </c>
      <c r="C223" s="14" t="s">
        <v>127</v>
      </c>
      <c r="D223" s="14" t="s">
        <v>35</v>
      </c>
      <c r="F223" s="167">
        <v>12151.72</v>
      </c>
      <c r="G223" s="27"/>
      <c r="H223" s="27">
        <f t="shared" si="125"/>
        <v>0</v>
      </c>
      <c r="I223" s="27">
        <f t="shared" si="126"/>
        <v>0</v>
      </c>
      <c r="J223" s="27"/>
      <c r="K223" s="27">
        <f t="shared" si="127"/>
        <v>0</v>
      </c>
      <c r="L223" s="27"/>
      <c r="M223" s="27">
        <f t="shared" si="128"/>
        <v>0</v>
      </c>
      <c r="N223" s="27"/>
      <c r="O223" s="27">
        <f t="shared" si="129"/>
        <v>1128.9440609162909</v>
      </c>
      <c r="P223" s="27">
        <f t="shared" si="130"/>
        <v>11022.775939083709</v>
      </c>
      <c r="Q223" s="27"/>
      <c r="R223" s="27">
        <f t="shared" si="131"/>
        <v>0</v>
      </c>
      <c r="S223" s="27">
        <f t="shared" si="132"/>
        <v>0</v>
      </c>
      <c r="T223" s="27"/>
      <c r="U223" s="27">
        <f t="shared" si="133"/>
        <v>0</v>
      </c>
      <c r="V223" s="27"/>
      <c r="W223" s="27">
        <f t="shared" si="134"/>
        <v>0</v>
      </c>
      <c r="X223" s="27"/>
      <c r="Y223" s="27">
        <f t="shared" si="135"/>
        <v>0</v>
      </c>
      <c r="Z223" s="27"/>
      <c r="AA223" s="27">
        <f t="shared" si="136"/>
        <v>0</v>
      </c>
      <c r="AB223" s="27">
        <f t="shared" si="137"/>
        <v>12151.72</v>
      </c>
      <c r="AC223" s="21" t="str">
        <f t="shared" si="138"/>
        <v>ok</v>
      </c>
    </row>
    <row r="224" spans="1:29" x14ac:dyDescent="0.25">
      <c r="A224" s="14">
        <v>595</v>
      </c>
      <c r="B224" s="14" t="s">
        <v>128</v>
      </c>
      <c r="C224" s="14" t="s">
        <v>129</v>
      </c>
      <c r="D224" s="14" t="s">
        <v>37</v>
      </c>
      <c r="F224" s="167">
        <v>2709.39</v>
      </c>
      <c r="G224" s="27"/>
      <c r="H224" s="27">
        <f t="shared" si="125"/>
        <v>0</v>
      </c>
      <c r="I224" s="27">
        <f t="shared" si="126"/>
        <v>0</v>
      </c>
      <c r="J224" s="27"/>
      <c r="K224" s="27">
        <f t="shared" si="127"/>
        <v>0</v>
      </c>
      <c r="L224" s="27"/>
      <c r="M224" s="27">
        <f t="shared" si="128"/>
        <v>0</v>
      </c>
      <c r="N224" s="27"/>
      <c r="O224" s="27">
        <f t="shared" si="129"/>
        <v>1051.6692145329193</v>
      </c>
      <c r="P224" s="27">
        <f t="shared" si="130"/>
        <v>1657.7207854670805</v>
      </c>
      <c r="Q224" s="27"/>
      <c r="R224" s="27">
        <f t="shared" si="131"/>
        <v>0</v>
      </c>
      <c r="S224" s="27">
        <f t="shared" si="132"/>
        <v>0</v>
      </c>
      <c r="T224" s="27"/>
      <c r="U224" s="27">
        <f t="shared" si="133"/>
        <v>0</v>
      </c>
      <c r="V224" s="27"/>
      <c r="W224" s="27">
        <f t="shared" si="134"/>
        <v>0</v>
      </c>
      <c r="X224" s="27"/>
      <c r="Y224" s="27">
        <f t="shared" si="135"/>
        <v>0</v>
      </c>
      <c r="Z224" s="27"/>
      <c r="AA224" s="27">
        <f t="shared" si="136"/>
        <v>0</v>
      </c>
      <c r="AB224" s="27">
        <f t="shared" si="137"/>
        <v>2709.39</v>
      </c>
      <c r="AC224" s="21" t="str">
        <f t="shared" si="138"/>
        <v>ok</v>
      </c>
    </row>
    <row r="225" spans="1:29" x14ac:dyDescent="0.25">
      <c r="A225" s="14">
        <v>596</v>
      </c>
      <c r="B225" s="14" t="s">
        <v>379</v>
      </c>
      <c r="C225" s="14" t="s">
        <v>380</v>
      </c>
      <c r="D225" s="14" t="s">
        <v>48</v>
      </c>
      <c r="F225" s="167">
        <v>0</v>
      </c>
      <c r="G225" s="27"/>
      <c r="H225" s="27">
        <f t="shared" si="125"/>
        <v>0</v>
      </c>
      <c r="I225" s="27">
        <f t="shared" si="126"/>
        <v>0</v>
      </c>
      <c r="J225" s="27"/>
      <c r="K225" s="27">
        <f t="shared" si="127"/>
        <v>0</v>
      </c>
      <c r="L225" s="27"/>
      <c r="M225" s="27">
        <f t="shared" si="128"/>
        <v>0</v>
      </c>
      <c r="N225" s="27"/>
      <c r="O225" s="27">
        <f t="shared" si="129"/>
        <v>0</v>
      </c>
      <c r="P225" s="27">
        <f t="shared" si="130"/>
        <v>0</v>
      </c>
      <c r="Q225" s="27"/>
      <c r="R225" s="27">
        <f t="shared" si="131"/>
        <v>0</v>
      </c>
      <c r="S225" s="27">
        <f t="shared" si="132"/>
        <v>0</v>
      </c>
      <c r="T225" s="27"/>
      <c r="U225" s="27">
        <f t="shared" si="133"/>
        <v>0</v>
      </c>
      <c r="V225" s="27"/>
      <c r="W225" s="27">
        <f t="shared" si="134"/>
        <v>0</v>
      </c>
      <c r="X225" s="27"/>
      <c r="Y225" s="27">
        <f t="shared" si="135"/>
        <v>0</v>
      </c>
      <c r="Z225" s="27"/>
      <c r="AA225" s="27">
        <f t="shared" si="136"/>
        <v>0</v>
      </c>
      <c r="AB225" s="27">
        <f t="shared" si="137"/>
        <v>0</v>
      </c>
      <c r="AC225" s="21" t="str">
        <f t="shared" si="138"/>
        <v>ok</v>
      </c>
    </row>
    <row r="226" spans="1:29" x14ac:dyDescent="0.25">
      <c r="A226" s="14">
        <v>597</v>
      </c>
      <c r="B226" s="14" t="s">
        <v>130</v>
      </c>
      <c r="C226" s="14" t="s">
        <v>131</v>
      </c>
      <c r="D226" s="14" t="s">
        <v>43</v>
      </c>
      <c r="F226" s="167">
        <v>210.19</v>
      </c>
      <c r="G226" s="27"/>
      <c r="H226" s="27"/>
      <c r="I226" s="27">
        <f t="shared" si="126"/>
        <v>0</v>
      </c>
      <c r="J226" s="27"/>
      <c r="K226" s="27">
        <f t="shared" si="127"/>
        <v>0</v>
      </c>
      <c r="L226" s="27"/>
      <c r="M226" s="27">
        <f t="shared" si="128"/>
        <v>0</v>
      </c>
      <c r="N226" s="27"/>
      <c r="O226" s="27">
        <f t="shared" si="129"/>
        <v>0</v>
      </c>
      <c r="P226" s="27">
        <f t="shared" si="130"/>
        <v>0</v>
      </c>
      <c r="Q226" s="27"/>
      <c r="R226" s="27">
        <f t="shared" si="131"/>
        <v>0</v>
      </c>
      <c r="S226" s="27">
        <f t="shared" si="132"/>
        <v>0</v>
      </c>
      <c r="T226" s="27"/>
      <c r="U226" s="27">
        <f t="shared" si="133"/>
        <v>210.19</v>
      </c>
      <c r="V226" s="27"/>
      <c r="W226" s="27">
        <f t="shared" si="134"/>
        <v>0</v>
      </c>
      <c r="X226" s="27"/>
      <c r="Y226" s="27">
        <f t="shared" si="135"/>
        <v>0</v>
      </c>
      <c r="Z226" s="27"/>
      <c r="AA226" s="27">
        <f t="shared" si="136"/>
        <v>0</v>
      </c>
      <c r="AB226" s="27">
        <f t="shared" si="137"/>
        <v>210.19</v>
      </c>
      <c r="AC226" s="21" t="str">
        <f t="shared" si="138"/>
        <v>ok</v>
      </c>
    </row>
    <row r="227" spans="1:29" x14ac:dyDescent="0.25">
      <c r="A227" s="14">
        <v>598</v>
      </c>
      <c r="B227" s="14" t="s">
        <v>383</v>
      </c>
      <c r="C227" s="14" t="s">
        <v>132</v>
      </c>
      <c r="D227" s="14" t="s">
        <v>16</v>
      </c>
      <c r="F227" s="167">
        <v>12404.93</v>
      </c>
      <c r="G227" s="27"/>
      <c r="H227" s="27">
        <f t="shared" si="125"/>
        <v>0</v>
      </c>
      <c r="I227" s="27">
        <f t="shared" si="126"/>
        <v>0</v>
      </c>
      <c r="J227" s="27"/>
      <c r="K227" s="27">
        <f t="shared" si="127"/>
        <v>0</v>
      </c>
      <c r="L227" s="27"/>
      <c r="M227" s="27">
        <f t="shared" si="128"/>
        <v>0</v>
      </c>
      <c r="N227" s="27"/>
      <c r="O227" s="27">
        <f t="shared" si="129"/>
        <v>5188.6630846015723</v>
      </c>
      <c r="P227" s="27">
        <f t="shared" si="130"/>
        <v>5123.7882920656393</v>
      </c>
      <c r="Q227" s="27"/>
      <c r="R227" s="27">
        <f t="shared" si="131"/>
        <v>0</v>
      </c>
      <c r="S227" s="27">
        <f t="shared" si="132"/>
        <v>826.43791772201246</v>
      </c>
      <c r="T227" s="27"/>
      <c r="U227" s="27">
        <f t="shared" si="133"/>
        <v>813.62863231929373</v>
      </c>
      <c r="V227" s="27"/>
      <c r="W227" s="27">
        <f t="shared" si="134"/>
        <v>452.41207329148369</v>
      </c>
      <c r="X227" s="27"/>
      <c r="Y227" s="27">
        <f t="shared" si="135"/>
        <v>0</v>
      </c>
      <c r="Z227" s="27"/>
      <c r="AA227" s="27">
        <f t="shared" si="136"/>
        <v>0</v>
      </c>
      <c r="AB227" s="27">
        <f t="shared" si="137"/>
        <v>12404.930000000002</v>
      </c>
      <c r="AC227" s="21" t="str">
        <f t="shared" si="138"/>
        <v>ok</v>
      </c>
    </row>
    <row r="228" spans="1:29" x14ac:dyDescent="0.25">
      <c r="F228" s="16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1"/>
    </row>
    <row r="229" spans="1:29" x14ac:dyDescent="0.25">
      <c r="A229" s="14" t="s">
        <v>133</v>
      </c>
      <c r="C229" s="14" t="s">
        <v>134</v>
      </c>
      <c r="F229" s="174">
        <f t="shared" ref="F229:M229" si="139">SUM(F220:F228)</f>
        <v>2646180.9000000008</v>
      </c>
      <c r="G229" s="40"/>
      <c r="H229" s="40">
        <f t="shared" si="139"/>
        <v>0</v>
      </c>
      <c r="I229" s="40">
        <f t="shared" si="139"/>
        <v>0</v>
      </c>
      <c r="J229" s="40"/>
      <c r="K229" s="40">
        <f t="shared" si="139"/>
        <v>0</v>
      </c>
      <c r="L229" s="40"/>
      <c r="M229" s="40">
        <f t="shared" si="139"/>
        <v>0</v>
      </c>
      <c r="N229" s="40"/>
      <c r="O229" s="40">
        <f t="shared" ref="O229:AA229" si="140">SUM(O220:O228)</f>
        <v>1522380.6112492741</v>
      </c>
      <c r="P229" s="40">
        <f t="shared" si="140"/>
        <v>1083914.9030093031</v>
      </c>
      <c r="Q229" s="40"/>
      <c r="R229" s="40">
        <f t="shared" si="140"/>
        <v>0</v>
      </c>
      <c r="S229" s="40">
        <f t="shared" si="140"/>
        <v>15669.974253562637</v>
      </c>
      <c r="T229" s="40"/>
      <c r="U229" s="40">
        <f t="shared" si="140"/>
        <v>15637.289177089375</v>
      </c>
      <c r="V229" s="40"/>
      <c r="W229" s="40">
        <f t="shared" si="140"/>
        <v>8578.1223107711448</v>
      </c>
      <c r="X229" s="40"/>
      <c r="Y229" s="40">
        <f t="shared" si="140"/>
        <v>0</v>
      </c>
      <c r="Z229" s="40"/>
      <c r="AA229" s="40">
        <f t="shared" si="140"/>
        <v>0</v>
      </c>
      <c r="AB229" s="27">
        <f>SUM(H229:AA229)</f>
        <v>2646180.9000000008</v>
      </c>
      <c r="AC229" s="21" t="str">
        <f>IF(ABS(AB229-F229)&lt;1,"ok","err")</f>
        <v>ok</v>
      </c>
    </row>
    <row r="230" spans="1:29" x14ac:dyDescent="0.25">
      <c r="D230" s="23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C230" s="21"/>
    </row>
    <row r="231" spans="1:29" x14ac:dyDescent="0.25">
      <c r="A231" s="14" t="s">
        <v>381</v>
      </c>
      <c r="F231" s="167">
        <f>F215+F229</f>
        <v>4912940.58</v>
      </c>
      <c r="G231" s="27"/>
      <c r="H231" s="27">
        <f>H215+H229</f>
        <v>0</v>
      </c>
      <c r="I231" s="27">
        <f>I215+I229</f>
        <v>0</v>
      </c>
      <c r="J231" s="27"/>
      <c r="K231" s="27">
        <f>K215+K229</f>
        <v>0</v>
      </c>
      <c r="L231" s="27"/>
      <c r="M231" s="27">
        <f>M215+M229</f>
        <v>0</v>
      </c>
      <c r="N231" s="27"/>
      <c r="O231" s="27">
        <f>O215+O229</f>
        <v>2478888.9996356014</v>
      </c>
      <c r="P231" s="27">
        <f>P215+P229</f>
        <v>1819864.5911868406</v>
      </c>
      <c r="Q231" s="27"/>
      <c r="R231" s="27">
        <f>R215+R229</f>
        <v>0</v>
      </c>
      <c r="S231" s="27">
        <f>S215+S229</f>
        <v>60886.054620374474</v>
      </c>
      <c r="T231" s="27"/>
      <c r="U231" s="27">
        <f>U215+U229</f>
        <v>529337.41803591966</v>
      </c>
      <c r="V231" s="27"/>
      <c r="W231" s="27">
        <f>W215+W229</f>
        <v>23963.516521264442</v>
      </c>
      <c r="X231" s="27"/>
      <c r="Y231" s="27">
        <f>Y215+Y229</f>
        <v>0</v>
      </c>
      <c r="Z231" s="27"/>
      <c r="AA231" s="27">
        <f>AA215+AA229</f>
        <v>0</v>
      </c>
      <c r="AB231" s="27">
        <f>SUM(H231:AA231)</f>
        <v>4912940.580000001</v>
      </c>
      <c r="AC231" s="21" t="str">
        <f>IF(ABS(AB231-F231)&lt;1,"ok","err")</f>
        <v>ok</v>
      </c>
    </row>
    <row r="232" spans="1:29" x14ac:dyDescent="0.25">
      <c r="F232" s="16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C232" s="21"/>
    </row>
    <row r="233" spans="1:29" x14ac:dyDescent="0.25">
      <c r="A233" s="14" t="s">
        <v>382</v>
      </c>
      <c r="F233" s="167">
        <f>F231+F199</f>
        <v>4912940.58</v>
      </c>
      <c r="G233" s="27"/>
      <c r="H233" s="27">
        <f>H231+H199</f>
        <v>0</v>
      </c>
      <c r="I233" s="27">
        <f>I231+I199</f>
        <v>0</v>
      </c>
      <c r="J233" s="27"/>
      <c r="K233" s="27">
        <f>K231+K199</f>
        <v>0</v>
      </c>
      <c r="L233" s="27"/>
      <c r="M233" s="27">
        <f>M231+M199</f>
        <v>0</v>
      </c>
      <c r="N233" s="27"/>
      <c r="O233" s="27">
        <f>O231+O199</f>
        <v>2478888.9996356014</v>
      </c>
      <c r="P233" s="27">
        <f>P231+P199</f>
        <v>1819864.5911868406</v>
      </c>
      <c r="Q233" s="27"/>
      <c r="R233" s="27">
        <f>R231+R199</f>
        <v>0</v>
      </c>
      <c r="S233" s="27">
        <f>S231+S199</f>
        <v>60886.054620374474</v>
      </c>
      <c r="T233" s="27"/>
      <c r="U233" s="27">
        <f>U231+U199</f>
        <v>529337.41803591966</v>
      </c>
      <c r="V233" s="27"/>
      <c r="W233" s="27">
        <f>W231+W199</f>
        <v>23963.516521264442</v>
      </c>
      <c r="X233" s="27"/>
      <c r="Y233" s="27">
        <f>Y231+Y199</f>
        <v>0</v>
      </c>
      <c r="Z233" s="27"/>
      <c r="AA233" s="27">
        <f>AA231+AA199</f>
        <v>0</v>
      </c>
      <c r="AB233" s="27">
        <f>SUM(H233:AA233)</f>
        <v>4912940.580000001</v>
      </c>
      <c r="AC233" s="21" t="str">
        <f>IF(ABS(AB233-F233)&lt;1,"ok","err")</f>
        <v>ok</v>
      </c>
    </row>
    <row r="234" spans="1:29" x14ac:dyDescent="0.25">
      <c r="F234" s="16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C234" s="21"/>
    </row>
    <row r="235" spans="1:29" x14ac:dyDescent="0.25">
      <c r="A235" s="14" t="s">
        <v>823</v>
      </c>
      <c r="F235" s="167">
        <f>F170+F199+F231</f>
        <v>4912940.58</v>
      </c>
      <c r="G235" s="27"/>
      <c r="H235" s="27">
        <f>H170+H199+H231</f>
        <v>0</v>
      </c>
      <c r="I235" s="27">
        <f>I170+I199+I231</f>
        <v>0</v>
      </c>
      <c r="J235" s="27"/>
      <c r="K235" s="27">
        <f>K170+K199+K231</f>
        <v>0</v>
      </c>
      <c r="L235" s="27"/>
      <c r="M235" s="27">
        <f>M170+M199+M231</f>
        <v>0</v>
      </c>
      <c r="N235" s="27"/>
      <c r="O235" s="27">
        <f>O170+O199+O231</f>
        <v>2478888.9996356014</v>
      </c>
      <c r="P235" s="27">
        <f>P170+P199+P231</f>
        <v>1819864.5911868406</v>
      </c>
      <c r="Q235" s="27"/>
      <c r="R235" s="27">
        <f>R170+R199+R231</f>
        <v>0</v>
      </c>
      <c r="S235" s="27">
        <f>S170+S199+S231</f>
        <v>60886.054620374474</v>
      </c>
      <c r="T235" s="27"/>
      <c r="U235" s="27">
        <f>U170+U199+U231</f>
        <v>529337.41803591966</v>
      </c>
      <c r="V235" s="27"/>
      <c r="W235" s="27">
        <f>W170+W199+W231</f>
        <v>23963.516521264442</v>
      </c>
      <c r="X235" s="27"/>
      <c r="Y235" s="27">
        <f>Y170+Y199+Y231</f>
        <v>0</v>
      </c>
      <c r="Z235" s="27"/>
      <c r="AA235" s="27">
        <f>AA170+AA199+AA231</f>
        <v>0</v>
      </c>
      <c r="AB235" s="27">
        <f>SUM(H235:AA235)</f>
        <v>4912940.580000001</v>
      </c>
      <c r="AC235" s="21" t="str">
        <f>IF(ABS(AB235-F235)&lt;1,"ok","err")</f>
        <v>ok</v>
      </c>
    </row>
    <row r="236" spans="1:29" x14ac:dyDescent="0.25">
      <c r="F236" s="16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C236" s="21"/>
    </row>
    <row r="237" spans="1:29" x14ac:dyDescent="0.25">
      <c r="A237" s="14" t="s">
        <v>822</v>
      </c>
      <c r="C237" s="14" t="s">
        <v>135</v>
      </c>
      <c r="F237" s="174">
        <f>F231+F199+F180+F170</f>
        <v>43712961.579999998</v>
      </c>
      <c r="G237" s="40"/>
      <c r="H237" s="40">
        <f>H231+H199+H180+H170</f>
        <v>9549281.9872807246</v>
      </c>
      <c r="I237" s="40">
        <f>I231+I199+I180+I170</f>
        <v>29250739.012719277</v>
      </c>
      <c r="J237" s="40"/>
      <c r="K237" s="40">
        <f>K231+K199+K180+K170</f>
        <v>0</v>
      </c>
      <c r="L237" s="40"/>
      <c r="M237" s="40">
        <f>M231+M199+M180+M170</f>
        <v>0</v>
      </c>
      <c r="N237" s="40"/>
      <c r="O237" s="40">
        <f>O231+O199+O180+O170</f>
        <v>2478888.9996356014</v>
      </c>
      <c r="P237" s="40">
        <f>P231+P199+P180+P170</f>
        <v>1819864.5911868406</v>
      </c>
      <c r="Q237" s="40"/>
      <c r="R237" s="40">
        <f>R231+R199+R180+R170</f>
        <v>0</v>
      </c>
      <c r="S237" s="40">
        <f>S231+S199+S180+S170</f>
        <v>60886.054620374474</v>
      </c>
      <c r="T237" s="40"/>
      <c r="U237" s="40">
        <f>U231+U199+U180+U170</f>
        <v>529337.41803591966</v>
      </c>
      <c r="V237" s="40"/>
      <c r="W237" s="40">
        <f>W231+W199+W180+W170</f>
        <v>23963.516521264442</v>
      </c>
      <c r="X237" s="40"/>
      <c r="Y237" s="40">
        <f>Y231+Y199+Y180+Y170</f>
        <v>0</v>
      </c>
      <c r="Z237" s="40"/>
      <c r="AA237" s="40">
        <f>AA231+AA199+AA180+AA170</f>
        <v>0</v>
      </c>
      <c r="AB237" s="27">
        <f>SUM(H237:AA237)</f>
        <v>43712961.580000006</v>
      </c>
      <c r="AC237" s="21" t="str">
        <f>IF(ABS(AB237-F237)&lt;1,"ok","err")</f>
        <v>ok</v>
      </c>
    </row>
    <row r="238" spans="1:29" x14ac:dyDescent="0.25">
      <c r="A238" s="13"/>
      <c r="F238" s="16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C238" s="21"/>
    </row>
    <row r="239" spans="1:29" x14ac:dyDescent="0.25">
      <c r="A239" s="13" t="s">
        <v>137</v>
      </c>
      <c r="F239" s="16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C239" s="21"/>
    </row>
    <row r="240" spans="1:29" x14ac:dyDescent="0.25">
      <c r="A240" s="14">
        <v>901</v>
      </c>
      <c r="B240" s="14" t="s">
        <v>138</v>
      </c>
      <c r="C240" s="14" t="s">
        <v>139</v>
      </c>
      <c r="D240" s="14" t="s">
        <v>140</v>
      </c>
      <c r="F240" s="174">
        <v>0</v>
      </c>
      <c r="G240" s="40"/>
      <c r="H240" s="27">
        <f>IF(VLOOKUP($D240,$C$5:$AA$496,6,)=0,0,((VLOOKUP($D240,$C$5:$AA$496,6,)/VLOOKUP($D240,$C$5:$AA$496,4,))*$F240))</f>
        <v>0</v>
      </c>
      <c r="I240" s="27">
        <f>IF(VLOOKUP($D240,$C$5:$AA$496,7,)=0,0,((VLOOKUP($D240,$C$5:$AA$496,7,)/VLOOKUP($D240,$C$5:$AA$496,4,))*$F240))</f>
        <v>0</v>
      </c>
      <c r="J240" s="27"/>
      <c r="K240" s="27">
        <f>IF(VLOOKUP($D240,$C$5:$AA$496,9,)=0,0,((VLOOKUP($D240,$C$5:$AA$496,9,)/VLOOKUP($D240,$C$5:$AA$496,4,))*$F240))</f>
        <v>0</v>
      </c>
      <c r="L240" s="27"/>
      <c r="M240" s="27">
        <f>IF(VLOOKUP($D240,$C$5:$AA$496,11,)=0,0,((VLOOKUP($D240,$C$5:$AA$496,11,)/VLOOKUP($D240,$C$5:$AA$496,4,))*$F240))</f>
        <v>0</v>
      </c>
      <c r="N240" s="27"/>
      <c r="O240" s="27">
        <f>IF(VLOOKUP($D240,$C$5:$AA$496,13,)=0,0,((VLOOKUP($D240,$C$5:$AA$496,13,)/VLOOKUP($D240,$C$5:$AA$496,4,))*$F240))</f>
        <v>0</v>
      </c>
      <c r="P240" s="27">
        <f>IF(VLOOKUP($D240,$C$5:$AA$496,14,)=0,0,((VLOOKUP($D240,$C$5:$AA$496,14,)/VLOOKUP($D240,$C$5:$AA$496,4,))*$F240))</f>
        <v>0</v>
      </c>
      <c r="Q240" s="27"/>
      <c r="R240" s="27">
        <f>IF(VLOOKUP($D240,$C$5:$AA$496,16,)=0,0,((VLOOKUP($D240,$C$5:$AA$496,16,)/VLOOKUP($D240,$C$5:$AA$496,4,))*$F240))</f>
        <v>0</v>
      </c>
      <c r="S240" s="27">
        <f>IF(VLOOKUP($D240,$C$5:$AA$496,17,)=0,0,((VLOOKUP($D240,$C$5:$AA$496,17,)/VLOOKUP($D240,$C$5:$AA$496,4,))*$F240))</f>
        <v>0</v>
      </c>
      <c r="T240" s="27"/>
      <c r="U240" s="27">
        <f>IF(VLOOKUP($D240,$C$5:$AA$496,19,)=0,0,((VLOOKUP($D240,$C$5:$AA$496,19,)/VLOOKUP($D240,$C$5:$AA$496,4,))*$F240))</f>
        <v>0</v>
      </c>
      <c r="V240" s="27"/>
      <c r="W240" s="27">
        <f>IF(VLOOKUP($D240,$C$5:$AA$496,21,)=0,0,((VLOOKUP($D240,$C$5:$AA$496,21,)/VLOOKUP($D240,$C$5:$AA$496,4,))*$F240))</f>
        <v>0</v>
      </c>
      <c r="X240" s="27"/>
      <c r="Y240" s="27">
        <f>IF(VLOOKUP($D240,$C$5:$AA$496,23,)=0,0,((VLOOKUP($D240,$C$5:$AA$496,23,)/VLOOKUP($D240,$C$5:$AA$496,4,))*$F240))</f>
        <v>0</v>
      </c>
      <c r="Z240" s="27"/>
      <c r="AA240" s="27">
        <f>IF(VLOOKUP($D240,$C$5:$AA$496,25,)=0,0,((VLOOKUP($D240,$C$5:$AA$496,25,)/VLOOKUP($D240,$C$5:$AA$496,4,))*$F240))</f>
        <v>0</v>
      </c>
      <c r="AB240" s="27">
        <f>SUM(H240:AA240)</f>
        <v>0</v>
      </c>
      <c r="AC240" s="21" t="str">
        <f>IF(ABS(AB240-F240)&lt;1,"ok","err")</f>
        <v>ok</v>
      </c>
    </row>
    <row r="241" spans="1:29" x14ac:dyDescent="0.25">
      <c r="A241" s="14">
        <v>902</v>
      </c>
      <c r="B241" s="14" t="s">
        <v>141</v>
      </c>
      <c r="C241" s="14" t="s">
        <v>142</v>
      </c>
      <c r="D241" s="14" t="s">
        <v>140</v>
      </c>
      <c r="F241" s="167">
        <v>120360.98</v>
      </c>
      <c r="G241" s="27"/>
      <c r="H241" s="27">
        <f>IF(VLOOKUP($D241,$C$5:$AA$496,6,)=0,0,((VLOOKUP($D241,$C$5:$AA$496,6,)/VLOOKUP($D241,$C$5:$AA$496,4,))*$F241))</f>
        <v>0</v>
      </c>
      <c r="I241" s="27">
        <f>IF(VLOOKUP($D241,$C$5:$AA$496,7,)=0,0,((VLOOKUP($D241,$C$5:$AA$496,7,)/VLOOKUP($D241,$C$5:$AA$496,4,))*$F241))</f>
        <v>0</v>
      </c>
      <c r="J241" s="27"/>
      <c r="K241" s="27">
        <f>IF(VLOOKUP($D241,$C$5:$AA$496,9,)=0,0,((VLOOKUP($D241,$C$5:$AA$496,9,)/VLOOKUP($D241,$C$5:$AA$496,4,))*$F241))</f>
        <v>0</v>
      </c>
      <c r="L241" s="27"/>
      <c r="M241" s="27">
        <f>IF(VLOOKUP($D241,$C$5:$AA$496,11,)=0,0,((VLOOKUP($D241,$C$5:$AA$496,11,)/VLOOKUP($D241,$C$5:$AA$496,4,))*$F241))</f>
        <v>0</v>
      </c>
      <c r="N241" s="27"/>
      <c r="O241" s="27">
        <f>IF(VLOOKUP($D241,$C$5:$AA$496,13,)=0,0,((VLOOKUP($D241,$C$5:$AA$496,13,)/VLOOKUP($D241,$C$5:$AA$496,4,))*$F241))</f>
        <v>0</v>
      </c>
      <c r="P241" s="27">
        <f>IF(VLOOKUP($D241,$C$5:$AA$496,14,)=0,0,((VLOOKUP($D241,$C$5:$AA$496,14,)/VLOOKUP($D241,$C$5:$AA$496,4,))*$F241))</f>
        <v>0</v>
      </c>
      <c r="Q241" s="27"/>
      <c r="R241" s="27">
        <f>IF(VLOOKUP($D241,$C$5:$AA$496,16,)=0,0,((VLOOKUP($D241,$C$5:$AA$496,16,)/VLOOKUP($D241,$C$5:$AA$496,4,))*$F241))</f>
        <v>0</v>
      </c>
      <c r="S241" s="27">
        <f>IF(VLOOKUP($D241,$C$5:$AA$496,17,)=0,0,((VLOOKUP($D241,$C$5:$AA$496,17,)/VLOOKUP($D241,$C$5:$AA$496,4,))*$F241))</f>
        <v>0</v>
      </c>
      <c r="T241" s="27"/>
      <c r="U241" s="27">
        <f>IF(VLOOKUP($D241,$C$5:$AA$496,19,)=0,0,((VLOOKUP($D241,$C$5:$AA$496,19,)/VLOOKUP($D241,$C$5:$AA$496,4,))*$F241))</f>
        <v>0</v>
      </c>
      <c r="V241" s="27"/>
      <c r="W241" s="27">
        <f>IF(VLOOKUP($D241,$C$5:$AA$496,21,)=0,0,((VLOOKUP($D241,$C$5:$AA$496,21,)/VLOOKUP($D241,$C$5:$AA$496,4,))*$F241))</f>
        <v>0</v>
      </c>
      <c r="X241" s="27"/>
      <c r="Y241" s="27">
        <f>IF(VLOOKUP($D241,$C$5:$AA$496,23,)=0,0,((VLOOKUP($D241,$C$5:$AA$496,23,)/VLOOKUP($D241,$C$5:$AA$496,4,))*$F241))</f>
        <v>120360.98</v>
      </c>
      <c r="Z241" s="27"/>
      <c r="AA241" s="27">
        <f>IF(VLOOKUP($D241,$C$5:$AA$496,25,)=0,0,((VLOOKUP($D241,$C$5:$AA$496,25,)/VLOOKUP($D241,$C$5:$AA$496,4,))*$F241))</f>
        <v>0</v>
      </c>
      <c r="AB241" s="27">
        <f>SUM(H241:AA241)</f>
        <v>120360.98</v>
      </c>
      <c r="AC241" s="21" t="str">
        <f>IF(ABS(AB241-F241)&lt;1,"ok","err")</f>
        <v>ok</v>
      </c>
    </row>
    <row r="242" spans="1:29" x14ac:dyDescent="0.25">
      <c r="A242" s="14">
        <v>903</v>
      </c>
      <c r="B242" s="14" t="s">
        <v>451</v>
      </c>
      <c r="C242" s="14" t="s">
        <v>143</v>
      </c>
      <c r="D242" s="14" t="s">
        <v>140</v>
      </c>
      <c r="F242" s="167">
        <f>1083975.13+9</f>
        <v>1083984.1299999999</v>
      </c>
      <c r="G242" s="27"/>
      <c r="H242" s="27">
        <f>IF(VLOOKUP($D242,$C$5:$AA$496,6,)=0,0,((VLOOKUP($D242,$C$5:$AA$496,6,)/VLOOKUP($D242,$C$5:$AA$496,4,))*$F242))</f>
        <v>0</v>
      </c>
      <c r="I242" s="27">
        <f>IF(VLOOKUP($D242,$C$5:$AA$496,7,)=0,0,((VLOOKUP($D242,$C$5:$AA$496,7,)/VLOOKUP($D242,$C$5:$AA$496,4,))*$F242))</f>
        <v>0</v>
      </c>
      <c r="J242" s="27"/>
      <c r="K242" s="27">
        <f>IF(VLOOKUP($D242,$C$5:$AA$496,9,)=0,0,((VLOOKUP($D242,$C$5:$AA$496,9,)/VLOOKUP($D242,$C$5:$AA$496,4,))*$F242))</f>
        <v>0</v>
      </c>
      <c r="L242" s="27"/>
      <c r="M242" s="27">
        <f>IF(VLOOKUP($D242,$C$5:$AA$496,11,)=0,0,((VLOOKUP($D242,$C$5:$AA$496,11,)/VLOOKUP($D242,$C$5:$AA$496,4,))*$F242))</f>
        <v>0</v>
      </c>
      <c r="N242" s="27"/>
      <c r="O242" s="27">
        <f>IF(VLOOKUP($D242,$C$5:$AA$496,13,)=0,0,((VLOOKUP($D242,$C$5:$AA$496,13,)/VLOOKUP($D242,$C$5:$AA$496,4,))*$F242))</f>
        <v>0</v>
      </c>
      <c r="P242" s="27">
        <f>IF(VLOOKUP($D242,$C$5:$AA$496,14,)=0,0,((VLOOKUP($D242,$C$5:$AA$496,14,)/VLOOKUP($D242,$C$5:$AA$496,4,))*$F242))</f>
        <v>0</v>
      </c>
      <c r="Q242" s="27"/>
      <c r="R242" s="27">
        <f>IF(VLOOKUP($D242,$C$5:$AA$496,16,)=0,0,((VLOOKUP($D242,$C$5:$AA$496,16,)/VLOOKUP($D242,$C$5:$AA$496,4,))*$F242))</f>
        <v>0</v>
      </c>
      <c r="S242" s="27">
        <f>IF(VLOOKUP($D242,$C$5:$AA$496,17,)=0,0,((VLOOKUP($D242,$C$5:$AA$496,17,)/VLOOKUP($D242,$C$5:$AA$496,4,))*$F242))</f>
        <v>0</v>
      </c>
      <c r="T242" s="27"/>
      <c r="U242" s="27">
        <f>IF(VLOOKUP($D242,$C$5:$AA$496,19,)=0,0,((VLOOKUP($D242,$C$5:$AA$496,19,)/VLOOKUP($D242,$C$5:$AA$496,4,))*$F242))</f>
        <v>0</v>
      </c>
      <c r="V242" s="27"/>
      <c r="W242" s="27">
        <f>IF(VLOOKUP($D242,$C$5:$AA$496,21,)=0,0,((VLOOKUP($D242,$C$5:$AA$496,21,)/VLOOKUP($D242,$C$5:$AA$496,4,))*$F242))</f>
        <v>0</v>
      </c>
      <c r="X242" s="27"/>
      <c r="Y242" s="27">
        <f>IF(VLOOKUP($D242,$C$5:$AA$496,23,)=0,0,((VLOOKUP($D242,$C$5:$AA$496,23,)/VLOOKUP($D242,$C$5:$AA$496,4,))*$F242))</f>
        <v>1083984.1299999999</v>
      </c>
      <c r="Z242" s="27"/>
      <c r="AA242" s="27">
        <f>IF(VLOOKUP($D242,$C$5:$AA$496,25,)=0,0,((VLOOKUP($D242,$C$5:$AA$496,25,)/VLOOKUP($D242,$C$5:$AA$496,4,))*$F242))</f>
        <v>0</v>
      </c>
      <c r="AB242" s="27">
        <f>SUM(H242:AA242)</f>
        <v>1083984.1299999999</v>
      </c>
      <c r="AC242" s="21" t="str">
        <f>IF(ABS(AB242-F242)&lt;1,"ok","err")</f>
        <v>ok</v>
      </c>
    </row>
    <row r="243" spans="1:29" x14ac:dyDescent="0.25">
      <c r="A243" s="14">
        <v>904</v>
      </c>
      <c r="B243" s="14" t="s">
        <v>144</v>
      </c>
      <c r="C243" s="14" t="s">
        <v>145</v>
      </c>
      <c r="D243" s="14" t="s">
        <v>140</v>
      </c>
      <c r="F243" s="167">
        <v>84000</v>
      </c>
      <c r="G243" s="27"/>
      <c r="H243" s="27">
        <f>IF(VLOOKUP($D243,$C$5:$AA$496,6,)=0,0,((VLOOKUP($D243,$C$5:$AA$496,6,)/VLOOKUP($D243,$C$5:$AA$496,4,))*$F243))</f>
        <v>0</v>
      </c>
      <c r="I243" s="27">
        <f>IF(VLOOKUP($D243,$C$5:$AA$496,7,)=0,0,((VLOOKUP($D243,$C$5:$AA$496,7,)/VLOOKUP($D243,$C$5:$AA$496,4,))*$F243))</f>
        <v>0</v>
      </c>
      <c r="J243" s="27"/>
      <c r="K243" s="27">
        <f>IF(VLOOKUP($D243,$C$5:$AA$496,9,)=0,0,((VLOOKUP($D243,$C$5:$AA$496,9,)/VLOOKUP($D243,$C$5:$AA$496,4,))*$F243))</f>
        <v>0</v>
      </c>
      <c r="L243" s="27"/>
      <c r="M243" s="27">
        <f>IF(VLOOKUP($D243,$C$5:$AA$496,11,)=0,0,((VLOOKUP($D243,$C$5:$AA$496,11,)/VLOOKUP($D243,$C$5:$AA$496,4,))*$F243))</f>
        <v>0</v>
      </c>
      <c r="N243" s="27"/>
      <c r="O243" s="27">
        <f>IF(VLOOKUP($D243,$C$5:$AA$496,13,)=0,0,((VLOOKUP($D243,$C$5:$AA$496,13,)/VLOOKUP($D243,$C$5:$AA$496,4,))*$F243))</f>
        <v>0</v>
      </c>
      <c r="P243" s="27">
        <f>IF(VLOOKUP($D243,$C$5:$AA$496,14,)=0,0,((VLOOKUP($D243,$C$5:$AA$496,14,)/VLOOKUP($D243,$C$5:$AA$496,4,))*$F243))</f>
        <v>0</v>
      </c>
      <c r="Q243" s="27"/>
      <c r="R243" s="27">
        <f>IF(VLOOKUP($D243,$C$5:$AA$496,16,)=0,0,((VLOOKUP($D243,$C$5:$AA$496,16,)/VLOOKUP($D243,$C$5:$AA$496,4,))*$F243))</f>
        <v>0</v>
      </c>
      <c r="S243" s="27">
        <f>IF(VLOOKUP($D243,$C$5:$AA$496,17,)=0,0,((VLOOKUP($D243,$C$5:$AA$496,17,)/VLOOKUP($D243,$C$5:$AA$496,4,))*$F243))</f>
        <v>0</v>
      </c>
      <c r="T243" s="27"/>
      <c r="U243" s="27">
        <f>IF(VLOOKUP($D243,$C$5:$AA$496,19,)=0,0,((VLOOKUP($D243,$C$5:$AA$496,19,)/VLOOKUP($D243,$C$5:$AA$496,4,))*$F243))</f>
        <v>0</v>
      </c>
      <c r="V243" s="27"/>
      <c r="W243" s="27">
        <f>IF(VLOOKUP($D243,$C$5:$AA$496,21,)=0,0,((VLOOKUP($D243,$C$5:$AA$496,21,)/VLOOKUP($D243,$C$5:$AA$496,4,))*$F243))</f>
        <v>0</v>
      </c>
      <c r="X243" s="27"/>
      <c r="Y243" s="27">
        <f>IF(VLOOKUP($D243,$C$5:$AA$496,23,)=0,0,((VLOOKUP($D243,$C$5:$AA$496,23,)/VLOOKUP($D243,$C$5:$AA$496,4,))*$F243))</f>
        <v>84000</v>
      </c>
      <c r="Z243" s="27"/>
      <c r="AA243" s="27">
        <f>IF(VLOOKUP($D243,$C$5:$AA$496,25,)=0,0,((VLOOKUP($D243,$C$5:$AA$496,25,)/VLOOKUP($D243,$C$5:$AA$496,4,))*$F243))</f>
        <v>0</v>
      </c>
      <c r="AB243" s="27">
        <f>SUM(H243:AA243)</f>
        <v>84000</v>
      </c>
      <c r="AC243" s="21" t="str">
        <f>IF(ABS(AB243-F243)&lt;1,"ok","err")</f>
        <v>ok</v>
      </c>
    </row>
    <row r="244" spans="1:29" x14ac:dyDescent="0.25">
      <c r="A244" s="14">
        <v>905</v>
      </c>
      <c r="B244" s="14" t="s">
        <v>452</v>
      </c>
      <c r="C244" s="14" t="s">
        <v>143</v>
      </c>
      <c r="D244" s="14" t="s">
        <v>140</v>
      </c>
      <c r="F244" s="167">
        <v>0</v>
      </c>
      <c r="G244" s="27"/>
      <c r="H244" s="27">
        <f>IF(VLOOKUP($D244,$C$5:$AA$496,6,)=0,0,((VLOOKUP($D244,$C$5:$AA$496,6,)/VLOOKUP($D244,$C$5:$AA$496,4,))*$F244))</f>
        <v>0</v>
      </c>
      <c r="I244" s="27">
        <f>IF(VLOOKUP($D244,$C$5:$AA$496,7,)=0,0,((VLOOKUP($D244,$C$5:$AA$496,7,)/VLOOKUP($D244,$C$5:$AA$496,4,))*$F244))</f>
        <v>0</v>
      </c>
      <c r="J244" s="27"/>
      <c r="K244" s="27">
        <f>IF(VLOOKUP($D244,$C$5:$AA$496,9,)=0,0,((VLOOKUP($D244,$C$5:$AA$496,9,)/VLOOKUP($D244,$C$5:$AA$496,4,))*$F244))</f>
        <v>0</v>
      </c>
      <c r="L244" s="27"/>
      <c r="M244" s="27">
        <f>IF(VLOOKUP($D244,$C$5:$AA$496,11,)=0,0,((VLOOKUP($D244,$C$5:$AA$496,11,)/VLOOKUP($D244,$C$5:$AA$496,4,))*$F244))</f>
        <v>0</v>
      </c>
      <c r="N244" s="27"/>
      <c r="O244" s="27">
        <f>IF(VLOOKUP($D244,$C$5:$AA$496,13,)=0,0,((VLOOKUP($D244,$C$5:$AA$496,13,)/VLOOKUP($D244,$C$5:$AA$496,4,))*$F244))</f>
        <v>0</v>
      </c>
      <c r="P244" s="27">
        <f>IF(VLOOKUP($D244,$C$5:$AA$496,14,)=0,0,((VLOOKUP($D244,$C$5:$AA$496,14,)/VLOOKUP($D244,$C$5:$AA$496,4,))*$F244))</f>
        <v>0</v>
      </c>
      <c r="Q244" s="27"/>
      <c r="R244" s="27">
        <f>IF(VLOOKUP($D244,$C$5:$AA$496,16,)=0,0,((VLOOKUP($D244,$C$5:$AA$496,16,)/VLOOKUP($D244,$C$5:$AA$496,4,))*$F244))</f>
        <v>0</v>
      </c>
      <c r="S244" s="27">
        <f>IF(VLOOKUP($D244,$C$5:$AA$496,17,)=0,0,((VLOOKUP($D244,$C$5:$AA$496,17,)/VLOOKUP($D244,$C$5:$AA$496,4,))*$F244))</f>
        <v>0</v>
      </c>
      <c r="T244" s="27"/>
      <c r="U244" s="27">
        <f>IF(VLOOKUP($D244,$C$5:$AA$496,19,)=0,0,((VLOOKUP($D244,$C$5:$AA$496,19,)/VLOOKUP($D244,$C$5:$AA$496,4,))*$F244))</f>
        <v>0</v>
      </c>
      <c r="V244" s="27"/>
      <c r="W244" s="27">
        <f>IF(VLOOKUP($D244,$C$5:$AA$496,21,)=0,0,((VLOOKUP($D244,$C$5:$AA$496,21,)/VLOOKUP($D244,$C$5:$AA$496,4,))*$F244))</f>
        <v>0</v>
      </c>
      <c r="X244" s="27"/>
      <c r="Y244" s="27">
        <f>IF(VLOOKUP($D244,$C$5:$AA$496,23,)=0,0,((VLOOKUP($D244,$C$5:$AA$496,23,)/VLOOKUP($D244,$C$5:$AA$496,4,))*$F244))</f>
        <v>0</v>
      </c>
      <c r="Z244" s="27"/>
      <c r="AA244" s="27">
        <f>IF(VLOOKUP($D244,$C$5:$AA$496,25,)=0,0,((VLOOKUP($D244,$C$5:$AA$496,25,)/VLOOKUP($D244,$C$5:$AA$496,4,))*$F244))</f>
        <v>0</v>
      </c>
      <c r="AB244" s="27">
        <f>SUM(H244:AA244)</f>
        <v>0</v>
      </c>
      <c r="AC244" s="21" t="str">
        <f>IF(ABS(AB244-F244)&lt;1,"ok","err")</f>
        <v>ok</v>
      </c>
    </row>
    <row r="245" spans="1:29" x14ac:dyDescent="0.25">
      <c r="A245" s="13"/>
      <c r="F245" s="16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1"/>
    </row>
    <row r="246" spans="1:29" x14ac:dyDescent="0.25">
      <c r="A246" s="14" t="s">
        <v>146</v>
      </c>
      <c r="C246" s="14" t="s">
        <v>147</v>
      </c>
      <c r="F246" s="174">
        <f>SUM(F240:F245)</f>
        <v>1288345.1099999999</v>
      </c>
      <c r="G246" s="40"/>
      <c r="H246" s="40">
        <f t="shared" ref="H246:W246" si="141">SUM(H240:H245)</f>
        <v>0</v>
      </c>
      <c r="I246" s="40">
        <f t="shared" si="141"/>
        <v>0</v>
      </c>
      <c r="J246" s="40"/>
      <c r="K246" s="40">
        <f t="shared" si="141"/>
        <v>0</v>
      </c>
      <c r="L246" s="40"/>
      <c r="M246" s="40">
        <f t="shared" si="141"/>
        <v>0</v>
      </c>
      <c r="N246" s="40"/>
      <c r="O246" s="40">
        <f t="shared" si="141"/>
        <v>0</v>
      </c>
      <c r="P246" s="40">
        <f t="shared" si="141"/>
        <v>0</v>
      </c>
      <c r="Q246" s="40"/>
      <c r="R246" s="40"/>
      <c r="S246" s="40">
        <f t="shared" si="141"/>
        <v>0</v>
      </c>
      <c r="T246" s="40"/>
      <c r="U246" s="40">
        <f t="shared" si="141"/>
        <v>0</v>
      </c>
      <c r="V246" s="40"/>
      <c r="W246" s="40">
        <f t="shared" si="141"/>
        <v>0</v>
      </c>
      <c r="X246" s="40"/>
      <c r="Y246" s="40">
        <f>SUM(Y240:Y245)</f>
        <v>1288345.1099999999</v>
      </c>
      <c r="Z246" s="40"/>
      <c r="AA246" s="40">
        <f>SUM(AA240:AA245)</f>
        <v>0</v>
      </c>
      <c r="AB246" s="27">
        <f>SUM(H246:AA246)</f>
        <v>1288345.1099999999</v>
      </c>
      <c r="AC246" s="21" t="str">
        <f>IF(ABS(AB246-F246)&lt;1,"ok","err")</f>
        <v>ok</v>
      </c>
    </row>
    <row r="247" spans="1:29" x14ac:dyDescent="0.25">
      <c r="F247" s="16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C247" s="21"/>
    </row>
    <row r="248" spans="1:29" x14ac:dyDescent="0.25">
      <c r="A248" s="13" t="s">
        <v>148</v>
      </c>
      <c r="F248" s="16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C248" s="21"/>
    </row>
    <row r="249" spans="1:29" x14ac:dyDescent="0.25">
      <c r="A249" s="14">
        <v>907</v>
      </c>
      <c r="B249" s="14" t="s">
        <v>384</v>
      </c>
      <c r="C249" s="14" t="s">
        <v>149</v>
      </c>
      <c r="D249" s="14" t="s">
        <v>150</v>
      </c>
      <c r="F249" s="174">
        <v>152548.15</v>
      </c>
      <c r="G249" s="40"/>
      <c r="H249" s="27">
        <f t="shared" ref="H249:H260" si="142">IF(VLOOKUP($D249,$C$5:$AA$496,6,)=0,0,((VLOOKUP($D249,$C$5:$AA$496,6,)/VLOOKUP($D249,$C$5:$AA$496,4,))*$F249))</f>
        <v>0</v>
      </c>
      <c r="I249" s="27">
        <f t="shared" ref="I249:I260" si="143">IF(VLOOKUP($D249,$C$5:$AA$496,7,)=0,0,((VLOOKUP($D249,$C$5:$AA$496,7,)/VLOOKUP($D249,$C$5:$AA$496,4,))*$F249))</f>
        <v>0</v>
      </c>
      <c r="J249" s="27"/>
      <c r="K249" s="27">
        <f t="shared" ref="K249:K260" si="144">IF(VLOOKUP($D249,$C$5:$AA$496,9,)=0,0,((VLOOKUP($D249,$C$5:$AA$496,9,)/VLOOKUP($D249,$C$5:$AA$496,4,))*$F249))</f>
        <v>0</v>
      </c>
      <c r="L249" s="27"/>
      <c r="M249" s="27">
        <f t="shared" ref="M249:M260" si="145">IF(VLOOKUP($D249,$C$5:$AA$496,11,)=0,0,((VLOOKUP($D249,$C$5:$AA$496,11,)/VLOOKUP($D249,$C$5:$AA$496,4,))*$F249))</f>
        <v>0</v>
      </c>
      <c r="N249" s="27"/>
      <c r="O249" s="27">
        <f t="shared" ref="O249:O260" si="146">IF(VLOOKUP($D249,$C$5:$AA$496,13,)=0,0,((VLOOKUP($D249,$C$5:$AA$496,13,)/VLOOKUP($D249,$C$5:$AA$496,4,))*$F249))</f>
        <v>0</v>
      </c>
      <c r="P249" s="27">
        <f t="shared" ref="P249:P260" si="147">IF(VLOOKUP($D249,$C$5:$AA$496,14,)=0,0,((VLOOKUP($D249,$C$5:$AA$496,14,)/VLOOKUP($D249,$C$5:$AA$496,4,))*$F249))</f>
        <v>0</v>
      </c>
      <c r="Q249" s="27"/>
      <c r="R249" s="27">
        <f t="shared" ref="R249:R260" si="148">IF(VLOOKUP($D249,$C$5:$AA$496,16,)=0,0,((VLOOKUP($D249,$C$5:$AA$496,16,)/VLOOKUP($D249,$C$5:$AA$496,4,))*$F249))</f>
        <v>0</v>
      </c>
      <c r="S249" s="27">
        <f t="shared" ref="S249:S260" si="149">IF(VLOOKUP($D249,$C$5:$AA$496,17,)=0,0,((VLOOKUP($D249,$C$5:$AA$496,17,)/VLOOKUP($D249,$C$5:$AA$496,4,))*$F249))</f>
        <v>0</v>
      </c>
      <c r="T249" s="27"/>
      <c r="U249" s="27">
        <f t="shared" ref="U249:U260" si="150">IF(VLOOKUP($D249,$C$5:$AA$496,19,)=0,0,((VLOOKUP($D249,$C$5:$AA$496,19,)/VLOOKUP($D249,$C$5:$AA$496,4,))*$F249))</f>
        <v>0</v>
      </c>
      <c r="V249" s="27"/>
      <c r="W249" s="27">
        <f t="shared" ref="W249:W260" si="151">IF(VLOOKUP($D249,$C$5:$AA$496,21,)=0,0,((VLOOKUP($D249,$C$5:$AA$496,21,)/VLOOKUP($D249,$C$5:$AA$496,4,))*$F249))</f>
        <v>0</v>
      </c>
      <c r="X249" s="27"/>
      <c r="Y249" s="27">
        <f t="shared" ref="Y249:Y260" si="152">IF(VLOOKUP($D249,$C$5:$AA$496,23,)=0,0,((VLOOKUP($D249,$C$5:$AA$496,23,)/VLOOKUP($D249,$C$5:$AA$496,4,))*$F249))</f>
        <v>152548.15</v>
      </c>
      <c r="Z249" s="27"/>
      <c r="AA249" s="27">
        <f t="shared" ref="AA249:AA260" si="153">IF(VLOOKUP($D249,$C$5:$AA$496,25,)=0,0,((VLOOKUP($D249,$C$5:$AA$496,25,)/VLOOKUP($D249,$C$5:$AA$496,4,))*$F249))</f>
        <v>0</v>
      </c>
      <c r="AB249" s="27">
        <f t="shared" ref="AB249:AB260" si="154">SUM(H249:AA249)</f>
        <v>152548.15</v>
      </c>
      <c r="AC249" s="21" t="str">
        <f t="shared" ref="AC249:AC260" si="155">IF(ABS(AB249-F249)&lt;1,"ok","err")</f>
        <v>ok</v>
      </c>
    </row>
    <row r="250" spans="1:29" x14ac:dyDescent="0.25">
      <c r="A250" s="14">
        <v>908</v>
      </c>
      <c r="B250" s="14" t="s">
        <v>151</v>
      </c>
      <c r="C250" s="14" t="s">
        <v>152</v>
      </c>
      <c r="D250" s="14" t="s">
        <v>150</v>
      </c>
      <c r="F250" s="167">
        <v>-13849.86</v>
      </c>
      <c r="G250" s="27"/>
      <c r="H250" s="27"/>
      <c r="I250" s="27">
        <f t="shared" si="143"/>
        <v>0</v>
      </c>
      <c r="J250" s="27"/>
      <c r="K250" s="27">
        <f t="shared" si="144"/>
        <v>0</v>
      </c>
      <c r="L250" s="27"/>
      <c r="M250" s="27">
        <f t="shared" si="145"/>
        <v>0</v>
      </c>
      <c r="N250" s="27"/>
      <c r="O250" s="27">
        <f t="shared" si="146"/>
        <v>0</v>
      </c>
      <c r="P250" s="27">
        <f t="shared" si="147"/>
        <v>0</v>
      </c>
      <c r="Q250" s="27"/>
      <c r="R250" s="27">
        <f t="shared" si="148"/>
        <v>0</v>
      </c>
      <c r="S250" s="27">
        <f t="shared" si="149"/>
        <v>0</v>
      </c>
      <c r="T250" s="27"/>
      <c r="U250" s="27">
        <f t="shared" si="150"/>
        <v>0</v>
      </c>
      <c r="V250" s="27"/>
      <c r="W250" s="27">
        <f t="shared" si="151"/>
        <v>0</v>
      </c>
      <c r="X250" s="27"/>
      <c r="Y250" s="27">
        <f t="shared" si="152"/>
        <v>-13849.86</v>
      </c>
      <c r="Z250" s="27"/>
      <c r="AA250" s="27">
        <f t="shared" si="153"/>
        <v>0</v>
      </c>
      <c r="AB250" s="27">
        <f t="shared" si="154"/>
        <v>-13849.86</v>
      </c>
      <c r="AC250" s="21" t="str">
        <f t="shared" si="155"/>
        <v>ok</v>
      </c>
    </row>
    <row r="251" spans="1:29" x14ac:dyDescent="0.25">
      <c r="A251" s="14">
        <v>908</v>
      </c>
      <c r="B251" s="14" t="s">
        <v>453</v>
      </c>
      <c r="C251" s="14" t="s">
        <v>454</v>
      </c>
      <c r="D251" s="14" t="s">
        <v>470</v>
      </c>
      <c r="F251" s="167">
        <v>0</v>
      </c>
      <c r="G251" s="27"/>
      <c r="H251" s="27">
        <f t="shared" si="142"/>
        <v>0</v>
      </c>
      <c r="I251" s="27">
        <f t="shared" si="143"/>
        <v>0</v>
      </c>
      <c r="J251" s="27"/>
      <c r="K251" s="27">
        <f t="shared" si="144"/>
        <v>0</v>
      </c>
      <c r="L251" s="27"/>
      <c r="M251" s="27">
        <f t="shared" si="145"/>
        <v>0</v>
      </c>
      <c r="N251" s="27"/>
      <c r="O251" s="27">
        <f t="shared" si="146"/>
        <v>0</v>
      </c>
      <c r="P251" s="27">
        <f t="shared" si="147"/>
        <v>0</v>
      </c>
      <c r="Q251" s="27"/>
      <c r="R251" s="27">
        <f t="shared" si="148"/>
        <v>0</v>
      </c>
      <c r="S251" s="27">
        <f t="shared" si="149"/>
        <v>0</v>
      </c>
      <c r="T251" s="27"/>
      <c r="U251" s="27">
        <f t="shared" si="150"/>
        <v>0</v>
      </c>
      <c r="V251" s="27"/>
      <c r="W251" s="27">
        <f t="shared" si="151"/>
        <v>0</v>
      </c>
      <c r="X251" s="27"/>
      <c r="Y251" s="27">
        <f t="shared" si="152"/>
        <v>0</v>
      </c>
      <c r="Z251" s="27"/>
      <c r="AA251" s="27">
        <f t="shared" si="153"/>
        <v>0</v>
      </c>
      <c r="AB251" s="27">
        <f t="shared" si="154"/>
        <v>0</v>
      </c>
      <c r="AC251" s="21" t="str">
        <f t="shared" si="155"/>
        <v>ok</v>
      </c>
    </row>
    <row r="252" spans="1:29" x14ac:dyDescent="0.25">
      <c r="A252" s="14">
        <v>909</v>
      </c>
      <c r="B252" s="14" t="s">
        <v>153</v>
      </c>
      <c r="C252" s="14" t="s">
        <v>154</v>
      </c>
      <c r="D252" s="14" t="s">
        <v>150</v>
      </c>
      <c r="F252" s="167">
        <v>0</v>
      </c>
      <c r="G252" s="27"/>
      <c r="H252" s="27">
        <f t="shared" si="142"/>
        <v>0</v>
      </c>
      <c r="I252" s="27">
        <f t="shared" si="143"/>
        <v>0</v>
      </c>
      <c r="J252" s="27"/>
      <c r="K252" s="27">
        <f t="shared" si="144"/>
        <v>0</v>
      </c>
      <c r="L252" s="27"/>
      <c r="M252" s="27">
        <f t="shared" si="145"/>
        <v>0</v>
      </c>
      <c r="N252" s="27"/>
      <c r="O252" s="27">
        <f t="shared" si="146"/>
        <v>0</v>
      </c>
      <c r="P252" s="27">
        <f t="shared" si="147"/>
        <v>0</v>
      </c>
      <c r="Q252" s="27"/>
      <c r="R252" s="27">
        <f t="shared" si="148"/>
        <v>0</v>
      </c>
      <c r="S252" s="27">
        <f t="shared" si="149"/>
        <v>0</v>
      </c>
      <c r="T252" s="27"/>
      <c r="U252" s="27">
        <f t="shared" si="150"/>
        <v>0</v>
      </c>
      <c r="V252" s="27"/>
      <c r="W252" s="27">
        <f t="shared" si="151"/>
        <v>0</v>
      </c>
      <c r="X252" s="27"/>
      <c r="Y252" s="27">
        <f t="shared" si="152"/>
        <v>0</v>
      </c>
      <c r="Z252" s="27"/>
      <c r="AA252" s="27">
        <f t="shared" si="153"/>
        <v>0</v>
      </c>
      <c r="AB252" s="27">
        <f t="shared" si="154"/>
        <v>0</v>
      </c>
      <c r="AC252" s="21" t="str">
        <f t="shared" si="155"/>
        <v>ok</v>
      </c>
    </row>
    <row r="253" spans="1:29" x14ac:dyDescent="0.25">
      <c r="A253" s="14">
        <v>909</v>
      </c>
      <c r="B253" s="14" t="s">
        <v>455</v>
      </c>
      <c r="C253" s="14" t="s">
        <v>456</v>
      </c>
      <c r="D253" s="14" t="s">
        <v>470</v>
      </c>
      <c r="F253" s="167">
        <v>0</v>
      </c>
      <c r="G253" s="27"/>
      <c r="H253" s="27">
        <f t="shared" si="142"/>
        <v>0</v>
      </c>
      <c r="I253" s="27">
        <f t="shared" si="143"/>
        <v>0</v>
      </c>
      <c r="J253" s="27"/>
      <c r="K253" s="27">
        <f t="shared" si="144"/>
        <v>0</v>
      </c>
      <c r="L253" s="27"/>
      <c r="M253" s="27">
        <f t="shared" si="145"/>
        <v>0</v>
      </c>
      <c r="N253" s="27"/>
      <c r="O253" s="27">
        <f t="shared" si="146"/>
        <v>0</v>
      </c>
      <c r="P253" s="27">
        <f t="shared" si="147"/>
        <v>0</v>
      </c>
      <c r="Q253" s="27"/>
      <c r="R253" s="27">
        <f t="shared" si="148"/>
        <v>0</v>
      </c>
      <c r="S253" s="27">
        <f t="shared" si="149"/>
        <v>0</v>
      </c>
      <c r="T253" s="27"/>
      <c r="U253" s="27">
        <f t="shared" si="150"/>
        <v>0</v>
      </c>
      <c r="V253" s="27"/>
      <c r="W253" s="27">
        <f t="shared" si="151"/>
        <v>0</v>
      </c>
      <c r="X253" s="27"/>
      <c r="Y253" s="27">
        <f t="shared" si="152"/>
        <v>0</v>
      </c>
      <c r="Z253" s="27"/>
      <c r="AA253" s="27">
        <f t="shared" si="153"/>
        <v>0</v>
      </c>
      <c r="AB253" s="27">
        <f t="shared" si="154"/>
        <v>0</v>
      </c>
      <c r="AC253" s="21" t="str">
        <f t="shared" si="155"/>
        <v>ok</v>
      </c>
    </row>
    <row r="254" spans="1:29" x14ac:dyDescent="0.25">
      <c r="A254" s="14">
        <v>910</v>
      </c>
      <c r="B254" s="14" t="s">
        <v>155</v>
      </c>
      <c r="C254" s="14" t="s">
        <v>156</v>
      </c>
      <c r="D254" s="14" t="s">
        <v>150</v>
      </c>
      <c r="F254" s="167">
        <v>911.23</v>
      </c>
      <c r="G254" s="27"/>
      <c r="H254" s="27">
        <f t="shared" si="142"/>
        <v>0</v>
      </c>
      <c r="I254" s="27">
        <f t="shared" si="143"/>
        <v>0</v>
      </c>
      <c r="J254" s="27"/>
      <c r="K254" s="27">
        <f t="shared" si="144"/>
        <v>0</v>
      </c>
      <c r="L254" s="27"/>
      <c r="M254" s="27">
        <f t="shared" si="145"/>
        <v>0</v>
      </c>
      <c r="N254" s="27"/>
      <c r="O254" s="27">
        <f t="shared" si="146"/>
        <v>0</v>
      </c>
      <c r="P254" s="27">
        <f t="shared" si="147"/>
        <v>0</v>
      </c>
      <c r="Q254" s="27"/>
      <c r="R254" s="27">
        <f t="shared" si="148"/>
        <v>0</v>
      </c>
      <c r="S254" s="27">
        <f t="shared" si="149"/>
        <v>0</v>
      </c>
      <c r="T254" s="27"/>
      <c r="U254" s="27">
        <f t="shared" si="150"/>
        <v>0</v>
      </c>
      <c r="V254" s="27"/>
      <c r="W254" s="27">
        <f t="shared" si="151"/>
        <v>0</v>
      </c>
      <c r="X254" s="27"/>
      <c r="Y254" s="27">
        <f t="shared" si="152"/>
        <v>911.23</v>
      </c>
      <c r="Z254" s="27"/>
      <c r="AA254" s="27">
        <f t="shared" si="153"/>
        <v>0</v>
      </c>
      <c r="AB254" s="27">
        <f t="shared" si="154"/>
        <v>911.23</v>
      </c>
      <c r="AC254" s="21" t="str">
        <f t="shared" si="155"/>
        <v>ok</v>
      </c>
    </row>
    <row r="255" spans="1:29" x14ac:dyDescent="0.25">
      <c r="A255" s="14">
        <v>911</v>
      </c>
      <c r="B255" s="14" t="s">
        <v>384</v>
      </c>
      <c r="C255" s="14" t="s">
        <v>707</v>
      </c>
      <c r="D255" s="14" t="s">
        <v>150</v>
      </c>
      <c r="F255" s="167">
        <v>0</v>
      </c>
      <c r="G255" s="27"/>
      <c r="H255" s="27">
        <f t="shared" si="142"/>
        <v>0</v>
      </c>
      <c r="I255" s="27">
        <f t="shared" si="143"/>
        <v>0</v>
      </c>
      <c r="J255" s="27"/>
      <c r="K255" s="27">
        <f t="shared" si="144"/>
        <v>0</v>
      </c>
      <c r="L255" s="27"/>
      <c r="M255" s="27">
        <f t="shared" si="145"/>
        <v>0</v>
      </c>
      <c r="N255" s="27"/>
      <c r="O255" s="27">
        <f t="shared" si="146"/>
        <v>0</v>
      </c>
      <c r="P255" s="27">
        <f t="shared" si="147"/>
        <v>0</v>
      </c>
      <c r="Q255" s="27"/>
      <c r="R255" s="27">
        <f t="shared" si="148"/>
        <v>0</v>
      </c>
      <c r="S255" s="27">
        <f t="shared" si="149"/>
        <v>0</v>
      </c>
      <c r="T255" s="27"/>
      <c r="U255" s="27">
        <f t="shared" si="150"/>
        <v>0</v>
      </c>
      <c r="V255" s="27"/>
      <c r="W255" s="27">
        <f t="shared" si="151"/>
        <v>0</v>
      </c>
      <c r="X255" s="27"/>
      <c r="Y255" s="27">
        <f t="shared" si="152"/>
        <v>0</v>
      </c>
      <c r="Z255" s="27"/>
      <c r="AA255" s="27">
        <f t="shared" si="153"/>
        <v>0</v>
      </c>
      <c r="AB255" s="27">
        <f>SUM(H255:AA255)</f>
        <v>0</v>
      </c>
      <c r="AC255" s="21" t="str">
        <f>IF(ABS(AB255-F255)&lt;1,"ok","err")</f>
        <v>ok</v>
      </c>
    </row>
    <row r="256" spans="1:29" x14ac:dyDescent="0.25">
      <c r="A256" s="14">
        <v>912</v>
      </c>
      <c r="B256" s="14" t="s">
        <v>586</v>
      </c>
      <c r="C256" s="14" t="s">
        <v>587</v>
      </c>
      <c r="D256" s="14" t="s">
        <v>470</v>
      </c>
      <c r="F256" s="167">
        <v>0</v>
      </c>
      <c r="G256" s="27"/>
      <c r="H256" s="27">
        <f t="shared" si="142"/>
        <v>0</v>
      </c>
      <c r="I256" s="27">
        <f t="shared" si="143"/>
        <v>0</v>
      </c>
      <c r="J256" s="27"/>
      <c r="K256" s="27">
        <f t="shared" si="144"/>
        <v>0</v>
      </c>
      <c r="L256" s="27"/>
      <c r="M256" s="27">
        <f t="shared" si="145"/>
        <v>0</v>
      </c>
      <c r="N256" s="27"/>
      <c r="O256" s="27">
        <f t="shared" si="146"/>
        <v>0</v>
      </c>
      <c r="P256" s="27">
        <f t="shared" si="147"/>
        <v>0</v>
      </c>
      <c r="Q256" s="27"/>
      <c r="R256" s="27">
        <f t="shared" si="148"/>
        <v>0</v>
      </c>
      <c r="S256" s="27">
        <f t="shared" si="149"/>
        <v>0</v>
      </c>
      <c r="T256" s="27"/>
      <c r="U256" s="27">
        <f t="shared" si="150"/>
        <v>0</v>
      </c>
      <c r="V256" s="27"/>
      <c r="W256" s="27">
        <f t="shared" si="151"/>
        <v>0</v>
      </c>
      <c r="X256" s="27"/>
      <c r="Y256" s="27">
        <f t="shared" si="152"/>
        <v>0</v>
      </c>
      <c r="Z256" s="27"/>
      <c r="AA256" s="27">
        <f t="shared" si="153"/>
        <v>0</v>
      </c>
      <c r="AB256" s="27">
        <f t="shared" si="154"/>
        <v>0</v>
      </c>
      <c r="AC256" s="21" t="str">
        <f t="shared" si="155"/>
        <v>ok</v>
      </c>
    </row>
    <row r="257" spans="1:29" x14ac:dyDescent="0.25">
      <c r="A257" s="14">
        <v>913</v>
      </c>
      <c r="B257" s="14" t="s">
        <v>635</v>
      </c>
      <c r="C257" s="14" t="s">
        <v>576</v>
      </c>
      <c r="D257" s="14" t="s">
        <v>470</v>
      </c>
      <c r="F257" s="167">
        <v>0</v>
      </c>
      <c r="G257" s="27"/>
      <c r="H257" s="27">
        <f t="shared" si="142"/>
        <v>0</v>
      </c>
      <c r="I257" s="27">
        <f t="shared" si="143"/>
        <v>0</v>
      </c>
      <c r="J257" s="27"/>
      <c r="K257" s="27">
        <f t="shared" si="144"/>
        <v>0</v>
      </c>
      <c r="L257" s="27"/>
      <c r="M257" s="27">
        <f t="shared" si="145"/>
        <v>0</v>
      </c>
      <c r="N257" s="27"/>
      <c r="O257" s="27">
        <f t="shared" si="146"/>
        <v>0</v>
      </c>
      <c r="P257" s="27">
        <f t="shared" si="147"/>
        <v>0</v>
      </c>
      <c r="Q257" s="27"/>
      <c r="R257" s="27">
        <f t="shared" si="148"/>
        <v>0</v>
      </c>
      <c r="S257" s="27">
        <f t="shared" si="149"/>
        <v>0</v>
      </c>
      <c r="T257" s="27"/>
      <c r="U257" s="27">
        <f t="shared" si="150"/>
        <v>0</v>
      </c>
      <c r="V257" s="27"/>
      <c r="W257" s="27">
        <f t="shared" si="151"/>
        <v>0</v>
      </c>
      <c r="X257" s="27"/>
      <c r="Y257" s="27">
        <f t="shared" si="152"/>
        <v>0</v>
      </c>
      <c r="Z257" s="27"/>
      <c r="AA257" s="27">
        <f t="shared" si="153"/>
        <v>0</v>
      </c>
      <c r="AB257" s="27">
        <f t="shared" si="154"/>
        <v>0</v>
      </c>
      <c r="AC257" s="21" t="str">
        <f t="shared" si="155"/>
        <v>ok</v>
      </c>
    </row>
    <row r="258" spans="1:29" x14ac:dyDescent="0.25">
      <c r="A258" s="14">
        <v>914</v>
      </c>
      <c r="B258" s="14" t="s">
        <v>919</v>
      </c>
      <c r="C258" s="14" t="s">
        <v>920</v>
      </c>
      <c r="D258" s="14" t="s">
        <v>470</v>
      </c>
      <c r="F258" s="167">
        <v>0</v>
      </c>
      <c r="G258" s="27"/>
      <c r="H258" s="27">
        <f t="shared" si="142"/>
        <v>0</v>
      </c>
      <c r="I258" s="27">
        <f t="shared" si="143"/>
        <v>0</v>
      </c>
      <c r="J258" s="27"/>
      <c r="K258" s="27">
        <f t="shared" si="144"/>
        <v>0</v>
      </c>
      <c r="L258" s="27"/>
      <c r="M258" s="27">
        <f t="shared" si="145"/>
        <v>0</v>
      </c>
      <c r="N258" s="27"/>
      <c r="O258" s="27">
        <f t="shared" si="146"/>
        <v>0</v>
      </c>
      <c r="P258" s="27">
        <f t="shared" si="147"/>
        <v>0</v>
      </c>
      <c r="Q258" s="27"/>
      <c r="R258" s="27">
        <f t="shared" si="148"/>
        <v>0</v>
      </c>
      <c r="S258" s="27">
        <f t="shared" si="149"/>
        <v>0</v>
      </c>
      <c r="T258" s="27"/>
      <c r="U258" s="27">
        <f t="shared" si="150"/>
        <v>0</v>
      </c>
      <c r="V258" s="27"/>
      <c r="W258" s="27">
        <f t="shared" si="151"/>
        <v>0</v>
      </c>
      <c r="X258" s="27"/>
      <c r="Y258" s="27">
        <f t="shared" si="152"/>
        <v>0</v>
      </c>
      <c r="Z258" s="27"/>
      <c r="AA258" s="27">
        <f t="shared" si="153"/>
        <v>0</v>
      </c>
      <c r="AB258" s="27">
        <f>SUM(H258:AA258)</f>
        <v>0</v>
      </c>
      <c r="AC258" s="21" t="str">
        <f>IF(ABS(AB258-F258)&lt;1,"ok","err")</f>
        <v>ok</v>
      </c>
    </row>
    <row r="259" spans="1:29" x14ac:dyDescent="0.25">
      <c r="A259" s="14">
        <v>916</v>
      </c>
      <c r="B259" s="14" t="s">
        <v>637</v>
      </c>
      <c r="C259" s="14" t="s">
        <v>638</v>
      </c>
      <c r="D259" s="14" t="s">
        <v>470</v>
      </c>
      <c r="F259" s="167">
        <v>0</v>
      </c>
      <c r="G259" s="27"/>
      <c r="H259" s="27">
        <f t="shared" si="142"/>
        <v>0</v>
      </c>
      <c r="I259" s="27">
        <f t="shared" si="143"/>
        <v>0</v>
      </c>
      <c r="J259" s="27"/>
      <c r="K259" s="27">
        <f t="shared" si="144"/>
        <v>0</v>
      </c>
      <c r="L259" s="27"/>
      <c r="M259" s="27">
        <f t="shared" si="145"/>
        <v>0</v>
      </c>
      <c r="N259" s="27"/>
      <c r="O259" s="27">
        <f t="shared" si="146"/>
        <v>0</v>
      </c>
      <c r="P259" s="27">
        <f t="shared" si="147"/>
        <v>0</v>
      </c>
      <c r="Q259" s="27"/>
      <c r="R259" s="27">
        <f t="shared" si="148"/>
        <v>0</v>
      </c>
      <c r="S259" s="27">
        <f t="shared" si="149"/>
        <v>0</v>
      </c>
      <c r="T259" s="27"/>
      <c r="U259" s="27">
        <f t="shared" si="150"/>
        <v>0</v>
      </c>
      <c r="V259" s="27"/>
      <c r="W259" s="27">
        <f t="shared" si="151"/>
        <v>0</v>
      </c>
      <c r="X259" s="27"/>
      <c r="Y259" s="27">
        <f t="shared" si="152"/>
        <v>0</v>
      </c>
      <c r="Z259" s="27"/>
      <c r="AA259" s="27">
        <f t="shared" si="153"/>
        <v>0</v>
      </c>
      <c r="AB259" s="27">
        <f t="shared" si="154"/>
        <v>0</v>
      </c>
      <c r="AC259" s="21" t="str">
        <f t="shared" si="155"/>
        <v>ok</v>
      </c>
    </row>
    <row r="260" spans="1:29" x14ac:dyDescent="0.25">
      <c r="A260" s="14">
        <v>917</v>
      </c>
      <c r="B260" s="14" t="s">
        <v>637</v>
      </c>
      <c r="C260" s="14" t="s">
        <v>914</v>
      </c>
      <c r="D260" s="14" t="s">
        <v>470</v>
      </c>
      <c r="F260" s="167">
        <v>0</v>
      </c>
      <c r="G260" s="27"/>
      <c r="H260" s="27">
        <f t="shared" si="142"/>
        <v>0</v>
      </c>
      <c r="I260" s="27">
        <f t="shared" si="143"/>
        <v>0</v>
      </c>
      <c r="J260" s="27"/>
      <c r="K260" s="27">
        <f t="shared" si="144"/>
        <v>0</v>
      </c>
      <c r="L260" s="27"/>
      <c r="M260" s="27">
        <f t="shared" si="145"/>
        <v>0</v>
      </c>
      <c r="N260" s="27"/>
      <c r="O260" s="27">
        <f t="shared" si="146"/>
        <v>0</v>
      </c>
      <c r="P260" s="27">
        <f t="shared" si="147"/>
        <v>0</v>
      </c>
      <c r="Q260" s="27"/>
      <c r="R260" s="27">
        <f t="shared" si="148"/>
        <v>0</v>
      </c>
      <c r="S260" s="27">
        <f t="shared" si="149"/>
        <v>0</v>
      </c>
      <c r="T260" s="27"/>
      <c r="U260" s="27">
        <f t="shared" si="150"/>
        <v>0</v>
      </c>
      <c r="V260" s="27"/>
      <c r="W260" s="27">
        <f t="shared" si="151"/>
        <v>0</v>
      </c>
      <c r="X260" s="27"/>
      <c r="Y260" s="27">
        <f t="shared" si="152"/>
        <v>0</v>
      </c>
      <c r="Z260" s="27"/>
      <c r="AA260" s="27">
        <f t="shared" si="153"/>
        <v>0</v>
      </c>
      <c r="AB260" s="27">
        <f t="shared" si="154"/>
        <v>0</v>
      </c>
      <c r="AC260" s="21" t="str">
        <f t="shared" si="155"/>
        <v>ok</v>
      </c>
    </row>
    <row r="261" spans="1:29" x14ac:dyDescent="0.25">
      <c r="F261" s="16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1"/>
    </row>
    <row r="262" spans="1:29" x14ac:dyDescent="0.25">
      <c r="A262" s="14" t="s">
        <v>157</v>
      </c>
      <c r="C262" s="14" t="s">
        <v>158</v>
      </c>
      <c r="F262" s="174">
        <f>SUM(F249:F260)</f>
        <v>139609.51999999999</v>
      </c>
      <c r="G262" s="40"/>
      <c r="H262" s="40">
        <f t="shared" ref="H262:W262" si="156">SUM(H249:H261)</f>
        <v>0</v>
      </c>
      <c r="I262" s="40">
        <f t="shared" si="156"/>
        <v>0</v>
      </c>
      <c r="J262" s="40"/>
      <c r="K262" s="40">
        <f t="shared" si="156"/>
        <v>0</v>
      </c>
      <c r="L262" s="40"/>
      <c r="M262" s="40">
        <f t="shared" si="156"/>
        <v>0</v>
      </c>
      <c r="N262" s="40"/>
      <c r="O262" s="40">
        <f t="shared" si="156"/>
        <v>0</v>
      </c>
      <c r="P262" s="40">
        <f t="shared" si="156"/>
        <v>0</v>
      </c>
      <c r="Q262" s="40"/>
      <c r="R262" s="40">
        <f t="shared" si="156"/>
        <v>0</v>
      </c>
      <c r="S262" s="40">
        <f t="shared" si="156"/>
        <v>0</v>
      </c>
      <c r="T262" s="40"/>
      <c r="U262" s="40">
        <f t="shared" si="156"/>
        <v>0</v>
      </c>
      <c r="V262" s="40"/>
      <c r="W262" s="40">
        <f t="shared" si="156"/>
        <v>0</v>
      </c>
      <c r="X262" s="40"/>
      <c r="Y262" s="40">
        <f>SUM(Y249:Y261)</f>
        <v>139609.51999999999</v>
      </c>
      <c r="Z262" s="40"/>
      <c r="AA262" s="40">
        <f>SUM(AA249:AA261)</f>
        <v>0</v>
      </c>
      <c r="AB262" s="27">
        <f>SUM(H262:AA262)</f>
        <v>139609.51999999999</v>
      </c>
      <c r="AC262" s="21" t="str">
        <f>IF(ABS(AB262-F262)&lt;1,"ok","err")</f>
        <v>ok</v>
      </c>
    </row>
    <row r="263" spans="1:29" x14ac:dyDescent="0.25">
      <c r="D263" s="64"/>
      <c r="F263" s="16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C263" s="21"/>
    </row>
    <row r="264" spans="1:29" x14ac:dyDescent="0.25">
      <c r="A264" s="14" t="s">
        <v>409</v>
      </c>
      <c r="C264" s="14" t="s">
        <v>410</v>
      </c>
      <c r="F264" s="167">
        <f t="shared" ref="F264:M264" si="157">F233+F246+F262</f>
        <v>6340895.209999999</v>
      </c>
      <c r="G264" s="27"/>
      <c r="H264" s="27">
        <f t="shared" si="157"/>
        <v>0</v>
      </c>
      <c r="I264" s="27">
        <f t="shared" si="157"/>
        <v>0</v>
      </c>
      <c r="J264" s="27"/>
      <c r="K264" s="27">
        <f t="shared" si="157"/>
        <v>0</v>
      </c>
      <c r="L264" s="27"/>
      <c r="M264" s="27">
        <f t="shared" si="157"/>
        <v>0</v>
      </c>
      <c r="N264" s="27"/>
      <c r="O264" s="27">
        <f t="shared" ref="O264:AA264" si="158">O233+O246+O262</f>
        <v>2478888.9996356014</v>
      </c>
      <c r="P264" s="27">
        <f t="shared" si="158"/>
        <v>1819864.5911868406</v>
      </c>
      <c r="Q264" s="27"/>
      <c r="R264" s="27">
        <f t="shared" si="158"/>
        <v>0</v>
      </c>
      <c r="S264" s="27">
        <f t="shared" si="158"/>
        <v>60886.054620374474</v>
      </c>
      <c r="T264" s="27"/>
      <c r="U264" s="27">
        <f t="shared" si="158"/>
        <v>529337.41803591966</v>
      </c>
      <c r="V264" s="27"/>
      <c r="W264" s="27">
        <f t="shared" si="158"/>
        <v>23963.516521264442</v>
      </c>
      <c r="X264" s="27"/>
      <c r="Y264" s="27">
        <f t="shared" si="158"/>
        <v>1427954.63</v>
      </c>
      <c r="Z264" s="27"/>
      <c r="AA264" s="27">
        <f t="shared" si="158"/>
        <v>0</v>
      </c>
      <c r="AB264" s="27">
        <f>SUM(H264:AA264)</f>
        <v>6340895.2100000009</v>
      </c>
      <c r="AC264" s="21" t="str">
        <f>IF(ABS(AB264-F264)&lt;1,"ok","err")</f>
        <v>ok</v>
      </c>
    </row>
    <row r="265" spans="1:29" x14ac:dyDescent="0.25">
      <c r="F265" s="16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C265" s="21"/>
    </row>
    <row r="266" spans="1:29" x14ac:dyDescent="0.25">
      <c r="A266" s="19" t="s">
        <v>136</v>
      </c>
      <c r="F266" s="16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C266" s="21"/>
    </row>
    <row r="267" spans="1:29" x14ac:dyDescent="0.25">
      <c r="F267" s="16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C267" s="21"/>
    </row>
    <row r="268" spans="1:29" x14ac:dyDescent="0.25">
      <c r="A268" s="13" t="s">
        <v>159</v>
      </c>
      <c r="F268" s="16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C268" s="21"/>
    </row>
    <row r="269" spans="1:29" x14ac:dyDescent="0.25">
      <c r="A269" s="14">
        <v>920</v>
      </c>
      <c r="B269" s="14" t="s">
        <v>160</v>
      </c>
      <c r="C269" s="14" t="s">
        <v>161</v>
      </c>
      <c r="D269" s="14" t="s">
        <v>410</v>
      </c>
      <c r="F269" s="174">
        <v>680585.9</v>
      </c>
      <c r="G269" s="40"/>
      <c r="H269" s="27">
        <f>IF((VLOOKUP($D269,$C$5:$AA$496,6,)=0),0,((VLOOKUP($D269,$C$5:$AA$496,6,)/VLOOKUP($D269,$C$5:$AA$496,4,))*$F269))</f>
        <v>0</v>
      </c>
      <c r="I269" s="27">
        <f>(VLOOKUP($D269,$C$5:$AA$496,7,)/VLOOKUP($D269,$C$5:$AA$496,4,))*$F269</f>
        <v>0</v>
      </c>
      <c r="J269" s="27"/>
      <c r="K269" s="27">
        <f>(VLOOKUP($D269,$C$5:$AA$496,9,)/VLOOKUP($D269,$C$5:$AA$496,4,))*$F269</f>
        <v>0</v>
      </c>
      <c r="L269" s="27"/>
      <c r="M269" s="27">
        <f>(VLOOKUP($D269,$C$5:$AA$496,11,)/VLOOKUP($D269,$C$5:$AA$496,4,))*$F269</f>
        <v>0</v>
      </c>
      <c r="N269" s="27"/>
      <c r="O269" s="27">
        <f>(VLOOKUP($D269,$C$5:$AA$496,13,)/VLOOKUP($D269,$C$5:$AA$496,4,))*$F269</f>
        <v>266066.04350698547</v>
      </c>
      <c r="P269" s="27">
        <f>(VLOOKUP($D269,$C$5:$AA$496,14,)/VLOOKUP($D269,$C$5:$AA$496,4,))*$F269</f>
        <v>195331.12275971964</v>
      </c>
      <c r="Q269" s="27"/>
      <c r="R269" s="27">
        <f>(VLOOKUP($D269,$C$5:$AA$496,16,)/VLOOKUP($D269,$C$5:$AA$496,4,))*$F269</f>
        <v>0</v>
      </c>
      <c r="S269" s="27">
        <f>(VLOOKUP($D269,$C$5:$AA$496,17,)/VLOOKUP($D269,$C$5:$AA$496,4,))*$F269</f>
        <v>6535.069404065538</v>
      </c>
      <c r="T269" s="27"/>
      <c r="U269" s="27">
        <f>(VLOOKUP($D269,$C$5:$AA$496,19,)/VLOOKUP($D269,$C$5:$AA$496,4,))*$F269</f>
        <v>56815.255752768178</v>
      </c>
      <c r="V269" s="27"/>
      <c r="W269" s="27">
        <f>(VLOOKUP($D269,$C$5:$AA$496,21,)/VLOOKUP($D269,$C$5:$AA$496,4,))*$F269</f>
        <v>2572.0708068269169</v>
      </c>
      <c r="X269" s="27"/>
      <c r="Y269" s="27">
        <f>(VLOOKUP($D269,$C$5:$AA$496,23,)/VLOOKUP($D269,$C$5:$AA$496,4,))*$F269</f>
        <v>153266.33776963444</v>
      </c>
      <c r="Z269" s="27"/>
      <c r="AA269" s="27">
        <f>(VLOOKUP($D269,$C$5:$AA$496,25,)/VLOOKUP($D269,$C$5:$AA$496,4,))*$F269</f>
        <v>0</v>
      </c>
      <c r="AB269" s="27">
        <f t="shared" ref="AB269:AB281" si="159">SUM(H269:AA269)</f>
        <v>680585.90000000026</v>
      </c>
      <c r="AC269" s="21" t="str">
        <f t="shared" ref="AC269:AC281" si="160">IF(ABS(AB269-F269)&lt;1,"ok","err")</f>
        <v>ok</v>
      </c>
    </row>
    <row r="270" spans="1:29" x14ac:dyDescent="0.25">
      <c r="A270" s="14">
        <v>921</v>
      </c>
      <c r="B270" s="14" t="s">
        <v>162</v>
      </c>
      <c r="C270" s="14" t="s">
        <v>163</v>
      </c>
      <c r="D270" s="14" t="s">
        <v>515</v>
      </c>
      <c r="F270" s="167">
        <v>270514.59000000003</v>
      </c>
      <c r="G270" s="27"/>
      <c r="H270" s="27">
        <f>IF(VLOOKUP($D270,$C$5:$AA$496,6,)=0,0,((VLOOKUP($D270,$C$5:$AA$496,6,)/VLOOKUP($D270,$C$5:$AA$496,4,))*$F270))</f>
        <v>0</v>
      </c>
      <c r="I270" s="27">
        <f>IF(VLOOKUP($D270,$C$5:$AA$496,7,)=0,0,((VLOOKUP($D270,$C$5:$AA$496,7,)/VLOOKUP($D270,$C$5:$AA$496,4,))*$F270))</f>
        <v>0</v>
      </c>
      <c r="J270" s="27"/>
      <c r="K270" s="27">
        <f>IF(VLOOKUP($D270,$C$5:$AA$496,9,)=0,0,((VLOOKUP($D270,$C$5:$AA$496,9,)/VLOOKUP($D270,$C$5:$AA$496,4,))*$F270))</f>
        <v>0</v>
      </c>
      <c r="L270" s="27"/>
      <c r="M270" s="27">
        <f>IF(VLOOKUP($D270,$C$5:$AA$496,11,)=0,0,((VLOOKUP($D270,$C$5:$AA$496,11,)/VLOOKUP($D270,$C$5:$AA$496,4,))*$F270))</f>
        <v>0</v>
      </c>
      <c r="N270" s="27"/>
      <c r="O270" s="27">
        <f>IF(VLOOKUP($D270,$C$5:$AA$496,13,)=0,0,((VLOOKUP($D270,$C$5:$AA$496,13,)/VLOOKUP($D270,$C$5:$AA$496,4,))*$F270))</f>
        <v>88849.537864082464</v>
      </c>
      <c r="P270" s="27">
        <f>IF(VLOOKUP($D270,$C$5:$AA$496,14,)=0,0,((VLOOKUP($D270,$C$5:$AA$496,14,)/VLOOKUP($D270,$C$5:$AA$496,4,))*$F270))</f>
        <v>67546.432116054828</v>
      </c>
      <c r="Q270" s="27"/>
      <c r="R270" s="27">
        <f>IF(VLOOKUP($D270,$C$5:$AA$496,16,)=0,0,((VLOOKUP($D270,$C$5:$AA$496,16,)/VLOOKUP($D270,$C$5:$AA$496,4,))*$F270))</f>
        <v>0</v>
      </c>
      <c r="S270" s="27">
        <f>IF(VLOOKUP($D270,$C$5:$AA$496,17,)=0,0,((VLOOKUP($D270,$C$5:$AA$496,17,)/VLOOKUP($D270,$C$5:$AA$496,4,))*$F270))</f>
        <v>2631.3527847041287</v>
      </c>
      <c r="T270" s="27"/>
      <c r="U270" s="27">
        <f>IF(VLOOKUP($D270,$C$5:$AA$496,19,)=0,0,((VLOOKUP($D270,$C$5:$AA$496,19,)/VLOOKUP($D270,$C$5:$AA$496,4,))*$F270))</f>
        <v>2590.5684159188481</v>
      </c>
      <c r="V270" s="27"/>
      <c r="W270" s="27">
        <f>IF(VLOOKUP($D270,$C$5:$AA$496,21,)=0,0,((VLOOKUP($D270,$C$5:$AA$496,21,)/VLOOKUP($D270,$C$5:$AA$496,4,))*$F270))</f>
        <v>34999.712618783939</v>
      </c>
      <c r="X270" s="27"/>
      <c r="Y270" s="27">
        <f>IF(VLOOKUP($D270,$C$5:$AA$496,23,)=0,0,((VLOOKUP($D270,$C$5:$AA$496,23,)/VLOOKUP($D270,$C$5:$AA$496,4,))*$F270))</f>
        <v>73896.986200455809</v>
      </c>
      <c r="Z270" s="27"/>
      <c r="AA270" s="27">
        <f>IF(VLOOKUP($D270,$C$5:$AA$496,25,)=0,0,((VLOOKUP($D270,$C$5:$AA$496,25,)/VLOOKUP($D270,$C$5:$AA$496,4,))*$F270))</f>
        <v>0</v>
      </c>
      <c r="AB270" s="27">
        <f>SUM(H270:AA270)</f>
        <v>270514.59000000003</v>
      </c>
      <c r="AC270" s="21" t="str">
        <f>IF(ABS(AB270-F270)&lt;1,"ok","err")</f>
        <v>ok</v>
      </c>
    </row>
    <row r="271" spans="1:29" x14ac:dyDescent="0.25">
      <c r="A271" s="14">
        <v>923</v>
      </c>
      <c r="B271" s="14" t="s">
        <v>164</v>
      </c>
      <c r="C271" s="14" t="s">
        <v>165</v>
      </c>
      <c r="D271" s="14" t="s">
        <v>410</v>
      </c>
      <c r="F271" s="167">
        <v>95194.14</v>
      </c>
      <c r="G271" s="27"/>
      <c r="H271" s="27">
        <f t="shared" ref="H271:H281" si="161">IF((VLOOKUP($D271,$C$5:$AA$496,6,)=0),0,((VLOOKUP($D271,$C$5:$AA$496,6,)/VLOOKUP($D271,$C$5:$AA$496,4,))*$F271))</f>
        <v>0</v>
      </c>
      <c r="I271" s="27">
        <f t="shared" ref="I271:I281" si="162">(VLOOKUP($D271,$C$5:$AA$496,7,)/VLOOKUP($D271,$C$5:$AA$496,4,))*$F271</f>
        <v>0</v>
      </c>
      <c r="J271" s="27"/>
      <c r="K271" s="27">
        <f t="shared" ref="K271:K281" si="163">(VLOOKUP($D271,$C$5:$AA$496,9,)/VLOOKUP($D271,$C$5:$AA$496,4,))*$F271</f>
        <v>0</v>
      </c>
      <c r="L271" s="27"/>
      <c r="M271" s="27">
        <f t="shared" ref="M271:M281" si="164">(VLOOKUP($D271,$C$5:$AA$496,11,)/VLOOKUP($D271,$C$5:$AA$496,4,))*$F271</f>
        <v>0</v>
      </c>
      <c r="N271" s="27"/>
      <c r="O271" s="27">
        <f t="shared" ref="O271:O281" si="165">(VLOOKUP($D271,$C$5:$AA$496,13,)/VLOOKUP($D271,$C$5:$AA$496,4,))*$F271</f>
        <v>37214.888223294169</v>
      </c>
      <c r="P271" s="27">
        <f t="shared" ref="P271:P281" si="166">(VLOOKUP($D271,$C$5:$AA$496,14,)/VLOOKUP($D271,$C$5:$AA$496,4,))*$F271</f>
        <v>27321.133520905936</v>
      </c>
      <c r="Q271" s="27"/>
      <c r="R271" s="27">
        <f t="shared" ref="R271:R281" si="167">(VLOOKUP($D271,$C$5:$AA$496,16,)/VLOOKUP($D271,$C$5:$AA$496,4,))*$F271</f>
        <v>0</v>
      </c>
      <c r="S271" s="27">
        <f t="shared" ref="S271:S281" si="168">(VLOOKUP($D271,$C$5:$AA$496,17,)/VLOOKUP($D271,$C$5:$AA$496,4,))*$F271</f>
        <v>914.06582440266743</v>
      </c>
      <c r="T271" s="27"/>
      <c r="U271" s="27">
        <f t="shared" ref="U271:U281" si="169">(VLOOKUP($D271,$C$5:$AA$496,19,)/VLOOKUP($D271,$C$5:$AA$496,4,))*$F271</f>
        <v>7946.7990892329963</v>
      </c>
      <c r="V271" s="27"/>
      <c r="W271" s="27">
        <f t="shared" ref="W271:W281" si="170">(VLOOKUP($D271,$C$5:$AA$496,21,)/VLOOKUP($D271,$C$5:$AA$496,4,))*$F271</f>
        <v>359.75777411050461</v>
      </c>
      <c r="X271" s="27"/>
      <c r="Y271" s="27">
        <f t="shared" ref="Y271:Y281" si="171">(VLOOKUP($D271,$C$5:$AA$496,23,)/VLOOKUP($D271,$C$5:$AA$496,4,))*$F271</f>
        <v>21437.495568053742</v>
      </c>
      <c r="Z271" s="27"/>
      <c r="AA271" s="27">
        <f t="shared" ref="AA271:AA281" si="172">(VLOOKUP($D271,$C$5:$AA$496,25,)/VLOOKUP($D271,$C$5:$AA$496,4,))*$F271</f>
        <v>0</v>
      </c>
      <c r="AB271" s="27">
        <f t="shared" si="159"/>
        <v>95194.140000000014</v>
      </c>
      <c r="AC271" s="21" t="str">
        <f t="shared" si="160"/>
        <v>ok</v>
      </c>
    </row>
    <row r="272" spans="1:29" x14ac:dyDescent="0.25">
      <c r="A272" s="14">
        <v>924</v>
      </c>
      <c r="B272" s="14" t="s">
        <v>166</v>
      </c>
      <c r="C272" s="14" t="s">
        <v>167</v>
      </c>
      <c r="D272" s="14" t="s">
        <v>84</v>
      </c>
      <c r="F272" s="167">
        <v>0</v>
      </c>
      <c r="G272" s="27"/>
      <c r="H272" s="27">
        <f t="shared" si="161"/>
        <v>0</v>
      </c>
      <c r="I272" s="27">
        <f t="shared" si="162"/>
        <v>0</v>
      </c>
      <c r="J272" s="27"/>
      <c r="K272" s="27">
        <f t="shared" si="163"/>
        <v>0</v>
      </c>
      <c r="L272" s="27"/>
      <c r="M272" s="27">
        <f t="shared" si="164"/>
        <v>0</v>
      </c>
      <c r="N272" s="27"/>
      <c r="O272" s="27">
        <f t="shared" si="165"/>
        <v>0</v>
      </c>
      <c r="P272" s="27">
        <f t="shared" si="166"/>
        <v>0</v>
      </c>
      <c r="Q272" s="27"/>
      <c r="R272" s="27">
        <f t="shared" si="167"/>
        <v>0</v>
      </c>
      <c r="S272" s="27">
        <f t="shared" si="168"/>
        <v>0</v>
      </c>
      <c r="T272" s="27"/>
      <c r="U272" s="27">
        <f t="shared" si="169"/>
        <v>0</v>
      </c>
      <c r="V272" s="27"/>
      <c r="W272" s="27">
        <f t="shared" si="170"/>
        <v>0</v>
      </c>
      <c r="X272" s="27"/>
      <c r="Y272" s="27">
        <f t="shared" si="171"/>
        <v>0</v>
      </c>
      <c r="Z272" s="27"/>
      <c r="AA272" s="27">
        <f t="shared" si="172"/>
        <v>0</v>
      </c>
      <c r="AB272" s="27">
        <f t="shared" si="159"/>
        <v>0</v>
      </c>
      <c r="AC272" s="21" t="str">
        <f t="shared" si="160"/>
        <v>ok</v>
      </c>
    </row>
    <row r="273" spans="1:29" x14ac:dyDescent="0.25">
      <c r="A273" s="14">
        <v>925</v>
      </c>
      <c r="B273" s="14" t="s">
        <v>168</v>
      </c>
      <c r="C273" s="14" t="s">
        <v>169</v>
      </c>
      <c r="D273" s="14" t="s">
        <v>515</v>
      </c>
      <c r="F273" s="167">
        <v>665</v>
      </c>
      <c r="G273" s="27"/>
      <c r="H273" s="27">
        <f t="shared" si="161"/>
        <v>0</v>
      </c>
      <c r="I273" s="27">
        <f t="shared" si="162"/>
        <v>0</v>
      </c>
      <c r="J273" s="27"/>
      <c r="K273" s="27">
        <f t="shared" si="163"/>
        <v>0</v>
      </c>
      <c r="L273" s="27"/>
      <c r="M273" s="27">
        <f t="shared" si="164"/>
        <v>0</v>
      </c>
      <c r="N273" s="27"/>
      <c r="O273" s="27">
        <f t="shared" si="165"/>
        <v>218.41684280176838</v>
      </c>
      <c r="P273" s="27">
        <f t="shared" si="166"/>
        <v>166.04789175022484</v>
      </c>
      <c r="Q273" s="27"/>
      <c r="R273" s="27">
        <f t="shared" si="167"/>
        <v>0</v>
      </c>
      <c r="S273" s="27">
        <f t="shared" si="168"/>
        <v>6.4685960259232065</v>
      </c>
      <c r="T273" s="27"/>
      <c r="U273" s="27">
        <f t="shared" si="169"/>
        <v>6.3683367192358595</v>
      </c>
      <c r="V273" s="27"/>
      <c r="W273" s="27">
        <f t="shared" si="170"/>
        <v>86.039015091538374</v>
      </c>
      <c r="X273" s="27"/>
      <c r="Y273" s="27">
        <f t="shared" si="171"/>
        <v>181.65931761130929</v>
      </c>
      <c r="Z273" s="27"/>
      <c r="AA273" s="27">
        <f t="shared" si="172"/>
        <v>0</v>
      </c>
      <c r="AB273" s="27">
        <f t="shared" si="159"/>
        <v>665</v>
      </c>
      <c r="AC273" s="21" t="str">
        <f t="shared" si="160"/>
        <v>ok</v>
      </c>
    </row>
    <row r="274" spans="1:29" x14ac:dyDescent="0.25">
      <c r="A274" s="14">
        <v>926</v>
      </c>
      <c r="B274" s="14" t="s">
        <v>170</v>
      </c>
      <c r="C274" s="14" t="s">
        <v>171</v>
      </c>
      <c r="D274" s="14" t="s">
        <v>515</v>
      </c>
      <c r="F274" s="167">
        <v>48323.98</v>
      </c>
      <c r="G274" s="27"/>
      <c r="H274" s="27">
        <f t="shared" si="161"/>
        <v>0</v>
      </c>
      <c r="I274" s="27">
        <f t="shared" si="162"/>
        <v>0</v>
      </c>
      <c r="J274" s="27"/>
      <c r="K274" s="27">
        <f t="shared" si="163"/>
        <v>0</v>
      </c>
      <c r="L274" s="27"/>
      <c r="M274" s="27">
        <f t="shared" si="164"/>
        <v>0</v>
      </c>
      <c r="N274" s="27"/>
      <c r="O274" s="27">
        <f t="shared" si="165"/>
        <v>15871.836305587671</v>
      </c>
      <c r="P274" s="27">
        <f t="shared" si="166"/>
        <v>12066.308270646663</v>
      </c>
      <c r="Q274" s="27"/>
      <c r="R274" s="27">
        <f t="shared" si="167"/>
        <v>0</v>
      </c>
      <c r="S274" s="27">
        <f t="shared" si="168"/>
        <v>470.05760148089104</v>
      </c>
      <c r="T274" s="27"/>
      <c r="U274" s="27">
        <f t="shared" si="169"/>
        <v>462.77199436634487</v>
      </c>
      <c r="V274" s="27"/>
      <c r="W274" s="27">
        <f t="shared" si="170"/>
        <v>6252.252096997292</v>
      </c>
      <c r="X274" s="27"/>
      <c r="Y274" s="27">
        <f t="shared" si="171"/>
        <v>13200.75373092114</v>
      </c>
      <c r="Z274" s="27"/>
      <c r="AA274" s="27">
        <f t="shared" si="172"/>
        <v>0</v>
      </c>
      <c r="AB274" s="27">
        <f t="shared" si="159"/>
        <v>48323.98</v>
      </c>
      <c r="AC274" s="21" t="str">
        <f t="shared" si="160"/>
        <v>ok</v>
      </c>
    </row>
    <row r="275" spans="1:29" x14ac:dyDescent="0.25">
      <c r="A275" s="14">
        <v>928</v>
      </c>
      <c r="B275" s="14" t="s">
        <v>577</v>
      </c>
      <c r="C275" s="14" t="s">
        <v>173</v>
      </c>
      <c r="D275" s="14" t="s">
        <v>410</v>
      </c>
      <c r="F275" s="167">
        <v>0</v>
      </c>
      <c r="G275" s="27"/>
      <c r="H275" s="27">
        <f t="shared" si="161"/>
        <v>0</v>
      </c>
      <c r="I275" s="27">
        <f t="shared" si="162"/>
        <v>0</v>
      </c>
      <c r="J275" s="27"/>
      <c r="K275" s="27">
        <f t="shared" si="163"/>
        <v>0</v>
      </c>
      <c r="L275" s="27"/>
      <c r="M275" s="27">
        <f t="shared" si="164"/>
        <v>0</v>
      </c>
      <c r="N275" s="27"/>
      <c r="O275" s="27">
        <f t="shared" si="165"/>
        <v>0</v>
      </c>
      <c r="P275" s="27">
        <f t="shared" si="166"/>
        <v>0</v>
      </c>
      <c r="Q275" s="27"/>
      <c r="R275" s="27">
        <f t="shared" si="167"/>
        <v>0</v>
      </c>
      <c r="S275" s="27">
        <f t="shared" si="168"/>
        <v>0</v>
      </c>
      <c r="T275" s="27"/>
      <c r="U275" s="27">
        <f t="shared" si="169"/>
        <v>0</v>
      </c>
      <c r="V275" s="27"/>
      <c r="W275" s="27">
        <f t="shared" si="170"/>
        <v>0</v>
      </c>
      <c r="X275" s="27"/>
      <c r="Y275" s="27">
        <f t="shared" si="171"/>
        <v>0</v>
      </c>
      <c r="Z275" s="27"/>
      <c r="AA275" s="27">
        <f t="shared" si="172"/>
        <v>0</v>
      </c>
      <c r="AB275" s="27">
        <f t="shared" si="159"/>
        <v>0</v>
      </c>
      <c r="AC275" s="21" t="str">
        <f t="shared" si="160"/>
        <v>ok</v>
      </c>
    </row>
    <row r="276" spans="1:29" x14ac:dyDescent="0.25">
      <c r="A276" s="14">
        <v>929</v>
      </c>
      <c r="B276" s="14" t="s">
        <v>921</v>
      </c>
      <c r="C276" s="14" t="s">
        <v>386</v>
      </c>
      <c r="D276" s="14" t="s">
        <v>410</v>
      </c>
      <c r="F276" s="167">
        <v>-22704.54</v>
      </c>
      <c r="G276" s="27"/>
      <c r="H276" s="27">
        <f t="shared" si="161"/>
        <v>0</v>
      </c>
      <c r="I276" s="27">
        <f t="shared" si="162"/>
        <v>0</v>
      </c>
      <c r="J276" s="27"/>
      <c r="K276" s="27">
        <f t="shared" si="163"/>
        <v>0</v>
      </c>
      <c r="L276" s="27"/>
      <c r="M276" s="27">
        <f t="shared" si="164"/>
        <v>0</v>
      </c>
      <c r="N276" s="27"/>
      <c r="O276" s="27">
        <f t="shared" si="165"/>
        <v>-8876.0392001157998</v>
      </c>
      <c r="P276" s="27">
        <f t="shared" si="166"/>
        <v>-6516.3020420243274</v>
      </c>
      <c r="Q276" s="27"/>
      <c r="R276" s="27">
        <f t="shared" si="167"/>
        <v>0</v>
      </c>
      <c r="S276" s="27">
        <f t="shared" si="168"/>
        <v>-218.01178174185239</v>
      </c>
      <c r="T276" s="27"/>
      <c r="U276" s="27">
        <f t="shared" si="169"/>
        <v>-1895.3731584050672</v>
      </c>
      <c r="V276" s="27"/>
      <c r="W276" s="27">
        <f t="shared" si="170"/>
        <v>-85.805016701688956</v>
      </c>
      <c r="X276" s="27"/>
      <c r="Y276" s="27">
        <f t="shared" si="171"/>
        <v>-5113.0088010112695</v>
      </c>
      <c r="Z276" s="27"/>
      <c r="AA276" s="27">
        <f t="shared" si="172"/>
        <v>0</v>
      </c>
      <c r="AB276" s="27">
        <f t="shared" si="159"/>
        <v>-22704.540000000005</v>
      </c>
      <c r="AC276" s="21" t="str">
        <f t="shared" si="160"/>
        <v>ok</v>
      </c>
    </row>
    <row r="277" spans="1:29" x14ac:dyDescent="0.25">
      <c r="A277" s="14">
        <v>930</v>
      </c>
      <c r="B277" s="14" t="s">
        <v>174</v>
      </c>
      <c r="C277" s="14" t="s">
        <v>175</v>
      </c>
      <c r="D277" s="14" t="s">
        <v>410</v>
      </c>
      <c r="F277" s="167">
        <f>151974.86+85936.56+5496.42+152973.19</f>
        <v>396381.03</v>
      </c>
      <c r="G277" s="27"/>
      <c r="H277" s="27">
        <f t="shared" si="161"/>
        <v>0</v>
      </c>
      <c r="I277" s="27">
        <f t="shared" si="162"/>
        <v>0</v>
      </c>
      <c r="J277" s="27"/>
      <c r="K277" s="27">
        <f t="shared" si="163"/>
        <v>0</v>
      </c>
      <c r="L277" s="27"/>
      <c r="M277" s="27">
        <f t="shared" si="164"/>
        <v>0</v>
      </c>
      <c r="N277" s="27"/>
      <c r="O277" s="27">
        <f t="shared" si="165"/>
        <v>154959.91376448396</v>
      </c>
      <c r="P277" s="27">
        <f t="shared" si="166"/>
        <v>113763.08505738087</v>
      </c>
      <c r="Q277" s="27"/>
      <c r="R277" s="27">
        <f t="shared" si="167"/>
        <v>0</v>
      </c>
      <c r="S277" s="27">
        <f t="shared" si="168"/>
        <v>3806.0993351537027</v>
      </c>
      <c r="T277" s="27"/>
      <c r="U277" s="27">
        <f t="shared" si="169"/>
        <v>33089.856247382842</v>
      </c>
      <c r="V277" s="27"/>
      <c r="W277" s="27">
        <f t="shared" si="170"/>
        <v>1498.0035226162993</v>
      </c>
      <c r="X277" s="27"/>
      <c r="Y277" s="27">
        <f t="shared" si="171"/>
        <v>89264.07207298241</v>
      </c>
      <c r="Z277" s="27"/>
      <c r="AA277" s="27">
        <f t="shared" si="172"/>
        <v>0</v>
      </c>
      <c r="AB277" s="27">
        <f t="shared" si="159"/>
        <v>396381.03</v>
      </c>
      <c r="AC277" s="21" t="str">
        <f t="shared" si="160"/>
        <v>ok</v>
      </c>
    </row>
    <row r="278" spans="1:29" x14ac:dyDescent="0.25">
      <c r="A278" s="14">
        <v>931</v>
      </c>
      <c r="B278" s="14" t="s">
        <v>176</v>
      </c>
      <c r="C278" s="14" t="s">
        <v>177</v>
      </c>
      <c r="D278" s="14" t="s">
        <v>84</v>
      </c>
      <c r="F278" s="167">
        <v>0</v>
      </c>
      <c r="G278" s="27"/>
      <c r="H278" s="27">
        <f t="shared" si="161"/>
        <v>0</v>
      </c>
      <c r="I278" s="27">
        <f t="shared" si="162"/>
        <v>0</v>
      </c>
      <c r="J278" s="27"/>
      <c r="K278" s="27">
        <f t="shared" si="163"/>
        <v>0</v>
      </c>
      <c r="L278" s="27"/>
      <c r="M278" s="27">
        <f t="shared" si="164"/>
        <v>0</v>
      </c>
      <c r="N278" s="27"/>
      <c r="O278" s="27">
        <f t="shared" si="165"/>
        <v>0</v>
      </c>
      <c r="P278" s="27">
        <f t="shared" si="166"/>
        <v>0</v>
      </c>
      <c r="Q278" s="27"/>
      <c r="R278" s="27">
        <f t="shared" si="167"/>
        <v>0</v>
      </c>
      <c r="S278" s="27">
        <f t="shared" si="168"/>
        <v>0</v>
      </c>
      <c r="T278" s="27"/>
      <c r="U278" s="27">
        <f t="shared" si="169"/>
        <v>0</v>
      </c>
      <c r="V278" s="27"/>
      <c r="W278" s="27">
        <f t="shared" si="170"/>
        <v>0</v>
      </c>
      <c r="X278" s="27"/>
      <c r="Y278" s="27">
        <f t="shared" si="171"/>
        <v>0</v>
      </c>
      <c r="Z278" s="27"/>
      <c r="AA278" s="27">
        <f t="shared" si="172"/>
        <v>0</v>
      </c>
      <c r="AB278" s="27">
        <f t="shared" si="159"/>
        <v>0</v>
      </c>
      <c r="AC278" s="21" t="str">
        <f t="shared" si="160"/>
        <v>ok</v>
      </c>
    </row>
    <row r="279" spans="1:29" x14ac:dyDescent="0.25">
      <c r="A279" s="14">
        <v>932</v>
      </c>
      <c r="B279" s="14" t="s">
        <v>178</v>
      </c>
      <c r="C279" s="14" t="s">
        <v>917</v>
      </c>
      <c r="D279" s="14" t="s">
        <v>70</v>
      </c>
      <c r="F279" s="167">
        <v>0</v>
      </c>
      <c r="G279" s="27"/>
      <c r="H279" s="27"/>
      <c r="I279" s="27">
        <f t="shared" si="162"/>
        <v>0</v>
      </c>
      <c r="J279" s="27"/>
      <c r="K279" s="27">
        <f t="shared" si="163"/>
        <v>0</v>
      </c>
      <c r="L279" s="27"/>
      <c r="M279" s="27">
        <f t="shared" si="164"/>
        <v>0</v>
      </c>
      <c r="N279" s="27"/>
      <c r="O279" s="27">
        <f t="shared" si="165"/>
        <v>0</v>
      </c>
      <c r="P279" s="27">
        <f t="shared" si="166"/>
        <v>0</v>
      </c>
      <c r="Q279" s="27"/>
      <c r="R279" s="27">
        <f t="shared" si="167"/>
        <v>0</v>
      </c>
      <c r="S279" s="27">
        <f t="shared" si="168"/>
        <v>0</v>
      </c>
      <c r="T279" s="27"/>
      <c r="U279" s="27">
        <f t="shared" si="169"/>
        <v>0</v>
      </c>
      <c r="V279" s="27"/>
      <c r="W279" s="27">
        <f t="shared" si="170"/>
        <v>0</v>
      </c>
      <c r="X279" s="27"/>
      <c r="Y279" s="27">
        <f t="shared" si="171"/>
        <v>0</v>
      </c>
      <c r="Z279" s="27"/>
      <c r="AA279" s="27">
        <f t="shared" si="172"/>
        <v>0</v>
      </c>
      <c r="AB279" s="27">
        <f>SUM(H279:AA279)</f>
        <v>0</v>
      </c>
      <c r="AC279" s="21" t="str">
        <f>IF(ABS(AB279-F279)&lt;1,"ok","err")</f>
        <v>ok</v>
      </c>
    </row>
    <row r="280" spans="1:29" x14ac:dyDescent="0.25">
      <c r="A280" s="14">
        <v>933</v>
      </c>
      <c r="B280" s="14" t="s">
        <v>915</v>
      </c>
      <c r="C280" s="14" t="s">
        <v>916</v>
      </c>
      <c r="D280" s="14" t="s">
        <v>70</v>
      </c>
      <c r="F280" s="167">
        <v>0</v>
      </c>
      <c r="G280" s="27"/>
      <c r="H280" s="27">
        <f t="shared" si="161"/>
        <v>0</v>
      </c>
      <c r="I280" s="27">
        <f t="shared" si="162"/>
        <v>0</v>
      </c>
      <c r="J280" s="27"/>
      <c r="K280" s="27">
        <f t="shared" si="163"/>
        <v>0</v>
      </c>
      <c r="L280" s="27"/>
      <c r="M280" s="27">
        <f t="shared" si="164"/>
        <v>0</v>
      </c>
      <c r="N280" s="27"/>
      <c r="O280" s="27">
        <f t="shared" si="165"/>
        <v>0</v>
      </c>
      <c r="P280" s="27">
        <f t="shared" si="166"/>
        <v>0</v>
      </c>
      <c r="Q280" s="27"/>
      <c r="R280" s="27">
        <f t="shared" si="167"/>
        <v>0</v>
      </c>
      <c r="S280" s="27">
        <f t="shared" si="168"/>
        <v>0</v>
      </c>
      <c r="T280" s="27"/>
      <c r="U280" s="27">
        <f t="shared" si="169"/>
        <v>0</v>
      </c>
      <c r="V280" s="27"/>
      <c r="W280" s="27">
        <f t="shared" si="170"/>
        <v>0</v>
      </c>
      <c r="X280" s="27"/>
      <c r="Y280" s="27">
        <f t="shared" si="171"/>
        <v>0</v>
      </c>
      <c r="Z280" s="27"/>
      <c r="AA280" s="27">
        <f t="shared" si="172"/>
        <v>0</v>
      </c>
      <c r="AB280" s="27">
        <f>SUM(H280:AA280)</f>
        <v>0</v>
      </c>
      <c r="AC280" s="21" t="str">
        <f>IF(ABS(AB280-F280)&lt;1,"ok","err")</f>
        <v>ok</v>
      </c>
    </row>
    <row r="281" spans="1:29" x14ac:dyDescent="0.25">
      <c r="A281" s="14">
        <v>935</v>
      </c>
      <c r="B281" s="14" t="s">
        <v>918</v>
      </c>
      <c r="C281" s="14" t="s">
        <v>708</v>
      </c>
      <c r="D281" s="14" t="s">
        <v>84</v>
      </c>
      <c r="F281" s="167">
        <v>214947.16</v>
      </c>
      <c r="G281" s="27"/>
      <c r="H281" s="27">
        <f t="shared" si="161"/>
        <v>0</v>
      </c>
      <c r="I281" s="27">
        <f t="shared" si="162"/>
        <v>0</v>
      </c>
      <c r="J281" s="27"/>
      <c r="K281" s="27">
        <f t="shared" si="163"/>
        <v>0</v>
      </c>
      <c r="L281" s="27"/>
      <c r="M281" s="27">
        <f t="shared" si="164"/>
        <v>0</v>
      </c>
      <c r="N281" s="27"/>
      <c r="O281" s="27">
        <f t="shared" si="165"/>
        <v>89906.867207791409</v>
      </c>
      <c r="P281" s="27">
        <f t="shared" si="166"/>
        <v>88782.745394029611</v>
      </c>
      <c r="Q281" s="27"/>
      <c r="R281" s="27">
        <f t="shared" si="167"/>
        <v>0</v>
      </c>
      <c r="S281" s="27">
        <f t="shared" si="168"/>
        <v>14320.15201461518</v>
      </c>
      <c r="T281" s="27"/>
      <c r="U281" s="27">
        <f t="shared" si="169"/>
        <v>14098.198362402403</v>
      </c>
      <c r="V281" s="27"/>
      <c r="W281" s="27">
        <f t="shared" si="170"/>
        <v>7839.1970211614453</v>
      </c>
      <c r="X281" s="27"/>
      <c r="Y281" s="27">
        <f t="shared" si="171"/>
        <v>0</v>
      </c>
      <c r="Z281" s="27"/>
      <c r="AA281" s="27">
        <f t="shared" si="172"/>
        <v>0</v>
      </c>
      <c r="AB281" s="27">
        <f t="shared" si="159"/>
        <v>214947.16000000006</v>
      </c>
      <c r="AC281" s="21" t="str">
        <f t="shared" si="160"/>
        <v>ok</v>
      </c>
    </row>
    <row r="282" spans="1:29" x14ac:dyDescent="0.25">
      <c r="F282" s="16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1"/>
    </row>
    <row r="283" spans="1:29" x14ac:dyDescent="0.25">
      <c r="A283" s="14" t="s">
        <v>179</v>
      </c>
      <c r="C283" s="14" t="s">
        <v>180</v>
      </c>
      <c r="D283" s="110"/>
      <c r="F283" s="174">
        <f>SUM(F269:F282)</f>
        <v>1683907.26</v>
      </c>
      <c r="G283" s="40"/>
      <c r="H283" s="40">
        <f>SUM(H269:H282)</f>
        <v>0</v>
      </c>
      <c r="I283" s="40">
        <f>SUM(I269:I282)</f>
        <v>0</v>
      </c>
      <c r="J283" s="40"/>
      <c r="K283" s="40">
        <f>SUM(K269:K282)</f>
        <v>0</v>
      </c>
      <c r="L283" s="40"/>
      <c r="M283" s="40">
        <f>SUM(M269:M282)</f>
        <v>0</v>
      </c>
      <c r="N283" s="40"/>
      <c r="O283" s="40">
        <f>SUM(O269:O282)</f>
        <v>644211.46451491117</v>
      </c>
      <c r="P283" s="40">
        <f>SUM(P269:P282)</f>
        <v>498460.57296846347</v>
      </c>
      <c r="Q283" s="40"/>
      <c r="R283" s="40">
        <f>SUM(R269:R282)</f>
        <v>0</v>
      </c>
      <c r="S283" s="40">
        <f>SUM(S269:S282)</f>
        <v>28465.253778706174</v>
      </c>
      <c r="T283" s="40"/>
      <c r="U283" s="40">
        <f>SUM(U269:U282)</f>
        <v>113114.44504038578</v>
      </c>
      <c r="V283" s="40"/>
      <c r="W283" s="40">
        <f>SUM(W269:W282)</f>
        <v>53521.227838886247</v>
      </c>
      <c r="X283" s="40"/>
      <c r="Y283" s="40">
        <f>SUM(Y269:Y282)</f>
        <v>346134.29585864756</v>
      </c>
      <c r="Z283" s="40"/>
      <c r="AA283" s="40">
        <f>SUM(AA269:AA282)</f>
        <v>0</v>
      </c>
      <c r="AB283" s="27">
        <f>SUM(H283:AA283)</f>
        <v>1683907.2600000002</v>
      </c>
      <c r="AC283" s="21" t="str">
        <f>IF(ABS(AB283-F283)&lt;1,"ok","err")</f>
        <v>ok</v>
      </c>
    </row>
    <row r="284" spans="1:29" x14ac:dyDescent="0.25">
      <c r="F284" s="16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1"/>
    </row>
    <row r="285" spans="1:29" x14ac:dyDescent="0.25">
      <c r="A285" s="14" t="s">
        <v>181</v>
      </c>
      <c r="C285" s="14" t="s">
        <v>182</v>
      </c>
      <c r="F285" s="174">
        <f>F237+F246+F262+F283</f>
        <v>46824823.469999999</v>
      </c>
      <c r="G285" s="40"/>
      <c r="H285" s="40">
        <f>H237+H246+H262+H283</f>
        <v>9549281.9872807246</v>
      </c>
      <c r="I285" s="40">
        <f>I237+I246+I262+I283</f>
        <v>29250739.012719277</v>
      </c>
      <c r="J285" s="40"/>
      <c r="K285" s="40">
        <f>K237+K246+K262+K283</f>
        <v>0</v>
      </c>
      <c r="L285" s="40"/>
      <c r="M285" s="40">
        <f>M237+M246+M262+M283</f>
        <v>0</v>
      </c>
      <c r="N285" s="40"/>
      <c r="O285" s="40">
        <f>O237+O246+O262+O283</f>
        <v>3123100.4641505126</v>
      </c>
      <c r="P285" s="40">
        <f>P237+P246+P262+P283</f>
        <v>2318325.164155304</v>
      </c>
      <c r="Q285" s="40"/>
      <c r="R285" s="40">
        <f>R237+R246+R262+R283</f>
        <v>0</v>
      </c>
      <c r="S285" s="40">
        <f>S237+S246+S262+S283</f>
        <v>89351.308399080648</v>
      </c>
      <c r="T285" s="40"/>
      <c r="U285" s="40">
        <f>U237+U246+U262+U283</f>
        <v>642451.86307630548</v>
      </c>
      <c r="V285" s="40"/>
      <c r="W285" s="40">
        <f>W237+W246+W262+W283</f>
        <v>77484.744360150682</v>
      </c>
      <c r="X285" s="40"/>
      <c r="Y285" s="40">
        <f>Y237+Y246+Y262+Y283</f>
        <v>1774088.9258586476</v>
      </c>
      <c r="Z285" s="40"/>
      <c r="AA285" s="40">
        <f>AA237+AA246+AA262+AA283</f>
        <v>0</v>
      </c>
      <c r="AB285" s="27">
        <f>SUM(H285:AA285)</f>
        <v>46824823.469999999</v>
      </c>
      <c r="AC285" s="21" t="str">
        <f>IF(ABS(AB285-F285)&lt;1,"ok","err")</f>
        <v>ok</v>
      </c>
    </row>
    <row r="286" spans="1:29" x14ac:dyDescent="0.25">
      <c r="F286" s="16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1"/>
    </row>
    <row r="287" spans="1:29" x14ac:dyDescent="0.25">
      <c r="A287" s="14" t="s">
        <v>411</v>
      </c>
      <c r="C287" s="14" t="s">
        <v>88</v>
      </c>
      <c r="F287" s="175">
        <f>F285-F180</f>
        <v>8024802.4699999988</v>
      </c>
      <c r="G287" s="64"/>
      <c r="H287" s="64">
        <f>H285-H180</f>
        <v>0</v>
      </c>
      <c r="I287" s="64">
        <f>I285-I180</f>
        <v>0</v>
      </c>
      <c r="J287" s="64"/>
      <c r="K287" s="64">
        <f>K285-K180</f>
        <v>0</v>
      </c>
      <c r="L287" s="64"/>
      <c r="M287" s="64">
        <f>M285-M180</f>
        <v>0</v>
      </c>
      <c r="N287" s="64"/>
      <c r="O287" s="64">
        <f>O285-O180</f>
        <v>3123100.4641505126</v>
      </c>
      <c r="P287" s="64">
        <f>P285-P180</f>
        <v>2318325.164155304</v>
      </c>
      <c r="Q287" s="64">
        <f>Q285-Q180</f>
        <v>0</v>
      </c>
      <c r="R287" s="64">
        <f>R285-R180</f>
        <v>0</v>
      </c>
      <c r="S287" s="64">
        <f>S285-S180</f>
        <v>89351.308399080648</v>
      </c>
      <c r="T287" s="64"/>
      <c r="U287" s="64">
        <f>U285-U180</f>
        <v>642451.86307630548</v>
      </c>
      <c r="V287" s="64"/>
      <c r="W287" s="64">
        <f>W285-W180</f>
        <v>77484.744360150682</v>
      </c>
      <c r="X287" s="64"/>
      <c r="Y287" s="64">
        <f>Y285-Y180</f>
        <v>1774088.9258586476</v>
      </c>
      <c r="Z287" s="64"/>
      <c r="AA287" s="64">
        <f>AA285-AA180</f>
        <v>0</v>
      </c>
      <c r="AB287" s="27">
        <f>SUM(H287:AA287)</f>
        <v>8024802.4700000016</v>
      </c>
      <c r="AC287" s="21" t="str">
        <f>IF(ABS(AB287-F287)&lt;1,"ok","err")</f>
        <v>ok</v>
      </c>
    </row>
    <row r="288" spans="1:29" x14ac:dyDescent="0.25">
      <c r="Q288" s="14"/>
      <c r="AC288" s="21"/>
    </row>
    <row r="289" spans="1:29" x14ac:dyDescent="0.25">
      <c r="AC289" s="21"/>
    </row>
    <row r="290" spans="1:29" x14ac:dyDescent="0.25">
      <c r="A290" s="19" t="s">
        <v>183</v>
      </c>
      <c r="AC290" s="21"/>
    </row>
    <row r="291" spans="1:29" x14ac:dyDescent="0.25">
      <c r="AC291" s="21"/>
    </row>
    <row r="292" spans="1:29" x14ac:dyDescent="0.25">
      <c r="A292" s="13" t="s">
        <v>184</v>
      </c>
      <c r="AC292" s="21"/>
    </row>
    <row r="293" spans="1:29" x14ac:dyDescent="0.25">
      <c r="A293" s="14" t="s">
        <v>763</v>
      </c>
      <c r="C293" s="14" t="s">
        <v>824</v>
      </c>
      <c r="D293" s="14" t="s">
        <v>779</v>
      </c>
      <c r="F293" s="167"/>
      <c r="G293" s="27"/>
      <c r="H293" s="27">
        <f t="shared" ref="H293:H310" si="173">IF((VLOOKUP($D293,$C$5:$AA$496,6,)=0),0,((VLOOKUP($D293,$C$5:$AA$496,6,)/VLOOKUP($D293,$C$5:$AA$496,4,))*$F293))</f>
        <v>0</v>
      </c>
      <c r="I293" s="27">
        <f t="shared" ref="I293:I310" si="174">IF((VLOOKUP($D293,$C$5:$AA$496,7,)=0),0,((VLOOKUP($D293,$C$5:$AA$496,7,)/VLOOKUP($D293,$C$5:$AA$496,4,))*$F293))</f>
        <v>0</v>
      </c>
      <c r="J293" s="27"/>
      <c r="K293" s="27">
        <f t="shared" ref="K293:K310" si="175">IF((VLOOKUP($D293,$C$5:$AA$496,9,)=0),0,((VLOOKUP($D293,$C$5:$AA$496,9,)/VLOOKUP($D293,$C$5:$AA$496,4,))*$F293))</f>
        <v>0</v>
      </c>
      <c r="L293" s="27"/>
      <c r="M293" s="27">
        <f t="shared" ref="M293:M310" si="176">IF((VLOOKUP($D293,$C$5:$AA$496,11,)=0),0,((VLOOKUP($D293,$C$5:$AA$496,11,)/VLOOKUP($D293,$C$5:$AA$496,4,))*$F293))</f>
        <v>0</v>
      </c>
      <c r="N293" s="27"/>
      <c r="O293" s="27">
        <f t="shared" ref="O293:O310" si="177">IF((VLOOKUP($D293,$C$5:$AA$496,13,)=0),0,((VLOOKUP($D293,$C$5:$AA$496,13,)/VLOOKUP($D293,$C$5:$AA$496,4,))*$F293))</f>
        <v>0</v>
      </c>
      <c r="P293" s="27">
        <f t="shared" ref="P293:P310" si="178">IF((VLOOKUP($D293,$C$5:$AA$496,14,)=0),0,((VLOOKUP($D293,$C$5:$AA$496,14,)/VLOOKUP($D293,$C$5:$AA$496,4,))*$F293))</f>
        <v>0</v>
      </c>
      <c r="Q293" s="27"/>
      <c r="R293" s="27">
        <f t="shared" ref="R293:R310" si="179">IF((VLOOKUP($D293,$C$5:$AA$496,16,)=0),0,((VLOOKUP($D293,$C$5:$AA$496,16,)/VLOOKUP($D293,$C$5:$AA$496,4,))*$F293))</f>
        <v>0</v>
      </c>
      <c r="S293" s="27">
        <f t="shared" ref="S293:S310" si="180">IF((VLOOKUP($D293,$C$5:$AA$496,17,)=0),0,((VLOOKUP($D293,$C$5:$AA$496,17,)/VLOOKUP($D293,$C$5:$AA$496,4,))*$F293))</f>
        <v>0</v>
      </c>
      <c r="T293" s="27"/>
      <c r="U293" s="27">
        <f t="shared" ref="U293:U310" si="181">IF((VLOOKUP($D293,$C$5:$AA$496,19,)=0),0,((VLOOKUP($D293,$C$5:$AA$496,19,)/VLOOKUP($D293,$C$5:$AA$496,4,))*$F293))</f>
        <v>0</v>
      </c>
      <c r="V293" s="27"/>
      <c r="W293" s="27">
        <f t="shared" ref="W293:W310" si="182">IF((VLOOKUP($D293,$C$5:$AA$496,21,)=0),0,((VLOOKUP($D293,$C$5:$AA$496,21,)/VLOOKUP($D293,$C$5:$AA$496,4,))*$F293))</f>
        <v>0</v>
      </c>
      <c r="X293" s="27"/>
      <c r="Y293" s="27">
        <f t="shared" ref="Y293:Y310" si="183">IF((VLOOKUP($D293,$C$5:$AA$496,23,)=0),0,((VLOOKUP($D293,$C$5:$AA$496,23,)/VLOOKUP($D293,$C$5:$AA$496,4,))*$F293))</f>
        <v>0</v>
      </c>
      <c r="Z293" s="27"/>
      <c r="AA293" s="27">
        <f t="shared" ref="AA293:AA310" si="184">IF((VLOOKUP($D293,$C$5:$AA$496,25,)=0),0,((VLOOKUP($D293,$C$5:$AA$496,25,)/VLOOKUP($D293,$C$5:$AA$496,4,))*$F293))</f>
        <v>0</v>
      </c>
      <c r="AB293" s="27">
        <f>SUM(H293:AA293)</f>
        <v>0</v>
      </c>
      <c r="AC293" s="21" t="str">
        <f>IF(ABS(AB293-F293)&lt;1,"ok","err")</f>
        <v>ok</v>
      </c>
    </row>
    <row r="294" spans="1:29" x14ac:dyDescent="0.25">
      <c r="A294" s="14" t="s">
        <v>367</v>
      </c>
      <c r="C294" s="14" t="s">
        <v>413</v>
      </c>
      <c r="D294" s="14" t="s">
        <v>389</v>
      </c>
      <c r="F294" s="167"/>
      <c r="G294" s="27"/>
      <c r="H294" s="27">
        <f t="shared" si="173"/>
        <v>0</v>
      </c>
      <c r="I294" s="27">
        <f t="shared" si="174"/>
        <v>0</v>
      </c>
      <c r="J294" s="27"/>
      <c r="K294" s="27">
        <f t="shared" si="175"/>
        <v>0</v>
      </c>
      <c r="L294" s="27"/>
      <c r="M294" s="27">
        <f t="shared" si="176"/>
        <v>0</v>
      </c>
      <c r="N294" s="27"/>
      <c r="O294" s="27">
        <f t="shared" si="177"/>
        <v>0</v>
      </c>
      <c r="P294" s="27">
        <f t="shared" si="178"/>
        <v>0</v>
      </c>
      <c r="Q294" s="27"/>
      <c r="R294" s="27">
        <f t="shared" si="179"/>
        <v>0</v>
      </c>
      <c r="S294" s="27">
        <f t="shared" si="180"/>
        <v>0</v>
      </c>
      <c r="T294" s="27"/>
      <c r="U294" s="27">
        <f t="shared" si="181"/>
        <v>0</v>
      </c>
      <c r="V294" s="27"/>
      <c r="W294" s="27">
        <f t="shared" si="182"/>
        <v>0</v>
      </c>
      <c r="X294" s="27"/>
      <c r="Y294" s="27">
        <f t="shared" si="183"/>
        <v>0</v>
      </c>
      <c r="Z294" s="27"/>
      <c r="AA294" s="27">
        <f t="shared" si="184"/>
        <v>0</v>
      </c>
      <c r="AB294" s="27">
        <f>SUM(H294:AA294)</f>
        <v>0</v>
      </c>
      <c r="AC294" s="21" t="str">
        <f>IF(ABS(AB294-F294)&lt;1,"ok","err")</f>
        <v>ok</v>
      </c>
    </row>
    <row r="295" spans="1:29" x14ac:dyDescent="0.25">
      <c r="A295" s="14" t="s">
        <v>425</v>
      </c>
      <c r="C295" s="14" t="s">
        <v>457</v>
      </c>
      <c r="D295" s="14" t="s">
        <v>423</v>
      </c>
      <c r="F295" s="167"/>
      <c r="G295" s="27"/>
      <c r="H295" s="27">
        <f t="shared" si="173"/>
        <v>0</v>
      </c>
      <c r="I295" s="27">
        <f t="shared" si="174"/>
        <v>0</v>
      </c>
      <c r="J295" s="27"/>
      <c r="K295" s="27">
        <f t="shared" si="175"/>
        <v>0</v>
      </c>
      <c r="L295" s="27"/>
      <c r="M295" s="27">
        <f t="shared" si="176"/>
        <v>0</v>
      </c>
      <c r="N295" s="27"/>
      <c r="O295" s="27">
        <f t="shared" si="177"/>
        <v>0</v>
      </c>
      <c r="P295" s="27">
        <f t="shared" si="178"/>
        <v>0</v>
      </c>
      <c r="Q295" s="27"/>
      <c r="R295" s="27">
        <f t="shared" si="179"/>
        <v>0</v>
      </c>
      <c r="S295" s="27">
        <f t="shared" si="180"/>
        <v>0</v>
      </c>
      <c r="T295" s="27"/>
      <c r="U295" s="27">
        <f t="shared" si="181"/>
        <v>0</v>
      </c>
      <c r="V295" s="27"/>
      <c r="W295" s="27">
        <f t="shared" si="182"/>
        <v>0</v>
      </c>
      <c r="X295" s="27"/>
      <c r="Y295" s="27">
        <f t="shared" si="183"/>
        <v>0</v>
      </c>
      <c r="Z295" s="27"/>
      <c r="AA295" s="27">
        <f t="shared" si="184"/>
        <v>0</v>
      </c>
      <c r="AB295" s="27">
        <f t="shared" ref="AB295:AB306" si="185">SUM(H295:AA295)</f>
        <v>0</v>
      </c>
      <c r="AC295" s="21" t="str">
        <f t="shared" ref="AC295:AC306" si="186">IF(ABS(AB295-F295)&lt;1,"ok","err")</f>
        <v>ok</v>
      </c>
    </row>
    <row r="296" spans="1:29" x14ac:dyDescent="0.25">
      <c r="A296" s="14" t="s">
        <v>426</v>
      </c>
      <c r="C296" s="14" t="s">
        <v>458</v>
      </c>
      <c r="D296" s="14" t="s">
        <v>23</v>
      </c>
      <c r="F296" s="167"/>
      <c r="G296" s="27"/>
      <c r="H296" s="27">
        <f t="shared" si="173"/>
        <v>0</v>
      </c>
      <c r="I296" s="27">
        <f t="shared" si="174"/>
        <v>0</v>
      </c>
      <c r="J296" s="27"/>
      <c r="K296" s="27">
        <f t="shared" si="175"/>
        <v>0</v>
      </c>
      <c r="L296" s="27"/>
      <c r="M296" s="27">
        <f t="shared" si="176"/>
        <v>0</v>
      </c>
      <c r="N296" s="27"/>
      <c r="O296" s="27">
        <f t="shared" si="177"/>
        <v>0</v>
      </c>
      <c r="P296" s="27">
        <f t="shared" si="178"/>
        <v>0</v>
      </c>
      <c r="Q296" s="27"/>
      <c r="R296" s="27">
        <f t="shared" si="179"/>
        <v>0</v>
      </c>
      <c r="S296" s="27">
        <f t="shared" si="180"/>
        <v>0</v>
      </c>
      <c r="T296" s="27"/>
      <c r="U296" s="27">
        <f t="shared" si="181"/>
        <v>0</v>
      </c>
      <c r="V296" s="27"/>
      <c r="W296" s="27">
        <f t="shared" si="182"/>
        <v>0</v>
      </c>
      <c r="X296" s="27"/>
      <c r="Y296" s="27">
        <f t="shared" si="183"/>
        <v>0</v>
      </c>
      <c r="Z296" s="27"/>
      <c r="AA296" s="27">
        <f t="shared" si="184"/>
        <v>0</v>
      </c>
      <c r="AB296" s="27">
        <f t="shared" si="185"/>
        <v>0</v>
      </c>
      <c r="AC296" s="21" t="str">
        <f t="shared" si="186"/>
        <v>ok</v>
      </c>
    </row>
    <row r="297" spans="1:29" x14ac:dyDescent="0.25">
      <c r="A297" s="14" t="s">
        <v>427</v>
      </c>
      <c r="C297" s="14" t="s">
        <v>459</v>
      </c>
      <c r="D297" s="14" t="s">
        <v>26</v>
      </c>
      <c r="F297" s="167">
        <v>992536.36999999988</v>
      </c>
      <c r="G297" s="27"/>
      <c r="H297" s="27">
        <f t="shared" si="173"/>
        <v>0</v>
      </c>
      <c r="I297" s="27">
        <f t="shared" si="174"/>
        <v>0</v>
      </c>
      <c r="J297" s="27"/>
      <c r="K297" s="27">
        <f t="shared" si="175"/>
        <v>0</v>
      </c>
      <c r="L297" s="27"/>
      <c r="M297" s="27">
        <f t="shared" si="176"/>
        <v>0</v>
      </c>
      <c r="N297" s="27"/>
      <c r="O297" s="27">
        <f t="shared" si="177"/>
        <v>589008.59750747704</v>
      </c>
      <c r="P297" s="27">
        <f t="shared" si="178"/>
        <v>403527.77249252278</v>
      </c>
      <c r="Q297" s="27"/>
      <c r="R297" s="27">
        <f t="shared" si="179"/>
        <v>0</v>
      </c>
      <c r="S297" s="27">
        <f t="shared" si="180"/>
        <v>0</v>
      </c>
      <c r="T297" s="27"/>
      <c r="U297" s="27">
        <f t="shared" si="181"/>
        <v>0</v>
      </c>
      <c r="V297" s="27"/>
      <c r="W297" s="27">
        <f t="shared" si="182"/>
        <v>0</v>
      </c>
      <c r="X297" s="27"/>
      <c r="Y297" s="27">
        <f t="shared" si="183"/>
        <v>0</v>
      </c>
      <c r="Z297" s="27"/>
      <c r="AA297" s="27">
        <f t="shared" si="184"/>
        <v>0</v>
      </c>
      <c r="AB297" s="27">
        <f t="shared" si="185"/>
        <v>992536.36999999988</v>
      </c>
      <c r="AC297" s="21" t="str">
        <f t="shared" si="186"/>
        <v>ok</v>
      </c>
    </row>
    <row r="298" spans="1:29" x14ac:dyDescent="0.25">
      <c r="A298" s="14" t="s">
        <v>428</v>
      </c>
      <c r="C298" s="14" t="s">
        <v>460</v>
      </c>
      <c r="D298" s="14" t="s">
        <v>29</v>
      </c>
      <c r="F298" s="167">
        <v>648101.99</v>
      </c>
      <c r="G298" s="27"/>
      <c r="H298" s="27">
        <f t="shared" si="173"/>
        <v>0</v>
      </c>
      <c r="I298" s="27">
        <f t="shared" si="174"/>
        <v>0</v>
      </c>
      <c r="J298" s="27"/>
      <c r="K298" s="27">
        <f t="shared" si="175"/>
        <v>0</v>
      </c>
      <c r="L298" s="27"/>
      <c r="M298" s="27">
        <f t="shared" si="176"/>
        <v>0</v>
      </c>
      <c r="N298" s="27"/>
      <c r="O298" s="27">
        <f t="shared" si="177"/>
        <v>384608.21760285215</v>
      </c>
      <c r="P298" s="27">
        <f t="shared" si="178"/>
        <v>263493.77239714784</v>
      </c>
      <c r="Q298" s="27"/>
      <c r="R298" s="27">
        <f t="shared" si="179"/>
        <v>0</v>
      </c>
      <c r="S298" s="27">
        <f t="shared" si="180"/>
        <v>0</v>
      </c>
      <c r="T298" s="27"/>
      <c r="U298" s="27">
        <f t="shared" si="181"/>
        <v>0</v>
      </c>
      <c r="V298" s="27"/>
      <c r="W298" s="27">
        <f t="shared" si="182"/>
        <v>0</v>
      </c>
      <c r="X298" s="27"/>
      <c r="Y298" s="27">
        <f t="shared" si="183"/>
        <v>0</v>
      </c>
      <c r="Z298" s="27"/>
      <c r="AA298" s="27">
        <f t="shared" si="184"/>
        <v>0</v>
      </c>
      <c r="AB298" s="27">
        <f t="shared" si="185"/>
        <v>648101.99</v>
      </c>
      <c r="AC298" s="21" t="str">
        <f t="shared" si="186"/>
        <v>ok</v>
      </c>
    </row>
    <row r="299" spans="1:29" x14ac:dyDescent="0.25">
      <c r="A299" s="14" t="s">
        <v>446</v>
      </c>
      <c r="C299" s="14" t="s">
        <v>461</v>
      </c>
      <c r="D299" s="14" t="s">
        <v>32</v>
      </c>
      <c r="F299" s="167">
        <v>37973.71</v>
      </c>
      <c r="G299" s="27"/>
      <c r="H299" s="27">
        <f t="shared" si="173"/>
        <v>0</v>
      </c>
      <c r="I299" s="27">
        <f t="shared" si="174"/>
        <v>0</v>
      </c>
      <c r="J299" s="27"/>
      <c r="K299" s="27">
        <f t="shared" si="175"/>
        <v>0</v>
      </c>
      <c r="L299" s="27"/>
      <c r="M299" s="27">
        <f t="shared" si="176"/>
        <v>0</v>
      </c>
      <c r="N299" s="27"/>
      <c r="O299" s="27">
        <f t="shared" si="177"/>
        <v>3527.9116351806629</v>
      </c>
      <c r="P299" s="27">
        <f t="shared" si="178"/>
        <v>34445.798364819333</v>
      </c>
      <c r="Q299" s="27"/>
      <c r="R299" s="27">
        <f t="shared" si="179"/>
        <v>0</v>
      </c>
      <c r="S299" s="27">
        <f t="shared" si="180"/>
        <v>0</v>
      </c>
      <c r="T299" s="27"/>
      <c r="U299" s="27">
        <f t="shared" si="181"/>
        <v>0</v>
      </c>
      <c r="V299" s="27"/>
      <c r="W299" s="27">
        <f t="shared" si="182"/>
        <v>0</v>
      </c>
      <c r="X299" s="27"/>
      <c r="Y299" s="27">
        <f t="shared" si="183"/>
        <v>0</v>
      </c>
      <c r="Z299" s="27"/>
      <c r="AA299" s="27">
        <f t="shared" si="184"/>
        <v>0</v>
      </c>
      <c r="AB299" s="27">
        <f t="shared" si="185"/>
        <v>37973.71</v>
      </c>
      <c r="AC299" s="21" t="str">
        <f t="shared" si="186"/>
        <v>ok</v>
      </c>
    </row>
    <row r="300" spans="1:29" x14ac:dyDescent="0.25">
      <c r="A300" s="14" t="s">
        <v>429</v>
      </c>
      <c r="C300" s="14" t="s">
        <v>462</v>
      </c>
      <c r="D300" s="14" t="s">
        <v>35</v>
      </c>
      <c r="F300" s="167">
        <v>156081.03999999998</v>
      </c>
      <c r="G300" s="27"/>
      <c r="H300" s="27">
        <f t="shared" si="173"/>
        <v>0</v>
      </c>
      <c r="I300" s="27">
        <f t="shared" si="174"/>
        <v>0</v>
      </c>
      <c r="J300" s="27"/>
      <c r="K300" s="27">
        <f t="shared" si="175"/>
        <v>0</v>
      </c>
      <c r="L300" s="27"/>
      <c r="M300" s="27">
        <f t="shared" si="176"/>
        <v>0</v>
      </c>
      <c r="N300" s="27"/>
      <c r="O300" s="27">
        <f t="shared" si="177"/>
        <v>14500.56149496845</v>
      </c>
      <c r="P300" s="27">
        <f t="shared" si="178"/>
        <v>141580.47850503153</v>
      </c>
      <c r="Q300" s="27"/>
      <c r="R300" s="27">
        <f t="shared" si="179"/>
        <v>0</v>
      </c>
      <c r="S300" s="27">
        <f t="shared" si="180"/>
        <v>0</v>
      </c>
      <c r="T300" s="27"/>
      <c r="U300" s="27">
        <f t="shared" si="181"/>
        <v>0</v>
      </c>
      <c r="V300" s="27"/>
      <c r="W300" s="27">
        <f t="shared" si="182"/>
        <v>0</v>
      </c>
      <c r="X300" s="27"/>
      <c r="Y300" s="27">
        <f t="shared" si="183"/>
        <v>0</v>
      </c>
      <c r="Z300" s="27"/>
      <c r="AA300" s="27">
        <f t="shared" si="184"/>
        <v>0</v>
      </c>
      <c r="AB300" s="27">
        <f t="shared" si="185"/>
        <v>156081.03999999998</v>
      </c>
      <c r="AC300" s="21" t="str">
        <f t="shared" si="186"/>
        <v>ok</v>
      </c>
    </row>
    <row r="301" spans="1:29" x14ac:dyDescent="0.25">
      <c r="A301" s="14" t="s">
        <v>430</v>
      </c>
      <c r="C301" s="14" t="s">
        <v>463</v>
      </c>
      <c r="D301" s="14" t="s">
        <v>37</v>
      </c>
      <c r="F301" s="167">
        <v>527714.63</v>
      </c>
      <c r="G301" s="27"/>
      <c r="H301" s="27">
        <f t="shared" si="173"/>
        <v>0</v>
      </c>
      <c r="I301" s="27">
        <f t="shared" si="174"/>
        <v>0</v>
      </c>
      <c r="J301" s="27"/>
      <c r="K301" s="27">
        <f t="shared" si="175"/>
        <v>0</v>
      </c>
      <c r="L301" s="27"/>
      <c r="M301" s="27">
        <f t="shared" si="176"/>
        <v>0</v>
      </c>
      <c r="N301" s="27"/>
      <c r="O301" s="27">
        <f t="shared" si="177"/>
        <v>204836.2289776039</v>
      </c>
      <c r="P301" s="27">
        <f t="shared" si="178"/>
        <v>322878.40102239611</v>
      </c>
      <c r="Q301" s="27"/>
      <c r="R301" s="27">
        <f t="shared" si="179"/>
        <v>0</v>
      </c>
      <c r="S301" s="27">
        <f t="shared" si="180"/>
        <v>0</v>
      </c>
      <c r="T301" s="27"/>
      <c r="U301" s="27">
        <f t="shared" si="181"/>
        <v>0</v>
      </c>
      <c r="V301" s="27"/>
      <c r="W301" s="27">
        <f t="shared" si="182"/>
        <v>0</v>
      </c>
      <c r="X301" s="27"/>
      <c r="Y301" s="27">
        <f t="shared" si="183"/>
        <v>0</v>
      </c>
      <c r="Z301" s="27"/>
      <c r="AA301" s="27">
        <f t="shared" si="184"/>
        <v>0</v>
      </c>
      <c r="AB301" s="27">
        <f t="shared" si="185"/>
        <v>527714.63</v>
      </c>
      <c r="AC301" s="21" t="str">
        <f t="shared" si="186"/>
        <v>ok</v>
      </c>
    </row>
    <row r="302" spans="1:29" x14ac:dyDescent="0.25">
      <c r="A302" s="14" t="s">
        <v>431</v>
      </c>
      <c r="C302" s="14" t="s">
        <v>464</v>
      </c>
      <c r="D302" s="14" t="s">
        <v>40</v>
      </c>
      <c r="F302" s="167">
        <v>229714.17</v>
      </c>
      <c r="G302" s="27"/>
      <c r="H302" s="27">
        <f t="shared" si="173"/>
        <v>0</v>
      </c>
      <c r="I302" s="27">
        <f t="shared" si="174"/>
        <v>0</v>
      </c>
      <c r="J302" s="27"/>
      <c r="K302" s="27">
        <f t="shared" si="175"/>
        <v>0</v>
      </c>
      <c r="L302" s="27"/>
      <c r="M302" s="27">
        <f t="shared" si="176"/>
        <v>0</v>
      </c>
      <c r="N302" s="27"/>
      <c r="O302" s="27">
        <f t="shared" si="177"/>
        <v>0</v>
      </c>
      <c r="P302" s="27">
        <f t="shared" si="178"/>
        <v>0</v>
      </c>
      <c r="Q302" s="27"/>
      <c r="R302" s="27">
        <f t="shared" si="179"/>
        <v>0</v>
      </c>
      <c r="S302" s="27">
        <f t="shared" si="180"/>
        <v>229714.17</v>
      </c>
      <c r="T302" s="27"/>
      <c r="U302" s="27">
        <f t="shared" si="181"/>
        <v>0</v>
      </c>
      <c r="V302" s="27"/>
      <c r="W302" s="27">
        <f t="shared" si="182"/>
        <v>0</v>
      </c>
      <c r="X302" s="27"/>
      <c r="Y302" s="27">
        <f t="shared" si="183"/>
        <v>0</v>
      </c>
      <c r="Z302" s="27"/>
      <c r="AA302" s="27">
        <f t="shared" si="184"/>
        <v>0</v>
      </c>
      <c r="AB302" s="27">
        <f t="shared" si="185"/>
        <v>229714.17</v>
      </c>
      <c r="AC302" s="21" t="str">
        <f t="shared" si="186"/>
        <v>ok</v>
      </c>
    </row>
    <row r="303" spans="1:29" x14ac:dyDescent="0.25">
      <c r="A303" s="14" t="s">
        <v>432</v>
      </c>
      <c r="C303" s="14" t="s">
        <v>465</v>
      </c>
      <c r="D303" s="14" t="s">
        <v>43</v>
      </c>
      <c r="F303" s="167">
        <v>425123.70000000007</v>
      </c>
      <c r="G303" s="27"/>
      <c r="H303" s="27">
        <f t="shared" si="173"/>
        <v>0</v>
      </c>
      <c r="I303" s="27">
        <f t="shared" si="174"/>
        <v>0</v>
      </c>
      <c r="J303" s="27"/>
      <c r="K303" s="27">
        <f t="shared" si="175"/>
        <v>0</v>
      </c>
      <c r="L303" s="27"/>
      <c r="M303" s="27">
        <f t="shared" si="176"/>
        <v>0</v>
      </c>
      <c r="N303" s="27"/>
      <c r="O303" s="27">
        <f t="shared" si="177"/>
        <v>0</v>
      </c>
      <c r="P303" s="27">
        <f t="shared" si="178"/>
        <v>0</v>
      </c>
      <c r="Q303" s="27"/>
      <c r="R303" s="27">
        <f t="shared" si="179"/>
        <v>0</v>
      </c>
      <c r="S303" s="27">
        <f t="shared" si="180"/>
        <v>0</v>
      </c>
      <c r="T303" s="27"/>
      <c r="U303" s="27">
        <f t="shared" si="181"/>
        <v>425123.70000000007</v>
      </c>
      <c r="V303" s="27"/>
      <c r="W303" s="27">
        <f t="shared" si="182"/>
        <v>0</v>
      </c>
      <c r="X303" s="27"/>
      <c r="Y303" s="27">
        <f t="shared" si="183"/>
        <v>0</v>
      </c>
      <c r="Z303" s="27"/>
      <c r="AA303" s="27">
        <f t="shared" si="184"/>
        <v>0</v>
      </c>
      <c r="AB303" s="27">
        <f t="shared" si="185"/>
        <v>425123.70000000007</v>
      </c>
      <c r="AC303" s="21" t="str">
        <f t="shared" si="186"/>
        <v>ok</v>
      </c>
    </row>
    <row r="304" spans="1:29" x14ac:dyDescent="0.25">
      <c r="A304" s="14" t="s">
        <v>433</v>
      </c>
      <c r="C304" s="14" t="s">
        <v>466</v>
      </c>
      <c r="D304" s="14" t="s">
        <v>46</v>
      </c>
      <c r="F304" s="167">
        <v>131034.87999999999</v>
      </c>
      <c r="G304" s="27"/>
      <c r="H304" s="27">
        <f t="shared" si="173"/>
        <v>0</v>
      </c>
      <c r="I304" s="27">
        <f t="shared" si="174"/>
        <v>0</v>
      </c>
      <c r="J304" s="27"/>
      <c r="K304" s="27">
        <f t="shared" si="175"/>
        <v>0</v>
      </c>
      <c r="L304" s="27"/>
      <c r="M304" s="27">
        <f t="shared" si="176"/>
        <v>0</v>
      </c>
      <c r="N304" s="27"/>
      <c r="O304" s="27">
        <f t="shared" si="177"/>
        <v>0</v>
      </c>
      <c r="P304" s="27">
        <f t="shared" si="178"/>
        <v>0</v>
      </c>
      <c r="Q304" s="27"/>
      <c r="R304" s="27">
        <f t="shared" si="179"/>
        <v>0</v>
      </c>
      <c r="S304" s="27">
        <f t="shared" si="180"/>
        <v>0</v>
      </c>
      <c r="T304" s="27"/>
      <c r="U304" s="27">
        <f t="shared" si="181"/>
        <v>0</v>
      </c>
      <c r="V304" s="27"/>
      <c r="W304" s="27">
        <f t="shared" si="182"/>
        <v>131034.87999999999</v>
      </c>
      <c r="X304" s="27"/>
      <c r="Y304" s="27">
        <f t="shared" si="183"/>
        <v>0</v>
      </c>
      <c r="Z304" s="27"/>
      <c r="AA304" s="27">
        <f t="shared" si="184"/>
        <v>0</v>
      </c>
      <c r="AB304" s="27">
        <f t="shared" si="185"/>
        <v>131034.87999999999</v>
      </c>
      <c r="AC304" s="21" t="str">
        <f t="shared" si="186"/>
        <v>ok</v>
      </c>
    </row>
    <row r="305" spans="1:29" x14ac:dyDescent="0.25">
      <c r="A305" s="14" t="s">
        <v>434</v>
      </c>
      <c r="C305" s="14" t="s">
        <v>467</v>
      </c>
      <c r="D305" s="14" t="s">
        <v>48</v>
      </c>
      <c r="F305" s="167">
        <v>17680.640000000003</v>
      </c>
      <c r="G305" s="27"/>
      <c r="H305" s="27">
        <f t="shared" si="173"/>
        <v>0</v>
      </c>
      <c r="I305" s="27">
        <f t="shared" si="174"/>
        <v>0</v>
      </c>
      <c r="J305" s="27"/>
      <c r="K305" s="27">
        <f t="shared" si="175"/>
        <v>0</v>
      </c>
      <c r="L305" s="27"/>
      <c r="M305" s="27">
        <f t="shared" si="176"/>
        <v>0</v>
      </c>
      <c r="N305" s="27"/>
      <c r="O305" s="27">
        <f t="shared" si="177"/>
        <v>0</v>
      </c>
      <c r="P305" s="27">
        <f t="shared" si="178"/>
        <v>0</v>
      </c>
      <c r="Q305" s="27"/>
      <c r="R305" s="27">
        <f t="shared" si="179"/>
        <v>0</v>
      </c>
      <c r="S305" s="27">
        <f t="shared" si="180"/>
        <v>0</v>
      </c>
      <c r="T305" s="27"/>
      <c r="U305" s="27">
        <f t="shared" si="181"/>
        <v>0</v>
      </c>
      <c r="V305" s="27"/>
      <c r="W305" s="27">
        <f t="shared" si="182"/>
        <v>17680.640000000003</v>
      </c>
      <c r="X305" s="27"/>
      <c r="Y305" s="27">
        <f t="shared" si="183"/>
        <v>0</v>
      </c>
      <c r="Z305" s="27"/>
      <c r="AA305" s="27">
        <f t="shared" si="184"/>
        <v>0</v>
      </c>
      <c r="AB305" s="27">
        <f t="shared" si="185"/>
        <v>17680.640000000003</v>
      </c>
      <c r="AC305" s="21" t="str">
        <f t="shared" si="186"/>
        <v>ok</v>
      </c>
    </row>
    <row r="306" spans="1:29" x14ac:dyDescent="0.25">
      <c r="A306" s="14" t="s">
        <v>578</v>
      </c>
      <c r="C306" s="14" t="s">
        <v>468</v>
      </c>
      <c r="D306" s="14" t="s">
        <v>16</v>
      </c>
      <c r="F306" s="167"/>
      <c r="G306" s="27"/>
      <c r="H306" s="27">
        <f t="shared" si="173"/>
        <v>0</v>
      </c>
      <c r="I306" s="27">
        <f t="shared" si="174"/>
        <v>0</v>
      </c>
      <c r="J306" s="27"/>
      <c r="K306" s="27">
        <f t="shared" si="175"/>
        <v>0</v>
      </c>
      <c r="L306" s="27"/>
      <c r="M306" s="27">
        <f t="shared" si="176"/>
        <v>0</v>
      </c>
      <c r="N306" s="27"/>
      <c r="O306" s="27">
        <f t="shared" si="177"/>
        <v>0</v>
      </c>
      <c r="P306" s="27">
        <f t="shared" si="178"/>
        <v>0</v>
      </c>
      <c r="Q306" s="27"/>
      <c r="R306" s="27">
        <f t="shared" si="179"/>
        <v>0</v>
      </c>
      <c r="S306" s="27">
        <f t="shared" si="180"/>
        <v>0</v>
      </c>
      <c r="T306" s="27"/>
      <c r="U306" s="27">
        <f t="shared" si="181"/>
        <v>0</v>
      </c>
      <c r="V306" s="27"/>
      <c r="W306" s="27">
        <f t="shared" si="182"/>
        <v>0</v>
      </c>
      <c r="X306" s="27"/>
      <c r="Y306" s="27">
        <f t="shared" si="183"/>
        <v>0</v>
      </c>
      <c r="Z306" s="27"/>
      <c r="AA306" s="27">
        <f t="shared" si="184"/>
        <v>0</v>
      </c>
      <c r="AB306" s="27">
        <f t="shared" si="185"/>
        <v>0</v>
      </c>
      <c r="AC306" s="21" t="str">
        <f t="shared" si="186"/>
        <v>ok</v>
      </c>
    </row>
    <row r="307" spans="1:29" x14ac:dyDescent="0.25">
      <c r="A307" s="14" t="s">
        <v>81</v>
      </c>
      <c r="C307" s="14" t="s">
        <v>414</v>
      </c>
      <c r="D307" s="14" t="s">
        <v>70</v>
      </c>
      <c r="F307" s="167">
        <v>93909.310000000012</v>
      </c>
      <c r="G307" s="27"/>
      <c r="H307" s="27">
        <f t="shared" si="173"/>
        <v>0</v>
      </c>
      <c r="I307" s="27">
        <f t="shared" si="174"/>
        <v>0</v>
      </c>
      <c r="J307" s="27"/>
      <c r="K307" s="27">
        <f t="shared" si="175"/>
        <v>0</v>
      </c>
      <c r="L307" s="27"/>
      <c r="M307" s="27">
        <f t="shared" si="176"/>
        <v>0</v>
      </c>
      <c r="N307" s="27"/>
      <c r="O307" s="27">
        <f t="shared" si="177"/>
        <v>39279.848422958094</v>
      </c>
      <c r="P307" s="27">
        <f t="shared" si="178"/>
        <v>38788.725377246199</v>
      </c>
      <c r="Q307" s="27"/>
      <c r="R307" s="27">
        <f t="shared" si="179"/>
        <v>0</v>
      </c>
      <c r="S307" s="27">
        <f t="shared" si="180"/>
        <v>6256.4008512027858</v>
      </c>
      <c r="T307" s="27"/>
      <c r="U307" s="27">
        <f t="shared" si="181"/>
        <v>6159.4304407480404</v>
      </c>
      <c r="V307" s="27"/>
      <c r="W307" s="27">
        <f t="shared" si="182"/>
        <v>3424.9049078449193</v>
      </c>
      <c r="X307" s="27"/>
      <c r="Y307" s="27">
        <f t="shared" si="183"/>
        <v>0</v>
      </c>
      <c r="Z307" s="27"/>
      <c r="AA307" s="27">
        <f t="shared" si="184"/>
        <v>0</v>
      </c>
      <c r="AB307" s="27">
        <f>SUM(H307:AA307)</f>
        <v>93909.310000000027</v>
      </c>
      <c r="AC307" s="21" t="str">
        <f>IF(ABS(AB307-F307)&lt;1,"ok","err")</f>
        <v>ok</v>
      </c>
    </row>
    <row r="308" spans="1:29" x14ac:dyDescent="0.25">
      <c r="A308" s="14" t="s">
        <v>762</v>
      </c>
      <c r="C308" s="14" t="s">
        <v>414</v>
      </c>
      <c r="D308" s="14" t="s">
        <v>70</v>
      </c>
      <c r="F308" s="167"/>
      <c r="G308" s="27"/>
      <c r="H308" s="27">
        <f t="shared" si="173"/>
        <v>0</v>
      </c>
      <c r="I308" s="27">
        <f t="shared" si="174"/>
        <v>0</v>
      </c>
      <c r="J308" s="27"/>
      <c r="K308" s="27">
        <f t="shared" si="175"/>
        <v>0</v>
      </c>
      <c r="L308" s="27"/>
      <c r="M308" s="27">
        <f t="shared" si="176"/>
        <v>0</v>
      </c>
      <c r="N308" s="27"/>
      <c r="O308" s="27">
        <f t="shared" si="177"/>
        <v>0</v>
      </c>
      <c r="P308" s="27">
        <f t="shared" si="178"/>
        <v>0</v>
      </c>
      <c r="Q308" s="27"/>
      <c r="R308" s="27">
        <f t="shared" si="179"/>
        <v>0</v>
      </c>
      <c r="S308" s="27">
        <f t="shared" si="180"/>
        <v>0</v>
      </c>
      <c r="T308" s="27"/>
      <c r="U308" s="27">
        <f t="shared" si="181"/>
        <v>0</v>
      </c>
      <c r="V308" s="27"/>
      <c r="W308" s="27">
        <f t="shared" si="182"/>
        <v>0</v>
      </c>
      <c r="X308" s="27"/>
      <c r="Y308" s="27">
        <f t="shared" si="183"/>
        <v>0</v>
      </c>
      <c r="Z308" s="27"/>
      <c r="AA308" s="27">
        <f t="shared" si="184"/>
        <v>0</v>
      </c>
      <c r="AB308" s="27">
        <f>SUM(H308:AA308)</f>
        <v>0</v>
      </c>
      <c r="AC308" s="21" t="str">
        <f>IF(ABS(AB308-F308)&lt;1,"ok","err")</f>
        <v>ok</v>
      </c>
    </row>
    <row r="309" spans="1:29" x14ac:dyDescent="0.25">
      <c r="A309" s="14" t="s">
        <v>1003</v>
      </c>
      <c r="C309" s="14" t="s">
        <v>415</v>
      </c>
      <c r="D309" s="14" t="s">
        <v>391</v>
      </c>
      <c r="F309" s="167"/>
      <c r="G309" s="27"/>
      <c r="H309" s="27">
        <f t="shared" si="173"/>
        <v>0</v>
      </c>
      <c r="I309" s="27">
        <f t="shared" si="174"/>
        <v>0</v>
      </c>
      <c r="J309" s="27"/>
      <c r="K309" s="27">
        <f t="shared" si="175"/>
        <v>0</v>
      </c>
      <c r="L309" s="27"/>
      <c r="M309" s="27">
        <f t="shared" si="176"/>
        <v>0</v>
      </c>
      <c r="N309" s="27"/>
      <c r="O309" s="27">
        <f t="shared" si="177"/>
        <v>0</v>
      </c>
      <c r="P309" s="27">
        <f t="shared" si="178"/>
        <v>0</v>
      </c>
      <c r="Q309" s="27"/>
      <c r="R309" s="27">
        <f t="shared" si="179"/>
        <v>0</v>
      </c>
      <c r="S309" s="27">
        <f t="shared" si="180"/>
        <v>0</v>
      </c>
      <c r="T309" s="27"/>
      <c r="U309" s="27">
        <f t="shared" si="181"/>
        <v>0</v>
      </c>
      <c r="V309" s="27"/>
      <c r="W309" s="27">
        <f t="shared" si="182"/>
        <v>0</v>
      </c>
      <c r="X309" s="27"/>
      <c r="Y309" s="27">
        <f t="shared" si="183"/>
        <v>0</v>
      </c>
      <c r="Z309" s="27"/>
      <c r="AA309" s="27">
        <f t="shared" si="184"/>
        <v>0</v>
      </c>
      <c r="AB309" s="27">
        <f>SUM(H309:AA309)</f>
        <v>0</v>
      </c>
      <c r="AC309" s="21" t="str">
        <f>IF(ABS(AB309-F309)&lt;1,"ok","err")</f>
        <v>ok</v>
      </c>
    </row>
    <row r="310" spans="1:29" x14ac:dyDescent="0.25">
      <c r="A310" s="14" t="s">
        <v>387</v>
      </c>
      <c r="C310" s="14" t="s">
        <v>416</v>
      </c>
      <c r="D310" s="14" t="s">
        <v>16</v>
      </c>
      <c r="F310" s="167"/>
      <c r="G310" s="27"/>
      <c r="H310" s="27">
        <f t="shared" si="173"/>
        <v>0</v>
      </c>
      <c r="I310" s="27">
        <f t="shared" si="174"/>
        <v>0</v>
      </c>
      <c r="J310" s="27"/>
      <c r="K310" s="27">
        <f t="shared" si="175"/>
        <v>0</v>
      </c>
      <c r="L310" s="27"/>
      <c r="M310" s="27">
        <f t="shared" si="176"/>
        <v>0</v>
      </c>
      <c r="N310" s="27"/>
      <c r="O310" s="27">
        <f t="shared" si="177"/>
        <v>0</v>
      </c>
      <c r="P310" s="27">
        <f t="shared" si="178"/>
        <v>0</v>
      </c>
      <c r="Q310" s="27"/>
      <c r="R310" s="27">
        <f t="shared" si="179"/>
        <v>0</v>
      </c>
      <c r="S310" s="27">
        <f t="shared" si="180"/>
        <v>0</v>
      </c>
      <c r="T310" s="27"/>
      <c r="U310" s="27">
        <f t="shared" si="181"/>
        <v>0</v>
      </c>
      <c r="V310" s="27"/>
      <c r="W310" s="27">
        <f t="shared" si="182"/>
        <v>0</v>
      </c>
      <c r="X310" s="27"/>
      <c r="Y310" s="27">
        <f t="shared" si="183"/>
        <v>0</v>
      </c>
      <c r="Z310" s="27"/>
      <c r="AA310" s="27">
        <f t="shared" si="184"/>
        <v>0</v>
      </c>
      <c r="AB310" s="27">
        <f>SUM(H310:AA310)</f>
        <v>0</v>
      </c>
      <c r="AC310" s="21" t="str">
        <f>IF(ABS(AB310-F310)&lt;1,"ok","err")</f>
        <v>ok</v>
      </c>
    </row>
    <row r="311" spans="1:29" x14ac:dyDescent="0.25">
      <c r="F311" s="167"/>
      <c r="G311" s="27"/>
      <c r="AC311" s="21"/>
    </row>
    <row r="312" spans="1:29" x14ac:dyDescent="0.25">
      <c r="A312" s="14" t="s">
        <v>185</v>
      </c>
      <c r="C312" s="14" t="s">
        <v>186</v>
      </c>
      <c r="F312" s="174">
        <f>SUM(F293:F311)</f>
        <v>3259870.44</v>
      </c>
      <c r="G312" s="40"/>
      <c r="H312" s="27">
        <f>SUM(H293:H311)</f>
        <v>0</v>
      </c>
      <c r="I312" s="27">
        <f>SUM(I293:I311)</f>
        <v>0</v>
      </c>
      <c r="J312" s="27"/>
      <c r="K312" s="27">
        <f>SUM(K293:K311)</f>
        <v>0</v>
      </c>
      <c r="M312" s="27">
        <f>SUM(M293:M311)</f>
        <v>0</v>
      </c>
      <c r="O312" s="27">
        <f>SUM(O293:O311)</f>
        <v>1235761.3656410403</v>
      </c>
      <c r="P312" s="27">
        <f>SUM(P293:P311)</f>
        <v>1204714.9481591638</v>
      </c>
      <c r="R312" s="27">
        <f>SUM(R293:R311)</f>
        <v>0</v>
      </c>
      <c r="S312" s="27">
        <f>SUM(S293:S311)</f>
        <v>235970.57085120279</v>
      </c>
      <c r="U312" s="27">
        <f>SUM(U293:U311)</f>
        <v>431283.13044074812</v>
      </c>
      <c r="W312" s="27">
        <f>SUM(W293:W311)</f>
        <v>152140.42490784492</v>
      </c>
      <c r="Y312" s="27">
        <f>SUM(Y293:Y311)</f>
        <v>0</v>
      </c>
      <c r="AA312" s="27">
        <f>SUM(AA293:AA311)</f>
        <v>0</v>
      </c>
      <c r="AB312" s="27">
        <f>SUM(H312:AA312)</f>
        <v>3259870.44</v>
      </c>
      <c r="AC312" s="21" t="str">
        <f>IF(ABS(AB312-F312)&lt;1,"ok","err")</f>
        <v>ok</v>
      </c>
    </row>
    <row r="313" spans="1:29" x14ac:dyDescent="0.25">
      <c r="B313" s="64"/>
      <c r="F313" s="167"/>
      <c r="G313" s="27"/>
      <c r="AC313" s="21"/>
    </row>
    <row r="314" spans="1:29" x14ac:dyDescent="0.25">
      <c r="A314" s="14" t="s">
        <v>187</v>
      </c>
      <c r="C314" s="14" t="s">
        <v>188</v>
      </c>
      <c r="D314" s="14" t="s">
        <v>84</v>
      </c>
      <c r="F314" s="174">
        <v>0</v>
      </c>
      <c r="G314" s="40"/>
      <c r="H314" s="27">
        <f>IF(VLOOKUP($D314,$C$5:$AA$496,6,)=0,0,((VLOOKUP($D314,$C$5:$AA$496,6,)/VLOOKUP($D314,$C$5:$AA$496,4,))*$F314))</f>
        <v>0</v>
      </c>
      <c r="I314" s="27">
        <f>IF(VLOOKUP($D314,$C$5:$AA$496,7,)=0,0,((VLOOKUP($D314,$C$5:$AA$496,7,)/VLOOKUP($D314,$C$5:$AA$496,4,))*$F314))</f>
        <v>0</v>
      </c>
      <c r="J314" s="27"/>
      <c r="K314" s="27">
        <f>IF(VLOOKUP($D314,$C$5:$AA$496,9,)=0,0,((VLOOKUP($D314,$C$5:$AA$496,9,)/VLOOKUP($D314,$C$5:$AA$496,4,))*$F314))</f>
        <v>0</v>
      </c>
      <c r="L314" s="27"/>
      <c r="M314" s="27">
        <f>IF(VLOOKUP($D314,$C$5:$AA$496,11,)=0,0,((VLOOKUP($D314,$C$5:$AA$496,11,)/VLOOKUP($D314,$C$5:$AA$496,4,))*$F314))</f>
        <v>0</v>
      </c>
      <c r="N314" s="27"/>
      <c r="O314" s="27">
        <f>IF(VLOOKUP($D314,$C$5:$AA$496,13,)=0,0,((VLOOKUP($D314,$C$5:$AA$496,13,)/VLOOKUP($D314,$C$5:$AA$496,4,))*$F314))</f>
        <v>0</v>
      </c>
      <c r="P314" s="27">
        <f>IF(VLOOKUP($D314,$C$5:$AA$496,14,)=0,0,((VLOOKUP($D314,$C$5:$AA$496,14,)/VLOOKUP($D314,$C$5:$AA$496,4,))*$F314))</f>
        <v>0</v>
      </c>
      <c r="Q314" s="27"/>
      <c r="R314" s="27">
        <f>IF(VLOOKUP($D314,$C$5:$AA$496,16,)=0,0,((VLOOKUP($D314,$C$5:$AA$496,16,)/VLOOKUP($D314,$C$5:$AA$496,4,))*$F314))</f>
        <v>0</v>
      </c>
      <c r="S314" s="27">
        <f>IF(VLOOKUP($D314,$C$5:$AA$496,17,)=0,0,((VLOOKUP($D314,$C$5:$AA$496,17,)/VLOOKUP($D314,$C$5:$AA$496,4,))*$F314))</f>
        <v>0</v>
      </c>
      <c r="T314" s="27"/>
      <c r="U314" s="27">
        <f>IF(VLOOKUP($D314,$C$5:$AA$496,19,)=0,0,((VLOOKUP($D314,$C$5:$AA$496,19,)/VLOOKUP($D314,$C$5:$AA$496,4,))*$F314))</f>
        <v>0</v>
      </c>
      <c r="V314" s="27"/>
      <c r="W314" s="27">
        <f>IF(VLOOKUP($D314,$C$5:$AA$496,21,)=0,0,((VLOOKUP($D314,$C$5:$AA$496,21,)/VLOOKUP($D314,$C$5:$AA$496,4,))*$F314))</f>
        <v>0</v>
      </c>
      <c r="X314" s="27"/>
      <c r="Y314" s="27">
        <f>IF(VLOOKUP($D314,$C$5:$AA$496,23,)=0,0,((VLOOKUP($D314,$C$5:$AA$496,23,)/VLOOKUP($D314,$C$5:$AA$496,4,))*$F314))</f>
        <v>0</v>
      </c>
      <c r="Z314" s="27"/>
      <c r="AA314" s="27">
        <f>IF(VLOOKUP($D314,$C$5:$AA$496,25,)=0,0,((VLOOKUP($D314,$C$5:$AA$496,25,)/VLOOKUP($D314,$C$5:$AA$496,4,))*$F314))</f>
        <v>0</v>
      </c>
      <c r="AB314" s="27">
        <f>SUM(H314:AA314)</f>
        <v>0</v>
      </c>
      <c r="AC314" s="21" t="str">
        <f>IF(ABS(AB314-F314)&lt;1,"ok","err")</f>
        <v>ok</v>
      </c>
    </row>
    <row r="315" spans="1:29" x14ac:dyDescent="0.25">
      <c r="AC315" s="21"/>
    </row>
    <row r="316" spans="1:29" x14ac:dyDescent="0.25">
      <c r="A316" s="14" t="s">
        <v>309</v>
      </c>
      <c r="C316" s="14" t="s">
        <v>189</v>
      </c>
      <c r="D316" s="14" t="s">
        <v>84</v>
      </c>
      <c r="F316" s="174">
        <v>47600</v>
      </c>
      <c r="G316" s="40"/>
      <c r="H316" s="27">
        <f>IF(VLOOKUP($D316,$C$5:$AA$496,6,)=0,0,((VLOOKUP($D316,$C$5:$AA$496,6,)/VLOOKUP($D316,$C$5:$AA$496,4,))*$F316))</f>
        <v>0</v>
      </c>
      <c r="I316" s="27">
        <f>IF(VLOOKUP($D316,$C$5:$AA$496,7,)=0,0,((VLOOKUP($D316,$C$5:$AA$496,7,)/VLOOKUP($D316,$C$5:$AA$496,4,))*$F316))</f>
        <v>0</v>
      </c>
      <c r="J316" s="27"/>
      <c r="K316" s="27">
        <f>IF(VLOOKUP($D316,$C$5:$AA$496,9,)=0,0,((VLOOKUP($D316,$C$5:$AA$496,9,)/VLOOKUP($D316,$C$5:$AA$496,4,))*$F316))</f>
        <v>0</v>
      </c>
      <c r="L316" s="27"/>
      <c r="M316" s="27">
        <f>IF(VLOOKUP($D316,$C$5:$AA$496,11,)=0,0,((VLOOKUP($D316,$C$5:$AA$496,11,)/VLOOKUP($D316,$C$5:$AA$496,4,))*$F316))</f>
        <v>0</v>
      </c>
      <c r="N316" s="27"/>
      <c r="O316" s="27">
        <f>IF(VLOOKUP($D316,$C$5:$AA$496,13,)=0,0,((VLOOKUP($D316,$C$5:$AA$496,13,)/VLOOKUP($D316,$C$5:$AA$496,4,))*$F316))</f>
        <v>19909.855422564648</v>
      </c>
      <c r="P316" s="27">
        <f>IF(VLOOKUP($D316,$C$5:$AA$496,14,)=0,0,((VLOOKUP($D316,$C$5:$AA$496,14,)/VLOOKUP($D316,$C$5:$AA$496,4,))*$F316))</f>
        <v>19660.918900979243</v>
      </c>
      <c r="Q316" s="27"/>
      <c r="R316" s="27">
        <f>IF(VLOOKUP($D316,$C$5:$AA$496,16,)=0,0,((VLOOKUP($D316,$C$5:$AA$496,16,)/VLOOKUP($D316,$C$5:$AA$496,4,))*$F316))</f>
        <v>0</v>
      </c>
      <c r="S316" s="27">
        <f>IF(VLOOKUP($D316,$C$5:$AA$496,17,)=0,0,((VLOOKUP($D316,$C$5:$AA$496,17,)/VLOOKUP($D316,$C$5:$AA$496,4,))*$F316))</f>
        <v>3171.194427019564</v>
      </c>
      <c r="T316" s="27"/>
      <c r="U316" s="27">
        <f>IF(VLOOKUP($D316,$C$5:$AA$496,19,)=0,0,((VLOOKUP($D316,$C$5:$AA$496,19,)/VLOOKUP($D316,$C$5:$AA$496,4,))*$F316))</f>
        <v>3122.0428409026404</v>
      </c>
      <c r="V316" s="27"/>
      <c r="W316" s="27">
        <f>IF(VLOOKUP($D316,$C$5:$AA$496,21,)=0,0,((VLOOKUP($D316,$C$5:$AA$496,21,)/VLOOKUP($D316,$C$5:$AA$496,4,))*$F316))</f>
        <v>1735.9884085339149</v>
      </c>
      <c r="X316" s="27"/>
      <c r="Y316" s="27">
        <f>IF(VLOOKUP($D316,$C$5:$AA$496,23,)=0,0,((VLOOKUP($D316,$C$5:$AA$496,23,)/VLOOKUP($D316,$C$5:$AA$496,4,))*$F316))</f>
        <v>0</v>
      </c>
      <c r="Z316" s="27"/>
      <c r="AA316" s="27">
        <f>IF(VLOOKUP($D316,$C$5:$AA$496,25,)=0,0,((VLOOKUP($D316,$C$5:$AA$496,25,)/VLOOKUP($D316,$C$5:$AA$496,4,))*$F316))</f>
        <v>0</v>
      </c>
      <c r="AB316" s="27">
        <f>SUM(H316:AA316)</f>
        <v>47600.000000000015</v>
      </c>
      <c r="AC316" s="21" t="str">
        <f>IF(ABS(AB316-F316)&lt;1,"ok","err")</f>
        <v>ok</v>
      </c>
    </row>
    <row r="317" spans="1:29" x14ac:dyDescent="0.25">
      <c r="Q317" s="14"/>
    </row>
    <row r="318" spans="1:29" x14ac:dyDescent="0.25">
      <c r="A318" s="14" t="s">
        <v>190</v>
      </c>
      <c r="C318" s="14" t="s">
        <v>191</v>
      </c>
      <c r="D318" s="14" t="s">
        <v>84</v>
      </c>
      <c r="F318" s="174">
        <v>642669.77</v>
      </c>
      <c r="G318" s="40"/>
      <c r="H318" s="27">
        <f>IF(VLOOKUP($D318,$C$5:$AA$496,6,)=0,0,((VLOOKUP($D318,$C$5:$AA$496,6,)/VLOOKUP($D318,$C$5:$AA$496,4,))*$F318))</f>
        <v>0</v>
      </c>
      <c r="I318" s="27">
        <f>IF(VLOOKUP($D318,$C$5:$AA$496,7,)=0,0,((VLOOKUP($D318,$C$5:$AA$496,7,)/VLOOKUP($D318,$C$5:$AA$496,4,))*$F318))</f>
        <v>0</v>
      </c>
      <c r="J318" s="27"/>
      <c r="K318" s="27">
        <f>IF(VLOOKUP($D318,$C$5:$AA$496,9,)=0,0,((VLOOKUP($D318,$C$5:$AA$496,9,)/VLOOKUP($D318,$C$5:$AA$496,4,))*$F318))</f>
        <v>0</v>
      </c>
      <c r="L318" s="27"/>
      <c r="M318" s="27">
        <f>IF(VLOOKUP($D318,$C$5:$AA$496,11,)=0,0,((VLOOKUP($D318,$C$5:$AA$496,11,)/VLOOKUP($D318,$C$5:$AA$496,4,))*$F318))</f>
        <v>0</v>
      </c>
      <c r="N318" s="27"/>
      <c r="O318" s="27">
        <f>IF(VLOOKUP($D318,$C$5:$AA$496,13,)=0,0,((VLOOKUP($D318,$C$5:$AA$496,13,)/VLOOKUP($D318,$C$5:$AA$496,4,))*$F318))</f>
        <v>268812.23120069067</v>
      </c>
      <c r="P318" s="27">
        <f>IF(VLOOKUP($D318,$C$5:$AA$496,14,)=0,0,((VLOOKUP($D318,$C$5:$AA$496,14,)/VLOOKUP($D318,$C$5:$AA$496,4,))*$F318))</f>
        <v>265451.22327901225</v>
      </c>
      <c r="Q318" s="27"/>
      <c r="R318" s="27">
        <f>IF(VLOOKUP($D318,$C$5:$AA$496,16,)=0,0,((VLOOKUP($D318,$C$5:$AA$496,16,)/VLOOKUP($D318,$C$5:$AA$496,4,))*$F318))</f>
        <v>0</v>
      </c>
      <c r="S318" s="27">
        <f>IF(VLOOKUP($D318,$C$5:$AA$496,17,)=0,0,((VLOOKUP($D318,$C$5:$AA$496,17,)/VLOOKUP($D318,$C$5:$AA$496,4,))*$F318))</f>
        <v>42815.772962982039</v>
      </c>
      <c r="T318" s="27"/>
      <c r="U318" s="27">
        <f>IF(VLOOKUP($D318,$C$5:$AA$496,19,)=0,0,((VLOOKUP($D318,$C$5:$AA$496,19,)/VLOOKUP($D318,$C$5:$AA$496,4,))*$F318))</f>
        <v>42152.154506156439</v>
      </c>
      <c r="V318" s="27"/>
      <c r="W318" s="27">
        <f>IF(VLOOKUP($D318,$C$5:$AA$496,21,)=0,0,((VLOOKUP($D318,$C$5:$AA$496,21,)/VLOOKUP($D318,$C$5:$AA$496,4,))*$F318))</f>
        <v>23438.388051158767</v>
      </c>
      <c r="X318" s="27"/>
      <c r="Y318" s="27">
        <f>IF(VLOOKUP($D318,$C$5:$AA$496,23,)=0,0,((VLOOKUP($D318,$C$5:$AA$496,23,)/VLOOKUP($D318,$C$5:$AA$496,4,))*$F318))</f>
        <v>0</v>
      </c>
      <c r="Z318" s="27"/>
      <c r="AA318" s="27">
        <f>IF(VLOOKUP($D318,$C$5:$AA$496,25,)=0,0,((VLOOKUP($D318,$C$5:$AA$496,25,)/VLOOKUP($D318,$C$5:$AA$496,4,))*$F318))</f>
        <v>0</v>
      </c>
      <c r="AB318" s="27">
        <f>SUM(H318:AA318)</f>
        <v>642669.77000000025</v>
      </c>
      <c r="AC318" s="21" t="str">
        <f>IF(ABS(AB318-F318)&lt;1,"ok","err")</f>
        <v>ok</v>
      </c>
    </row>
    <row r="319" spans="1:29" x14ac:dyDescent="0.25">
      <c r="AC319" s="21"/>
    </row>
    <row r="320" spans="1:29" x14ac:dyDescent="0.25">
      <c r="A320" s="14" t="s">
        <v>192</v>
      </c>
      <c r="C320" s="14" t="s">
        <v>193</v>
      </c>
      <c r="D320" s="14" t="s">
        <v>84</v>
      </c>
      <c r="F320" s="174">
        <v>27056.93</v>
      </c>
      <c r="G320" s="40"/>
      <c r="H320" s="27">
        <f>IF(VLOOKUP($D320,$C$5:$AA$496,6,)=0,0,((VLOOKUP($D320,$C$5:$AA$496,6,)/VLOOKUP($D320,$C$5:$AA$496,4,))*$F320))</f>
        <v>0</v>
      </c>
      <c r="I320" s="27">
        <f>IF(VLOOKUP($D320,$C$5:$AA$496,7,)=0,0,((VLOOKUP($D320,$C$5:$AA$496,7,)/VLOOKUP($D320,$C$5:$AA$496,4,))*$F320))</f>
        <v>0</v>
      </c>
      <c r="J320" s="27"/>
      <c r="K320" s="27">
        <f>IF(VLOOKUP($D320,$C$5:$AA$496,9,)=0,0,((VLOOKUP($D320,$C$5:$AA$496,9,)/VLOOKUP($D320,$C$5:$AA$496,4,))*$F320))</f>
        <v>0</v>
      </c>
      <c r="L320" s="27"/>
      <c r="M320" s="27">
        <f>IF(VLOOKUP($D320,$C$5:$AA$496,11,)=0,0,((VLOOKUP($D320,$C$5:$AA$496,11,)/VLOOKUP($D320,$C$5:$AA$496,4,))*$F320))</f>
        <v>0</v>
      </c>
      <c r="N320" s="27"/>
      <c r="O320" s="27">
        <f>IF(VLOOKUP($D320,$C$5:$AA$496,13,)=0,0,((VLOOKUP($D320,$C$5:$AA$496,13,)/VLOOKUP($D320,$C$5:$AA$496,4,))*$F320))</f>
        <v>11317.217741143952</v>
      </c>
      <c r="P320" s="27">
        <f>IF(VLOOKUP($D320,$C$5:$AA$496,14,)=0,0,((VLOOKUP($D320,$C$5:$AA$496,14,)/VLOOKUP($D320,$C$5:$AA$496,4,))*$F320))</f>
        <v>11175.716521837652</v>
      </c>
      <c r="Q320" s="27"/>
      <c r="R320" s="27">
        <f>IF(VLOOKUP($D320,$C$5:$AA$496,16,)=0,0,((VLOOKUP($D320,$C$5:$AA$496,16,)/VLOOKUP($D320,$C$5:$AA$496,4,))*$F320))</f>
        <v>0</v>
      </c>
      <c r="S320" s="27">
        <f>IF(VLOOKUP($D320,$C$5:$AA$496,17,)=0,0,((VLOOKUP($D320,$C$5:$AA$496,17,)/VLOOKUP($D320,$C$5:$AA$496,4,))*$F320))</f>
        <v>1802.5795300054297</v>
      </c>
      <c r="T320" s="27"/>
      <c r="U320" s="27">
        <f>IF(VLOOKUP($D320,$C$5:$AA$496,19,)=0,0,((VLOOKUP($D320,$C$5:$AA$496,19,)/VLOOKUP($D320,$C$5:$AA$496,4,))*$F320))</f>
        <v>1774.6406429265521</v>
      </c>
      <c r="V320" s="27"/>
      <c r="W320" s="27">
        <f>IF(VLOOKUP($D320,$C$5:$AA$496,21,)=0,0,((VLOOKUP($D320,$C$5:$AA$496,21,)/VLOOKUP($D320,$C$5:$AA$496,4,))*$F320))</f>
        <v>986.77556408641897</v>
      </c>
      <c r="X320" s="27"/>
      <c r="Y320" s="27">
        <f>IF(VLOOKUP($D320,$C$5:$AA$496,23,)=0,0,((VLOOKUP($D320,$C$5:$AA$496,23,)/VLOOKUP($D320,$C$5:$AA$496,4,))*$F320))</f>
        <v>0</v>
      </c>
      <c r="Z320" s="27"/>
      <c r="AA320" s="27">
        <f>IF(VLOOKUP($D320,$C$5:$AA$496,25,)=0,0,((VLOOKUP($D320,$C$5:$AA$496,25,)/VLOOKUP($D320,$C$5:$AA$496,4,))*$F320))</f>
        <v>0</v>
      </c>
      <c r="AB320" s="27">
        <f>SUM(H320:AA320)</f>
        <v>27056.930000000004</v>
      </c>
      <c r="AC320" s="21" t="str">
        <f>IF(ABS(AB320-F320)&lt;1,"ok","err")</f>
        <v>ok</v>
      </c>
    </row>
    <row r="321" spans="1:29" x14ac:dyDescent="0.25"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1"/>
    </row>
    <row r="322" spans="1:29" x14ac:dyDescent="0.25">
      <c r="A322" s="14" t="s">
        <v>1059</v>
      </c>
      <c r="C322" s="14" t="s">
        <v>1060</v>
      </c>
      <c r="D322" s="14" t="s">
        <v>84</v>
      </c>
      <c r="F322" s="174">
        <v>0</v>
      </c>
      <c r="G322" s="40"/>
      <c r="H322" s="27">
        <f>IF(VLOOKUP($D322,$C$5:$AA$496,6,)=0,0,((VLOOKUP($D322,$C$5:$AA$496,6,)/VLOOKUP($D322,$C$5:$AA$496,4,))*$F322))</f>
        <v>0</v>
      </c>
      <c r="I322" s="27">
        <f>IF(VLOOKUP($D322,$C$5:$AA$496,7,)=0,0,((VLOOKUP($D322,$C$5:$AA$496,7,)/VLOOKUP($D322,$C$5:$AA$496,4,))*$F322))</f>
        <v>0</v>
      </c>
      <c r="J322" s="27"/>
      <c r="K322" s="27">
        <f>IF(VLOOKUP($D322,$C$5:$AA$496,9,)=0,0,((VLOOKUP($D322,$C$5:$AA$496,9,)/VLOOKUP($D322,$C$5:$AA$496,4,))*$F322))</f>
        <v>0</v>
      </c>
      <c r="L322" s="27"/>
      <c r="M322" s="27">
        <f>IF(VLOOKUP($D322,$C$5:$AA$496,11,)=0,0,((VLOOKUP($D322,$C$5:$AA$496,11,)/VLOOKUP($D322,$C$5:$AA$496,4,))*$F322))</f>
        <v>0</v>
      </c>
      <c r="N322" s="27"/>
      <c r="O322" s="27">
        <f>IF(VLOOKUP($D322,$C$5:$AA$496,13,)=0,0,((VLOOKUP($D322,$C$5:$AA$496,13,)/VLOOKUP($D322,$C$5:$AA$496,4,))*$F322))</f>
        <v>0</v>
      </c>
      <c r="P322" s="27">
        <f>IF(VLOOKUP($D322,$C$5:$AA$496,14,)=0,0,((VLOOKUP($D322,$C$5:$AA$496,14,)/VLOOKUP($D322,$C$5:$AA$496,4,))*$F322))</f>
        <v>0</v>
      </c>
      <c r="Q322" s="27"/>
      <c r="R322" s="27">
        <f>IF(VLOOKUP($D322,$C$5:$AA$496,16,)=0,0,((VLOOKUP($D322,$C$5:$AA$496,16,)/VLOOKUP($D322,$C$5:$AA$496,4,))*$F322))</f>
        <v>0</v>
      </c>
      <c r="S322" s="27">
        <f>IF(VLOOKUP($D322,$C$5:$AA$496,17,)=0,0,((VLOOKUP($D322,$C$5:$AA$496,17,)/VLOOKUP($D322,$C$5:$AA$496,4,))*$F322))</f>
        <v>0</v>
      </c>
      <c r="T322" s="27"/>
      <c r="U322" s="27">
        <f>IF(VLOOKUP($D322,$C$5:$AA$496,19,)=0,0,((VLOOKUP($D322,$C$5:$AA$496,19,)/VLOOKUP($D322,$C$5:$AA$496,4,))*$F322))</f>
        <v>0</v>
      </c>
      <c r="V322" s="27"/>
      <c r="W322" s="27">
        <f>IF(VLOOKUP($D322,$C$5:$AA$496,21,)=0,0,((VLOOKUP($D322,$C$5:$AA$496,21,)/VLOOKUP($D322,$C$5:$AA$496,4,))*$F322))</f>
        <v>0</v>
      </c>
      <c r="X322" s="27"/>
      <c r="Y322" s="27">
        <f>IF(VLOOKUP($D322,$C$5:$AA$496,23,)=0,0,((VLOOKUP($D322,$C$5:$AA$496,23,)/VLOOKUP($D322,$C$5:$AA$496,4,))*$F322))</f>
        <v>0</v>
      </c>
      <c r="Z322" s="27"/>
      <c r="AA322" s="27">
        <f>IF(VLOOKUP($D322,$C$5:$AA$496,25,)=0,0,((VLOOKUP($D322,$C$5:$AA$496,25,)/VLOOKUP($D322,$C$5:$AA$496,4,))*$F322))</f>
        <v>0</v>
      </c>
      <c r="AB322" s="27">
        <f>SUM(H322:AA322)</f>
        <v>0</v>
      </c>
      <c r="AC322" s="21" t="str">
        <f>IF(ABS(AB322-F322)&lt;1,"ok","err")</f>
        <v>ok</v>
      </c>
    </row>
    <row r="323" spans="1:29" x14ac:dyDescent="0.25"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1"/>
    </row>
    <row r="324" spans="1:29" hidden="1" x14ac:dyDescent="0.25">
      <c r="A324" s="14" t="s">
        <v>854</v>
      </c>
      <c r="C324" s="14" t="s">
        <v>855</v>
      </c>
      <c r="D324" s="14" t="s">
        <v>84</v>
      </c>
      <c r="F324" s="174">
        <v>0</v>
      </c>
      <c r="G324" s="40"/>
      <c r="H324" s="27">
        <f>IF(VLOOKUP($D324,$C$5:$AA$496,6,)=0,0,((VLOOKUP($D324,$C$5:$AA$496,6,)/VLOOKUP($D324,$C$5:$AA$496,4,))*$F324))</f>
        <v>0</v>
      </c>
      <c r="I324" s="27">
        <f>IF(VLOOKUP($D324,$C$5:$AA$496,7,)=0,0,((VLOOKUP($D324,$C$5:$AA$496,7,)/VLOOKUP($D324,$C$5:$AA$496,4,))*$F324))</f>
        <v>0</v>
      </c>
      <c r="J324" s="27"/>
      <c r="K324" s="27">
        <f>IF(VLOOKUP($D324,$C$5:$AA$496,9,)=0,0,((VLOOKUP($D324,$C$5:$AA$496,9,)/VLOOKUP($D324,$C$5:$AA$496,4,))*$F324))</f>
        <v>0</v>
      </c>
      <c r="L324" s="27"/>
      <c r="M324" s="27">
        <f>IF(VLOOKUP($D324,$C$5:$AA$496,11,)=0,0,((VLOOKUP($D324,$C$5:$AA$496,11,)/VLOOKUP($D324,$C$5:$AA$496,4,))*$F324))</f>
        <v>0</v>
      </c>
      <c r="N324" s="27"/>
      <c r="O324" s="27">
        <f>IF(VLOOKUP($D324,$C$5:$AA$496,13,)=0,0,((VLOOKUP($D324,$C$5:$AA$496,13,)/VLOOKUP($D324,$C$5:$AA$496,4,))*$F324))</f>
        <v>0</v>
      </c>
      <c r="P324" s="27">
        <f>IF(VLOOKUP($D324,$C$5:$AA$496,14,)=0,0,((VLOOKUP($D324,$C$5:$AA$496,14,)/VLOOKUP($D324,$C$5:$AA$496,4,))*$F324))</f>
        <v>0</v>
      </c>
      <c r="Q324" s="27"/>
      <c r="R324" s="27">
        <f>IF(VLOOKUP($D324,$C$5:$AA$496,16,)=0,0,((VLOOKUP($D324,$C$5:$AA$496,16,)/VLOOKUP($D324,$C$5:$AA$496,4,))*$F324))</f>
        <v>0</v>
      </c>
      <c r="S324" s="27">
        <f>IF(VLOOKUP($D324,$C$5:$AA$496,17,)=0,0,((VLOOKUP($D324,$C$5:$AA$496,17,)/VLOOKUP($D324,$C$5:$AA$496,4,))*$F324))</f>
        <v>0</v>
      </c>
      <c r="T324" s="27"/>
      <c r="U324" s="27">
        <f>IF(VLOOKUP($D324,$C$5:$AA$496,19,)=0,0,((VLOOKUP($D324,$C$5:$AA$496,19,)/VLOOKUP($D324,$C$5:$AA$496,4,))*$F324))</f>
        <v>0</v>
      </c>
      <c r="V324" s="27"/>
      <c r="W324" s="27">
        <f>IF(VLOOKUP($D324,$C$5:$AA$496,21,)=0,0,((VLOOKUP($D324,$C$5:$AA$496,21,)/VLOOKUP($D324,$C$5:$AA$496,4,))*$F324))</f>
        <v>0</v>
      </c>
      <c r="X324" s="27"/>
      <c r="Y324" s="27">
        <f>IF(VLOOKUP($D324,$C$5:$AA$496,23,)=0,0,((VLOOKUP($D324,$C$5:$AA$496,23,)/VLOOKUP($D324,$C$5:$AA$496,4,))*$F324))</f>
        <v>0</v>
      </c>
      <c r="Z324" s="27"/>
      <c r="AA324" s="27">
        <f>IF(VLOOKUP($D324,$C$5:$AA$496,25,)=0,0,((VLOOKUP($D324,$C$5:$AA$496,25,)/VLOOKUP($D324,$C$5:$AA$496,4,))*$F324))</f>
        <v>0</v>
      </c>
      <c r="AB324" s="27">
        <f>SUM(H324:AA324)</f>
        <v>0</v>
      </c>
      <c r="AC324" s="21" t="str">
        <f>IF(ABS(AB324-F324)&lt;1,"ok","err")</f>
        <v>ok</v>
      </c>
    </row>
    <row r="325" spans="1:29" hidden="1" x14ac:dyDescent="0.25">
      <c r="AC325" s="21"/>
    </row>
    <row r="326" spans="1:29" hidden="1" x14ac:dyDescent="0.25">
      <c r="A326" s="14" t="s">
        <v>194</v>
      </c>
      <c r="C326" s="14" t="s">
        <v>195</v>
      </c>
      <c r="D326" s="14" t="s">
        <v>84</v>
      </c>
      <c r="F326" s="174">
        <v>0</v>
      </c>
      <c r="G326" s="40"/>
      <c r="H326" s="27">
        <f>IF(VLOOKUP($D326,$C$5:$AA$496,6,)=0,0,((VLOOKUP($D326,$C$5:$AA$496,6,)/VLOOKUP($D326,$C$5:$AA$496,4,))*$F326))</f>
        <v>0</v>
      </c>
      <c r="I326" s="27">
        <f>IF(VLOOKUP($D326,$C$5:$AA$496,7,)=0,0,((VLOOKUP($D326,$C$5:$AA$496,7,)/VLOOKUP($D326,$C$5:$AA$496,4,))*$F326))</f>
        <v>0</v>
      </c>
      <c r="J326" s="27"/>
      <c r="K326" s="27">
        <f>IF(VLOOKUP($D326,$C$5:$AA$496,9,)=0,0,((VLOOKUP($D326,$C$5:$AA$496,9,)/VLOOKUP($D326,$C$5:$AA$496,4,))*$F326))</f>
        <v>0</v>
      </c>
      <c r="L326" s="27"/>
      <c r="M326" s="27">
        <f>IF(VLOOKUP($D326,$C$5:$AA$496,11,)=0,0,((VLOOKUP($D326,$C$5:$AA$496,11,)/VLOOKUP($D326,$C$5:$AA$496,4,))*$F326))</f>
        <v>0</v>
      </c>
      <c r="N326" s="27"/>
      <c r="O326" s="27">
        <f>IF(VLOOKUP($D326,$C$5:$AA$496,13,)=0,0,((VLOOKUP($D326,$C$5:$AA$496,13,)/VLOOKUP($D326,$C$5:$AA$496,4,))*$F326))</f>
        <v>0</v>
      </c>
      <c r="P326" s="27">
        <f>IF(VLOOKUP($D326,$C$5:$AA$496,14,)=0,0,((VLOOKUP($D326,$C$5:$AA$496,14,)/VLOOKUP($D326,$C$5:$AA$496,4,))*$F326))</f>
        <v>0</v>
      </c>
      <c r="Q326" s="27"/>
      <c r="R326" s="27">
        <f>IF(VLOOKUP($D326,$C$5:$AA$496,16,)=0,0,((VLOOKUP($D326,$C$5:$AA$496,16,)/VLOOKUP($D326,$C$5:$AA$496,4,))*$F326))</f>
        <v>0</v>
      </c>
      <c r="S326" s="27">
        <f>IF(VLOOKUP($D326,$C$5:$AA$496,17,)=0,0,((VLOOKUP($D326,$C$5:$AA$496,17,)/VLOOKUP($D326,$C$5:$AA$496,4,))*$F326))</f>
        <v>0</v>
      </c>
      <c r="T326" s="27"/>
      <c r="U326" s="27">
        <f>IF(VLOOKUP($D326,$C$5:$AA$496,19,)=0,0,((VLOOKUP($D326,$C$5:$AA$496,19,)/VLOOKUP($D326,$C$5:$AA$496,4,))*$F326))</f>
        <v>0</v>
      </c>
      <c r="V326" s="27"/>
      <c r="W326" s="27">
        <f>IF(VLOOKUP($D326,$C$5:$AA$496,21,)=0,0,((VLOOKUP($D326,$C$5:$AA$496,21,)/VLOOKUP($D326,$C$5:$AA$496,4,))*$F326))</f>
        <v>0</v>
      </c>
      <c r="X326" s="27"/>
      <c r="Y326" s="27">
        <f>IF(VLOOKUP($D326,$C$5:$AA$496,23,)=0,0,((VLOOKUP($D326,$C$5:$AA$496,23,)/VLOOKUP($D326,$C$5:$AA$496,4,))*$F326))</f>
        <v>0</v>
      </c>
      <c r="Z326" s="27"/>
      <c r="AA326" s="27">
        <f>IF(VLOOKUP($D326,$C$5:$AA$496,25,)=0,0,((VLOOKUP($D326,$C$5:$AA$496,25,)/VLOOKUP($D326,$C$5:$AA$496,4,))*$F326))</f>
        <v>0</v>
      </c>
      <c r="AB326" s="27">
        <f>SUM(H326:AA326)</f>
        <v>0</v>
      </c>
      <c r="AC326" s="21" t="str">
        <f>IF(ABS(AB326-F326)&lt;1,"ok","err")</f>
        <v>ok</v>
      </c>
    </row>
    <row r="327" spans="1:29" hidden="1" x14ac:dyDescent="0.25">
      <c r="AB327" s="27"/>
      <c r="AC327" s="21"/>
    </row>
    <row r="328" spans="1:29" x14ac:dyDescent="0.25">
      <c r="A328" s="13" t="s">
        <v>196</v>
      </c>
      <c r="C328" s="14" t="s">
        <v>197</v>
      </c>
      <c r="F328" s="175">
        <f>SUM(F312:F326)</f>
        <v>3977197.14</v>
      </c>
      <c r="G328" s="64"/>
      <c r="H328" s="64">
        <f>SUM(H312:H326)</f>
        <v>0</v>
      </c>
      <c r="I328" s="64">
        <f>SUM(I312:I326)</f>
        <v>0</v>
      </c>
      <c r="J328" s="64"/>
      <c r="K328" s="64">
        <f>SUM(K312:K326)</f>
        <v>0</v>
      </c>
      <c r="L328" s="64"/>
      <c r="M328" s="64">
        <f>SUM(M312:M326)</f>
        <v>0</v>
      </c>
      <c r="N328" s="64"/>
      <c r="O328" s="64">
        <f>SUM(O312:O326)</f>
        <v>1535800.6700054393</v>
      </c>
      <c r="P328" s="64">
        <f>SUM(P312:P326)</f>
        <v>1501002.8068609932</v>
      </c>
      <c r="Q328" s="64">
        <f>SUM(Q312:Q326)</f>
        <v>0</v>
      </c>
      <c r="R328" s="64">
        <f>SUM(R312:R326)</f>
        <v>0</v>
      </c>
      <c r="S328" s="64">
        <f>SUM(S312:S326)</f>
        <v>283760.1177712098</v>
      </c>
      <c r="T328" s="64">
        <f>T312+T314+T316+T318+T322+T326</f>
        <v>0</v>
      </c>
      <c r="U328" s="64">
        <f>SUM(U312:U326)</f>
        <v>478331.96843073377</v>
      </c>
      <c r="V328" s="64">
        <f>V312+V314+V316+V318+V322+V326</f>
        <v>0</v>
      </c>
      <c r="W328" s="64">
        <f>SUM(W312:W326)</f>
        <v>178301.57693162403</v>
      </c>
      <c r="X328" s="64">
        <f>X312+X314+X316+X318+X322+X326</f>
        <v>0</v>
      </c>
      <c r="Y328" s="64">
        <f>SUM(Y312:Y326)</f>
        <v>0</v>
      </c>
      <c r="Z328" s="64">
        <f>Z312+Z314+Z316+Z318+Z322+Z326</f>
        <v>0</v>
      </c>
      <c r="AA328" s="64">
        <f>SUM(AA312:AA326)</f>
        <v>0</v>
      </c>
      <c r="AB328" s="27">
        <f>SUM(H328:AA328)</f>
        <v>3977197.14</v>
      </c>
      <c r="AC328" s="21" t="str">
        <f>IF(ABS(AB328-F328)&lt;1,"ok","err")</f>
        <v>ok</v>
      </c>
    </row>
    <row r="329" spans="1:29" x14ac:dyDescent="0.25">
      <c r="AC329" s="21"/>
    </row>
    <row r="330" spans="1:29" x14ac:dyDescent="0.25">
      <c r="A330" s="13" t="s">
        <v>388</v>
      </c>
      <c r="F330" s="175">
        <f>F285+F328</f>
        <v>50802020.609999999</v>
      </c>
      <c r="G330" s="64"/>
      <c r="H330" s="64">
        <f>H285+H328</f>
        <v>9549281.9872807246</v>
      </c>
      <c r="I330" s="64">
        <f>I285+I328</f>
        <v>29250739.012719277</v>
      </c>
      <c r="J330" s="64"/>
      <c r="K330" s="64">
        <f>K285+K328</f>
        <v>0</v>
      </c>
      <c r="L330" s="64"/>
      <c r="M330" s="64">
        <f>M285+M328</f>
        <v>0</v>
      </c>
      <c r="N330" s="64"/>
      <c r="O330" s="64">
        <f t="shared" ref="O330:AA330" si="187">O285+O328</f>
        <v>4658901.1341559514</v>
      </c>
      <c r="P330" s="64">
        <f t="shared" si="187"/>
        <v>3819327.9710162971</v>
      </c>
      <c r="Q330" s="64">
        <f t="shared" si="187"/>
        <v>0</v>
      </c>
      <c r="R330" s="64">
        <f t="shared" si="187"/>
        <v>0</v>
      </c>
      <c r="S330" s="64">
        <f t="shared" si="187"/>
        <v>373111.42617029045</v>
      </c>
      <c r="T330" s="64">
        <f t="shared" si="187"/>
        <v>0</v>
      </c>
      <c r="U330" s="64">
        <f t="shared" si="187"/>
        <v>1120783.8315070393</v>
      </c>
      <c r="V330" s="64">
        <f t="shared" si="187"/>
        <v>0</v>
      </c>
      <c r="W330" s="64">
        <f t="shared" si="187"/>
        <v>255786.32129177472</v>
      </c>
      <c r="X330" s="64">
        <f t="shared" si="187"/>
        <v>0</v>
      </c>
      <c r="Y330" s="64">
        <f t="shared" si="187"/>
        <v>1774088.9258586476</v>
      </c>
      <c r="Z330" s="64">
        <f t="shared" si="187"/>
        <v>0</v>
      </c>
      <c r="AA330" s="64">
        <f t="shared" si="187"/>
        <v>0</v>
      </c>
      <c r="AB330" s="27">
        <f>SUM(H330:AA330)</f>
        <v>50802020.609999999</v>
      </c>
      <c r="AC330" s="21" t="str">
        <f>IF(ABS(AB330-F330)&lt;1,"ok","err")</f>
        <v>ok</v>
      </c>
    </row>
    <row r="331" spans="1:29" x14ac:dyDescent="0.25">
      <c r="F331" s="175"/>
      <c r="G331" s="64"/>
      <c r="AC331" s="21"/>
    </row>
    <row r="332" spans="1:29" x14ac:dyDescent="0.25">
      <c r="F332" s="175"/>
      <c r="AC332" s="21"/>
    </row>
    <row r="333" spans="1:29" x14ac:dyDescent="0.25">
      <c r="F333" s="175"/>
      <c r="AC333" s="21"/>
    </row>
    <row r="334" spans="1:29" x14ac:dyDescent="0.25">
      <c r="A334" s="19" t="s">
        <v>1022</v>
      </c>
      <c r="F334" s="175"/>
      <c r="Q334" s="14"/>
      <c r="AC334" s="21"/>
    </row>
    <row r="335" spans="1:29" x14ac:dyDescent="0.25">
      <c r="A335" s="19"/>
      <c r="Q335" s="14"/>
      <c r="AC335" s="21"/>
    </row>
    <row r="336" spans="1:29" x14ac:dyDescent="0.25">
      <c r="A336" s="13" t="s">
        <v>785</v>
      </c>
      <c r="Q336" s="14"/>
      <c r="AC336" s="21"/>
    </row>
    <row r="337" spans="1:29" x14ac:dyDescent="0.25">
      <c r="A337" s="14">
        <v>500</v>
      </c>
      <c r="B337" s="14" t="s">
        <v>790</v>
      </c>
      <c r="C337" s="14" t="s">
        <v>837</v>
      </c>
      <c r="D337" s="14" t="s">
        <v>779</v>
      </c>
      <c r="F337" s="174">
        <v>0</v>
      </c>
      <c r="G337" s="40"/>
      <c r="H337" s="27">
        <f t="shared" ref="H337:H345" si="188">IF(VLOOKUP($D337,$C$5:$AA$496,6,)=0,0,((VLOOKUP($D337,$C$5:$AA$496,6,)/VLOOKUP($D337,$C$5:$AA$496,4,))*$F337))</f>
        <v>0</v>
      </c>
      <c r="I337" s="27">
        <f t="shared" ref="I337:I345" si="189">IF(VLOOKUP($D337,$C$5:$AA$496,7,)=0,0,((VLOOKUP($D337,$C$5:$AA$496,7,)/VLOOKUP($D337,$C$5:$AA$496,4,))*$F337))</f>
        <v>0</v>
      </c>
      <c r="J337" s="27"/>
      <c r="K337" s="27">
        <f t="shared" ref="K337:K345" si="190">IF(VLOOKUP($D337,$C$5:$AA$496,9,)=0,0,((VLOOKUP($D337,$C$5:$AA$496,9,)/VLOOKUP($D337,$C$5:$AA$496,4,))*$F337))</f>
        <v>0</v>
      </c>
      <c r="L337" s="27"/>
      <c r="M337" s="27">
        <f t="shared" ref="M337:M345" si="191">IF(VLOOKUP($D337,$C$5:$AA$496,11,)=0,0,((VLOOKUP($D337,$C$5:$AA$496,11,)/VLOOKUP($D337,$C$5:$AA$496,4,))*$F337))</f>
        <v>0</v>
      </c>
      <c r="N337" s="27"/>
      <c r="O337" s="27">
        <f t="shared" ref="O337:O345" si="192">IF(VLOOKUP($D337,$C$5:$AA$496,13,)=0,0,((VLOOKUP($D337,$C$5:$AA$496,13,)/VLOOKUP($D337,$C$5:$AA$496,4,))*$F337))</f>
        <v>0</v>
      </c>
      <c r="P337" s="27">
        <f t="shared" ref="P337:P345" si="193">IF(VLOOKUP($D337,$C$5:$AA$496,14,)=0,0,((VLOOKUP($D337,$C$5:$AA$496,14,)/VLOOKUP($D337,$C$5:$AA$496,4,))*$F337))</f>
        <v>0</v>
      </c>
      <c r="Q337" s="27"/>
      <c r="R337" s="27">
        <f t="shared" ref="R337:R345" si="194">IF(VLOOKUP($D337,$C$5:$AA$496,16,)=0,0,((VLOOKUP($D337,$C$5:$AA$496,16,)/VLOOKUP($D337,$C$5:$AA$496,4,))*$F337))</f>
        <v>0</v>
      </c>
      <c r="S337" s="27">
        <f t="shared" ref="S337:S345" si="195">IF(VLOOKUP($D337,$C$5:$AA$496,17,)=0,0,((VLOOKUP($D337,$C$5:$AA$496,17,)/VLOOKUP($D337,$C$5:$AA$496,4,))*$F337))</f>
        <v>0</v>
      </c>
      <c r="T337" s="27"/>
      <c r="U337" s="27">
        <f t="shared" ref="U337:U345" si="196">IF(VLOOKUP($D337,$C$5:$AA$496,19,)=0,0,((VLOOKUP($D337,$C$5:$AA$496,19,)/VLOOKUP($D337,$C$5:$AA$496,4,))*$F337))</f>
        <v>0</v>
      </c>
      <c r="V337" s="27"/>
      <c r="W337" s="27">
        <f t="shared" ref="W337:W345" si="197">IF(VLOOKUP($D337,$C$5:$AA$496,21,)=0,0,((VLOOKUP($D337,$C$5:$AA$496,21,)/VLOOKUP($D337,$C$5:$AA$496,4,))*$F337))</f>
        <v>0</v>
      </c>
      <c r="X337" s="27"/>
      <c r="Y337" s="27">
        <f t="shared" ref="Y337:Y345" si="198">IF(VLOOKUP($D337,$C$5:$AA$496,23,)=0,0,((VLOOKUP($D337,$C$5:$AA$496,23,)/VLOOKUP($D337,$C$5:$AA$496,4,))*$F337))</f>
        <v>0</v>
      </c>
      <c r="Z337" s="27"/>
      <c r="AA337" s="27">
        <f t="shared" ref="AA337:AA345" si="199">IF(VLOOKUP($D337,$C$5:$AA$496,25,)=0,0,((VLOOKUP($D337,$C$5:$AA$496,25,)/VLOOKUP($D337,$C$5:$AA$496,4,))*$F337))</f>
        <v>0</v>
      </c>
      <c r="AB337" s="27">
        <f t="shared" ref="AB337" si="200">SUM(H337:AA337)</f>
        <v>0</v>
      </c>
      <c r="AC337" s="21" t="str">
        <f t="shared" ref="AC337" si="201">IF(ABS(AB337-F337)&lt;1,"ok","err")</f>
        <v>ok</v>
      </c>
    </row>
    <row r="338" spans="1:29" x14ac:dyDescent="0.25">
      <c r="A338" s="14">
        <v>501</v>
      </c>
      <c r="B338" s="14" t="s">
        <v>791</v>
      </c>
      <c r="C338" s="14" t="s">
        <v>838</v>
      </c>
      <c r="D338" s="14" t="s">
        <v>783</v>
      </c>
      <c r="F338" s="167">
        <v>0</v>
      </c>
      <c r="G338" s="27"/>
      <c r="H338" s="27">
        <f t="shared" si="188"/>
        <v>0</v>
      </c>
      <c r="I338" s="27">
        <f t="shared" si="189"/>
        <v>0</v>
      </c>
      <c r="J338" s="27"/>
      <c r="K338" s="27">
        <f t="shared" si="190"/>
        <v>0</v>
      </c>
      <c r="L338" s="27"/>
      <c r="M338" s="27">
        <f t="shared" si="191"/>
        <v>0</v>
      </c>
      <c r="N338" s="27"/>
      <c r="O338" s="27">
        <f t="shared" si="192"/>
        <v>0</v>
      </c>
      <c r="P338" s="27">
        <f t="shared" si="193"/>
        <v>0</v>
      </c>
      <c r="Q338" s="27"/>
      <c r="R338" s="27">
        <f t="shared" si="194"/>
        <v>0</v>
      </c>
      <c r="S338" s="27">
        <f t="shared" si="195"/>
        <v>0</v>
      </c>
      <c r="T338" s="27"/>
      <c r="U338" s="27">
        <f t="shared" si="196"/>
        <v>0</v>
      </c>
      <c r="V338" s="27"/>
      <c r="W338" s="27">
        <f t="shared" si="197"/>
        <v>0</v>
      </c>
      <c r="X338" s="27"/>
      <c r="Y338" s="27">
        <f t="shared" si="198"/>
        <v>0</v>
      </c>
      <c r="Z338" s="27"/>
      <c r="AA338" s="27">
        <f t="shared" si="199"/>
        <v>0</v>
      </c>
      <c r="AB338" s="27">
        <f t="shared" ref="AB338:AB346" si="202">SUM(H338:AA338)</f>
        <v>0</v>
      </c>
      <c r="AC338" s="21" t="str">
        <f t="shared" ref="AC338:AC346" si="203">IF(ABS(AB338-F338)&lt;1,"ok","err")</f>
        <v>ok</v>
      </c>
    </row>
    <row r="339" spans="1:29" x14ac:dyDescent="0.25">
      <c r="A339" s="14">
        <v>502</v>
      </c>
      <c r="B339" s="14" t="s">
        <v>792</v>
      </c>
      <c r="C339" s="14" t="s">
        <v>839</v>
      </c>
      <c r="D339" s="14" t="s">
        <v>551</v>
      </c>
      <c r="F339" s="167">
        <v>0</v>
      </c>
      <c r="G339" s="27"/>
      <c r="H339" s="27">
        <f t="shared" si="188"/>
        <v>0</v>
      </c>
      <c r="I339" s="27">
        <f t="shared" si="189"/>
        <v>0</v>
      </c>
      <c r="J339" s="27"/>
      <c r="K339" s="27">
        <f t="shared" si="190"/>
        <v>0</v>
      </c>
      <c r="L339" s="27"/>
      <c r="M339" s="27">
        <f t="shared" si="191"/>
        <v>0</v>
      </c>
      <c r="N339" s="27"/>
      <c r="O339" s="27">
        <f t="shared" si="192"/>
        <v>0</v>
      </c>
      <c r="P339" s="27">
        <f t="shared" si="193"/>
        <v>0</v>
      </c>
      <c r="Q339" s="27"/>
      <c r="R339" s="27">
        <f t="shared" si="194"/>
        <v>0</v>
      </c>
      <c r="S339" s="27">
        <f t="shared" si="195"/>
        <v>0</v>
      </c>
      <c r="T339" s="27"/>
      <c r="U339" s="27">
        <f t="shared" si="196"/>
        <v>0</v>
      </c>
      <c r="V339" s="27"/>
      <c r="W339" s="27">
        <f t="shared" si="197"/>
        <v>0</v>
      </c>
      <c r="X339" s="27"/>
      <c r="Y339" s="27">
        <f t="shared" si="198"/>
        <v>0</v>
      </c>
      <c r="Z339" s="27"/>
      <c r="AA339" s="27">
        <f t="shared" si="199"/>
        <v>0</v>
      </c>
      <c r="AB339" s="27">
        <f t="shared" si="202"/>
        <v>0</v>
      </c>
      <c r="AC339" s="21" t="str">
        <f t="shared" si="203"/>
        <v>ok</v>
      </c>
    </row>
    <row r="340" spans="1:29" x14ac:dyDescent="0.25">
      <c r="A340" s="14">
        <v>503</v>
      </c>
      <c r="B340" s="14" t="s">
        <v>793</v>
      </c>
      <c r="C340" s="14" t="s">
        <v>840</v>
      </c>
      <c r="D340" s="14" t="s">
        <v>551</v>
      </c>
      <c r="F340" s="167">
        <v>0</v>
      </c>
      <c r="G340" s="27"/>
      <c r="H340" s="27">
        <f t="shared" si="188"/>
        <v>0</v>
      </c>
      <c r="I340" s="27">
        <f t="shared" si="189"/>
        <v>0</v>
      </c>
      <c r="J340" s="27"/>
      <c r="K340" s="27">
        <f t="shared" si="190"/>
        <v>0</v>
      </c>
      <c r="L340" s="27"/>
      <c r="M340" s="27">
        <f t="shared" si="191"/>
        <v>0</v>
      </c>
      <c r="N340" s="27"/>
      <c r="O340" s="27">
        <f t="shared" si="192"/>
        <v>0</v>
      </c>
      <c r="P340" s="27">
        <f t="shared" si="193"/>
        <v>0</v>
      </c>
      <c r="Q340" s="27"/>
      <c r="R340" s="27">
        <f t="shared" si="194"/>
        <v>0</v>
      </c>
      <c r="S340" s="27">
        <f t="shared" si="195"/>
        <v>0</v>
      </c>
      <c r="T340" s="27"/>
      <c r="U340" s="27">
        <f t="shared" si="196"/>
        <v>0</v>
      </c>
      <c r="V340" s="27"/>
      <c r="W340" s="27">
        <f t="shared" si="197"/>
        <v>0</v>
      </c>
      <c r="X340" s="27"/>
      <c r="Y340" s="27">
        <f t="shared" si="198"/>
        <v>0</v>
      </c>
      <c r="Z340" s="27"/>
      <c r="AA340" s="27">
        <f t="shared" si="199"/>
        <v>0</v>
      </c>
      <c r="AB340" s="27">
        <f t="shared" si="202"/>
        <v>0</v>
      </c>
      <c r="AC340" s="21" t="str">
        <f t="shared" si="203"/>
        <v>ok</v>
      </c>
    </row>
    <row r="341" spans="1:29" x14ac:dyDescent="0.25">
      <c r="A341" s="14">
        <v>504</v>
      </c>
      <c r="B341" s="14" t="s">
        <v>794</v>
      </c>
      <c r="C341" s="14" t="s">
        <v>841</v>
      </c>
      <c r="D341" s="14" t="s">
        <v>551</v>
      </c>
      <c r="F341" s="167">
        <v>0</v>
      </c>
      <c r="G341" s="27"/>
      <c r="H341" s="27">
        <f t="shared" si="188"/>
        <v>0</v>
      </c>
      <c r="I341" s="27">
        <f t="shared" si="189"/>
        <v>0</v>
      </c>
      <c r="J341" s="27"/>
      <c r="K341" s="27">
        <f t="shared" si="190"/>
        <v>0</v>
      </c>
      <c r="L341" s="27"/>
      <c r="M341" s="27">
        <f t="shared" si="191"/>
        <v>0</v>
      </c>
      <c r="N341" s="27"/>
      <c r="O341" s="27">
        <f t="shared" si="192"/>
        <v>0</v>
      </c>
      <c r="P341" s="27">
        <f t="shared" si="193"/>
        <v>0</v>
      </c>
      <c r="Q341" s="27"/>
      <c r="R341" s="27">
        <f t="shared" si="194"/>
        <v>0</v>
      </c>
      <c r="S341" s="27">
        <f t="shared" si="195"/>
        <v>0</v>
      </c>
      <c r="T341" s="27"/>
      <c r="U341" s="27">
        <f t="shared" si="196"/>
        <v>0</v>
      </c>
      <c r="V341" s="27"/>
      <c r="W341" s="27">
        <f t="shared" si="197"/>
        <v>0</v>
      </c>
      <c r="X341" s="27"/>
      <c r="Y341" s="27">
        <f t="shared" si="198"/>
        <v>0</v>
      </c>
      <c r="Z341" s="27"/>
      <c r="AA341" s="27">
        <f t="shared" si="199"/>
        <v>0</v>
      </c>
      <c r="AB341" s="27">
        <f t="shared" si="202"/>
        <v>0</v>
      </c>
      <c r="AC341" s="21" t="str">
        <f t="shared" si="203"/>
        <v>ok</v>
      </c>
    </row>
    <row r="342" spans="1:29" x14ac:dyDescent="0.25">
      <c r="A342" s="14">
        <v>505</v>
      </c>
      <c r="B342" s="14" t="s">
        <v>795</v>
      </c>
      <c r="C342" s="14" t="s">
        <v>842</v>
      </c>
      <c r="D342" s="14" t="s">
        <v>551</v>
      </c>
      <c r="F342" s="167">
        <v>0</v>
      </c>
      <c r="G342" s="27"/>
      <c r="H342" s="27">
        <f t="shared" si="188"/>
        <v>0</v>
      </c>
      <c r="I342" s="27">
        <f t="shared" si="189"/>
        <v>0</v>
      </c>
      <c r="J342" s="27"/>
      <c r="K342" s="27">
        <f t="shared" si="190"/>
        <v>0</v>
      </c>
      <c r="L342" s="27"/>
      <c r="M342" s="27">
        <f t="shared" si="191"/>
        <v>0</v>
      </c>
      <c r="N342" s="27"/>
      <c r="O342" s="27">
        <f t="shared" si="192"/>
        <v>0</v>
      </c>
      <c r="P342" s="27">
        <f t="shared" si="193"/>
        <v>0</v>
      </c>
      <c r="Q342" s="27"/>
      <c r="R342" s="27">
        <f t="shared" si="194"/>
        <v>0</v>
      </c>
      <c r="S342" s="27">
        <f t="shared" si="195"/>
        <v>0</v>
      </c>
      <c r="T342" s="27"/>
      <c r="U342" s="27">
        <f t="shared" si="196"/>
        <v>0</v>
      </c>
      <c r="V342" s="27"/>
      <c r="W342" s="27">
        <f t="shared" si="197"/>
        <v>0</v>
      </c>
      <c r="X342" s="27"/>
      <c r="Y342" s="27">
        <f t="shared" si="198"/>
        <v>0</v>
      </c>
      <c r="Z342" s="27"/>
      <c r="AA342" s="27">
        <f t="shared" si="199"/>
        <v>0</v>
      </c>
      <c r="AB342" s="27">
        <f t="shared" si="202"/>
        <v>0</v>
      </c>
      <c r="AC342" s="21" t="str">
        <f t="shared" si="203"/>
        <v>ok</v>
      </c>
    </row>
    <row r="343" spans="1:29" x14ac:dyDescent="0.25">
      <c r="A343" s="14">
        <v>506</v>
      </c>
      <c r="B343" s="14" t="s">
        <v>796</v>
      </c>
      <c r="C343" s="14" t="s">
        <v>843</v>
      </c>
      <c r="D343" s="14" t="s">
        <v>551</v>
      </c>
      <c r="F343" s="167">
        <v>0</v>
      </c>
      <c r="G343" s="27"/>
      <c r="H343" s="27">
        <f t="shared" si="188"/>
        <v>0</v>
      </c>
      <c r="I343" s="27">
        <f t="shared" si="189"/>
        <v>0</v>
      </c>
      <c r="J343" s="27"/>
      <c r="K343" s="27">
        <f t="shared" si="190"/>
        <v>0</v>
      </c>
      <c r="L343" s="27"/>
      <c r="M343" s="27">
        <f t="shared" si="191"/>
        <v>0</v>
      </c>
      <c r="N343" s="27"/>
      <c r="O343" s="27">
        <f t="shared" si="192"/>
        <v>0</v>
      </c>
      <c r="P343" s="27">
        <f t="shared" si="193"/>
        <v>0</v>
      </c>
      <c r="Q343" s="27"/>
      <c r="R343" s="27">
        <f t="shared" si="194"/>
        <v>0</v>
      </c>
      <c r="S343" s="27">
        <f t="shared" si="195"/>
        <v>0</v>
      </c>
      <c r="T343" s="27"/>
      <c r="U343" s="27">
        <f t="shared" si="196"/>
        <v>0</v>
      </c>
      <c r="V343" s="27"/>
      <c r="W343" s="27">
        <f t="shared" si="197"/>
        <v>0</v>
      </c>
      <c r="X343" s="27"/>
      <c r="Y343" s="27">
        <f t="shared" si="198"/>
        <v>0</v>
      </c>
      <c r="Z343" s="27"/>
      <c r="AA343" s="27">
        <f t="shared" si="199"/>
        <v>0</v>
      </c>
      <c r="AB343" s="27">
        <f t="shared" si="202"/>
        <v>0</v>
      </c>
      <c r="AC343" s="21" t="str">
        <f t="shared" si="203"/>
        <v>ok</v>
      </c>
    </row>
    <row r="344" spans="1:29" x14ac:dyDescent="0.25">
      <c r="A344" s="14">
        <v>507</v>
      </c>
      <c r="B344" s="14" t="s">
        <v>115</v>
      </c>
      <c r="C344" s="14" t="s">
        <v>844</v>
      </c>
      <c r="D344" s="14" t="s">
        <v>551</v>
      </c>
      <c r="E344" s="179"/>
      <c r="F344" s="167">
        <v>0</v>
      </c>
      <c r="G344" s="153">
        <f>552.211760000002*AJ344</f>
        <v>0</v>
      </c>
      <c r="H344" s="27">
        <f t="shared" si="188"/>
        <v>0</v>
      </c>
      <c r="I344" s="27">
        <f t="shared" si="189"/>
        <v>0</v>
      </c>
      <c r="J344" s="153">
        <f>62004.2320799999*AJ344</f>
        <v>0</v>
      </c>
      <c r="K344" s="27">
        <f t="shared" si="190"/>
        <v>0</v>
      </c>
      <c r="L344" s="27"/>
      <c r="M344" s="27">
        <f t="shared" si="191"/>
        <v>0</v>
      </c>
      <c r="N344" s="27"/>
      <c r="O344" s="27">
        <f t="shared" si="192"/>
        <v>0</v>
      </c>
      <c r="P344" s="27">
        <f t="shared" si="193"/>
        <v>0</v>
      </c>
      <c r="Q344" s="27"/>
      <c r="R344" s="27">
        <f t="shared" si="194"/>
        <v>0</v>
      </c>
      <c r="S344" s="27">
        <f t="shared" si="195"/>
        <v>0</v>
      </c>
      <c r="T344" s="27"/>
      <c r="U344" s="27">
        <f t="shared" si="196"/>
        <v>0</v>
      </c>
      <c r="V344" s="27"/>
      <c r="W344" s="27">
        <f t="shared" si="197"/>
        <v>0</v>
      </c>
      <c r="X344" s="27"/>
      <c r="Y344" s="27">
        <f t="shared" si="198"/>
        <v>0</v>
      </c>
      <c r="Z344" s="27"/>
      <c r="AA344" s="27">
        <f t="shared" si="199"/>
        <v>0</v>
      </c>
      <c r="AB344" s="27">
        <f t="shared" si="202"/>
        <v>0</v>
      </c>
      <c r="AC344" s="21" t="str">
        <f t="shared" si="203"/>
        <v>ok</v>
      </c>
    </row>
    <row r="345" spans="1:29" x14ac:dyDescent="0.25">
      <c r="A345" s="14">
        <v>509</v>
      </c>
      <c r="B345" s="14" t="s">
        <v>797</v>
      </c>
      <c r="C345" s="14" t="s">
        <v>845</v>
      </c>
      <c r="D345" s="14" t="s">
        <v>783</v>
      </c>
      <c r="F345" s="167">
        <v>0</v>
      </c>
      <c r="G345" s="27"/>
      <c r="H345" s="27">
        <f t="shared" si="188"/>
        <v>0</v>
      </c>
      <c r="I345" s="27">
        <f t="shared" si="189"/>
        <v>0</v>
      </c>
      <c r="J345" s="27"/>
      <c r="K345" s="27">
        <f t="shared" si="190"/>
        <v>0</v>
      </c>
      <c r="L345" s="27"/>
      <c r="M345" s="27">
        <f t="shared" si="191"/>
        <v>0</v>
      </c>
      <c r="N345" s="27"/>
      <c r="O345" s="27">
        <f t="shared" si="192"/>
        <v>0</v>
      </c>
      <c r="P345" s="27">
        <f t="shared" si="193"/>
        <v>0</v>
      </c>
      <c r="Q345" s="27"/>
      <c r="R345" s="27">
        <f t="shared" si="194"/>
        <v>0</v>
      </c>
      <c r="S345" s="27">
        <f t="shared" si="195"/>
        <v>0</v>
      </c>
      <c r="T345" s="27"/>
      <c r="U345" s="27">
        <f t="shared" si="196"/>
        <v>0</v>
      </c>
      <c r="V345" s="27"/>
      <c r="W345" s="27">
        <f t="shared" si="197"/>
        <v>0</v>
      </c>
      <c r="X345" s="27"/>
      <c r="Y345" s="27">
        <f t="shared" si="198"/>
        <v>0</v>
      </c>
      <c r="Z345" s="27"/>
      <c r="AA345" s="27">
        <f t="shared" si="199"/>
        <v>0</v>
      </c>
      <c r="AB345" s="27">
        <f t="shared" si="202"/>
        <v>0</v>
      </c>
      <c r="AC345" s="21" t="str">
        <f t="shared" si="203"/>
        <v>ok</v>
      </c>
    </row>
    <row r="346" spans="1:29" x14ac:dyDescent="0.25"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>
        <f t="shared" si="202"/>
        <v>0</v>
      </c>
      <c r="AC346" s="21" t="str">
        <f t="shared" si="203"/>
        <v>ok</v>
      </c>
    </row>
    <row r="347" spans="1:29" x14ac:dyDescent="0.25">
      <c r="A347" s="14" t="s">
        <v>789</v>
      </c>
      <c r="C347" s="14" t="s">
        <v>846</v>
      </c>
      <c r="F347" s="174">
        <f>SUM(F337:F346)</f>
        <v>0</v>
      </c>
      <c r="G347" s="40"/>
      <c r="H347" s="40">
        <f>SUM(H337:H346)</f>
        <v>0</v>
      </c>
      <c r="I347" s="40">
        <f>SUM(I337:I346)</f>
        <v>0</v>
      </c>
      <c r="J347" s="40"/>
      <c r="K347" s="40">
        <f>SUM(K337:K346)</f>
        <v>0</v>
      </c>
      <c r="L347" s="40"/>
      <c r="M347" s="40">
        <f>SUM(M337:M346)</f>
        <v>0</v>
      </c>
      <c r="N347" s="40"/>
      <c r="O347" s="40">
        <f>SUM(O337:O346)</f>
        <v>0</v>
      </c>
      <c r="P347" s="40">
        <f>SUM(P337:P346)</f>
        <v>0</v>
      </c>
      <c r="Q347" s="40"/>
      <c r="R347" s="40">
        <f>SUM(R337:R346)</f>
        <v>0</v>
      </c>
      <c r="S347" s="40">
        <f>SUM(S337:S346)</f>
        <v>0</v>
      </c>
      <c r="T347" s="40"/>
      <c r="U347" s="40">
        <f>SUM(U337:U346)</f>
        <v>0</v>
      </c>
      <c r="V347" s="40"/>
      <c r="W347" s="40">
        <f>SUM(W337:W346)</f>
        <v>0</v>
      </c>
      <c r="X347" s="40"/>
      <c r="Y347" s="40">
        <f>SUM(Y337:Y346)</f>
        <v>0</v>
      </c>
      <c r="Z347" s="40"/>
      <c r="AA347" s="40">
        <f>SUM(AA337:AA346)</f>
        <v>0</v>
      </c>
      <c r="AB347" s="27">
        <f>SUM(H347:AA347)</f>
        <v>0</v>
      </c>
      <c r="AC347" s="21" t="str">
        <f>IF(ABS(AB347-F347)&lt;1,"ok","err")</f>
        <v>ok</v>
      </c>
    </row>
    <row r="348" spans="1:29" x14ac:dyDescent="0.25">
      <c r="A348" s="13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C348" s="21"/>
    </row>
    <row r="349" spans="1:29" x14ac:dyDescent="0.25">
      <c r="A349" s="13" t="s">
        <v>786</v>
      </c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C349" s="21"/>
    </row>
    <row r="350" spans="1:29" x14ac:dyDescent="0.25">
      <c r="A350" s="14">
        <v>510</v>
      </c>
      <c r="B350" s="14" t="s">
        <v>798</v>
      </c>
      <c r="C350" s="14" t="s">
        <v>847</v>
      </c>
      <c r="D350" s="14" t="s">
        <v>783</v>
      </c>
      <c r="F350" s="174">
        <v>0</v>
      </c>
      <c r="G350" s="40"/>
      <c r="H350" s="27">
        <f>IF(VLOOKUP($D350,$C$5:$AA$496,6,)=0,0,((VLOOKUP($D350,$C$5:$AA$496,6,)/VLOOKUP($D350,$C$5:$AA$496,4,))*$F350))</f>
        <v>0</v>
      </c>
      <c r="I350" s="27">
        <f>IF(VLOOKUP($D350,$C$5:$AA$496,7,)=0,0,((VLOOKUP($D350,$C$5:$AA$496,7,)/VLOOKUP($D350,$C$5:$AA$496,4,))*$F350))</f>
        <v>0</v>
      </c>
      <c r="J350" s="27"/>
      <c r="K350" s="27">
        <f>IF(VLOOKUP($D350,$C$5:$AA$496,9,)=0,0,((VLOOKUP($D350,$C$5:$AA$496,9,)/VLOOKUP($D350,$C$5:$AA$496,4,))*$F350))</f>
        <v>0</v>
      </c>
      <c r="L350" s="27"/>
      <c r="M350" s="27">
        <f>IF(VLOOKUP($D350,$C$5:$AA$496,11,)=0,0,((VLOOKUP($D350,$C$5:$AA$496,11,)/VLOOKUP($D350,$C$5:$AA$496,4,))*$F350))</f>
        <v>0</v>
      </c>
      <c r="N350" s="27"/>
      <c r="O350" s="27">
        <f>IF(VLOOKUP($D350,$C$5:$AA$496,13,)=0,0,((VLOOKUP($D350,$C$5:$AA$496,13,)/VLOOKUP($D350,$C$5:$AA$496,4,))*$F350))</f>
        <v>0</v>
      </c>
      <c r="P350" s="27">
        <f>IF(VLOOKUP($D350,$C$5:$AA$496,14,)=0,0,((VLOOKUP($D350,$C$5:$AA$496,14,)/VLOOKUP($D350,$C$5:$AA$496,4,))*$F350))</f>
        <v>0</v>
      </c>
      <c r="Q350" s="27"/>
      <c r="R350" s="27">
        <f>IF(VLOOKUP($D350,$C$5:$AA$496,16,)=0,0,((VLOOKUP($D350,$C$5:$AA$496,16,)/VLOOKUP($D350,$C$5:$AA$496,4,))*$F350))</f>
        <v>0</v>
      </c>
      <c r="S350" s="27">
        <f>IF(VLOOKUP($D350,$C$5:$AA$496,17,)=0,0,((VLOOKUP($D350,$C$5:$AA$496,17,)/VLOOKUP($D350,$C$5:$AA$496,4,))*$F350))</f>
        <v>0</v>
      </c>
      <c r="T350" s="27"/>
      <c r="U350" s="27">
        <f>IF(VLOOKUP($D350,$C$5:$AA$496,19,)=0,0,((VLOOKUP($D350,$C$5:$AA$496,19,)/VLOOKUP($D350,$C$5:$AA$496,4,))*$F350))</f>
        <v>0</v>
      </c>
      <c r="V350" s="27"/>
      <c r="W350" s="27">
        <f>IF(VLOOKUP($D350,$C$5:$AA$496,21,)=0,0,((VLOOKUP($D350,$C$5:$AA$496,21,)/VLOOKUP($D350,$C$5:$AA$496,4,))*$F350))</f>
        <v>0</v>
      </c>
      <c r="X350" s="27"/>
      <c r="Y350" s="27">
        <f>IF(VLOOKUP($D350,$C$5:$AA$496,23,)=0,0,((VLOOKUP($D350,$C$5:$AA$496,23,)/VLOOKUP($D350,$C$5:$AA$496,4,))*$F350))</f>
        <v>0</v>
      </c>
      <c r="Z350" s="27"/>
      <c r="AA350" s="27">
        <f>IF(VLOOKUP($D350,$C$5:$AA$496,25,)=0,0,((VLOOKUP($D350,$C$5:$AA$496,25,)/VLOOKUP($D350,$C$5:$AA$496,4,))*$F350))</f>
        <v>0</v>
      </c>
      <c r="AB350" s="27">
        <f>SUM(H350:AA350)</f>
        <v>0</v>
      </c>
      <c r="AC350" s="21" t="str">
        <f>IF(ABS(AB350-F350)&lt;1,"ok","err")</f>
        <v>ok</v>
      </c>
    </row>
    <row r="351" spans="1:29" x14ac:dyDescent="0.25">
      <c r="A351" s="14">
        <v>511</v>
      </c>
      <c r="B351" s="14" t="s">
        <v>799</v>
      </c>
      <c r="C351" s="14" t="s">
        <v>848</v>
      </c>
      <c r="D351" s="14" t="s">
        <v>551</v>
      </c>
      <c r="F351" s="167">
        <v>0</v>
      </c>
      <c r="G351" s="27"/>
      <c r="H351" s="27">
        <f>IF(VLOOKUP($D351,$C$5:$AA$496,6,)=0,0,((VLOOKUP($D351,$C$5:$AA$496,6,)/VLOOKUP($D351,$C$5:$AA$496,4,))*$F351))</f>
        <v>0</v>
      </c>
      <c r="I351" s="27">
        <f>IF(VLOOKUP($D351,$C$5:$AA$496,7,)=0,0,((VLOOKUP($D351,$C$5:$AA$496,7,)/VLOOKUP($D351,$C$5:$AA$496,4,))*$F351))</f>
        <v>0</v>
      </c>
      <c r="J351" s="27"/>
      <c r="K351" s="27">
        <f>IF(VLOOKUP($D351,$C$5:$AA$496,9,)=0,0,((VLOOKUP($D351,$C$5:$AA$496,9,)/VLOOKUP($D351,$C$5:$AA$496,4,))*$F351))</f>
        <v>0</v>
      </c>
      <c r="L351" s="27"/>
      <c r="M351" s="27">
        <f>IF(VLOOKUP($D351,$C$5:$AA$496,11,)=0,0,((VLOOKUP($D351,$C$5:$AA$496,11,)/VLOOKUP($D351,$C$5:$AA$496,4,))*$F351))</f>
        <v>0</v>
      </c>
      <c r="N351" s="27"/>
      <c r="O351" s="27">
        <f>IF(VLOOKUP($D351,$C$5:$AA$496,13,)=0,0,((VLOOKUP($D351,$C$5:$AA$496,13,)/VLOOKUP($D351,$C$5:$AA$496,4,))*$F351))</f>
        <v>0</v>
      </c>
      <c r="P351" s="27">
        <f>IF(VLOOKUP($D351,$C$5:$AA$496,14,)=0,0,((VLOOKUP($D351,$C$5:$AA$496,14,)/VLOOKUP($D351,$C$5:$AA$496,4,))*$F351))</f>
        <v>0</v>
      </c>
      <c r="Q351" s="27"/>
      <c r="R351" s="27">
        <f>IF(VLOOKUP($D351,$C$5:$AA$496,16,)=0,0,((VLOOKUP($D351,$C$5:$AA$496,16,)/VLOOKUP($D351,$C$5:$AA$496,4,))*$F351))</f>
        <v>0</v>
      </c>
      <c r="S351" s="27">
        <f>IF(VLOOKUP($D351,$C$5:$AA$496,17,)=0,0,((VLOOKUP($D351,$C$5:$AA$496,17,)/VLOOKUP($D351,$C$5:$AA$496,4,))*$F351))</f>
        <v>0</v>
      </c>
      <c r="T351" s="27"/>
      <c r="U351" s="27">
        <f>IF(VLOOKUP($D351,$C$5:$AA$496,19,)=0,0,((VLOOKUP($D351,$C$5:$AA$496,19,)/VLOOKUP($D351,$C$5:$AA$496,4,))*$F351))</f>
        <v>0</v>
      </c>
      <c r="V351" s="27"/>
      <c r="W351" s="27">
        <f>IF(VLOOKUP($D351,$C$5:$AA$496,21,)=0,0,((VLOOKUP($D351,$C$5:$AA$496,21,)/VLOOKUP($D351,$C$5:$AA$496,4,))*$F351))</f>
        <v>0</v>
      </c>
      <c r="X351" s="27"/>
      <c r="Y351" s="27">
        <f>IF(VLOOKUP($D351,$C$5:$AA$496,23,)=0,0,((VLOOKUP($D351,$C$5:$AA$496,23,)/VLOOKUP($D351,$C$5:$AA$496,4,))*$F351))</f>
        <v>0</v>
      </c>
      <c r="Z351" s="27"/>
      <c r="AA351" s="27">
        <f>IF(VLOOKUP($D351,$C$5:$AA$496,25,)=0,0,((VLOOKUP($D351,$C$5:$AA$496,25,)/VLOOKUP($D351,$C$5:$AA$496,4,))*$F351))</f>
        <v>0</v>
      </c>
      <c r="AB351" s="27">
        <f>SUM(H351:AA351)</f>
        <v>0</v>
      </c>
      <c r="AC351" s="21" t="str">
        <f>IF(ABS(AB351-F351)&lt;1,"ok","err")</f>
        <v>ok</v>
      </c>
    </row>
    <row r="352" spans="1:29" x14ac:dyDescent="0.25">
      <c r="A352" s="14">
        <v>512</v>
      </c>
      <c r="B352" s="14" t="s">
        <v>800</v>
      </c>
      <c r="C352" s="14" t="s">
        <v>849</v>
      </c>
      <c r="D352" s="14" t="s">
        <v>783</v>
      </c>
      <c r="F352" s="167">
        <v>0</v>
      </c>
      <c r="G352" s="27"/>
      <c r="H352" s="27">
        <f>IF(VLOOKUP($D352,$C$5:$AA$496,6,)=0,0,((VLOOKUP($D352,$C$5:$AA$496,6,)/VLOOKUP($D352,$C$5:$AA$496,4,))*$F352))</f>
        <v>0</v>
      </c>
      <c r="I352" s="27">
        <f>IF(VLOOKUP($D352,$C$5:$AA$496,7,)=0,0,((VLOOKUP($D352,$C$5:$AA$496,7,)/VLOOKUP($D352,$C$5:$AA$496,4,))*$F352))</f>
        <v>0</v>
      </c>
      <c r="J352" s="27"/>
      <c r="K352" s="27">
        <f>IF(VLOOKUP($D352,$C$5:$AA$496,9,)=0,0,((VLOOKUP($D352,$C$5:$AA$496,9,)/VLOOKUP($D352,$C$5:$AA$496,4,))*$F352))</f>
        <v>0</v>
      </c>
      <c r="L352" s="27"/>
      <c r="M352" s="27">
        <f>IF(VLOOKUP($D352,$C$5:$AA$496,11,)=0,0,((VLOOKUP($D352,$C$5:$AA$496,11,)/VLOOKUP($D352,$C$5:$AA$496,4,))*$F352))</f>
        <v>0</v>
      </c>
      <c r="N352" s="27"/>
      <c r="O352" s="27">
        <f>IF(VLOOKUP($D352,$C$5:$AA$496,13,)=0,0,((VLOOKUP($D352,$C$5:$AA$496,13,)/VLOOKUP($D352,$C$5:$AA$496,4,))*$F352))</f>
        <v>0</v>
      </c>
      <c r="P352" s="27">
        <f>IF(VLOOKUP($D352,$C$5:$AA$496,14,)=0,0,((VLOOKUP($D352,$C$5:$AA$496,14,)/VLOOKUP($D352,$C$5:$AA$496,4,))*$F352))</f>
        <v>0</v>
      </c>
      <c r="Q352" s="27"/>
      <c r="R352" s="27">
        <f>IF(VLOOKUP($D352,$C$5:$AA$496,16,)=0,0,((VLOOKUP($D352,$C$5:$AA$496,16,)/VLOOKUP($D352,$C$5:$AA$496,4,))*$F352))</f>
        <v>0</v>
      </c>
      <c r="S352" s="27">
        <f>IF(VLOOKUP($D352,$C$5:$AA$496,17,)=0,0,((VLOOKUP($D352,$C$5:$AA$496,17,)/VLOOKUP($D352,$C$5:$AA$496,4,))*$F352))</f>
        <v>0</v>
      </c>
      <c r="T352" s="27"/>
      <c r="U352" s="27">
        <f>IF(VLOOKUP($D352,$C$5:$AA$496,19,)=0,0,((VLOOKUP($D352,$C$5:$AA$496,19,)/VLOOKUP($D352,$C$5:$AA$496,4,))*$F352))</f>
        <v>0</v>
      </c>
      <c r="V352" s="27"/>
      <c r="W352" s="27">
        <f>IF(VLOOKUP($D352,$C$5:$AA$496,21,)=0,0,((VLOOKUP($D352,$C$5:$AA$496,21,)/VLOOKUP($D352,$C$5:$AA$496,4,))*$F352))</f>
        <v>0</v>
      </c>
      <c r="X352" s="27"/>
      <c r="Y352" s="27">
        <f>IF(VLOOKUP($D352,$C$5:$AA$496,23,)=0,0,((VLOOKUP($D352,$C$5:$AA$496,23,)/VLOOKUP($D352,$C$5:$AA$496,4,))*$F352))</f>
        <v>0</v>
      </c>
      <c r="Z352" s="27"/>
      <c r="AA352" s="27">
        <f>IF(VLOOKUP($D352,$C$5:$AA$496,25,)=0,0,((VLOOKUP($D352,$C$5:$AA$496,25,)/VLOOKUP($D352,$C$5:$AA$496,4,))*$F352))</f>
        <v>0</v>
      </c>
      <c r="AB352" s="27">
        <f>SUM(H352:AA352)</f>
        <v>0</v>
      </c>
      <c r="AC352" s="21" t="str">
        <f>IF(ABS(AB352-F352)&lt;1,"ok","err")</f>
        <v>ok</v>
      </c>
    </row>
    <row r="353" spans="1:29" x14ac:dyDescent="0.25">
      <c r="A353" s="14">
        <v>513</v>
      </c>
      <c r="B353" s="14" t="s">
        <v>801</v>
      </c>
      <c r="C353" s="14" t="s">
        <v>850</v>
      </c>
      <c r="D353" s="14" t="s">
        <v>783</v>
      </c>
      <c r="F353" s="167">
        <v>0</v>
      </c>
      <c r="G353" s="27"/>
      <c r="H353" s="27">
        <f>IF(VLOOKUP($D353,$C$5:$AA$496,6,)=0,0,((VLOOKUP($D353,$C$5:$AA$496,6,)/VLOOKUP($D353,$C$5:$AA$496,4,))*$F353))</f>
        <v>0</v>
      </c>
      <c r="I353" s="27">
        <f>IF(VLOOKUP($D353,$C$5:$AA$496,7,)=0,0,((VLOOKUP($D353,$C$5:$AA$496,7,)/VLOOKUP($D353,$C$5:$AA$496,4,))*$F353))</f>
        <v>0</v>
      </c>
      <c r="J353" s="27"/>
      <c r="K353" s="27">
        <f>IF(VLOOKUP($D353,$C$5:$AA$496,9,)=0,0,((VLOOKUP($D353,$C$5:$AA$496,9,)/VLOOKUP($D353,$C$5:$AA$496,4,))*$F353))</f>
        <v>0</v>
      </c>
      <c r="L353" s="27"/>
      <c r="M353" s="27">
        <f>IF(VLOOKUP($D353,$C$5:$AA$496,11,)=0,0,((VLOOKUP($D353,$C$5:$AA$496,11,)/VLOOKUP($D353,$C$5:$AA$496,4,))*$F353))</f>
        <v>0</v>
      </c>
      <c r="N353" s="27"/>
      <c r="O353" s="27">
        <f>IF(VLOOKUP($D353,$C$5:$AA$496,13,)=0,0,((VLOOKUP($D353,$C$5:$AA$496,13,)/VLOOKUP($D353,$C$5:$AA$496,4,))*$F353))</f>
        <v>0</v>
      </c>
      <c r="P353" s="27">
        <f>IF(VLOOKUP($D353,$C$5:$AA$496,14,)=0,0,((VLOOKUP($D353,$C$5:$AA$496,14,)/VLOOKUP($D353,$C$5:$AA$496,4,))*$F353))</f>
        <v>0</v>
      </c>
      <c r="Q353" s="27"/>
      <c r="R353" s="27">
        <f>IF(VLOOKUP($D353,$C$5:$AA$496,16,)=0,0,((VLOOKUP($D353,$C$5:$AA$496,16,)/VLOOKUP($D353,$C$5:$AA$496,4,))*$F353))</f>
        <v>0</v>
      </c>
      <c r="S353" s="27">
        <f>IF(VLOOKUP($D353,$C$5:$AA$496,17,)=0,0,((VLOOKUP($D353,$C$5:$AA$496,17,)/VLOOKUP($D353,$C$5:$AA$496,4,))*$F353))</f>
        <v>0</v>
      </c>
      <c r="T353" s="27"/>
      <c r="U353" s="27">
        <f>IF(VLOOKUP($D353,$C$5:$AA$496,19,)=0,0,((VLOOKUP($D353,$C$5:$AA$496,19,)/VLOOKUP($D353,$C$5:$AA$496,4,))*$F353))</f>
        <v>0</v>
      </c>
      <c r="V353" s="27"/>
      <c r="W353" s="27">
        <f>IF(VLOOKUP($D353,$C$5:$AA$496,21,)=0,0,((VLOOKUP($D353,$C$5:$AA$496,21,)/VLOOKUP($D353,$C$5:$AA$496,4,))*$F353))</f>
        <v>0</v>
      </c>
      <c r="X353" s="27"/>
      <c r="Y353" s="27">
        <f>IF(VLOOKUP($D353,$C$5:$AA$496,23,)=0,0,((VLOOKUP($D353,$C$5:$AA$496,23,)/VLOOKUP($D353,$C$5:$AA$496,4,))*$F353))</f>
        <v>0</v>
      </c>
      <c r="Z353" s="27"/>
      <c r="AA353" s="27">
        <f>IF(VLOOKUP($D353,$C$5:$AA$496,25,)=0,0,((VLOOKUP($D353,$C$5:$AA$496,25,)/VLOOKUP($D353,$C$5:$AA$496,4,))*$F353))</f>
        <v>0</v>
      </c>
      <c r="AB353" s="27">
        <f>SUM(H353:AA353)</f>
        <v>0</v>
      </c>
      <c r="AC353" s="21" t="str">
        <f>IF(ABS(AB353-F353)&lt;1,"ok","err")</f>
        <v>ok</v>
      </c>
    </row>
    <row r="354" spans="1:29" x14ac:dyDescent="0.25">
      <c r="A354" s="14">
        <v>514</v>
      </c>
      <c r="B354" s="14" t="s">
        <v>802</v>
      </c>
      <c r="C354" s="14" t="s">
        <v>851</v>
      </c>
      <c r="D354" s="14" t="s">
        <v>551</v>
      </c>
      <c r="F354" s="167">
        <v>0</v>
      </c>
      <c r="G354" s="27"/>
      <c r="H354" s="27">
        <f>IF(VLOOKUP($D354,$C$5:$AA$496,6,)=0,0,((VLOOKUP($D354,$C$5:$AA$496,6,)/VLOOKUP($D354,$C$5:$AA$496,4,))*$F354))</f>
        <v>0</v>
      </c>
      <c r="I354" s="27">
        <f>IF(VLOOKUP($D354,$C$5:$AA$496,7,)=0,0,((VLOOKUP($D354,$C$5:$AA$496,7,)/VLOOKUP($D354,$C$5:$AA$496,4,))*$F354))</f>
        <v>0</v>
      </c>
      <c r="J354" s="27"/>
      <c r="K354" s="27">
        <f>IF(VLOOKUP($D354,$C$5:$AA$496,9,)=0,0,((VLOOKUP($D354,$C$5:$AA$496,9,)/VLOOKUP($D354,$C$5:$AA$496,4,))*$F354))</f>
        <v>0</v>
      </c>
      <c r="L354" s="27"/>
      <c r="M354" s="27">
        <f>IF(VLOOKUP($D354,$C$5:$AA$496,11,)=0,0,((VLOOKUP($D354,$C$5:$AA$496,11,)/VLOOKUP($D354,$C$5:$AA$496,4,))*$F354))</f>
        <v>0</v>
      </c>
      <c r="N354" s="27"/>
      <c r="O354" s="27">
        <f>IF(VLOOKUP($D354,$C$5:$AA$496,13,)=0,0,((VLOOKUP($D354,$C$5:$AA$496,13,)/VLOOKUP($D354,$C$5:$AA$496,4,))*$F354))</f>
        <v>0</v>
      </c>
      <c r="P354" s="27">
        <f>IF(VLOOKUP($D354,$C$5:$AA$496,14,)=0,0,((VLOOKUP($D354,$C$5:$AA$496,14,)/VLOOKUP($D354,$C$5:$AA$496,4,))*$F354))</f>
        <v>0</v>
      </c>
      <c r="Q354" s="27"/>
      <c r="R354" s="27">
        <f>IF(VLOOKUP($D354,$C$5:$AA$496,16,)=0,0,((VLOOKUP($D354,$C$5:$AA$496,16,)/VLOOKUP($D354,$C$5:$AA$496,4,))*$F354))</f>
        <v>0</v>
      </c>
      <c r="S354" s="27">
        <f>IF(VLOOKUP($D354,$C$5:$AA$496,17,)=0,0,((VLOOKUP($D354,$C$5:$AA$496,17,)/VLOOKUP($D354,$C$5:$AA$496,4,))*$F354))</f>
        <v>0</v>
      </c>
      <c r="T354" s="27"/>
      <c r="U354" s="27">
        <f>IF(VLOOKUP($D354,$C$5:$AA$496,19,)=0,0,((VLOOKUP($D354,$C$5:$AA$496,19,)/VLOOKUP($D354,$C$5:$AA$496,4,))*$F354))</f>
        <v>0</v>
      </c>
      <c r="V354" s="27"/>
      <c r="W354" s="27">
        <f>IF(VLOOKUP($D354,$C$5:$AA$496,21,)=0,0,((VLOOKUP($D354,$C$5:$AA$496,21,)/VLOOKUP($D354,$C$5:$AA$496,4,))*$F354))</f>
        <v>0</v>
      </c>
      <c r="X354" s="27"/>
      <c r="Y354" s="27">
        <f>IF(VLOOKUP($D354,$C$5:$AA$496,23,)=0,0,((VLOOKUP($D354,$C$5:$AA$496,23,)/VLOOKUP($D354,$C$5:$AA$496,4,))*$F354))</f>
        <v>0</v>
      </c>
      <c r="Z354" s="27"/>
      <c r="AA354" s="27">
        <f>IF(VLOOKUP($D354,$C$5:$AA$496,25,)=0,0,((VLOOKUP($D354,$C$5:$AA$496,25,)/VLOOKUP($D354,$C$5:$AA$496,4,))*$F354))</f>
        <v>0</v>
      </c>
      <c r="AB354" s="27">
        <f>SUM(H354:AA354)</f>
        <v>0</v>
      </c>
      <c r="AC354" s="21" t="str">
        <f>IF(ABS(AB354-F354)&lt;1,"ok","err")</f>
        <v>ok</v>
      </c>
    </row>
    <row r="355" spans="1:29" x14ac:dyDescent="0.25"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1"/>
    </row>
    <row r="356" spans="1:29" x14ac:dyDescent="0.25">
      <c r="A356" s="14" t="s">
        <v>787</v>
      </c>
      <c r="C356" s="14" t="s">
        <v>852</v>
      </c>
      <c r="F356" s="174">
        <f>SUM(F350:F355)</f>
        <v>0</v>
      </c>
      <c r="G356" s="40"/>
      <c r="H356" s="40">
        <f>SUM(H350:H355)</f>
        <v>0</v>
      </c>
      <c r="I356" s="40">
        <f>SUM(I350:I355)</f>
        <v>0</v>
      </c>
      <c r="J356" s="40"/>
      <c r="K356" s="40">
        <f>SUM(K350:K355)</f>
        <v>0</v>
      </c>
      <c r="L356" s="40"/>
      <c r="M356" s="40">
        <f>SUM(M350:M355)</f>
        <v>0</v>
      </c>
      <c r="N356" s="40"/>
      <c r="O356" s="40">
        <f>SUM(O350:O355)</f>
        <v>0</v>
      </c>
      <c r="P356" s="40">
        <f>SUM(P350:P355)</f>
        <v>0</v>
      </c>
      <c r="Q356" s="40"/>
      <c r="R356" s="40">
        <f>SUM(R350:R355)</f>
        <v>0</v>
      </c>
      <c r="S356" s="40">
        <f>SUM(S350:S355)</f>
        <v>0</v>
      </c>
      <c r="T356" s="40"/>
      <c r="U356" s="40">
        <f>SUM(U350:U355)</f>
        <v>0</v>
      </c>
      <c r="V356" s="40"/>
      <c r="W356" s="40">
        <f>SUM(W350:W355)</f>
        <v>0</v>
      </c>
      <c r="X356" s="40"/>
      <c r="Y356" s="40">
        <f>SUM(Y350:Y355)</f>
        <v>0</v>
      </c>
      <c r="Z356" s="40"/>
      <c r="AA356" s="40">
        <f>SUM(AA350:AA355)</f>
        <v>0</v>
      </c>
      <c r="AB356" s="27">
        <f>SUM(H356:AA356)</f>
        <v>0</v>
      </c>
      <c r="AC356" s="21" t="str">
        <f>IF(ABS(AB356-F356)&lt;1,"ok","err")</f>
        <v>ok</v>
      </c>
    </row>
    <row r="357" spans="1:29" x14ac:dyDescent="0.25">
      <c r="F357" s="16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C357" s="21"/>
    </row>
    <row r="358" spans="1:29" x14ac:dyDescent="0.25">
      <c r="A358" s="14" t="s">
        <v>788</v>
      </c>
      <c r="C358" s="14" t="s">
        <v>853</v>
      </c>
      <c r="F358" s="167">
        <f>F347+F356</f>
        <v>0</v>
      </c>
      <c r="G358" s="27"/>
      <c r="H358" s="27">
        <f>H347+H356</f>
        <v>0</v>
      </c>
      <c r="I358" s="27">
        <f>I347+I356</f>
        <v>0</v>
      </c>
      <c r="J358" s="27"/>
      <c r="K358" s="27">
        <f>K347+K356</f>
        <v>0</v>
      </c>
      <c r="L358" s="27"/>
      <c r="M358" s="27">
        <f>M347+M356</f>
        <v>0</v>
      </c>
      <c r="N358" s="27"/>
      <c r="O358" s="27">
        <f>O347+O356</f>
        <v>0</v>
      </c>
      <c r="P358" s="27">
        <f>P347+P356</f>
        <v>0</v>
      </c>
      <c r="Q358" s="27"/>
      <c r="R358" s="27">
        <f>R347+R356</f>
        <v>0</v>
      </c>
      <c r="S358" s="27">
        <f>S347+S356</f>
        <v>0</v>
      </c>
      <c r="T358" s="27"/>
      <c r="U358" s="27">
        <f>U347+U356</f>
        <v>0</v>
      </c>
      <c r="V358" s="27"/>
      <c r="W358" s="27">
        <f>W347+W356</f>
        <v>0</v>
      </c>
      <c r="X358" s="27"/>
      <c r="Y358" s="27">
        <f>Y347+Y356</f>
        <v>0</v>
      </c>
      <c r="Z358" s="27"/>
      <c r="AA358" s="27">
        <f>AA347+AA356</f>
        <v>0</v>
      </c>
      <c r="AB358" s="27">
        <f>SUM(H358:AA358)</f>
        <v>0</v>
      </c>
      <c r="AC358" s="21" t="str">
        <f>IF(ABS(AB358-F358)&lt;1,"ok","err")</f>
        <v>ok</v>
      </c>
    </row>
    <row r="359" spans="1:29" x14ac:dyDescent="0.25">
      <c r="A359" s="19"/>
      <c r="Q359" s="14"/>
      <c r="AC359" s="21"/>
    </row>
    <row r="360" spans="1:29" x14ac:dyDescent="0.25">
      <c r="A360" s="19"/>
      <c r="Q360" s="14"/>
      <c r="AC360" s="21"/>
    </row>
    <row r="361" spans="1:29" x14ac:dyDescent="0.25">
      <c r="A361" s="19" t="s">
        <v>472</v>
      </c>
      <c r="Q361" s="14"/>
      <c r="AC361" s="21"/>
    </row>
    <row r="362" spans="1:29" x14ac:dyDescent="0.25">
      <c r="A362" s="19"/>
      <c r="Q362" s="14"/>
      <c r="AC362" s="21"/>
    </row>
    <row r="363" spans="1:29" x14ac:dyDescent="0.25">
      <c r="A363" s="13" t="s">
        <v>96</v>
      </c>
      <c r="Q363" s="14"/>
      <c r="AC363" s="21"/>
    </row>
    <row r="364" spans="1:29" x14ac:dyDescent="0.25">
      <c r="A364" s="14">
        <v>555</v>
      </c>
      <c r="B364" s="14" t="s">
        <v>378</v>
      </c>
      <c r="C364" s="14" t="s">
        <v>529</v>
      </c>
      <c r="D364" s="14" t="s">
        <v>97</v>
      </c>
      <c r="F364" s="174">
        <v>0</v>
      </c>
      <c r="G364" s="40"/>
      <c r="H364" s="27">
        <f>IF(VLOOKUP($D364,$C$5:$AA$496,6,)=0,0,((VLOOKUP($D364,$C$5:$AA$496,6,)/VLOOKUP($D364,$C$5:$AA$496,4,))*$F364))</f>
        <v>0</v>
      </c>
      <c r="I364" s="27">
        <f>IF(VLOOKUP($D364,$C$5:$AA$496,7,)=0,0,((VLOOKUP($D364,$C$5:$AA$496,7,)/VLOOKUP($D364,$C$5:$AA$496,4,))*$F364))</f>
        <v>0</v>
      </c>
      <c r="J364" s="27"/>
      <c r="K364" s="27">
        <f>IF(VLOOKUP($D364,$C$5:$AA$496,9,)=0,0,((VLOOKUP($D364,$C$5:$AA$496,9,)/VLOOKUP($D364,$C$5:$AA$496,4,))*$F364))</f>
        <v>0</v>
      </c>
      <c r="L364" s="27"/>
      <c r="M364" s="27">
        <f>IF(VLOOKUP($D364,$C$5:$AA$496,11,)=0,0,((VLOOKUP($D364,$C$5:$AA$496,11,)/VLOOKUP($D364,$C$5:$AA$496,4,))*$F364))</f>
        <v>0</v>
      </c>
      <c r="N364" s="27"/>
      <c r="O364" s="27">
        <f>IF(VLOOKUP($D364,$C$5:$AA$496,13,)=0,0,((VLOOKUP($D364,$C$5:$AA$496,13,)/VLOOKUP($D364,$C$5:$AA$496,4,))*$F364))</f>
        <v>0</v>
      </c>
      <c r="P364" s="27">
        <f>IF(VLOOKUP($D364,$C$5:$AA$496,14,)=0,0,((VLOOKUP($D364,$C$5:$AA$496,14,)/VLOOKUP($D364,$C$5:$AA$496,4,))*$F364))</f>
        <v>0</v>
      </c>
      <c r="Q364" s="27"/>
      <c r="R364" s="27">
        <f>IF(VLOOKUP($D364,$C$5:$AA$496,16,)=0,0,((VLOOKUP($D364,$C$5:$AA$496,16,)/VLOOKUP($D364,$C$5:$AA$496,4,))*$F364))</f>
        <v>0</v>
      </c>
      <c r="S364" s="27">
        <f>IF(VLOOKUP($D364,$C$5:$AA$496,17,)=0,0,((VLOOKUP($D364,$C$5:$AA$496,17,)/VLOOKUP($D364,$C$5:$AA$496,4,))*$F364))</f>
        <v>0</v>
      </c>
      <c r="T364" s="27"/>
      <c r="U364" s="27">
        <f>IF(VLOOKUP($D364,$C$5:$AA$496,19,)=0,0,((VLOOKUP($D364,$C$5:$AA$496,19,)/VLOOKUP($D364,$C$5:$AA$496,4,))*$F364))</f>
        <v>0</v>
      </c>
      <c r="V364" s="27"/>
      <c r="W364" s="27">
        <f>IF(VLOOKUP($D364,$C$5:$AA$496,21,)=0,0,((VLOOKUP($D364,$C$5:$AA$496,21,)/VLOOKUP($D364,$C$5:$AA$496,4,))*$F364))</f>
        <v>0</v>
      </c>
      <c r="X364" s="27"/>
      <c r="Y364" s="27">
        <f>IF(VLOOKUP($D364,$C$5:$AA$496,23,)=0,0,((VLOOKUP($D364,$C$5:$AA$496,23,)/VLOOKUP($D364,$C$5:$AA$496,4,))*$F364))</f>
        <v>0</v>
      </c>
      <c r="Z364" s="27"/>
      <c r="AA364" s="27">
        <f>IF(VLOOKUP($D364,$C$5:$AA$496,25,)=0,0,((VLOOKUP($D364,$C$5:$AA$496,25,)/VLOOKUP($D364,$C$5:$AA$496,4,))*$F364))</f>
        <v>0</v>
      </c>
      <c r="AB364" s="27">
        <f>SUM(H364:AA364)</f>
        <v>0</v>
      </c>
      <c r="AC364" s="21" t="str">
        <f>IF(ABS(AB364-F364)&lt;1,"ok","err")</f>
        <v>ok</v>
      </c>
    </row>
    <row r="365" spans="1:29" x14ac:dyDescent="0.25">
      <c r="A365" s="14">
        <v>557</v>
      </c>
      <c r="B365" s="14" t="s">
        <v>397</v>
      </c>
      <c r="C365" s="14" t="s">
        <v>474</v>
      </c>
      <c r="D365" s="14" t="s">
        <v>97</v>
      </c>
      <c r="F365" s="167"/>
      <c r="G365" s="27"/>
      <c r="H365" s="27">
        <f>IF(VLOOKUP($D365,$C$5:$AA$496,6,)=0,0,((VLOOKUP($D365,$C$5:$AA$496,6,)/VLOOKUP($D365,$C$5:$AA$496,4,))*$F365))</f>
        <v>0</v>
      </c>
      <c r="I365" s="27">
        <f>IF(VLOOKUP($D365,$C$5:$AA$496,7,)=0,0,((VLOOKUP($D365,$C$5:$AA$496,7,)/VLOOKUP($D365,$C$5:$AA$496,4,))*$F365))</f>
        <v>0</v>
      </c>
      <c r="J365" s="27"/>
      <c r="K365" s="27">
        <f>IF(VLOOKUP($D365,$C$5:$AA$496,9,)=0,0,((VLOOKUP($D365,$C$5:$AA$496,9,)/VLOOKUP($D365,$C$5:$AA$496,4,))*$F365))</f>
        <v>0</v>
      </c>
      <c r="L365" s="27"/>
      <c r="M365" s="27">
        <f>IF(VLOOKUP($D365,$C$5:$AA$496,11,)=0,0,((VLOOKUP($D365,$C$5:$AA$496,11,)/VLOOKUP($D365,$C$5:$AA$496,4,))*$F365))</f>
        <v>0</v>
      </c>
      <c r="N365" s="27"/>
      <c r="O365" s="27">
        <f>IF(VLOOKUP($D365,$C$5:$AA$496,13,)=0,0,((VLOOKUP($D365,$C$5:$AA$496,13,)/VLOOKUP($D365,$C$5:$AA$496,4,))*$F365))</f>
        <v>0</v>
      </c>
      <c r="P365" s="27">
        <f>IF(VLOOKUP($D365,$C$5:$AA$496,14,)=0,0,((VLOOKUP($D365,$C$5:$AA$496,14,)/VLOOKUP($D365,$C$5:$AA$496,4,))*$F365))</f>
        <v>0</v>
      </c>
      <c r="Q365" s="27"/>
      <c r="R365" s="27">
        <f>IF(VLOOKUP($D365,$C$5:$AA$496,16,)=0,0,((VLOOKUP($D365,$C$5:$AA$496,16,)/VLOOKUP($D365,$C$5:$AA$496,4,))*$F365))</f>
        <v>0</v>
      </c>
      <c r="S365" s="27">
        <f>IF(VLOOKUP($D365,$C$5:$AA$496,17,)=0,0,((VLOOKUP($D365,$C$5:$AA$496,17,)/VLOOKUP($D365,$C$5:$AA$496,4,))*$F365))</f>
        <v>0</v>
      </c>
      <c r="T365" s="27"/>
      <c r="U365" s="27">
        <f>IF(VLOOKUP($D365,$C$5:$AA$496,19,)=0,0,((VLOOKUP($D365,$C$5:$AA$496,19,)/VLOOKUP($D365,$C$5:$AA$496,4,))*$F365))</f>
        <v>0</v>
      </c>
      <c r="V365" s="27"/>
      <c r="W365" s="27">
        <f>IF(VLOOKUP($D365,$C$5:$AA$496,21,)=0,0,((VLOOKUP($D365,$C$5:$AA$496,21,)/VLOOKUP($D365,$C$5:$AA$496,4,))*$F365))</f>
        <v>0</v>
      </c>
      <c r="X365" s="27"/>
      <c r="Y365" s="27">
        <f>IF(VLOOKUP($D365,$C$5:$AA$496,23,)=0,0,((VLOOKUP($D365,$C$5:$AA$496,23,)/VLOOKUP($D365,$C$5:$AA$496,4,))*$F365))</f>
        <v>0</v>
      </c>
      <c r="Z365" s="27"/>
      <c r="AA365" s="27">
        <f>IF(VLOOKUP($D365,$C$5:$AA$496,25,)=0,0,((VLOOKUP($D365,$C$5:$AA$496,25,)/VLOOKUP($D365,$C$5:$AA$496,4,))*$F365))</f>
        <v>0</v>
      </c>
      <c r="AB365" s="27">
        <f>SUM(H365:AA365)</f>
        <v>0</v>
      </c>
      <c r="AC365" s="21" t="str">
        <f>IF(ABS(AB365-F365)&lt;1,"ok","err")</f>
        <v>ok</v>
      </c>
    </row>
    <row r="366" spans="1:29" x14ac:dyDescent="0.25">
      <c r="F366" s="167"/>
      <c r="G366" s="27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27"/>
      <c r="AC366" s="21"/>
    </row>
    <row r="367" spans="1:29" x14ac:dyDescent="0.25">
      <c r="B367" s="14" t="s">
        <v>531</v>
      </c>
      <c r="C367" s="14" t="s">
        <v>473</v>
      </c>
      <c r="F367" s="174">
        <f>SUM(F364:F366)</f>
        <v>0</v>
      </c>
      <c r="G367" s="40"/>
      <c r="H367" s="40">
        <f>SUM(H364:H366)</f>
        <v>0</v>
      </c>
      <c r="I367" s="40">
        <f>SUM(I364:I366)</f>
        <v>0</v>
      </c>
      <c r="J367" s="40"/>
      <c r="K367" s="40">
        <f>SUM(K364:K366)</f>
        <v>0</v>
      </c>
      <c r="L367" s="40"/>
      <c r="M367" s="40">
        <f>SUM(M364:M366)</f>
        <v>0</v>
      </c>
      <c r="N367" s="40"/>
      <c r="O367" s="40">
        <f>SUM(O364:O366)</f>
        <v>0</v>
      </c>
      <c r="P367" s="40">
        <f>SUM(P364:P366)</f>
        <v>0</v>
      </c>
      <c r="Q367" s="40"/>
      <c r="R367" s="40">
        <f>SUM(R364:R366)</f>
        <v>0</v>
      </c>
      <c r="S367" s="40">
        <f>SUM(S364:S366)</f>
        <v>0</v>
      </c>
      <c r="T367" s="40"/>
      <c r="U367" s="40">
        <f>SUM(U364:U366)</f>
        <v>0</v>
      </c>
      <c r="V367" s="40"/>
      <c r="W367" s="40">
        <f>SUM(W364:W366)</f>
        <v>0</v>
      </c>
      <c r="X367" s="40"/>
      <c r="Y367" s="40">
        <f>SUM(Y364:Y366)</f>
        <v>0</v>
      </c>
      <c r="Z367" s="40"/>
      <c r="AA367" s="40">
        <f>SUM(AA364:AA366)</f>
        <v>0</v>
      </c>
      <c r="AB367" s="27">
        <f>SUM(H367:AA367)</f>
        <v>0</v>
      </c>
      <c r="AC367" s="21" t="str">
        <f>IF(ABS(AB367-F367)&lt;1,"ok","err")</f>
        <v>ok</v>
      </c>
    </row>
    <row r="368" spans="1:29" x14ac:dyDescent="0.25">
      <c r="D368" s="14" t="s">
        <v>296</v>
      </c>
      <c r="F368" s="174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27"/>
      <c r="AC368" s="21"/>
    </row>
    <row r="369" spans="1:29" x14ac:dyDescent="0.25">
      <c r="A369" s="13" t="s">
        <v>533</v>
      </c>
      <c r="D369" s="14" t="s">
        <v>604</v>
      </c>
      <c r="F369" s="174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27"/>
      <c r="AC369" s="21"/>
    </row>
    <row r="370" spans="1:29" x14ac:dyDescent="0.25">
      <c r="A370" s="14">
        <v>560</v>
      </c>
      <c r="B370" s="14" t="s">
        <v>373</v>
      </c>
      <c r="C370" s="14" t="s">
        <v>530</v>
      </c>
      <c r="D370" s="14" t="s">
        <v>389</v>
      </c>
      <c r="F370" s="174">
        <v>0</v>
      </c>
      <c r="G370" s="40"/>
      <c r="H370" s="27">
        <f t="shared" ref="H370:H377" si="204">IF((VLOOKUP($D370,$C$5:$AA$496,6,)=0),0,((VLOOKUP($D370,$C$5:$AA$496,6,)/VLOOKUP($D370,$C$5:$AA$496,4,))*$F370))</f>
        <v>0</v>
      </c>
      <c r="I370" s="27">
        <f t="shared" ref="I370:I377" si="205">IF((VLOOKUP($D370,$C$5:$AA$496,7,)=0),0,((VLOOKUP($D370,$C$5:$AA$496,7,)/VLOOKUP($D370,$C$5:$AA$496,4,))*$F370))</f>
        <v>0</v>
      </c>
      <c r="J370" s="27"/>
      <c r="K370" s="27">
        <f t="shared" ref="K370:K377" si="206">IF((VLOOKUP($D370,$C$5:$AA$496,9,)=0),0,((VLOOKUP($D370,$C$5:$AA$496,9,)/VLOOKUP($D370,$C$5:$AA$496,4,))*$F370))</f>
        <v>0</v>
      </c>
      <c r="L370" s="27"/>
      <c r="M370" s="27">
        <f t="shared" ref="M370:M377" si="207">IF((VLOOKUP($D370,$C$5:$AA$496,11,)=0),0,((VLOOKUP($D370,$C$5:$AA$496,11,)/VLOOKUP($D370,$C$5:$AA$496,4,))*$F370))</f>
        <v>0</v>
      </c>
      <c r="N370" s="27"/>
      <c r="O370" s="27">
        <f t="shared" ref="O370:O377" si="208">IF((VLOOKUP($D370,$C$5:$AA$496,13,)=0),0,((VLOOKUP($D370,$C$5:$AA$496,13,)/VLOOKUP($D370,$C$5:$AA$496,4,))*$F370))</f>
        <v>0</v>
      </c>
      <c r="P370" s="27">
        <f t="shared" ref="P370:P377" si="209">IF((VLOOKUP($D370,$C$5:$AA$496,14,)=0),0,((VLOOKUP($D370,$C$5:$AA$496,14,)/VLOOKUP($D370,$C$5:$AA$496,4,))*$F370))</f>
        <v>0</v>
      </c>
      <c r="Q370" s="27"/>
      <c r="R370" s="27">
        <f t="shared" ref="R370:R377" si="210">IF((VLOOKUP($D370,$C$5:$AA$496,16,)=0),0,((VLOOKUP($D370,$C$5:$AA$496,16,)/VLOOKUP($D370,$C$5:$AA$496,4,))*$F370))</f>
        <v>0</v>
      </c>
      <c r="S370" s="27">
        <f t="shared" ref="S370:S377" si="211">IF((VLOOKUP($D370,$C$5:$AA$496,17,)=0),0,((VLOOKUP($D370,$C$5:$AA$496,17,)/VLOOKUP($D370,$C$5:$AA$496,4,))*$F370))</f>
        <v>0</v>
      </c>
      <c r="T370" s="27"/>
      <c r="U370" s="27">
        <f t="shared" ref="U370:U377" si="212">IF((VLOOKUP($D370,$C$5:$AA$496,19,)=0),0,((VLOOKUP($D370,$C$5:$AA$496,19,)/VLOOKUP($D370,$C$5:$AA$496,4,))*$F370))</f>
        <v>0</v>
      </c>
      <c r="V370" s="27"/>
      <c r="W370" s="27">
        <f t="shared" ref="W370:W377" si="213">IF((VLOOKUP($D370,$C$5:$AA$496,21,)=0),0,((VLOOKUP($D370,$C$5:$AA$496,21,)/VLOOKUP($D370,$C$5:$AA$496,4,))*$F370))</f>
        <v>0</v>
      </c>
      <c r="X370" s="27"/>
      <c r="Y370" s="27">
        <f t="shared" ref="Y370:Y377" si="214">IF((VLOOKUP($D370,$C$5:$AA$496,23,)=0),0,((VLOOKUP($D370,$C$5:$AA$496,23,)/VLOOKUP($D370,$C$5:$AA$496,4,))*$F370))</f>
        <v>0</v>
      </c>
      <c r="Z370" s="27"/>
      <c r="AA370" s="27">
        <f t="shared" ref="AA370:AA377" si="215">IF((VLOOKUP($D370,$C$5:$AA$496,25,)=0),0,((VLOOKUP($D370,$C$5:$AA$496,25,)/VLOOKUP($D370,$C$5:$AA$496,4,))*$F370))</f>
        <v>0</v>
      </c>
      <c r="AB370" s="27">
        <f t="shared" ref="AB370:AB377" si="216">SUM(H370:AA370)</f>
        <v>0</v>
      </c>
      <c r="AC370" s="21" t="str">
        <f t="shared" ref="AC370:AC377" si="217">IF(ABS(AB370-F370)&lt;1,"ok","err")</f>
        <v>ok</v>
      </c>
    </row>
    <row r="371" spans="1:29" x14ac:dyDescent="0.25">
      <c r="A371" s="14">
        <v>561</v>
      </c>
      <c r="B371" s="14" t="s">
        <v>101</v>
      </c>
      <c r="C371" s="14" t="s">
        <v>475</v>
      </c>
      <c r="D371" s="14" t="s">
        <v>389</v>
      </c>
      <c r="F371" s="167">
        <v>0</v>
      </c>
      <c r="G371" s="27"/>
      <c r="H371" s="27">
        <f t="shared" si="204"/>
        <v>0</v>
      </c>
      <c r="I371" s="27">
        <f t="shared" si="205"/>
        <v>0</v>
      </c>
      <c r="J371" s="27"/>
      <c r="K371" s="27">
        <f t="shared" si="206"/>
        <v>0</v>
      </c>
      <c r="L371" s="27"/>
      <c r="M371" s="27">
        <f t="shared" si="207"/>
        <v>0</v>
      </c>
      <c r="N371" s="27"/>
      <c r="O371" s="27">
        <f t="shared" si="208"/>
        <v>0</v>
      </c>
      <c r="P371" s="27">
        <f t="shared" si="209"/>
        <v>0</v>
      </c>
      <c r="Q371" s="27"/>
      <c r="R371" s="27">
        <f t="shared" si="210"/>
        <v>0</v>
      </c>
      <c r="S371" s="27">
        <f t="shared" si="211"/>
        <v>0</v>
      </c>
      <c r="T371" s="27"/>
      <c r="U371" s="27">
        <f t="shared" si="212"/>
        <v>0</v>
      </c>
      <c r="V371" s="27"/>
      <c r="W371" s="27">
        <f t="shared" si="213"/>
        <v>0</v>
      </c>
      <c r="X371" s="27"/>
      <c r="Y371" s="27">
        <f t="shared" si="214"/>
        <v>0</v>
      </c>
      <c r="Z371" s="27"/>
      <c r="AA371" s="27">
        <f t="shared" si="215"/>
        <v>0</v>
      </c>
      <c r="AB371" s="27">
        <f t="shared" si="216"/>
        <v>0</v>
      </c>
      <c r="AC371" s="21" t="str">
        <f t="shared" si="217"/>
        <v>ok</v>
      </c>
    </row>
    <row r="372" spans="1:29" x14ac:dyDescent="0.25">
      <c r="A372" s="14">
        <v>562</v>
      </c>
      <c r="B372" s="14" t="s">
        <v>371</v>
      </c>
      <c r="C372" s="14" t="s">
        <v>476</v>
      </c>
      <c r="D372" s="14" t="s">
        <v>389</v>
      </c>
      <c r="F372" s="167">
        <v>0</v>
      </c>
      <c r="G372" s="27"/>
      <c r="H372" s="27">
        <f t="shared" si="204"/>
        <v>0</v>
      </c>
      <c r="I372" s="27">
        <f t="shared" si="205"/>
        <v>0</v>
      </c>
      <c r="J372" s="27"/>
      <c r="K372" s="27">
        <f t="shared" si="206"/>
        <v>0</v>
      </c>
      <c r="L372" s="27"/>
      <c r="M372" s="27">
        <f t="shared" si="207"/>
        <v>0</v>
      </c>
      <c r="N372" s="27"/>
      <c r="O372" s="27">
        <f t="shared" si="208"/>
        <v>0</v>
      </c>
      <c r="P372" s="27">
        <f t="shared" si="209"/>
        <v>0</v>
      </c>
      <c r="Q372" s="27"/>
      <c r="R372" s="27">
        <f t="shared" si="210"/>
        <v>0</v>
      </c>
      <c r="S372" s="27">
        <f t="shared" si="211"/>
        <v>0</v>
      </c>
      <c r="T372" s="27"/>
      <c r="U372" s="27">
        <f t="shared" si="212"/>
        <v>0</v>
      </c>
      <c r="V372" s="27"/>
      <c r="W372" s="27">
        <f t="shared" si="213"/>
        <v>0</v>
      </c>
      <c r="X372" s="27"/>
      <c r="Y372" s="27">
        <f t="shared" si="214"/>
        <v>0</v>
      </c>
      <c r="Z372" s="27"/>
      <c r="AA372" s="27">
        <f t="shared" si="215"/>
        <v>0</v>
      </c>
      <c r="AB372" s="27">
        <f t="shared" si="216"/>
        <v>0</v>
      </c>
      <c r="AC372" s="21" t="str">
        <f t="shared" si="217"/>
        <v>ok</v>
      </c>
    </row>
    <row r="373" spans="1:29" x14ac:dyDescent="0.25">
      <c r="A373" s="14">
        <v>563</v>
      </c>
      <c r="B373" s="14" t="s">
        <v>103</v>
      </c>
      <c r="C373" s="14" t="s">
        <v>477</v>
      </c>
      <c r="D373" s="14" t="s">
        <v>389</v>
      </c>
      <c r="F373" s="167">
        <v>0</v>
      </c>
      <c r="G373" s="27"/>
      <c r="H373" s="27">
        <f t="shared" si="204"/>
        <v>0</v>
      </c>
      <c r="I373" s="27">
        <f t="shared" si="205"/>
        <v>0</v>
      </c>
      <c r="J373" s="27"/>
      <c r="K373" s="27">
        <f t="shared" si="206"/>
        <v>0</v>
      </c>
      <c r="L373" s="27"/>
      <c r="M373" s="27">
        <f t="shared" si="207"/>
        <v>0</v>
      </c>
      <c r="N373" s="27"/>
      <c r="O373" s="27">
        <f t="shared" si="208"/>
        <v>0</v>
      </c>
      <c r="P373" s="27">
        <f t="shared" si="209"/>
        <v>0</v>
      </c>
      <c r="Q373" s="27"/>
      <c r="R373" s="27">
        <f t="shared" si="210"/>
        <v>0</v>
      </c>
      <c r="S373" s="27">
        <f t="shared" si="211"/>
        <v>0</v>
      </c>
      <c r="T373" s="27"/>
      <c r="U373" s="27">
        <f t="shared" si="212"/>
        <v>0</v>
      </c>
      <c r="V373" s="27"/>
      <c r="W373" s="27">
        <f t="shared" si="213"/>
        <v>0</v>
      </c>
      <c r="X373" s="27"/>
      <c r="Y373" s="27">
        <f t="shared" si="214"/>
        <v>0</v>
      </c>
      <c r="Z373" s="27"/>
      <c r="AA373" s="27">
        <f t="shared" si="215"/>
        <v>0</v>
      </c>
      <c r="AB373" s="27">
        <f t="shared" si="216"/>
        <v>0</v>
      </c>
      <c r="AC373" s="21" t="str">
        <f t="shared" si="217"/>
        <v>ok</v>
      </c>
    </row>
    <row r="374" spans="1:29" x14ac:dyDescent="0.25">
      <c r="A374" s="14">
        <v>566</v>
      </c>
      <c r="B374" s="14" t="s">
        <v>584</v>
      </c>
      <c r="C374" s="14" t="s">
        <v>588</v>
      </c>
      <c r="D374" s="14" t="s">
        <v>389</v>
      </c>
      <c r="F374" s="167">
        <v>0</v>
      </c>
      <c r="G374" s="27"/>
      <c r="H374" s="27">
        <f t="shared" si="204"/>
        <v>0</v>
      </c>
      <c r="I374" s="27">
        <f t="shared" si="205"/>
        <v>0</v>
      </c>
      <c r="J374" s="27"/>
      <c r="K374" s="27">
        <f t="shared" si="206"/>
        <v>0</v>
      </c>
      <c r="L374" s="27"/>
      <c r="M374" s="27">
        <f t="shared" si="207"/>
        <v>0</v>
      </c>
      <c r="N374" s="27"/>
      <c r="O374" s="27">
        <f t="shared" si="208"/>
        <v>0</v>
      </c>
      <c r="P374" s="27">
        <f t="shared" si="209"/>
        <v>0</v>
      </c>
      <c r="Q374" s="27"/>
      <c r="R374" s="27">
        <f t="shared" si="210"/>
        <v>0</v>
      </c>
      <c r="S374" s="27">
        <f t="shared" si="211"/>
        <v>0</v>
      </c>
      <c r="T374" s="27"/>
      <c r="U374" s="27">
        <f t="shared" si="212"/>
        <v>0</v>
      </c>
      <c r="V374" s="27"/>
      <c r="W374" s="27">
        <f t="shared" si="213"/>
        <v>0</v>
      </c>
      <c r="X374" s="27"/>
      <c r="Y374" s="27">
        <f t="shared" si="214"/>
        <v>0</v>
      </c>
      <c r="Z374" s="27"/>
      <c r="AA374" s="27">
        <f t="shared" si="215"/>
        <v>0</v>
      </c>
      <c r="AB374" s="27">
        <f>SUM(H374:AA374)</f>
        <v>0</v>
      </c>
      <c r="AC374" s="21" t="str">
        <f>IF(ABS(AB374-F374)&lt;1,"ok","err")</f>
        <v>ok</v>
      </c>
    </row>
    <row r="375" spans="1:29" x14ac:dyDescent="0.25">
      <c r="A375" s="14">
        <v>568</v>
      </c>
      <c r="B375" s="14" t="s">
        <v>372</v>
      </c>
      <c r="C375" s="14" t="s">
        <v>478</v>
      </c>
      <c r="D375" s="14" t="s">
        <v>389</v>
      </c>
      <c r="F375" s="167">
        <v>0</v>
      </c>
      <c r="G375" s="27"/>
      <c r="H375" s="27">
        <f t="shared" si="204"/>
        <v>0</v>
      </c>
      <c r="I375" s="27">
        <f t="shared" si="205"/>
        <v>0</v>
      </c>
      <c r="J375" s="27"/>
      <c r="K375" s="27">
        <f t="shared" si="206"/>
        <v>0</v>
      </c>
      <c r="L375" s="27"/>
      <c r="M375" s="27">
        <f t="shared" si="207"/>
        <v>0</v>
      </c>
      <c r="N375" s="27"/>
      <c r="O375" s="27">
        <f t="shared" si="208"/>
        <v>0</v>
      </c>
      <c r="P375" s="27">
        <f t="shared" si="209"/>
        <v>0</v>
      </c>
      <c r="Q375" s="27"/>
      <c r="R375" s="27">
        <f t="shared" si="210"/>
        <v>0</v>
      </c>
      <c r="S375" s="27">
        <f t="shared" si="211"/>
        <v>0</v>
      </c>
      <c r="T375" s="27"/>
      <c r="U375" s="27">
        <f t="shared" si="212"/>
        <v>0</v>
      </c>
      <c r="V375" s="27"/>
      <c r="W375" s="27">
        <f t="shared" si="213"/>
        <v>0</v>
      </c>
      <c r="X375" s="27"/>
      <c r="Y375" s="27">
        <f t="shared" si="214"/>
        <v>0</v>
      </c>
      <c r="Z375" s="27"/>
      <c r="AA375" s="27">
        <f t="shared" si="215"/>
        <v>0</v>
      </c>
      <c r="AB375" s="27">
        <f t="shared" si="216"/>
        <v>0</v>
      </c>
      <c r="AC375" s="21" t="str">
        <f t="shared" si="217"/>
        <v>ok</v>
      </c>
    </row>
    <row r="376" spans="1:29" x14ac:dyDescent="0.25">
      <c r="A376" s="14">
        <v>570</v>
      </c>
      <c r="B376" s="14" t="s">
        <v>374</v>
      </c>
      <c r="C376" s="14" t="s">
        <v>479</v>
      </c>
      <c r="D376" s="14" t="s">
        <v>389</v>
      </c>
      <c r="F376" s="167">
        <v>0</v>
      </c>
      <c r="G376" s="27"/>
      <c r="H376" s="27">
        <f t="shared" si="204"/>
        <v>0</v>
      </c>
      <c r="I376" s="27">
        <f t="shared" si="205"/>
        <v>0</v>
      </c>
      <c r="J376" s="27"/>
      <c r="K376" s="27">
        <f t="shared" si="206"/>
        <v>0</v>
      </c>
      <c r="L376" s="27"/>
      <c r="M376" s="27">
        <f t="shared" si="207"/>
        <v>0</v>
      </c>
      <c r="N376" s="27"/>
      <c r="O376" s="27">
        <f t="shared" si="208"/>
        <v>0</v>
      </c>
      <c r="P376" s="27">
        <f t="shared" si="209"/>
        <v>0</v>
      </c>
      <c r="Q376" s="27"/>
      <c r="R376" s="27">
        <f t="shared" si="210"/>
        <v>0</v>
      </c>
      <c r="S376" s="27">
        <f t="shared" si="211"/>
        <v>0</v>
      </c>
      <c r="T376" s="27"/>
      <c r="U376" s="27">
        <f t="shared" si="212"/>
        <v>0</v>
      </c>
      <c r="V376" s="27"/>
      <c r="W376" s="27">
        <f t="shared" si="213"/>
        <v>0</v>
      </c>
      <c r="X376" s="27"/>
      <c r="Y376" s="27">
        <f t="shared" si="214"/>
        <v>0</v>
      </c>
      <c r="Z376" s="27"/>
      <c r="AA376" s="27">
        <f t="shared" si="215"/>
        <v>0</v>
      </c>
      <c r="AB376" s="27">
        <f t="shared" si="216"/>
        <v>0</v>
      </c>
      <c r="AC376" s="21" t="str">
        <f t="shared" si="217"/>
        <v>ok</v>
      </c>
    </row>
    <row r="377" spans="1:29" x14ac:dyDescent="0.25">
      <c r="A377" s="14">
        <v>571</v>
      </c>
      <c r="B377" s="14" t="s">
        <v>375</v>
      </c>
      <c r="C377" s="14" t="s">
        <v>480</v>
      </c>
      <c r="D377" s="14" t="s">
        <v>389</v>
      </c>
      <c r="F377" s="167">
        <v>0</v>
      </c>
      <c r="G377" s="27"/>
      <c r="H377" s="27">
        <f t="shared" si="204"/>
        <v>0</v>
      </c>
      <c r="I377" s="27">
        <f t="shared" si="205"/>
        <v>0</v>
      </c>
      <c r="J377" s="27"/>
      <c r="K377" s="27">
        <f t="shared" si="206"/>
        <v>0</v>
      </c>
      <c r="L377" s="27"/>
      <c r="M377" s="27">
        <f t="shared" si="207"/>
        <v>0</v>
      </c>
      <c r="N377" s="27"/>
      <c r="O377" s="27">
        <f t="shared" si="208"/>
        <v>0</v>
      </c>
      <c r="P377" s="27">
        <f t="shared" si="209"/>
        <v>0</v>
      </c>
      <c r="Q377" s="27"/>
      <c r="R377" s="27">
        <f t="shared" si="210"/>
        <v>0</v>
      </c>
      <c r="S377" s="27">
        <f t="shared" si="211"/>
        <v>0</v>
      </c>
      <c r="T377" s="27"/>
      <c r="U377" s="27">
        <f t="shared" si="212"/>
        <v>0</v>
      </c>
      <c r="V377" s="27"/>
      <c r="W377" s="27">
        <f t="shared" si="213"/>
        <v>0</v>
      </c>
      <c r="X377" s="27"/>
      <c r="Y377" s="27">
        <f t="shared" si="214"/>
        <v>0</v>
      </c>
      <c r="Z377" s="27"/>
      <c r="AA377" s="27">
        <f t="shared" si="215"/>
        <v>0</v>
      </c>
      <c r="AB377" s="27">
        <f t="shared" si="216"/>
        <v>0</v>
      </c>
      <c r="AC377" s="21" t="str">
        <f t="shared" si="217"/>
        <v>ok</v>
      </c>
    </row>
    <row r="378" spans="1:29" x14ac:dyDescent="0.25">
      <c r="F378" s="174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27"/>
      <c r="AC378" s="21"/>
    </row>
    <row r="379" spans="1:29" x14ac:dyDescent="0.25">
      <c r="A379" s="14" t="s">
        <v>532</v>
      </c>
      <c r="F379" s="175">
        <f>SUM(F370:F377)</f>
        <v>0</v>
      </c>
      <c r="G379" s="64"/>
      <c r="H379" s="64">
        <f>SUM(H370:H377)</f>
        <v>0</v>
      </c>
      <c r="I379" s="64">
        <f>SUM(I370:I377)</f>
        <v>0</v>
      </c>
      <c r="J379" s="64"/>
      <c r="K379" s="64">
        <f>SUM(K370:K377)</f>
        <v>0</v>
      </c>
      <c r="L379" s="64"/>
      <c r="M379" s="64">
        <f>SUM(M370:M377)</f>
        <v>0</v>
      </c>
      <c r="N379" s="64"/>
      <c r="O379" s="64">
        <f>SUM(O370:O377)</f>
        <v>0</v>
      </c>
      <c r="P379" s="64">
        <f>SUM(P370:P377)</f>
        <v>0</v>
      </c>
      <c r="Q379" s="64"/>
      <c r="R379" s="64">
        <f>SUM(R370:R377)</f>
        <v>0</v>
      </c>
      <c r="S379" s="64">
        <f>SUM(S370:S377)</f>
        <v>0</v>
      </c>
      <c r="T379" s="64"/>
      <c r="U379" s="64">
        <f>SUM(U370:U377)</f>
        <v>0</v>
      </c>
      <c r="V379" s="64"/>
      <c r="W379" s="64">
        <f>SUM(W370:W377)</f>
        <v>0</v>
      </c>
      <c r="X379" s="64"/>
      <c r="Y379" s="64">
        <f>SUM(Y370:Y377)</f>
        <v>0</v>
      </c>
      <c r="Z379" s="64"/>
      <c r="AA379" s="64">
        <f>SUM(AA370:AA377)</f>
        <v>0</v>
      </c>
      <c r="AB379" s="40">
        <f>SUM(H379:AA379)</f>
        <v>0</v>
      </c>
      <c r="AC379" s="21" t="str">
        <f>IF(ABS(AB379-F379)&lt;1,"ok","err")</f>
        <v>ok</v>
      </c>
    </row>
    <row r="380" spans="1:29" x14ac:dyDescent="0.25">
      <c r="Q380" s="14"/>
      <c r="AC380" s="21"/>
    </row>
    <row r="381" spans="1:29" x14ac:dyDescent="0.25">
      <c r="A381" s="13" t="s">
        <v>534</v>
      </c>
      <c r="Q381" s="14"/>
      <c r="AC381" s="21"/>
    </row>
    <row r="382" spans="1:29" x14ac:dyDescent="0.25">
      <c r="A382" s="14">
        <v>580</v>
      </c>
      <c r="B382" s="14" t="s">
        <v>99</v>
      </c>
      <c r="C382" s="14" t="s">
        <v>481</v>
      </c>
      <c r="D382" s="14" t="s">
        <v>16</v>
      </c>
      <c r="F382" s="174">
        <v>11327.55</v>
      </c>
      <c r="G382" s="40"/>
      <c r="H382" s="27">
        <f t="shared" ref="H382:H392" si="218">IF(VLOOKUP($D382,$C$5:$AA$496,6,)=0,0,((VLOOKUP($D382,$C$5:$AA$496,6,)/VLOOKUP($D382,$C$5:$AA$496,4,))*$F382))</f>
        <v>0</v>
      </c>
      <c r="I382" s="27">
        <f t="shared" ref="I382:I392" si="219">IF(VLOOKUP($D382,$C$5:$AA$496,7,)=0,0,((VLOOKUP($D382,$C$5:$AA$496,7,)/VLOOKUP($D382,$C$5:$AA$496,4,))*$F382))</f>
        <v>0</v>
      </c>
      <c r="J382" s="27"/>
      <c r="K382" s="27">
        <f t="shared" ref="K382:K392" si="220">IF(VLOOKUP($D382,$C$5:$AA$496,9,)=0,0,((VLOOKUP($D382,$C$5:$AA$496,9,)/VLOOKUP($D382,$C$5:$AA$496,4,))*$F382))</f>
        <v>0</v>
      </c>
      <c r="L382" s="27"/>
      <c r="M382" s="27">
        <f t="shared" ref="M382:M392" si="221">IF(VLOOKUP($D382,$C$5:$AA$496,11,)=0,0,((VLOOKUP($D382,$C$5:$AA$496,11,)/VLOOKUP($D382,$C$5:$AA$496,4,))*$F382))</f>
        <v>0</v>
      </c>
      <c r="N382" s="27"/>
      <c r="O382" s="27">
        <f t="shared" ref="O382:O392" si="222">IF(VLOOKUP($D382,$C$5:$AA$496,13,)=0,0,((VLOOKUP($D382,$C$5:$AA$496,13,)/VLOOKUP($D382,$C$5:$AA$496,4,))*$F382))</f>
        <v>4738.0227477284061</v>
      </c>
      <c r="P382" s="27">
        <f t="shared" ref="P382:P392" si="223">IF(VLOOKUP($D382,$C$5:$AA$496,14,)=0,0,((VLOOKUP($D382,$C$5:$AA$496,14,)/VLOOKUP($D382,$C$5:$AA$496,4,))*$F382))</f>
        <v>4678.7823927896507</v>
      </c>
      <c r="Q382" s="27"/>
      <c r="R382" s="27">
        <f t="shared" ref="R382:R392" si="224">IF(VLOOKUP($D382,$C$5:$AA$496,16,)=0,0,((VLOOKUP($D382,$C$5:$AA$496,16,)/VLOOKUP($D382,$C$5:$AA$496,4,))*$F382))</f>
        <v>0</v>
      </c>
      <c r="S382" s="27">
        <f t="shared" ref="S382:S392" si="225">IF(VLOOKUP($D382,$C$5:$AA$496,17,)=0,0,((VLOOKUP($D382,$C$5:$AA$496,17,)/VLOOKUP($D382,$C$5:$AA$496,4,))*$F382))</f>
        <v>754.66099646608097</v>
      </c>
      <c r="T382" s="27"/>
      <c r="U382" s="27">
        <f t="shared" ref="U382:U392" si="226">IF(VLOOKUP($D382,$C$5:$AA$496,19,)=0,0,((VLOOKUP($D382,$C$5:$AA$496,19,)/VLOOKUP($D382,$C$5:$AA$496,4,))*$F382))</f>
        <v>742.96420971568682</v>
      </c>
      <c r="V382" s="27"/>
      <c r="W382" s="27">
        <f t="shared" ref="W382:W392" si="227">IF(VLOOKUP($D382,$C$5:$AA$496,21,)=0,0,((VLOOKUP($D382,$C$5:$AA$496,21,)/VLOOKUP($D382,$C$5:$AA$496,4,))*$F382))</f>
        <v>413.11965330017546</v>
      </c>
      <c r="X382" s="27"/>
      <c r="Y382" s="27">
        <f t="shared" ref="Y382:Y392" si="228">IF(VLOOKUP($D382,$C$5:$AA$496,23,)=0,0,((VLOOKUP($D382,$C$5:$AA$496,23,)/VLOOKUP($D382,$C$5:$AA$496,4,))*$F382))</f>
        <v>0</v>
      </c>
      <c r="Z382" s="27"/>
      <c r="AA382" s="27">
        <f t="shared" ref="AA382:AA392" si="229">IF(VLOOKUP($D382,$C$5:$AA$496,25,)=0,0,((VLOOKUP($D382,$C$5:$AA$496,25,)/VLOOKUP($D382,$C$5:$AA$496,4,))*$F382))</f>
        <v>0</v>
      </c>
      <c r="AB382" s="27">
        <f t="shared" ref="AB382:AB392" si="230">SUM(H382:AA382)</f>
        <v>11327.549999999997</v>
      </c>
      <c r="AC382" s="21" t="str">
        <f t="shared" ref="AC382:AC392" si="231">IF(ABS(AB382-F382)&lt;1,"ok","err")</f>
        <v>ok</v>
      </c>
    </row>
    <row r="383" spans="1:29" x14ac:dyDescent="0.25">
      <c r="A383" s="14">
        <v>581</v>
      </c>
      <c r="B383" s="14" t="s">
        <v>101</v>
      </c>
      <c r="C383" s="14" t="s">
        <v>482</v>
      </c>
      <c r="D383" s="14" t="s">
        <v>23</v>
      </c>
      <c r="F383" s="167">
        <v>0</v>
      </c>
      <c r="G383" s="27"/>
      <c r="H383" s="27">
        <f t="shared" si="218"/>
        <v>0</v>
      </c>
      <c r="I383" s="27">
        <f t="shared" si="219"/>
        <v>0</v>
      </c>
      <c r="J383" s="27"/>
      <c r="K383" s="27">
        <f t="shared" si="220"/>
        <v>0</v>
      </c>
      <c r="L383" s="27"/>
      <c r="M383" s="27">
        <f t="shared" si="221"/>
        <v>0</v>
      </c>
      <c r="N383" s="27"/>
      <c r="O383" s="27">
        <f t="shared" si="222"/>
        <v>0</v>
      </c>
      <c r="P383" s="27">
        <f t="shared" si="223"/>
        <v>0</v>
      </c>
      <c r="Q383" s="27"/>
      <c r="R383" s="27">
        <f t="shared" si="224"/>
        <v>0</v>
      </c>
      <c r="S383" s="27">
        <f t="shared" si="225"/>
        <v>0</v>
      </c>
      <c r="T383" s="27"/>
      <c r="U383" s="27">
        <f t="shared" si="226"/>
        <v>0</v>
      </c>
      <c r="V383" s="27"/>
      <c r="W383" s="27">
        <f t="shared" si="227"/>
        <v>0</v>
      </c>
      <c r="X383" s="27"/>
      <c r="Y383" s="27">
        <f t="shared" si="228"/>
        <v>0</v>
      </c>
      <c r="Z383" s="27"/>
      <c r="AA383" s="27">
        <f t="shared" si="229"/>
        <v>0</v>
      </c>
      <c r="AB383" s="27">
        <f t="shared" si="230"/>
        <v>0</v>
      </c>
      <c r="AC383" s="21" t="str">
        <f t="shared" si="231"/>
        <v>ok</v>
      </c>
    </row>
    <row r="384" spans="1:29" x14ac:dyDescent="0.25">
      <c r="A384" s="14">
        <v>582</v>
      </c>
      <c r="B384" s="14" t="s">
        <v>371</v>
      </c>
      <c r="C384" s="14" t="s">
        <v>483</v>
      </c>
      <c r="D384" s="14" t="s">
        <v>23</v>
      </c>
      <c r="F384" s="167">
        <v>0</v>
      </c>
      <c r="G384" s="27"/>
      <c r="H384" s="27">
        <f t="shared" si="218"/>
        <v>0</v>
      </c>
      <c r="I384" s="27">
        <f t="shared" si="219"/>
        <v>0</v>
      </c>
      <c r="J384" s="27"/>
      <c r="K384" s="27">
        <f t="shared" si="220"/>
        <v>0</v>
      </c>
      <c r="L384" s="27"/>
      <c r="M384" s="27">
        <f t="shared" si="221"/>
        <v>0</v>
      </c>
      <c r="N384" s="27"/>
      <c r="O384" s="27">
        <f t="shared" si="222"/>
        <v>0</v>
      </c>
      <c r="P384" s="27">
        <f t="shared" si="223"/>
        <v>0</v>
      </c>
      <c r="Q384" s="27"/>
      <c r="R384" s="27">
        <f t="shared" si="224"/>
        <v>0</v>
      </c>
      <c r="S384" s="27">
        <f t="shared" si="225"/>
        <v>0</v>
      </c>
      <c r="T384" s="27"/>
      <c r="U384" s="27">
        <f t="shared" si="226"/>
        <v>0</v>
      </c>
      <c r="V384" s="27"/>
      <c r="W384" s="27">
        <f t="shared" si="227"/>
        <v>0</v>
      </c>
      <c r="X384" s="27"/>
      <c r="Y384" s="27">
        <f t="shared" si="228"/>
        <v>0</v>
      </c>
      <c r="Z384" s="27"/>
      <c r="AA384" s="27">
        <f t="shared" si="229"/>
        <v>0</v>
      </c>
      <c r="AB384" s="27">
        <f t="shared" si="230"/>
        <v>0</v>
      </c>
      <c r="AC384" s="21" t="str">
        <f t="shared" si="231"/>
        <v>ok</v>
      </c>
    </row>
    <row r="385" spans="1:29" x14ac:dyDescent="0.25">
      <c r="A385" s="14">
        <v>583</v>
      </c>
      <c r="B385" s="14" t="s">
        <v>103</v>
      </c>
      <c r="C385" s="14" t="s">
        <v>484</v>
      </c>
      <c r="D385" s="14" t="s">
        <v>29</v>
      </c>
      <c r="F385" s="167">
        <v>27119.32</v>
      </c>
      <c r="G385" s="27"/>
      <c r="H385" s="27">
        <f t="shared" si="218"/>
        <v>0</v>
      </c>
      <c r="I385" s="27">
        <f t="shared" si="219"/>
        <v>0</v>
      </c>
      <c r="J385" s="27"/>
      <c r="K385" s="27">
        <f t="shared" si="220"/>
        <v>0</v>
      </c>
      <c r="L385" s="27"/>
      <c r="M385" s="27">
        <f t="shared" si="221"/>
        <v>0</v>
      </c>
      <c r="N385" s="27"/>
      <c r="O385" s="27">
        <f t="shared" si="222"/>
        <v>16093.629534761003</v>
      </c>
      <c r="P385" s="27">
        <f t="shared" si="223"/>
        <v>11025.690465238997</v>
      </c>
      <c r="Q385" s="27"/>
      <c r="R385" s="27">
        <f t="shared" si="224"/>
        <v>0</v>
      </c>
      <c r="S385" s="27">
        <f t="shared" si="225"/>
        <v>0</v>
      </c>
      <c r="T385" s="27"/>
      <c r="U385" s="27">
        <f t="shared" si="226"/>
        <v>0</v>
      </c>
      <c r="V385" s="27"/>
      <c r="W385" s="27">
        <f t="shared" si="227"/>
        <v>0</v>
      </c>
      <c r="X385" s="27"/>
      <c r="Y385" s="27">
        <f t="shared" si="228"/>
        <v>0</v>
      </c>
      <c r="Z385" s="27"/>
      <c r="AA385" s="27">
        <f t="shared" si="229"/>
        <v>0</v>
      </c>
      <c r="AB385" s="27">
        <f t="shared" si="230"/>
        <v>27119.32</v>
      </c>
      <c r="AC385" s="21" t="str">
        <f t="shared" si="231"/>
        <v>ok</v>
      </c>
    </row>
    <row r="386" spans="1:29" x14ac:dyDescent="0.25">
      <c r="A386" s="14">
        <v>584</v>
      </c>
      <c r="B386" s="14" t="s">
        <v>105</v>
      </c>
      <c r="C386" s="14" t="s">
        <v>485</v>
      </c>
      <c r="D386" s="14" t="s">
        <v>35</v>
      </c>
      <c r="F386" s="167">
        <v>84.93</v>
      </c>
      <c r="G386" s="27"/>
      <c r="H386" s="27">
        <f t="shared" si="218"/>
        <v>0</v>
      </c>
      <c r="I386" s="27">
        <f t="shared" si="219"/>
        <v>0</v>
      </c>
      <c r="J386" s="27"/>
      <c r="K386" s="27">
        <f t="shared" si="220"/>
        <v>0</v>
      </c>
      <c r="L386" s="27"/>
      <c r="M386" s="27">
        <f t="shared" si="221"/>
        <v>0</v>
      </c>
      <c r="N386" s="27"/>
      <c r="O386" s="27">
        <f t="shared" si="222"/>
        <v>7.8903413750169191</v>
      </c>
      <c r="P386" s="27">
        <f t="shared" si="223"/>
        <v>77.03965862498309</v>
      </c>
      <c r="Q386" s="27"/>
      <c r="R386" s="27">
        <f t="shared" si="224"/>
        <v>0</v>
      </c>
      <c r="S386" s="27">
        <f t="shared" si="225"/>
        <v>0</v>
      </c>
      <c r="T386" s="27"/>
      <c r="U386" s="27">
        <f t="shared" si="226"/>
        <v>0</v>
      </c>
      <c r="V386" s="27"/>
      <c r="W386" s="27">
        <f t="shared" si="227"/>
        <v>0</v>
      </c>
      <c r="X386" s="27"/>
      <c r="Y386" s="27">
        <f t="shared" si="228"/>
        <v>0</v>
      </c>
      <c r="Z386" s="27"/>
      <c r="AA386" s="27">
        <f t="shared" si="229"/>
        <v>0</v>
      </c>
      <c r="AB386" s="27">
        <f t="shared" si="230"/>
        <v>84.93</v>
      </c>
      <c r="AC386" s="21" t="str">
        <f t="shared" si="231"/>
        <v>ok</v>
      </c>
    </row>
    <row r="387" spans="1:29" x14ac:dyDescent="0.25">
      <c r="A387" s="14">
        <v>585</v>
      </c>
      <c r="B387" s="14" t="s">
        <v>107</v>
      </c>
      <c r="C387" s="14" t="s">
        <v>486</v>
      </c>
      <c r="D387" s="14" t="s">
        <v>46</v>
      </c>
      <c r="F387" s="167">
        <v>17127.14</v>
      </c>
      <c r="G387" s="27"/>
      <c r="H387" s="27">
        <f t="shared" si="218"/>
        <v>0</v>
      </c>
      <c r="I387" s="27">
        <f t="shared" si="219"/>
        <v>0</v>
      </c>
      <c r="J387" s="27"/>
      <c r="K387" s="27">
        <f t="shared" si="220"/>
        <v>0</v>
      </c>
      <c r="L387" s="27"/>
      <c r="M387" s="27">
        <f t="shared" si="221"/>
        <v>0</v>
      </c>
      <c r="N387" s="27"/>
      <c r="O387" s="27">
        <f t="shared" si="222"/>
        <v>0</v>
      </c>
      <c r="P387" s="27">
        <f t="shared" si="223"/>
        <v>0</v>
      </c>
      <c r="Q387" s="27"/>
      <c r="R387" s="27">
        <f t="shared" si="224"/>
        <v>0</v>
      </c>
      <c r="S387" s="27">
        <f t="shared" si="225"/>
        <v>0</v>
      </c>
      <c r="T387" s="27"/>
      <c r="U387" s="27">
        <f t="shared" si="226"/>
        <v>0</v>
      </c>
      <c r="V387" s="27"/>
      <c r="W387" s="27">
        <f t="shared" si="227"/>
        <v>17127.14</v>
      </c>
      <c r="X387" s="27"/>
      <c r="Y387" s="27">
        <f t="shared" si="228"/>
        <v>0</v>
      </c>
      <c r="Z387" s="27"/>
      <c r="AA387" s="27">
        <f t="shared" si="229"/>
        <v>0</v>
      </c>
      <c r="AB387" s="27">
        <f t="shared" si="230"/>
        <v>17127.14</v>
      </c>
      <c r="AC387" s="21" t="str">
        <f t="shared" si="231"/>
        <v>ok</v>
      </c>
    </row>
    <row r="388" spans="1:29" x14ac:dyDescent="0.25">
      <c r="A388" s="14">
        <v>586</v>
      </c>
      <c r="B388" s="14" t="s">
        <v>109</v>
      </c>
      <c r="C388" s="14" t="s">
        <v>487</v>
      </c>
      <c r="D388" s="14" t="s">
        <v>43</v>
      </c>
      <c r="F388" s="167">
        <v>0</v>
      </c>
      <c r="G388" s="27"/>
      <c r="H388" s="27">
        <f t="shared" si="218"/>
        <v>0</v>
      </c>
      <c r="I388" s="27">
        <f t="shared" si="219"/>
        <v>0</v>
      </c>
      <c r="J388" s="27"/>
      <c r="K388" s="27">
        <f t="shared" si="220"/>
        <v>0</v>
      </c>
      <c r="L388" s="27"/>
      <c r="M388" s="27">
        <f t="shared" si="221"/>
        <v>0</v>
      </c>
      <c r="N388" s="27"/>
      <c r="O388" s="27">
        <f t="shared" si="222"/>
        <v>0</v>
      </c>
      <c r="P388" s="27">
        <f t="shared" si="223"/>
        <v>0</v>
      </c>
      <c r="Q388" s="27"/>
      <c r="R388" s="27">
        <f t="shared" si="224"/>
        <v>0</v>
      </c>
      <c r="S388" s="27">
        <f t="shared" si="225"/>
        <v>0</v>
      </c>
      <c r="T388" s="27"/>
      <c r="U388" s="27">
        <f t="shared" si="226"/>
        <v>0</v>
      </c>
      <c r="V388" s="27"/>
      <c r="W388" s="27">
        <f t="shared" si="227"/>
        <v>0</v>
      </c>
      <c r="X388" s="27"/>
      <c r="Y388" s="27">
        <f t="shared" si="228"/>
        <v>0</v>
      </c>
      <c r="Z388" s="27"/>
      <c r="AA388" s="27">
        <f t="shared" si="229"/>
        <v>0</v>
      </c>
      <c r="AB388" s="27">
        <f t="shared" si="230"/>
        <v>0</v>
      </c>
      <c r="AC388" s="21" t="str">
        <f t="shared" si="231"/>
        <v>ok</v>
      </c>
    </row>
    <row r="389" spans="1:29" x14ac:dyDescent="0.25">
      <c r="A389" s="14">
        <v>586</v>
      </c>
      <c r="B389" s="14" t="s">
        <v>449</v>
      </c>
      <c r="C389" s="14" t="s">
        <v>488</v>
      </c>
      <c r="D389" s="14" t="s">
        <v>470</v>
      </c>
      <c r="F389" s="167">
        <v>0</v>
      </c>
      <c r="G389" s="27"/>
      <c r="H389" s="27">
        <f t="shared" si="218"/>
        <v>0</v>
      </c>
      <c r="I389" s="27">
        <f t="shared" si="219"/>
        <v>0</v>
      </c>
      <c r="J389" s="27"/>
      <c r="K389" s="27">
        <f t="shared" si="220"/>
        <v>0</v>
      </c>
      <c r="L389" s="27"/>
      <c r="M389" s="27">
        <f t="shared" si="221"/>
        <v>0</v>
      </c>
      <c r="N389" s="27"/>
      <c r="O389" s="27">
        <f t="shared" si="222"/>
        <v>0</v>
      </c>
      <c r="P389" s="27">
        <f t="shared" si="223"/>
        <v>0</v>
      </c>
      <c r="Q389" s="27"/>
      <c r="R389" s="27">
        <f t="shared" si="224"/>
        <v>0</v>
      </c>
      <c r="S389" s="27">
        <f t="shared" si="225"/>
        <v>0</v>
      </c>
      <c r="T389" s="27"/>
      <c r="U389" s="27">
        <f t="shared" si="226"/>
        <v>0</v>
      </c>
      <c r="V389" s="27"/>
      <c r="W389" s="27">
        <f t="shared" si="227"/>
        <v>0</v>
      </c>
      <c r="X389" s="27"/>
      <c r="Y389" s="27">
        <f t="shared" si="228"/>
        <v>0</v>
      </c>
      <c r="Z389" s="27"/>
      <c r="AA389" s="27">
        <f t="shared" si="229"/>
        <v>0</v>
      </c>
      <c r="AB389" s="27">
        <f t="shared" si="230"/>
        <v>0</v>
      </c>
      <c r="AC389" s="21" t="str">
        <f t="shared" si="231"/>
        <v>ok</v>
      </c>
    </row>
    <row r="390" spans="1:29" x14ac:dyDescent="0.25">
      <c r="A390" s="14">
        <v>587</v>
      </c>
      <c r="B390" s="14" t="s">
        <v>111</v>
      </c>
      <c r="C390" s="14" t="s">
        <v>489</v>
      </c>
      <c r="D390" s="14" t="s">
        <v>40</v>
      </c>
      <c r="F390" s="167">
        <v>0</v>
      </c>
      <c r="G390" s="27"/>
      <c r="H390" s="27">
        <f t="shared" si="218"/>
        <v>0</v>
      </c>
      <c r="I390" s="27">
        <f t="shared" si="219"/>
        <v>0</v>
      </c>
      <c r="J390" s="27"/>
      <c r="K390" s="27">
        <f t="shared" si="220"/>
        <v>0</v>
      </c>
      <c r="L390" s="27"/>
      <c r="M390" s="27">
        <f t="shared" si="221"/>
        <v>0</v>
      </c>
      <c r="N390" s="27"/>
      <c r="O390" s="27">
        <f t="shared" si="222"/>
        <v>0</v>
      </c>
      <c r="P390" s="27">
        <f t="shared" si="223"/>
        <v>0</v>
      </c>
      <c r="Q390" s="27"/>
      <c r="R390" s="27">
        <f t="shared" si="224"/>
        <v>0</v>
      </c>
      <c r="S390" s="27">
        <f t="shared" si="225"/>
        <v>0</v>
      </c>
      <c r="T390" s="27"/>
      <c r="U390" s="27">
        <f t="shared" si="226"/>
        <v>0</v>
      </c>
      <c r="V390" s="27"/>
      <c r="W390" s="27">
        <f t="shared" si="227"/>
        <v>0</v>
      </c>
      <c r="X390" s="27"/>
      <c r="Y390" s="27">
        <f t="shared" si="228"/>
        <v>0</v>
      </c>
      <c r="Z390" s="27"/>
      <c r="AA390" s="27">
        <f t="shared" si="229"/>
        <v>0</v>
      </c>
      <c r="AB390" s="27">
        <f t="shared" si="230"/>
        <v>0</v>
      </c>
      <c r="AC390" s="21" t="str">
        <f t="shared" si="231"/>
        <v>ok</v>
      </c>
    </row>
    <row r="391" spans="1:29" x14ac:dyDescent="0.25">
      <c r="A391" s="14">
        <v>588</v>
      </c>
      <c r="B391" s="14" t="s">
        <v>113</v>
      </c>
      <c r="C391" s="14" t="s">
        <v>490</v>
      </c>
      <c r="D391" s="14" t="s">
        <v>16</v>
      </c>
      <c r="F391" s="167">
        <v>0</v>
      </c>
      <c r="G391" s="27"/>
      <c r="H391" s="27">
        <f t="shared" si="218"/>
        <v>0</v>
      </c>
      <c r="I391" s="27">
        <f t="shared" si="219"/>
        <v>0</v>
      </c>
      <c r="J391" s="27"/>
      <c r="K391" s="27">
        <f t="shared" si="220"/>
        <v>0</v>
      </c>
      <c r="L391" s="27"/>
      <c r="M391" s="27">
        <f t="shared" si="221"/>
        <v>0</v>
      </c>
      <c r="N391" s="27"/>
      <c r="O391" s="27">
        <f t="shared" si="222"/>
        <v>0</v>
      </c>
      <c r="P391" s="27">
        <f t="shared" si="223"/>
        <v>0</v>
      </c>
      <c r="Q391" s="27"/>
      <c r="R391" s="27">
        <f t="shared" si="224"/>
        <v>0</v>
      </c>
      <c r="S391" s="27">
        <f t="shared" si="225"/>
        <v>0</v>
      </c>
      <c r="T391" s="27"/>
      <c r="U391" s="27">
        <f t="shared" si="226"/>
        <v>0</v>
      </c>
      <c r="V391" s="27"/>
      <c r="W391" s="27">
        <f t="shared" si="227"/>
        <v>0</v>
      </c>
      <c r="X391" s="27"/>
      <c r="Y391" s="27">
        <f t="shared" si="228"/>
        <v>0</v>
      </c>
      <c r="Z391" s="27"/>
      <c r="AA391" s="27">
        <f t="shared" si="229"/>
        <v>0</v>
      </c>
      <c r="AB391" s="27">
        <f t="shared" si="230"/>
        <v>0</v>
      </c>
      <c r="AC391" s="21" t="str">
        <f t="shared" si="231"/>
        <v>ok</v>
      </c>
    </row>
    <row r="392" spans="1:29" x14ac:dyDescent="0.25">
      <c r="A392" s="14">
        <v>589</v>
      </c>
      <c r="B392" s="14" t="s">
        <v>115</v>
      </c>
      <c r="C392" s="14" t="s">
        <v>491</v>
      </c>
      <c r="D392" s="14" t="s">
        <v>16</v>
      </c>
      <c r="F392" s="167">
        <v>0</v>
      </c>
      <c r="G392" s="27"/>
      <c r="H392" s="27">
        <f t="shared" si="218"/>
        <v>0</v>
      </c>
      <c r="I392" s="27">
        <f t="shared" si="219"/>
        <v>0</v>
      </c>
      <c r="J392" s="27"/>
      <c r="K392" s="27">
        <f t="shared" si="220"/>
        <v>0</v>
      </c>
      <c r="L392" s="27"/>
      <c r="M392" s="27">
        <f t="shared" si="221"/>
        <v>0</v>
      </c>
      <c r="N392" s="27"/>
      <c r="O392" s="27">
        <f t="shared" si="222"/>
        <v>0</v>
      </c>
      <c r="P392" s="27">
        <f t="shared" si="223"/>
        <v>0</v>
      </c>
      <c r="Q392" s="27"/>
      <c r="R392" s="27">
        <f t="shared" si="224"/>
        <v>0</v>
      </c>
      <c r="S392" s="27">
        <f t="shared" si="225"/>
        <v>0</v>
      </c>
      <c r="T392" s="27"/>
      <c r="U392" s="27">
        <f t="shared" si="226"/>
        <v>0</v>
      </c>
      <c r="V392" s="27"/>
      <c r="W392" s="27">
        <f t="shared" si="227"/>
        <v>0</v>
      </c>
      <c r="X392" s="27"/>
      <c r="Y392" s="27">
        <f t="shared" si="228"/>
        <v>0</v>
      </c>
      <c r="Z392" s="27"/>
      <c r="AA392" s="27">
        <f t="shared" si="229"/>
        <v>0</v>
      </c>
      <c r="AB392" s="27">
        <f t="shared" si="230"/>
        <v>0</v>
      </c>
      <c r="AC392" s="21" t="str">
        <f t="shared" si="231"/>
        <v>ok</v>
      </c>
    </row>
    <row r="393" spans="1:29" x14ac:dyDescent="0.25">
      <c r="F393" s="16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C393" s="21"/>
    </row>
    <row r="394" spans="1:29" x14ac:dyDescent="0.25">
      <c r="A394" s="14" t="s">
        <v>535</v>
      </c>
      <c r="C394" s="14" t="s">
        <v>492</v>
      </c>
      <c r="F394" s="174">
        <f>SUM(F382:F393)</f>
        <v>55658.939999999995</v>
      </c>
      <c r="G394" s="40"/>
      <c r="H394" s="40">
        <f>SUM(H382:H393)</f>
        <v>0</v>
      </c>
      <c r="I394" s="40">
        <f>SUM(I382:I393)</f>
        <v>0</v>
      </c>
      <c r="J394" s="40"/>
      <c r="K394" s="40">
        <f>SUM(K382:K393)</f>
        <v>0</v>
      </c>
      <c r="L394" s="40"/>
      <c r="M394" s="40">
        <f>SUM(M382:M393)</f>
        <v>0</v>
      </c>
      <c r="N394" s="40"/>
      <c r="O394" s="40">
        <f>SUM(O382:O393)</f>
        <v>20839.542623864425</v>
      </c>
      <c r="P394" s="40">
        <f>SUM(P382:P393)</f>
        <v>15781.512516653629</v>
      </c>
      <c r="Q394" s="40"/>
      <c r="R394" s="40">
        <f>SUM(R382:R393)</f>
        <v>0</v>
      </c>
      <c r="S394" s="40">
        <f>SUM(S382:S393)</f>
        <v>754.66099646608097</v>
      </c>
      <c r="T394" s="40"/>
      <c r="U394" s="40">
        <f>SUM(U382:U393)</f>
        <v>742.96420971568682</v>
      </c>
      <c r="V394" s="40"/>
      <c r="W394" s="40">
        <f>SUM(W382:W393)</f>
        <v>17540.259653300174</v>
      </c>
      <c r="X394" s="40"/>
      <c r="Y394" s="40">
        <f>SUM(Y382:Y393)</f>
        <v>0</v>
      </c>
      <c r="Z394" s="40"/>
      <c r="AA394" s="40">
        <f>SUM(AA382:AA393)</f>
        <v>0</v>
      </c>
      <c r="AB394" s="27">
        <f>SUM(H394:AA394)</f>
        <v>55658.94</v>
      </c>
      <c r="AC394" s="21" t="str">
        <f>IF(ABS(AB394-F394)&lt;1,"ok","err")</f>
        <v>ok</v>
      </c>
    </row>
    <row r="395" spans="1:29" x14ac:dyDescent="0.25">
      <c r="F395" s="174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27"/>
      <c r="AC395" s="21"/>
    </row>
    <row r="396" spans="1:29" x14ac:dyDescent="0.25">
      <c r="F396" s="174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27"/>
      <c r="AC396" s="21"/>
    </row>
    <row r="397" spans="1:29" x14ac:dyDescent="0.25">
      <c r="A397" s="13"/>
      <c r="F397" s="16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C397" s="21"/>
    </row>
    <row r="398" spans="1:29" x14ac:dyDescent="0.25">
      <c r="A398" s="19" t="s">
        <v>472</v>
      </c>
      <c r="F398" s="16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C398" s="21"/>
    </row>
    <row r="399" spans="1:29" x14ac:dyDescent="0.25">
      <c r="F399" s="16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C399" s="21"/>
    </row>
    <row r="400" spans="1:29" x14ac:dyDescent="0.25">
      <c r="A400" s="13" t="s">
        <v>536</v>
      </c>
      <c r="F400" s="16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C400" s="21"/>
    </row>
    <row r="401" spans="1:29" x14ac:dyDescent="0.25">
      <c r="A401" s="14">
        <v>590</v>
      </c>
      <c r="B401" s="14" t="s">
        <v>120</v>
      </c>
      <c r="C401" s="14" t="s">
        <v>493</v>
      </c>
      <c r="D401" s="14" t="s">
        <v>16</v>
      </c>
      <c r="F401" s="174">
        <v>8590.4699999999993</v>
      </c>
      <c r="G401" s="40"/>
      <c r="H401" s="27">
        <f t="shared" ref="H401:H408" si="232">IF(VLOOKUP($D401,$C$5:$AA$496,6,)=0,0,((VLOOKUP($D401,$C$5:$AA$496,6,)/VLOOKUP($D401,$C$5:$AA$496,4,))*$F401))</f>
        <v>0</v>
      </c>
      <c r="I401" s="27">
        <f t="shared" ref="I401:I408" si="233">IF(VLOOKUP($D401,$C$5:$AA$496,7,)=0,0,((VLOOKUP($D401,$C$5:$AA$496,7,)/VLOOKUP($D401,$C$5:$AA$496,4,))*$F401))</f>
        <v>0</v>
      </c>
      <c r="J401" s="27"/>
      <c r="K401" s="27">
        <f t="shared" ref="K401:K408" si="234">IF(VLOOKUP($D401,$C$5:$AA$496,9,)=0,0,((VLOOKUP($D401,$C$5:$AA$496,9,)/VLOOKUP($D401,$C$5:$AA$496,4,))*$F401))</f>
        <v>0</v>
      </c>
      <c r="L401" s="27"/>
      <c r="M401" s="27">
        <f t="shared" ref="M401:M408" si="235">IF(VLOOKUP($D401,$C$5:$AA$496,11,)=0,0,((VLOOKUP($D401,$C$5:$AA$496,11,)/VLOOKUP($D401,$C$5:$AA$496,4,))*$F401))</f>
        <v>0</v>
      </c>
      <c r="N401" s="27"/>
      <c r="O401" s="27">
        <f t="shared" ref="O401:O408" si="236">IF(VLOOKUP($D401,$C$5:$AA$496,13,)=0,0,((VLOOKUP($D401,$C$5:$AA$496,13,)/VLOOKUP($D401,$C$5:$AA$496,4,))*$F401))</f>
        <v>3593.1725989890524</v>
      </c>
      <c r="P401" s="27">
        <f t="shared" ref="P401:P408" si="237">IF(VLOOKUP($D401,$C$5:$AA$496,14,)=0,0,((VLOOKUP($D401,$C$5:$AA$496,14,)/VLOOKUP($D401,$C$5:$AA$496,4,))*$F401))</f>
        <v>3548.2465124221667</v>
      </c>
      <c r="Q401" s="27"/>
      <c r="R401" s="27">
        <f t="shared" ref="R401:R408" si="238">IF(VLOOKUP($D401,$C$5:$AA$496,16,)=0,0,((VLOOKUP($D401,$C$5:$AA$496,16,)/VLOOKUP($D401,$C$5:$AA$496,4,))*$F401))</f>
        <v>0</v>
      </c>
      <c r="S401" s="27">
        <f t="shared" ref="S401:S408" si="239">IF(VLOOKUP($D401,$C$5:$AA$496,17,)=0,0,((VLOOKUP($D401,$C$5:$AA$496,17,)/VLOOKUP($D401,$C$5:$AA$496,4,))*$F401))</f>
        <v>572.31198717392328</v>
      </c>
      <c r="T401" s="27"/>
      <c r="U401" s="27">
        <f t="shared" ref="U401:U408" si="240">IF(VLOOKUP($D401,$C$5:$AA$496,19,)=0,0,((VLOOKUP($D401,$C$5:$AA$496,19,)/VLOOKUP($D401,$C$5:$AA$496,4,))*$F401))</f>
        <v>563.44149923296004</v>
      </c>
      <c r="V401" s="27"/>
      <c r="W401" s="27">
        <f t="shared" ref="W401:W408" si="241">IF(VLOOKUP($D401,$C$5:$AA$496,21,)=0,0,((VLOOKUP($D401,$C$5:$AA$496,21,)/VLOOKUP($D401,$C$5:$AA$496,4,))*$F401))</f>
        <v>313.29740218189795</v>
      </c>
      <c r="X401" s="27"/>
      <c r="Y401" s="27">
        <f t="shared" ref="Y401:Y408" si="242">IF(VLOOKUP($D401,$C$5:$AA$496,23,)=0,0,((VLOOKUP($D401,$C$5:$AA$496,23,)/VLOOKUP($D401,$C$5:$AA$496,4,))*$F401))</f>
        <v>0</v>
      </c>
      <c r="Z401" s="27"/>
      <c r="AA401" s="27">
        <f t="shared" ref="AA401:AA408" si="243">IF(VLOOKUP($D401,$C$5:$AA$496,25,)=0,0,((VLOOKUP($D401,$C$5:$AA$496,25,)/VLOOKUP($D401,$C$5:$AA$496,4,))*$F401))</f>
        <v>0</v>
      </c>
      <c r="AB401" s="27">
        <f t="shared" ref="AB401:AB408" si="244">SUM(H401:AA401)</f>
        <v>8590.4699999999993</v>
      </c>
      <c r="AC401" s="21" t="str">
        <f t="shared" ref="AC401:AC408" si="245">IF(ABS(AB401-F401)&lt;1,"ok","err")</f>
        <v>ok</v>
      </c>
    </row>
    <row r="402" spans="1:29" x14ac:dyDescent="0.25">
      <c r="A402" s="14">
        <v>592</v>
      </c>
      <c r="B402" s="14" t="s">
        <v>122</v>
      </c>
      <c r="C402" s="14" t="s">
        <v>494</v>
      </c>
      <c r="D402" s="14" t="s">
        <v>23</v>
      </c>
      <c r="F402" s="167">
        <v>0</v>
      </c>
      <c r="G402" s="27"/>
      <c r="H402" s="27">
        <f t="shared" si="232"/>
        <v>0</v>
      </c>
      <c r="I402" s="27">
        <f t="shared" si="233"/>
        <v>0</v>
      </c>
      <c r="J402" s="27"/>
      <c r="K402" s="27">
        <f t="shared" si="234"/>
        <v>0</v>
      </c>
      <c r="L402" s="27"/>
      <c r="M402" s="27">
        <f t="shared" si="235"/>
        <v>0</v>
      </c>
      <c r="N402" s="27"/>
      <c r="O402" s="27">
        <f t="shared" si="236"/>
        <v>0</v>
      </c>
      <c r="P402" s="27">
        <f t="shared" si="237"/>
        <v>0</v>
      </c>
      <c r="Q402" s="27"/>
      <c r="R402" s="27">
        <f t="shared" si="238"/>
        <v>0</v>
      </c>
      <c r="S402" s="27">
        <f t="shared" si="239"/>
        <v>0</v>
      </c>
      <c r="T402" s="27"/>
      <c r="U402" s="27">
        <f t="shared" si="240"/>
        <v>0</v>
      </c>
      <c r="V402" s="27"/>
      <c r="W402" s="27">
        <f t="shared" si="241"/>
        <v>0</v>
      </c>
      <c r="X402" s="27"/>
      <c r="Y402" s="27">
        <f t="shared" si="242"/>
        <v>0</v>
      </c>
      <c r="Z402" s="27"/>
      <c r="AA402" s="27">
        <f t="shared" si="243"/>
        <v>0</v>
      </c>
      <c r="AB402" s="27">
        <f t="shared" si="244"/>
        <v>0</v>
      </c>
      <c r="AC402" s="21" t="str">
        <f t="shared" si="245"/>
        <v>ok</v>
      </c>
    </row>
    <row r="403" spans="1:29" x14ac:dyDescent="0.25">
      <c r="A403" s="14">
        <v>593</v>
      </c>
      <c r="B403" s="14" t="s">
        <v>124</v>
      </c>
      <c r="C403" s="14" t="s">
        <v>495</v>
      </c>
      <c r="D403" s="14" t="s">
        <v>29</v>
      </c>
      <c r="F403" s="167">
        <v>34924.32</v>
      </c>
      <c r="G403" s="27"/>
      <c r="H403" s="27">
        <f t="shared" si="232"/>
        <v>0</v>
      </c>
      <c r="I403" s="27">
        <f t="shared" si="233"/>
        <v>0</v>
      </c>
      <c r="J403" s="27"/>
      <c r="K403" s="27">
        <f t="shared" si="234"/>
        <v>0</v>
      </c>
      <c r="L403" s="27"/>
      <c r="M403" s="27">
        <f t="shared" si="235"/>
        <v>0</v>
      </c>
      <c r="N403" s="27"/>
      <c r="O403" s="27">
        <f t="shared" si="236"/>
        <v>20725.41154547549</v>
      </c>
      <c r="P403" s="27">
        <f t="shared" si="237"/>
        <v>14198.908454524508</v>
      </c>
      <c r="Q403" s="27"/>
      <c r="R403" s="27">
        <f t="shared" si="238"/>
        <v>0</v>
      </c>
      <c r="S403" s="27">
        <f t="shared" si="239"/>
        <v>0</v>
      </c>
      <c r="T403" s="27"/>
      <c r="U403" s="27">
        <f t="shared" si="240"/>
        <v>0</v>
      </c>
      <c r="V403" s="27"/>
      <c r="W403" s="27">
        <f t="shared" si="241"/>
        <v>0</v>
      </c>
      <c r="X403" s="27"/>
      <c r="Y403" s="27">
        <f t="shared" si="242"/>
        <v>0</v>
      </c>
      <c r="Z403" s="27"/>
      <c r="AA403" s="27">
        <f t="shared" si="243"/>
        <v>0</v>
      </c>
      <c r="AB403" s="27">
        <f t="shared" si="244"/>
        <v>34924.32</v>
      </c>
      <c r="AC403" s="21" t="str">
        <f t="shared" si="245"/>
        <v>ok</v>
      </c>
    </row>
    <row r="404" spans="1:29" x14ac:dyDescent="0.25">
      <c r="A404" s="14">
        <v>594</v>
      </c>
      <c r="B404" s="14" t="s">
        <v>126</v>
      </c>
      <c r="C404" s="14" t="s">
        <v>496</v>
      </c>
      <c r="D404" s="14" t="s">
        <v>35</v>
      </c>
      <c r="F404" s="167">
        <v>931.67</v>
      </c>
      <c r="G404" s="27"/>
      <c r="H404" s="27">
        <f t="shared" si="232"/>
        <v>0</v>
      </c>
      <c r="I404" s="27">
        <f t="shared" si="233"/>
        <v>0</v>
      </c>
      <c r="J404" s="27"/>
      <c r="K404" s="27">
        <f t="shared" si="234"/>
        <v>0</v>
      </c>
      <c r="L404" s="27"/>
      <c r="M404" s="27">
        <f t="shared" si="235"/>
        <v>0</v>
      </c>
      <c r="N404" s="27"/>
      <c r="O404" s="27">
        <f t="shared" si="236"/>
        <v>86.555920744872381</v>
      </c>
      <c r="P404" s="27">
        <f t="shared" si="237"/>
        <v>845.11407925512754</v>
      </c>
      <c r="Q404" s="27"/>
      <c r="R404" s="27">
        <f t="shared" si="238"/>
        <v>0</v>
      </c>
      <c r="S404" s="27">
        <f t="shared" si="239"/>
        <v>0</v>
      </c>
      <c r="T404" s="27"/>
      <c r="U404" s="27">
        <f t="shared" si="240"/>
        <v>0</v>
      </c>
      <c r="V404" s="27"/>
      <c r="W404" s="27">
        <f t="shared" si="241"/>
        <v>0</v>
      </c>
      <c r="X404" s="27"/>
      <c r="Y404" s="27">
        <f t="shared" si="242"/>
        <v>0</v>
      </c>
      <c r="Z404" s="27"/>
      <c r="AA404" s="27">
        <f t="shared" si="243"/>
        <v>0</v>
      </c>
      <c r="AB404" s="27">
        <f t="shared" si="244"/>
        <v>931.67</v>
      </c>
      <c r="AC404" s="21" t="str">
        <f t="shared" si="245"/>
        <v>ok</v>
      </c>
    </row>
    <row r="405" spans="1:29" x14ac:dyDescent="0.25">
      <c r="A405" s="14">
        <v>595</v>
      </c>
      <c r="B405" s="14" t="s">
        <v>128</v>
      </c>
      <c r="C405" s="14" t="s">
        <v>497</v>
      </c>
      <c r="D405" s="14" t="s">
        <v>37</v>
      </c>
      <c r="F405" s="167">
        <v>0</v>
      </c>
      <c r="G405" s="27"/>
      <c r="H405" s="27">
        <f t="shared" si="232"/>
        <v>0</v>
      </c>
      <c r="I405" s="27">
        <f t="shared" si="233"/>
        <v>0</v>
      </c>
      <c r="J405" s="27"/>
      <c r="K405" s="27">
        <f t="shared" si="234"/>
        <v>0</v>
      </c>
      <c r="L405" s="27"/>
      <c r="M405" s="27">
        <f t="shared" si="235"/>
        <v>0</v>
      </c>
      <c r="N405" s="27"/>
      <c r="O405" s="27">
        <f t="shared" si="236"/>
        <v>0</v>
      </c>
      <c r="P405" s="27">
        <f t="shared" si="237"/>
        <v>0</v>
      </c>
      <c r="Q405" s="27"/>
      <c r="R405" s="27">
        <f t="shared" si="238"/>
        <v>0</v>
      </c>
      <c r="S405" s="27">
        <f t="shared" si="239"/>
        <v>0</v>
      </c>
      <c r="T405" s="27"/>
      <c r="U405" s="27">
        <f t="shared" si="240"/>
        <v>0</v>
      </c>
      <c r="V405" s="27"/>
      <c r="W405" s="27">
        <f t="shared" si="241"/>
        <v>0</v>
      </c>
      <c r="X405" s="27"/>
      <c r="Y405" s="27">
        <f t="shared" si="242"/>
        <v>0</v>
      </c>
      <c r="Z405" s="27"/>
      <c r="AA405" s="27">
        <f t="shared" si="243"/>
        <v>0</v>
      </c>
      <c r="AB405" s="27">
        <f t="shared" si="244"/>
        <v>0</v>
      </c>
      <c r="AC405" s="21" t="str">
        <f t="shared" si="245"/>
        <v>ok</v>
      </c>
    </row>
    <row r="406" spans="1:29" x14ac:dyDescent="0.25">
      <c r="A406" s="14">
        <v>596</v>
      </c>
      <c r="B406" s="14" t="s">
        <v>379</v>
      </c>
      <c r="C406" s="14" t="s">
        <v>498</v>
      </c>
      <c r="D406" s="14" t="s">
        <v>48</v>
      </c>
      <c r="F406" s="167">
        <v>0</v>
      </c>
      <c r="G406" s="27"/>
      <c r="H406" s="27">
        <f t="shared" si="232"/>
        <v>0</v>
      </c>
      <c r="I406" s="27">
        <f t="shared" si="233"/>
        <v>0</v>
      </c>
      <c r="J406" s="27"/>
      <c r="K406" s="27">
        <f t="shared" si="234"/>
        <v>0</v>
      </c>
      <c r="L406" s="27"/>
      <c r="M406" s="27">
        <f t="shared" si="235"/>
        <v>0</v>
      </c>
      <c r="N406" s="27"/>
      <c r="O406" s="27">
        <f t="shared" si="236"/>
        <v>0</v>
      </c>
      <c r="P406" s="27">
        <f t="shared" si="237"/>
        <v>0</v>
      </c>
      <c r="Q406" s="27"/>
      <c r="R406" s="27">
        <f t="shared" si="238"/>
        <v>0</v>
      </c>
      <c r="S406" s="27">
        <f t="shared" si="239"/>
        <v>0</v>
      </c>
      <c r="T406" s="27"/>
      <c r="U406" s="27">
        <f t="shared" si="240"/>
        <v>0</v>
      </c>
      <c r="V406" s="27"/>
      <c r="W406" s="27">
        <f t="shared" si="241"/>
        <v>0</v>
      </c>
      <c r="X406" s="27"/>
      <c r="Y406" s="27">
        <f t="shared" si="242"/>
        <v>0</v>
      </c>
      <c r="Z406" s="27"/>
      <c r="AA406" s="27">
        <f t="shared" si="243"/>
        <v>0</v>
      </c>
      <c r="AB406" s="27">
        <f t="shared" si="244"/>
        <v>0</v>
      </c>
      <c r="AC406" s="21" t="str">
        <f t="shared" si="245"/>
        <v>ok</v>
      </c>
    </row>
    <row r="407" spans="1:29" x14ac:dyDescent="0.25">
      <c r="A407" s="14">
        <v>597</v>
      </c>
      <c r="B407" s="14" t="s">
        <v>130</v>
      </c>
      <c r="C407" s="14" t="s">
        <v>499</v>
      </c>
      <c r="D407" s="14" t="s">
        <v>43</v>
      </c>
      <c r="F407" s="167">
        <v>0</v>
      </c>
      <c r="G407" s="27"/>
      <c r="H407" s="27">
        <f t="shared" si="232"/>
        <v>0</v>
      </c>
      <c r="I407" s="27">
        <f t="shared" si="233"/>
        <v>0</v>
      </c>
      <c r="J407" s="27"/>
      <c r="K407" s="27">
        <f t="shared" si="234"/>
        <v>0</v>
      </c>
      <c r="L407" s="27"/>
      <c r="M407" s="27">
        <f t="shared" si="235"/>
        <v>0</v>
      </c>
      <c r="N407" s="27"/>
      <c r="O407" s="27">
        <f t="shared" si="236"/>
        <v>0</v>
      </c>
      <c r="P407" s="27">
        <f t="shared" si="237"/>
        <v>0</v>
      </c>
      <c r="Q407" s="27"/>
      <c r="R407" s="27">
        <f t="shared" si="238"/>
        <v>0</v>
      </c>
      <c r="S407" s="27">
        <f t="shared" si="239"/>
        <v>0</v>
      </c>
      <c r="T407" s="27"/>
      <c r="U407" s="27">
        <f t="shared" si="240"/>
        <v>0</v>
      </c>
      <c r="V407" s="27"/>
      <c r="W407" s="27">
        <f t="shared" si="241"/>
        <v>0</v>
      </c>
      <c r="X407" s="27"/>
      <c r="Y407" s="27">
        <f t="shared" si="242"/>
        <v>0</v>
      </c>
      <c r="Z407" s="27"/>
      <c r="AA407" s="27">
        <f t="shared" si="243"/>
        <v>0</v>
      </c>
      <c r="AB407" s="27">
        <f t="shared" si="244"/>
        <v>0</v>
      </c>
      <c r="AC407" s="21" t="str">
        <f t="shared" si="245"/>
        <v>ok</v>
      </c>
    </row>
    <row r="408" spans="1:29" x14ac:dyDescent="0.25">
      <c r="A408" s="14">
        <v>598</v>
      </c>
      <c r="B408" s="14" t="s">
        <v>383</v>
      </c>
      <c r="C408" s="14" t="s">
        <v>500</v>
      </c>
      <c r="D408" s="14" t="s">
        <v>16</v>
      </c>
      <c r="F408" s="167">
        <v>239.44</v>
      </c>
      <c r="G408" s="27"/>
      <c r="H408" s="27">
        <f t="shared" si="232"/>
        <v>0</v>
      </c>
      <c r="I408" s="27">
        <f t="shared" si="233"/>
        <v>0</v>
      </c>
      <c r="J408" s="27"/>
      <c r="K408" s="27">
        <f t="shared" si="234"/>
        <v>0</v>
      </c>
      <c r="L408" s="27"/>
      <c r="M408" s="27">
        <f t="shared" si="235"/>
        <v>0</v>
      </c>
      <c r="N408" s="27"/>
      <c r="O408" s="27">
        <f t="shared" si="236"/>
        <v>100.15159206678317</v>
      </c>
      <c r="P408" s="27">
        <f t="shared" si="237"/>
        <v>98.899378606102303</v>
      </c>
      <c r="Q408" s="27"/>
      <c r="R408" s="27">
        <f t="shared" si="238"/>
        <v>0</v>
      </c>
      <c r="S408" s="27">
        <f t="shared" si="239"/>
        <v>15.951907428688324</v>
      </c>
      <c r="T408" s="27"/>
      <c r="U408" s="27">
        <f t="shared" si="240"/>
        <v>15.704662559364035</v>
      </c>
      <c r="V408" s="27"/>
      <c r="W408" s="27">
        <f t="shared" si="241"/>
        <v>8.7324593390621992</v>
      </c>
      <c r="X408" s="27"/>
      <c r="Y408" s="27">
        <f t="shared" si="242"/>
        <v>0</v>
      </c>
      <c r="Z408" s="27"/>
      <c r="AA408" s="27">
        <f t="shared" si="243"/>
        <v>0</v>
      </c>
      <c r="AB408" s="27">
        <f t="shared" si="244"/>
        <v>239.44</v>
      </c>
      <c r="AC408" s="21" t="str">
        <f t="shared" si="245"/>
        <v>ok</v>
      </c>
    </row>
    <row r="409" spans="1:29" x14ac:dyDescent="0.25">
      <c r="F409" s="16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1"/>
    </row>
    <row r="410" spans="1:29" x14ac:dyDescent="0.25">
      <c r="A410" s="14" t="s">
        <v>537</v>
      </c>
      <c r="C410" s="14" t="s">
        <v>501</v>
      </c>
      <c r="F410" s="174">
        <f>SUM(F401:F409)</f>
        <v>44685.9</v>
      </c>
      <c r="G410" s="40"/>
      <c r="H410" s="40">
        <f>SUM(H401:H409)</f>
        <v>0</v>
      </c>
      <c r="I410" s="40">
        <f>SUM(I401:I409)</f>
        <v>0</v>
      </c>
      <c r="J410" s="40"/>
      <c r="K410" s="40">
        <f>SUM(K401:K409)</f>
        <v>0</v>
      </c>
      <c r="L410" s="40"/>
      <c r="M410" s="40">
        <f>SUM(M401:M409)</f>
        <v>0</v>
      </c>
      <c r="N410" s="40"/>
      <c r="O410" s="40">
        <f>SUM(O401:O409)</f>
        <v>24505.291657276197</v>
      </c>
      <c r="P410" s="40">
        <f>SUM(P401:P409)</f>
        <v>18691.168424807904</v>
      </c>
      <c r="Q410" s="40"/>
      <c r="R410" s="40">
        <f>SUM(R401:R409)</f>
        <v>0</v>
      </c>
      <c r="S410" s="40">
        <f>SUM(S401:S409)</f>
        <v>588.26389460261157</v>
      </c>
      <c r="T410" s="40"/>
      <c r="U410" s="40">
        <f>SUM(U401:U409)</f>
        <v>579.14616179232405</v>
      </c>
      <c r="V410" s="40"/>
      <c r="W410" s="40">
        <f>SUM(W401:W409)</f>
        <v>322.02986152096014</v>
      </c>
      <c r="X410" s="40"/>
      <c r="Y410" s="40">
        <f>SUM(Y401:Y409)</f>
        <v>0</v>
      </c>
      <c r="Z410" s="40"/>
      <c r="AA410" s="40">
        <f>SUM(AA401:AA409)</f>
        <v>0</v>
      </c>
      <c r="AB410" s="27">
        <f>SUM(H410:AA410)</f>
        <v>44685.9</v>
      </c>
      <c r="AC410" s="21" t="str">
        <f>IF(ABS(AB410-F410)&lt;1,"ok","err")</f>
        <v>ok</v>
      </c>
    </row>
    <row r="411" spans="1:29" x14ac:dyDescent="0.25">
      <c r="F411" s="16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C411" s="21"/>
    </row>
    <row r="412" spans="1:29" x14ac:dyDescent="0.25">
      <c r="A412" s="14" t="s">
        <v>538</v>
      </c>
      <c r="F412" s="167">
        <f>F394+F410</f>
        <v>100344.84</v>
      </c>
      <c r="G412" s="27"/>
      <c r="H412" s="27">
        <f>H394+H410</f>
        <v>0</v>
      </c>
      <c r="I412" s="27">
        <f>I394+I410</f>
        <v>0</v>
      </c>
      <c r="J412" s="27"/>
      <c r="K412" s="27">
        <f>K394+K410</f>
        <v>0</v>
      </c>
      <c r="L412" s="27"/>
      <c r="M412" s="27">
        <f>M394+M410</f>
        <v>0</v>
      </c>
      <c r="N412" s="27"/>
      <c r="O412" s="27">
        <f>O394+O410</f>
        <v>45344.834281140618</v>
      </c>
      <c r="P412" s="27">
        <f>P394+P410</f>
        <v>34472.680941461535</v>
      </c>
      <c r="Q412" s="27"/>
      <c r="R412" s="27">
        <f>R394+R410</f>
        <v>0</v>
      </c>
      <c r="S412" s="27">
        <f>S394+S410</f>
        <v>1342.9248910686924</v>
      </c>
      <c r="T412" s="27"/>
      <c r="U412" s="27">
        <f>U394+U410</f>
        <v>1322.1103715080108</v>
      </c>
      <c r="V412" s="27"/>
      <c r="W412" s="27">
        <f>W394+W410</f>
        <v>17862.289514821136</v>
      </c>
      <c r="X412" s="27"/>
      <c r="Y412" s="27">
        <f>Y394+Y410</f>
        <v>0</v>
      </c>
      <c r="Z412" s="27"/>
      <c r="AA412" s="27">
        <f>AA394+AA410</f>
        <v>0</v>
      </c>
      <c r="AB412" s="27">
        <f>SUM(H412:AA412)</f>
        <v>100344.83999999998</v>
      </c>
      <c r="AC412" s="21" t="str">
        <f>IF(ABS(AB412-F412)&lt;1,"ok","err")</f>
        <v>ok</v>
      </c>
    </row>
    <row r="413" spans="1:29" x14ac:dyDescent="0.25">
      <c r="F413" s="16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C413" s="21"/>
    </row>
    <row r="414" spans="1:29" x14ac:dyDescent="0.25">
      <c r="A414" s="14" t="s">
        <v>539</v>
      </c>
      <c r="F414" s="167">
        <f>F412+F379</f>
        <v>100344.84</v>
      </c>
      <c r="G414" s="27"/>
      <c r="H414" s="27">
        <f>H412+H379</f>
        <v>0</v>
      </c>
      <c r="I414" s="27">
        <f>I412+I379</f>
        <v>0</v>
      </c>
      <c r="J414" s="27"/>
      <c r="K414" s="27">
        <f>K412+K379</f>
        <v>0</v>
      </c>
      <c r="L414" s="27"/>
      <c r="M414" s="27">
        <f>M412+M379</f>
        <v>0</v>
      </c>
      <c r="N414" s="27"/>
      <c r="O414" s="27">
        <f>O412+O379</f>
        <v>45344.834281140618</v>
      </c>
      <c r="P414" s="27">
        <f>P412+P379</f>
        <v>34472.680941461535</v>
      </c>
      <c r="Q414" s="27"/>
      <c r="R414" s="27">
        <f>R412+R379</f>
        <v>0</v>
      </c>
      <c r="S414" s="27">
        <f>S412+S379</f>
        <v>1342.9248910686924</v>
      </c>
      <c r="T414" s="27"/>
      <c r="U414" s="27">
        <f>U412+U379</f>
        <v>1322.1103715080108</v>
      </c>
      <c r="V414" s="27"/>
      <c r="W414" s="27">
        <f>W412+W379</f>
        <v>17862.289514821136</v>
      </c>
      <c r="X414" s="27"/>
      <c r="Y414" s="27">
        <f>Y412+Y379</f>
        <v>0</v>
      </c>
      <c r="Z414" s="27"/>
      <c r="AA414" s="27">
        <f>AA412+AA379</f>
        <v>0</v>
      </c>
      <c r="AB414" s="27">
        <f>SUM(H414:AA414)</f>
        <v>100344.83999999998</v>
      </c>
      <c r="AC414" s="21" t="str">
        <f>IF(ABS(AB414-F414)&lt;1,"ok","err")</f>
        <v>ok</v>
      </c>
    </row>
    <row r="415" spans="1:29" x14ac:dyDescent="0.25">
      <c r="F415" s="16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C415" s="21"/>
    </row>
    <row r="416" spans="1:29" x14ac:dyDescent="0.25">
      <c r="A416" s="14" t="s">
        <v>540</v>
      </c>
      <c r="C416" s="14" t="s">
        <v>502</v>
      </c>
      <c r="F416" s="174">
        <f>F414+F367</f>
        <v>100344.84</v>
      </c>
      <c r="G416" s="40"/>
      <c r="H416" s="40">
        <f>H414+H367</f>
        <v>0</v>
      </c>
      <c r="I416" s="40">
        <f>I414+I367</f>
        <v>0</v>
      </c>
      <c r="J416" s="40"/>
      <c r="K416" s="40">
        <f>K414+K367</f>
        <v>0</v>
      </c>
      <c r="L416" s="40"/>
      <c r="M416" s="40">
        <f>M414+M367</f>
        <v>0</v>
      </c>
      <c r="N416" s="40"/>
      <c r="O416" s="40">
        <f>O414+O367</f>
        <v>45344.834281140618</v>
      </c>
      <c r="P416" s="40">
        <f>P414+P367</f>
        <v>34472.680941461535</v>
      </c>
      <c r="Q416" s="40"/>
      <c r="R416" s="40">
        <f>R414+R367</f>
        <v>0</v>
      </c>
      <c r="S416" s="40">
        <f>S414+S367</f>
        <v>1342.9248910686924</v>
      </c>
      <c r="T416" s="40"/>
      <c r="U416" s="40">
        <f>U414+U367</f>
        <v>1322.1103715080108</v>
      </c>
      <c r="V416" s="40"/>
      <c r="W416" s="40">
        <f>W414+W367</f>
        <v>17862.289514821136</v>
      </c>
      <c r="X416" s="40"/>
      <c r="Y416" s="40">
        <f>Y414+Y367</f>
        <v>0</v>
      </c>
      <c r="Z416" s="40"/>
      <c r="AA416" s="40">
        <f>AA414+AA367</f>
        <v>0</v>
      </c>
      <c r="AB416" s="27">
        <f>SUM(H416:AA416)</f>
        <v>100344.83999999998</v>
      </c>
      <c r="AC416" s="21" t="str">
        <f>IF(ABS(AB416-F416)&lt;1,"ok","err")</f>
        <v>ok</v>
      </c>
    </row>
    <row r="417" spans="1:29" x14ac:dyDescent="0.25">
      <c r="A417" s="13"/>
      <c r="F417" s="16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C417" s="21"/>
    </row>
    <row r="418" spans="1:29" x14ac:dyDescent="0.25">
      <c r="A418" s="13" t="s">
        <v>137</v>
      </c>
      <c r="F418" s="16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C418" s="21"/>
    </row>
    <row r="419" spans="1:29" x14ac:dyDescent="0.25">
      <c r="A419" s="14">
        <v>901</v>
      </c>
      <c r="B419" s="14" t="s">
        <v>138</v>
      </c>
      <c r="C419" s="14" t="s">
        <v>503</v>
      </c>
      <c r="D419" s="14" t="s">
        <v>140</v>
      </c>
      <c r="F419" s="174">
        <v>0</v>
      </c>
      <c r="G419" s="40"/>
      <c r="H419" s="27">
        <f>IF(VLOOKUP($D419,$C$5:$AA$496,6,)=0,0,((VLOOKUP($D419,$C$5:$AA$496,6,)/VLOOKUP($D419,$C$5:$AA$496,4,))*$F419))</f>
        <v>0</v>
      </c>
      <c r="I419" s="27">
        <f>IF(VLOOKUP($D419,$C$5:$AA$496,7,)=0,0,((VLOOKUP($D419,$C$5:$AA$496,7,)/VLOOKUP($D419,$C$5:$AA$496,4,))*$F419))</f>
        <v>0</v>
      </c>
      <c r="J419" s="27"/>
      <c r="K419" s="27">
        <f>IF(VLOOKUP($D419,$C$5:$AA$496,9,)=0,0,((VLOOKUP($D419,$C$5:$AA$496,9,)/VLOOKUP($D419,$C$5:$AA$496,4,))*$F419))</f>
        <v>0</v>
      </c>
      <c r="L419" s="27"/>
      <c r="M419" s="27">
        <f>IF(VLOOKUP($D419,$C$5:$AA$496,11,)=0,0,((VLOOKUP($D419,$C$5:$AA$496,11,)/VLOOKUP($D419,$C$5:$AA$496,4,))*$F419))</f>
        <v>0</v>
      </c>
      <c r="N419" s="27"/>
      <c r="O419" s="27">
        <f>IF(VLOOKUP($D419,$C$5:$AA$496,13,)=0,0,((VLOOKUP($D419,$C$5:$AA$496,13,)/VLOOKUP($D419,$C$5:$AA$496,4,))*$F419))</f>
        <v>0</v>
      </c>
      <c r="P419" s="27">
        <f>IF(VLOOKUP($D419,$C$5:$AA$496,14,)=0,0,((VLOOKUP($D419,$C$5:$AA$496,14,)/VLOOKUP($D419,$C$5:$AA$496,4,))*$F419))</f>
        <v>0</v>
      </c>
      <c r="Q419" s="27"/>
      <c r="R419" s="27">
        <f>IF(VLOOKUP($D419,$C$5:$AA$496,16,)=0,0,((VLOOKUP($D419,$C$5:$AA$496,16,)/VLOOKUP($D419,$C$5:$AA$496,4,))*$F419))</f>
        <v>0</v>
      </c>
      <c r="S419" s="27">
        <f>IF(VLOOKUP($D419,$C$5:$AA$496,17,)=0,0,((VLOOKUP($D419,$C$5:$AA$496,17,)/VLOOKUP($D419,$C$5:$AA$496,4,))*$F419))</f>
        <v>0</v>
      </c>
      <c r="T419" s="27"/>
      <c r="U419" s="27">
        <f>IF(VLOOKUP($D419,$C$5:$AA$496,19,)=0,0,((VLOOKUP($D419,$C$5:$AA$496,19,)/VLOOKUP($D419,$C$5:$AA$496,4,))*$F419))</f>
        <v>0</v>
      </c>
      <c r="V419" s="27"/>
      <c r="W419" s="27">
        <f>IF(VLOOKUP($D419,$C$5:$AA$496,21,)=0,0,((VLOOKUP($D419,$C$5:$AA$496,21,)/VLOOKUP($D419,$C$5:$AA$496,4,))*$F419))</f>
        <v>0</v>
      </c>
      <c r="X419" s="27"/>
      <c r="Y419" s="27">
        <f>IF(VLOOKUP($D419,$C$5:$AA$496,23,)=0,0,((VLOOKUP($D419,$C$5:$AA$496,23,)/VLOOKUP($D419,$C$5:$AA$496,4,))*$F419))</f>
        <v>0</v>
      </c>
      <c r="Z419" s="27"/>
      <c r="AA419" s="27">
        <f>IF(VLOOKUP($D419,$C$5:$AA$496,25,)=0,0,((VLOOKUP($D419,$C$5:$AA$496,25,)/VLOOKUP($D419,$C$5:$AA$496,4,))*$F419))</f>
        <v>0</v>
      </c>
      <c r="AB419" s="27">
        <f>SUM(H419:AA419)</f>
        <v>0</v>
      </c>
      <c r="AC419" s="21" t="str">
        <f>IF(ABS(AB419-F419)&lt;1,"ok","err")</f>
        <v>ok</v>
      </c>
    </row>
    <row r="420" spans="1:29" x14ac:dyDescent="0.25">
      <c r="A420" s="14">
        <v>902</v>
      </c>
      <c r="B420" s="14" t="s">
        <v>141</v>
      </c>
      <c r="C420" s="14" t="s">
        <v>504</v>
      </c>
      <c r="D420" s="14" t="s">
        <v>140</v>
      </c>
      <c r="F420" s="167">
        <v>3412.88</v>
      </c>
      <c r="G420" s="27"/>
      <c r="H420" s="27">
        <f>IF(VLOOKUP($D420,$C$5:$AA$496,6,)=0,0,((VLOOKUP($D420,$C$5:$AA$496,6,)/VLOOKUP($D420,$C$5:$AA$496,4,))*$F420))</f>
        <v>0</v>
      </c>
      <c r="I420" s="27">
        <f>IF(VLOOKUP($D420,$C$5:$AA$496,7,)=0,0,((VLOOKUP($D420,$C$5:$AA$496,7,)/VLOOKUP($D420,$C$5:$AA$496,4,))*$F420))</f>
        <v>0</v>
      </c>
      <c r="J420" s="27"/>
      <c r="K420" s="27">
        <f>IF(VLOOKUP($D420,$C$5:$AA$496,9,)=0,0,((VLOOKUP($D420,$C$5:$AA$496,9,)/VLOOKUP($D420,$C$5:$AA$496,4,))*$F420))</f>
        <v>0</v>
      </c>
      <c r="L420" s="27"/>
      <c r="M420" s="27">
        <f>IF(VLOOKUP($D420,$C$5:$AA$496,11,)=0,0,((VLOOKUP($D420,$C$5:$AA$496,11,)/VLOOKUP($D420,$C$5:$AA$496,4,))*$F420))</f>
        <v>0</v>
      </c>
      <c r="N420" s="27"/>
      <c r="O420" s="27">
        <f>IF(VLOOKUP($D420,$C$5:$AA$496,13,)=0,0,((VLOOKUP($D420,$C$5:$AA$496,13,)/VLOOKUP($D420,$C$5:$AA$496,4,))*$F420))</f>
        <v>0</v>
      </c>
      <c r="P420" s="27">
        <f>IF(VLOOKUP($D420,$C$5:$AA$496,14,)=0,0,((VLOOKUP($D420,$C$5:$AA$496,14,)/VLOOKUP($D420,$C$5:$AA$496,4,))*$F420))</f>
        <v>0</v>
      </c>
      <c r="Q420" s="27"/>
      <c r="R420" s="27">
        <f>IF(VLOOKUP($D420,$C$5:$AA$496,16,)=0,0,((VLOOKUP($D420,$C$5:$AA$496,16,)/VLOOKUP($D420,$C$5:$AA$496,4,))*$F420))</f>
        <v>0</v>
      </c>
      <c r="S420" s="27">
        <f>IF(VLOOKUP($D420,$C$5:$AA$496,17,)=0,0,((VLOOKUP($D420,$C$5:$AA$496,17,)/VLOOKUP($D420,$C$5:$AA$496,4,))*$F420))</f>
        <v>0</v>
      </c>
      <c r="T420" s="27"/>
      <c r="U420" s="27">
        <f>IF(VLOOKUP($D420,$C$5:$AA$496,19,)=0,0,((VLOOKUP($D420,$C$5:$AA$496,19,)/VLOOKUP($D420,$C$5:$AA$496,4,))*$F420))</f>
        <v>0</v>
      </c>
      <c r="V420" s="27"/>
      <c r="W420" s="27">
        <f>IF(VLOOKUP($D420,$C$5:$AA$496,21,)=0,0,((VLOOKUP($D420,$C$5:$AA$496,21,)/VLOOKUP($D420,$C$5:$AA$496,4,))*$F420))</f>
        <v>0</v>
      </c>
      <c r="X420" s="27"/>
      <c r="Y420" s="27">
        <f>IF(VLOOKUP($D420,$C$5:$AA$496,23,)=0,0,((VLOOKUP($D420,$C$5:$AA$496,23,)/VLOOKUP($D420,$C$5:$AA$496,4,))*$F420))</f>
        <v>3412.88</v>
      </c>
      <c r="Z420" s="27"/>
      <c r="AA420" s="27">
        <f>IF(VLOOKUP($D420,$C$5:$AA$496,25,)=0,0,((VLOOKUP($D420,$C$5:$AA$496,25,)/VLOOKUP($D420,$C$5:$AA$496,4,))*$F420))</f>
        <v>0</v>
      </c>
      <c r="AB420" s="27">
        <f>SUM(H420:AA420)</f>
        <v>3412.88</v>
      </c>
      <c r="AC420" s="21" t="str">
        <f>IF(ABS(AB420-F420)&lt;1,"ok","err")</f>
        <v>ok</v>
      </c>
    </row>
    <row r="421" spans="1:29" x14ac:dyDescent="0.25">
      <c r="A421" s="14">
        <v>903</v>
      </c>
      <c r="B421" s="14" t="s">
        <v>451</v>
      </c>
      <c r="C421" s="14" t="s">
        <v>505</v>
      </c>
      <c r="D421" s="14" t="s">
        <v>140</v>
      </c>
      <c r="F421" s="167">
        <v>27709.18</v>
      </c>
      <c r="G421" s="27"/>
      <c r="H421" s="27">
        <f>IF(VLOOKUP($D421,$C$5:$AA$496,6,)=0,0,((VLOOKUP($D421,$C$5:$AA$496,6,)/VLOOKUP($D421,$C$5:$AA$496,4,))*$F421))</f>
        <v>0</v>
      </c>
      <c r="I421" s="27">
        <f>IF(VLOOKUP($D421,$C$5:$AA$496,7,)=0,0,((VLOOKUP($D421,$C$5:$AA$496,7,)/VLOOKUP($D421,$C$5:$AA$496,4,))*$F421))</f>
        <v>0</v>
      </c>
      <c r="J421" s="27"/>
      <c r="K421" s="27">
        <f>IF(VLOOKUP($D421,$C$5:$AA$496,9,)=0,0,((VLOOKUP($D421,$C$5:$AA$496,9,)/VLOOKUP($D421,$C$5:$AA$496,4,))*$F421))</f>
        <v>0</v>
      </c>
      <c r="L421" s="27"/>
      <c r="M421" s="27">
        <f>IF(VLOOKUP($D421,$C$5:$AA$496,11,)=0,0,((VLOOKUP($D421,$C$5:$AA$496,11,)/VLOOKUP($D421,$C$5:$AA$496,4,))*$F421))</f>
        <v>0</v>
      </c>
      <c r="N421" s="27"/>
      <c r="O421" s="27">
        <f>IF(VLOOKUP($D421,$C$5:$AA$496,13,)=0,0,((VLOOKUP($D421,$C$5:$AA$496,13,)/VLOOKUP($D421,$C$5:$AA$496,4,))*$F421))</f>
        <v>0</v>
      </c>
      <c r="P421" s="27">
        <f>IF(VLOOKUP($D421,$C$5:$AA$496,14,)=0,0,((VLOOKUP($D421,$C$5:$AA$496,14,)/VLOOKUP($D421,$C$5:$AA$496,4,))*$F421))</f>
        <v>0</v>
      </c>
      <c r="Q421" s="27"/>
      <c r="R421" s="27">
        <f>IF(VLOOKUP($D421,$C$5:$AA$496,16,)=0,0,((VLOOKUP($D421,$C$5:$AA$496,16,)/VLOOKUP($D421,$C$5:$AA$496,4,))*$F421))</f>
        <v>0</v>
      </c>
      <c r="S421" s="27">
        <f>IF(VLOOKUP($D421,$C$5:$AA$496,17,)=0,0,((VLOOKUP($D421,$C$5:$AA$496,17,)/VLOOKUP($D421,$C$5:$AA$496,4,))*$F421))</f>
        <v>0</v>
      </c>
      <c r="T421" s="27"/>
      <c r="U421" s="27">
        <f>IF(VLOOKUP($D421,$C$5:$AA$496,19,)=0,0,((VLOOKUP($D421,$C$5:$AA$496,19,)/VLOOKUP($D421,$C$5:$AA$496,4,))*$F421))</f>
        <v>0</v>
      </c>
      <c r="V421" s="27"/>
      <c r="W421" s="27">
        <f>IF(VLOOKUP($D421,$C$5:$AA$496,21,)=0,0,((VLOOKUP($D421,$C$5:$AA$496,21,)/VLOOKUP($D421,$C$5:$AA$496,4,))*$F421))</f>
        <v>0</v>
      </c>
      <c r="X421" s="27"/>
      <c r="Y421" s="27">
        <f>IF(VLOOKUP($D421,$C$5:$AA$496,23,)=0,0,((VLOOKUP($D421,$C$5:$AA$496,23,)/VLOOKUP($D421,$C$5:$AA$496,4,))*$F421))</f>
        <v>27709.18</v>
      </c>
      <c r="Z421" s="27"/>
      <c r="AA421" s="27">
        <f>IF(VLOOKUP($D421,$C$5:$AA$496,25,)=0,0,((VLOOKUP($D421,$C$5:$AA$496,25,)/VLOOKUP($D421,$C$5:$AA$496,4,))*$F421))</f>
        <v>0</v>
      </c>
      <c r="AB421" s="27">
        <f>SUM(H421:AA421)</f>
        <v>27709.18</v>
      </c>
      <c r="AC421" s="21" t="str">
        <f>IF(ABS(AB421-F421)&lt;1,"ok","err")</f>
        <v>ok</v>
      </c>
    </row>
    <row r="422" spans="1:29" x14ac:dyDescent="0.25">
      <c r="A422" s="14">
        <v>904</v>
      </c>
      <c r="B422" s="14" t="s">
        <v>144</v>
      </c>
      <c r="C422" s="14" t="s">
        <v>506</v>
      </c>
      <c r="D422" s="14" t="s">
        <v>140</v>
      </c>
      <c r="F422" s="167">
        <v>0</v>
      </c>
      <c r="G422" s="27"/>
      <c r="H422" s="27">
        <f>IF(VLOOKUP($D422,$C$5:$AA$496,6,)=0,0,((VLOOKUP($D422,$C$5:$AA$496,6,)/VLOOKUP($D422,$C$5:$AA$496,4,))*$F422))</f>
        <v>0</v>
      </c>
      <c r="I422" s="27">
        <f>IF(VLOOKUP($D422,$C$5:$AA$496,7,)=0,0,((VLOOKUP($D422,$C$5:$AA$496,7,)/VLOOKUP($D422,$C$5:$AA$496,4,))*$F422))</f>
        <v>0</v>
      </c>
      <c r="J422" s="27"/>
      <c r="K422" s="27">
        <f>IF(VLOOKUP($D422,$C$5:$AA$496,9,)=0,0,((VLOOKUP($D422,$C$5:$AA$496,9,)/VLOOKUP($D422,$C$5:$AA$496,4,))*$F422))</f>
        <v>0</v>
      </c>
      <c r="L422" s="27"/>
      <c r="M422" s="27">
        <f>IF(VLOOKUP($D422,$C$5:$AA$496,11,)=0,0,((VLOOKUP($D422,$C$5:$AA$496,11,)/VLOOKUP($D422,$C$5:$AA$496,4,))*$F422))</f>
        <v>0</v>
      </c>
      <c r="N422" s="27"/>
      <c r="O422" s="27">
        <f>IF(VLOOKUP($D422,$C$5:$AA$496,13,)=0,0,((VLOOKUP($D422,$C$5:$AA$496,13,)/VLOOKUP($D422,$C$5:$AA$496,4,))*$F422))</f>
        <v>0</v>
      </c>
      <c r="P422" s="27">
        <f>IF(VLOOKUP($D422,$C$5:$AA$496,14,)=0,0,((VLOOKUP($D422,$C$5:$AA$496,14,)/VLOOKUP($D422,$C$5:$AA$496,4,))*$F422))</f>
        <v>0</v>
      </c>
      <c r="Q422" s="27"/>
      <c r="R422" s="27">
        <f>IF(VLOOKUP($D422,$C$5:$AA$496,16,)=0,0,((VLOOKUP($D422,$C$5:$AA$496,16,)/VLOOKUP($D422,$C$5:$AA$496,4,))*$F422))</f>
        <v>0</v>
      </c>
      <c r="S422" s="27">
        <f>IF(VLOOKUP($D422,$C$5:$AA$496,17,)=0,0,((VLOOKUP($D422,$C$5:$AA$496,17,)/VLOOKUP($D422,$C$5:$AA$496,4,))*$F422))</f>
        <v>0</v>
      </c>
      <c r="T422" s="27"/>
      <c r="U422" s="27">
        <f>IF(VLOOKUP($D422,$C$5:$AA$496,19,)=0,0,((VLOOKUP($D422,$C$5:$AA$496,19,)/VLOOKUP($D422,$C$5:$AA$496,4,))*$F422))</f>
        <v>0</v>
      </c>
      <c r="V422" s="27"/>
      <c r="W422" s="27">
        <f>IF(VLOOKUP($D422,$C$5:$AA$496,21,)=0,0,((VLOOKUP($D422,$C$5:$AA$496,21,)/VLOOKUP($D422,$C$5:$AA$496,4,))*$F422))</f>
        <v>0</v>
      </c>
      <c r="X422" s="27"/>
      <c r="Y422" s="27">
        <f>IF(VLOOKUP($D422,$C$5:$AA$496,23,)=0,0,((VLOOKUP($D422,$C$5:$AA$496,23,)/VLOOKUP($D422,$C$5:$AA$496,4,))*$F422))</f>
        <v>0</v>
      </c>
      <c r="Z422" s="27"/>
      <c r="AA422" s="27">
        <f>IF(VLOOKUP($D422,$C$5:$AA$496,25,)=0,0,((VLOOKUP($D422,$C$5:$AA$496,25,)/VLOOKUP($D422,$C$5:$AA$496,4,))*$F422))</f>
        <v>0</v>
      </c>
      <c r="AB422" s="27">
        <f>SUM(H422:AA422)</f>
        <v>0</v>
      </c>
      <c r="AC422" s="21" t="str">
        <f>IF(ABS(AB422-F422)&lt;1,"ok","err")</f>
        <v>ok</v>
      </c>
    </row>
    <row r="423" spans="1:29" x14ac:dyDescent="0.25">
      <c r="A423" s="14">
        <v>905</v>
      </c>
      <c r="B423" s="14" t="s">
        <v>452</v>
      </c>
      <c r="C423" s="14" t="s">
        <v>505</v>
      </c>
      <c r="D423" s="14" t="s">
        <v>140</v>
      </c>
      <c r="F423" s="167">
        <v>0</v>
      </c>
      <c r="G423" s="27"/>
      <c r="H423" s="27">
        <f>IF(VLOOKUP($D423,$C$5:$AA$496,6,)=0,0,((VLOOKUP($D423,$C$5:$AA$496,6,)/VLOOKUP($D423,$C$5:$AA$496,4,))*$F423))</f>
        <v>0</v>
      </c>
      <c r="I423" s="27">
        <f>IF(VLOOKUP($D423,$C$5:$AA$496,7,)=0,0,((VLOOKUP($D423,$C$5:$AA$496,7,)/VLOOKUP($D423,$C$5:$AA$496,4,))*$F423))</f>
        <v>0</v>
      </c>
      <c r="J423" s="27"/>
      <c r="K423" s="27">
        <f>IF(VLOOKUP($D423,$C$5:$AA$496,9,)=0,0,((VLOOKUP($D423,$C$5:$AA$496,9,)/VLOOKUP($D423,$C$5:$AA$496,4,))*$F423))</f>
        <v>0</v>
      </c>
      <c r="L423" s="27"/>
      <c r="M423" s="27">
        <f>IF(VLOOKUP($D423,$C$5:$AA$496,11,)=0,0,((VLOOKUP($D423,$C$5:$AA$496,11,)/VLOOKUP($D423,$C$5:$AA$496,4,))*$F423))</f>
        <v>0</v>
      </c>
      <c r="N423" s="27"/>
      <c r="O423" s="27">
        <f>IF(VLOOKUP($D423,$C$5:$AA$496,13,)=0,0,((VLOOKUP($D423,$C$5:$AA$496,13,)/VLOOKUP($D423,$C$5:$AA$496,4,))*$F423))</f>
        <v>0</v>
      </c>
      <c r="P423" s="27">
        <f>IF(VLOOKUP($D423,$C$5:$AA$496,14,)=0,0,((VLOOKUP($D423,$C$5:$AA$496,14,)/VLOOKUP($D423,$C$5:$AA$496,4,))*$F423))</f>
        <v>0</v>
      </c>
      <c r="Q423" s="27"/>
      <c r="R423" s="27">
        <f>IF(VLOOKUP($D423,$C$5:$AA$496,16,)=0,0,((VLOOKUP($D423,$C$5:$AA$496,16,)/VLOOKUP($D423,$C$5:$AA$496,4,))*$F423))</f>
        <v>0</v>
      </c>
      <c r="S423" s="27">
        <f>IF(VLOOKUP($D423,$C$5:$AA$496,17,)=0,0,((VLOOKUP($D423,$C$5:$AA$496,17,)/VLOOKUP($D423,$C$5:$AA$496,4,))*$F423))</f>
        <v>0</v>
      </c>
      <c r="T423" s="27"/>
      <c r="U423" s="27">
        <f>IF(VLOOKUP($D423,$C$5:$AA$496,19,)=0,0,((VLOOKUP($D423,$C$5:$AA$496,19,)/VLOOKUP($D423,$C$5:$AA$496,4,))*$F423))</f>
        <v>0</v>
      </c>
      <c r="V423" s="27"/>
      <c r="W423" s="27">
        <f>IF(VLOOKUP($D423,$C$5:$AA$496,21,)=0,0,((VLOOKUP($D423,$C$5:$AA$496,21,)/VLOOKUP($D423,$C$5:$AA$496,4,))*$F423))</f>
        <v>0</v>
      </c>
      <c r="X423" s="27"/>
      <c r="Y423" s="27">
        <f>IF(VLOOKUP($D423,$C$5:$AA$496,23,)=0,0,((VLOOKUP($D423,$C$5:$AA$496,23,)/VLOOKUP($D423,$C$5:$AA$496,4,))*$F423))</f>
        <v>0</v>
      </c>
      <c r="Z423" s="27"/>
      <c r="AA423" s="27">
        <f>IF(VLOOKUP($D423,$C$5:$AA$496,25,)=0,0,((VLOOKUP($D423,$C$5:$AA$496,25,)/VLOOKUP($D423,$C$5:$AA$496,4,))*$F423))</f>
        <v>0</v>
      </c>
      <c r="AB423" s="27">
        <f>SUM(H423:AA423)</f>
        <v>0</v>
      </c>
      <c r="AC423" s="21" t="str">
        <f>IF(ABS(AB423-F423)&lt;1,"ok","err")</f>
        <v>ok</v>
      </c>
    </row>
    <row r="424" spans="1:29" x14ac:dyDescent="0.25">
      <c r="A424" s="13"/>
      <c r="F424" s="16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1"/>
    </row>
    <row r="425" spans="1:29" x14ac:dyDescent="0.25">
      <c r="A425" s="14" t="s">
        <v>541</v>
      </c>
      <c r="C425" s="14" t="s">
        <v>507</v>
      </c>
      <c r="F425" s="174">
        <f>SUM(F419:F424)</f>
        <v>31122.06</v>
      </c>
      <c r="G425" s="40"/>
      <c r="H425" s="40">
        <f>SUM(H419:H424)</f>
        <v>0</v>
      </c>
      <c r="I425" s="40">
        <f>SUM(I419:I424)</f>
        <v>0</v>
      </c>
      <c r="J425" s="40"/>
      <c r="K425" s="40">
        <f>SUM(K419:K424)</f>
        <v>0</v>
      </c>
      <c r="L425" s="40"/>
      <c r="M425" s="40">
        <f>SUM(M419:M424)</f>
        <v>0</v>
      </c>
      <c r="N425" s="40"/>
      <c r="O425" s="40">
        <f>SUM(O419:O424)</f>
        <v>0</v>
      </c>
      <c r="P425" s="40">
        <f>SUM(P419:P424)</f>
        <v>0</v>
      </c>
      <c r="Q425" s="40"/>
      <c r="R425" s="40">
        <f>SUM(R419:R424)</f>
        <v>0</v>
      </c>
      <c r="S425" s="40">
        <f>SUM(S419:S424)</f>
        <v>0</v>
      </c>
      <c r="T425" s="40"/>
      <c r="U425" s="40">
        <f>SUM(U419:U424)</f>
        <v>0</v>
      </c>
      <c r="V425" s="40"/>
      <c r="W425" s="40">
        <f>SUM(W419:W424)</f>
        <v>0</v>
      </c>
      <c r="X425" s="40"/>
      <c r="Y425" s="40">
        <f>SUM(Y419:Y424)</f>
        <v>31122.06</v>
      </c>
      <c r="Z425" s="40"/>
      <c r="AA425" s="40">
        <f>SUM(AA419:AA424)</f>
        <v>0</v>
      </c>
      <c r="AB425" s="27">
        <f>SUM(H425:AA425)</f>
        <v>31122.06</v>
      </c>
      <c r="AC425" s="21" t="str">
        <f>IF(ABS(AB425-F425)&lt;1,"ok","err")</f>
        <v>ok</v>
      </c>
    </row>
    <row r="426" spans="1:29" x14ac:dyDescent="0.25">
      <c r="F426" s="16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C426" s="21"/>
    </row>
    <row r="427" spans="1:29" x14ac:dyDescent="0.25">
      <c r="A427" s="13" t="s">
        <v>148</v>
      </c>
      <c r="F427" s="16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C427" s="21"/>
    </row>
    <row r="428" spans="1:29" x14ac:dyDescent="0.25">
      <c r="A428" s="14">
        <v>907</v>
      </c>
      <c r="B428" s="14" t="s">
        <v>384</v>
      </c>
      <c r="C428" s="14" t="s">
        <v>508</v>
      </c>
      <c r="D428" s="14" t="s">
        <v>150</v>
      </c>
      <c r="F428" s="174">
        <v>6591.66</v>
      </c>
      <c r="G428" s="40"/>
      <c r="H428" s="27">
        <f t="shared" ref="H428:H438" si="246">IF(VLOOKUP($D428,$C$5:$AA$496,6,)=0,0,((VLOOKUP($D428,$C$5:$AA$496,6,)/VLOOKUP($D428,$C$5:$AA$496,4,))*$F428))</f>
        <v>0</v>
      </c>
      <c r="I428" s="27">
        <f t="shared" ref="I428:I438" si="247">IF(VLOOKUP($D428,$C$5:$AA$496,7,)=0,0,((VLOOKUP($D428,$C$5:$AA$496,7,)/VLOOKUP($D428,$C$5:$AA$496,4,))*$F428))</f>
        <v>0</v>
      </c>
      <c r="J428" s="27"/>
      <c r="K428" s="27">
        <f t="shared" ref="K428:K438" si="248">IF(VLOOKUP($D428,$C$5:$AA$496,9,)=0,0,((VLOOKUP($D428,$C$5:$AA$496,9,)/VLOOKUP($D428,$C$5:$AA$496,4,))*$F428))</f>
        <v>0</v>
      </c>
      <c r="L428" s="27"/>
      <c r="M428" s="27">
        <f t="shared" ref="M428:M438" si="249">IF(VLOOKUP($D428,$C$5:$AA$496,11,)=0,0,((VLOOKUP($D428,$C$5:$AA$496,11,)/VLOOKUP($D428,$C$5:$AA$496,4,))*$F428))</f>
        <v>0</v>
      </c>
      <c r="N428" s="27"/>
      <c r="O428" s="27">
        <f t="shared" ref="O428:O438" si="250">IF(VLOOKUP($D428,$C$5:$AA$496,13,)=0,0,((VLOOKUP($D428,$C$5:$AA$496,13,)/VLOOKUP($D428,$C$5:$AA$496,4,))*$F428))</f>
        <v>0</v>
      </c>
      <c r="P428" s="27">
        <f t="shared" ref="P428:P438" si="251">IF(VLOOKUP($D428,$C$5:$AA$496,14,)=0,0,((VLOOKUP($D428,$C$5:$AA$496,14,)/VLOOKUP($D428,$C$5:$AA$496,4,))*$F428))</f>
        <v>0</v>
      </c>
      <c r="Q428" s="27"/>
      <c r="R428" s="27">
        <f t="shared" ref="R428:R438" si="252">IF(VLOOKUP($D428,$C$5:$AA$496,16,)=0,0,((VLOOKUP($D428,$C$5:$AA$496,16,)/VLOOKUP($D428,$C$5:$AA$496,4,))*$F428))</f>
        <v>0</v>
      </c>
      <c r="S428" s="27">
        <f t="shared" ref="S428:S438" si="253">IF(VLOOKUP($D428,$C$5:$AA$496,17,)=0,0,((VLOOKUP($D428,$C$5:$AA$496,17,)/VLOOKUP($D428,$C$5:$AA$496,4,))*$F428))</f>
        <v>0</v>
      </c>
      <c r="T428" s="27"/>
      <c r="U428" s="27">
        <f t="shared" ref="U428:U438" si="254">IF(VLOOKUP($D428,$C$5:$AA$496,19,)=0,0,((VLOOKUP($D428,$C$5:$AA$496,19,)/VLOOKUP($D428,$C$5:$AA$496,4,))*$F428))</f>
        <v>0</v>
      </c>
      <c r="V428" s="27"/>
      <c r="W428" s="27">
        <f t="shared" ref="W428:W438" si="255">IF(VLOOKUP($D428,$C$5:$AA$496,21,)=0,0,((VLOOKUP($D428,$C$5:$AA$496,21,)/VLOOKUP($D428,$C$5:$AA$496,4,))*$F428))</f>
        <v>0</v>
      </c>
      <c r="X428" s="27"/>
      <c r="Y428" s="27">
        <f t="shared" ref="Y428:Y438" si="256">IF(VLOOKUP($D428,$C$5:$AA$496,23,)=0,0,((VLOOKUP($D428,$C$5:$AA$496,23,)/VLOOKUP($D428,$C$5:$AA$496,4,))*$F428))</f>
        <v>6591.66</v>
      </c>
      <c r="Z428" s="27"/>
      <c r="AA428" s="27">
        <f t="shared" ref="AA428:AA438" si="257">IF(VLOOKUP($D428,$C$5:$AA$496,25,)=0,0,((VLOOKUP($D428,$C$5:$AA$496,25,)/VLOOKUP($D428,$C$5:$AA$496,4,))*$F428))</f>
        <v>0</v>
      </c>
      <c r="AB428" s="27">
        <f t="shared" ref="AB428:AB438" si="258">SUM(H428:AA428)</f>
        <v>6591.66</v>
      </c>
      <c r="AC428" s="21" t="str">
        <f t="shared" ref="AC428:AC438" si="259">IF(ABS(AB428-F428)&lt;1,"ok","err")</f>
        <v>ok</v>
      </c>
    </row>
    <row r="429" spans="1:29" x14ac:dyDescent="0.25">
      <c r="A429" s="14">
        <v>908</v>
      </c>
      <c r="B429" s="14" t="s">
        <v>151</v>
      </c>
      <c r="C429" s="14" t="s">
        <v>509</v>
      </c>
      <c r="D429" s="14" t="s">
        <v>150</v>
      </c>
      <c r="F429" s="167">
        <v>0</v>
      </c>
      <c r="G429" s="27"/>
      <c r="H429" s="27">
        <f t="shared" si="246"/>
        <v>0</v>
      </c>
      <c r="I429" s="27">
        <f t="shared" si="247"/>
        <v>0</v>
      </c>
      <c r="J429" s="27"/>
      <c r="K429" s="27">
        <f t="shared" si="248"/>
        <v>0</v>
      </c>
      <c r="L429" s="27"/>
      <c r="M429" s="27">
        <f t="shared" si="249"/>
        <v>0</v>
      </c>
      <c r="N429" s="27"/>
      <c r="O429" s="27">
        <f t="shared" si="250"/>
        <v>0</v>
      </c>
      <c r="P429" s="27">
        <f t="shared" si="251"/>
        <v>0</v>
      </c>
      <c r="Q429" s="27"/>
      <c r="R429" s="27">
        <f t="shared" si="252"/>
        <v>0</v>
      </c>
      <c r="S429" s="27">
        <f t="shared" si="253"/>
        <v>0</v>
      </c>
      <c r="T429" s="27"/>
      <c r="U429" s="27">
        <f t="shared" si="254"/>
        <v>0</v>
      </c>
      <c r="V429" s="27"/>
      <c r="W429" s="27">
        <f t="shared" si="255"/>
        <v>0</v>
      </c>
      <c r="X429" s="27"/>
      <c r="Y429" s="27">
        <f t="shared" si="256"/>
        <v>0</v>
      </c>
      <c r="Z429" s="27"/>
      <c r="AA429" s="27">
        <f t="shared" si="257"/>
        <v>0</v>
      </c>
      <c r="AB429" s="27">
        <f t="shared" si="258"/>
        <v>0</v>
      </c>
      <c r="AC429" s="21" t="str">
        <f t="shared" si="259"/>
        <v>ok</v>
      </c>
    </row>
    <row r="430" spans="1:29" x14ac:dyDescent="0.25">
      <c r="A430" s="14">
        <v>908</v>
      </c>
      <c r="B430" s="14" t="s">
        <v>453</v>
      </c>
      <c r="C430" s="14" t="s">
        <v>510</v>
      </c>
      <c r="D430" s="14" t="s">
        <v>470</v>
      </c>
      <c r="F430" s="167">
        <v>0</v>
      </c>
      <c r="G430" s="27"/>
      <c r="H430" s="27">
        <f t="shared" si="246"/>
        <v>0</v>
      </c>
      <c r="I430" s="27">
        <f t="shared" si="247"/>
        <v>0</v>
      </c>
      <c r="J430" s="27"/>
      <c r="K430" s="27">
        <f t="shared" si="248"/>
        <v>0</v>
      </c>
      <c r="L430" s="27"/>
      <c r="M430" s="27">
        <f t="shared" si="249"/>
        <v>0</v>
      </c>
      <c r="N430" s="27"/>
      <c r="O430" s="27">
        <f t="shared" si="250"/>
        <v>0</v>
      </c>
      <c r="P430" s="27">
        <f t="shared" si="251"/>
        <v>0</v>
      </c>
      <c r="Q430" s="27"/>
      <c r="R430" s="27">
        <f t="shared" si="252"/>
        <v>0</v>
      </c>
      <c r="S430" s="27">
        <f t="shared" si="253"/>
        <v>0</v>
      </c>
      <c r="T430" s="27"/>
      <c r="U430" s="27">
        <f t="shared" si="254"/>
        <v>0</v>
      </c>
      <c r="V430" s="27"/>
      <c r="W430" s="27">
        <f t="shared" si="255"/>
        <v>0</v>
      </c>
      <c r="X430" s="27"/>
      <c r="Y430" s="27">
        <f t="shared" si="256"/>
        <v>0</v>
      </c>
      <c r="Z430" s="27"/>
      <c r="AA430" s="27">
        <f t="shared" si="257"/>
        <v>0</v>
      </c>
      <c r="AB430" s="27">
        <f t="shared" si="258"/>
        <v>0</v>
      </c>
      <c r="AC430" s="21" t="str">
        <f t="shared" si="259"/>
        <v>ok</v>
      </c>
    </row>
    <row r="431" spans="1:29" x14ac:dyDescent="0.25">
      <c r="A431" s="14">
        <v>909</v>
      </c>
      <c r="B431" s="14" t="s">
        <v>153</v>
      </c>
      <c r="C431" s="14" t="s">
        <v>511</v>
      </c>
      <c r="D431" s="14" t="s">
        <v>150</v>
      </c>
      <c r="F431" s="167">
        <v>0</v>
      </c>
      <c r="G431" s="27"/>
      <c r="H431" s="27">
        <f t="shared" si="246"/>
        <v>0</v>
      </c>
      <c r="I431" s="27">
        <f t="shared" si="247"/>
        <v>0</v>
      </c>
      <c r="J431" s="27"/>
      <c r="K431" s="27">
        <f t="shared" si="248"/>
        <v>0</v>
      </c>
      <c r="L431" s="27"/>
      <c r="M431" s="27">
        <f t="shared" si="249"/>
        <v>0</v>
      </c>
      <c r="N431" s="27"/>
      <c r="O431" s="27">
        <f t="shared" si="250"/>
        <v>0</v>
      </c>
      <c r="P431" s="27">
        <f t="shared" si="251"/>
        <v>0</v>
      </c>
      <c r="Q431" s="27"/>
      <c r="R431" s="27">
        <f t="shared" si="252"/>
        <v>0</v>
      </c>
      <c r="S431" s="27">
        <f t="shared" si="253"/>
        <v>0</v>
      </c>
      <c r="T431" s="27"/>
      <c r="U431" s="27">
        <f t="shared" si="254"/>
        <v>0</v>
      </c>
      <c r="V431" s="27"/>
      <c r="W431" s="27">
        <f t="shared" si="255"/>
        <v>0</v>
      </c>
      <c r="X431" s="27"/>
      <c r="Y431" s="27">
        <f t="shared" si="256"/>
        <v>0</v>
      </c>
      <c r="Z431" s="27"/>
      <c r="AA431" s="27">
        <f t="shared" si="257"/>
        <v>0</v>
      </c>
      <c r="AB431" s="27">
        <f t="shared" si="258"/>
        <v>0</v>
      </c>
      <c r="AC431" s="21" t="str">
        <f t="shared" si="259"/>
        <v>ok</v>
      </c>
    </row>
    <row r="432" spans="1:29" x14ac:dyDescent="0.25">
      <c r="A432" s="14">
        <v>909</v>
      </c>
      <c r="B432" s="14" t="s">
        <v>455</v>
      </c>
      <c r="C432" s="14" t="s">
        <v>512</v>
      </c>
      <c r="D432" s="14" t="s">
        <v>470</v>
      </c>
      <c r="F432" s="167">
        <v>0</v>
      </c>
      <c r="G432" s="27"/>
      <c r="H432" s="27">
        <f t="shared" si="246"/>
        <v>0</v>
      </c>
      <c r="I432" s="27">
        <f t="shared" si="247"/>
        <v>0</v>
      </c>
      <c r="J432" s="27"/>
      <c r="K432" s="27">
        <f t="shared" si="248"/>
        <v>0</v>
      </c>
      <c r="L432" s="27"/>
      <c r="M432" s="27">
        <f t="shared" si="249"/>
        <v>0</v>
      </c>
      <c r="N432" s="27"/>
      <c r="O432" s="27">
        <f t="shared" si="250"/>
        <v>0</v>
      </c>
      <c r="P432" s="27">
        <f t="shared" si="251"/>
        <v>0</v>
      </c>
      <c r="Q432" s="27"/>
      <c r="R432" s="27">
        <f t="shared" si="252"/>
        <v>0</v>
      </c>
      <c r="S432" s="27">
        <f t="shared" si="253"/>
        <v>0</v>
      </c>
      <c r="T432" s="27"/>
      <c r="U432" s="27">
        <f t="shared" si="254"/>
        <v>0</v>
      </c>
      <c r="V432" s="27"/>
      <c r="W432" s="27">
        <f t="shared" si="255"/>
        <v>0</v>
      </c>
      <c r="X432" s="27"/>
      <c r="Y432" s="27">
        <f t="shared" si="256"/>
        <v>0</v>
      </c>
      <c r="Z432" s="27"/>
      <c r="AA432" s="27">
        <f t="shared" si="257"/>
        <v>0</v>
      </c>
      <c r="AB432" s="27">
        <f t="shared" si="258"/>
        <v>0</v>
      </c>
      <c r="AC432" s="21" t="str">
        <f t="shared" si="259"/>
        <v>ok</v>
      </c>
    </row>
    <row r="433" spans="1:29" x14ac:dyDescent="0.25">
      <c r="A433" s="14">
        <v>910</v>
      </c>
      <c r="B433" s="14" t="s">
        <v>155</v>
      </c>
      <c r="C433" s="14" t="s">
        <v>513</v>
      </c>
      <c r="D433" s="14" t="s">
        <v>150</v>
      </c>
      <c r="F433" s="167">
        <v>0</v>
      </c>
      <c r="G433" s="27"/>
      <c r="H433" s="27">
        <f t="shared" si="246"/>
        <v>0</v>
      </c>
      <c r="I433" s="27">
        <f t="shared" si="247"/>
        <v>0</v>
      </c>
      <c r="J433" s="27"/>
      <c r="K433" s="27">
        <f t="shared" si="248"/>
        <v>0</v>
      </c>
      <c r="L433" s="27"/>
      <c r="M433" s="27">
        <f t="shared" si="249"/>
        <v>0</v>
      </c>
      <c r="N433" s="27"/>
      <c r="O433" s="27">
        <f t="shared" si="250"/>
        <v>0</v>
      </c>
      <c r="P433" s="27">
        <f t="shared" si="251"/>
        <v>0</v>
      </c>
      <c r="Q433" s="27"/>
      <c r="R433" s="27">
        <f t="shared" si="252"/>
        <v>0</v>
      </c>
      <c r="S433" s="27">
        <f t="shared" si="253"/>
        <v>0</v>
      </c>
      <c r="T433" s="27"/>
      <c r="U433" s="27">
        <f t="shared" si="254"/>
        <v>0</v>
      </c>
      <c r="V433" s="27"/>
      <c r="W433" s="27">
        <f t="shared" si="255"/>
        <v>0</v>
      </c>
      <c r="X433" s="27"/>
      <c r="Y433" s="27">
        <f t="shared" si="256"/>
        <v>0</v>
      </c>
      <c r="Z433" s="27"/>
      <c r="AA433" s="27">
        <f t="shared" si="257"/>
        <v>0</v>
      </c>
      <c r="AB433" s="27">
        <f t="shared" si="258"/>
        <v>0</v>
      </c>
      <c r="AC433" s="21" t="str">
        <f t="shared" si="259"/>
        <v>ok</v>
      </c>
    </row>
    <row r="434" spans="1:29" x14ac:dyDescent="0.25">
      <c r="A434" s="14">
        <v>911</v>
      </c>
      <c r="B434" s="14" t="s">
        <v>384</v>
      </c>
      <c r="C434" s="14" t="s">
        <v>709</v>
      </c>
      <c r="D434" s="14" t="s">
        <v>150</v>
      </c>
      <c r="F434" s="167">
        <v>0</v>
      </c>
      <c r="G434" s="27"/>
      <c r="H434" s="27">
        <f t="shared" si="246"/>
        <v>0</v>
      </c>
      <c r="I434" s="27">
        <f t="shared" si="247"/>
        <v>0</v>
      </c>
      <c r="J434" s="27"/>
      <c r="K434" s="27">
        <f t="shared" si="248"/>
        <v>0</v>
      </c>
      <c r="L434" s="27"/>
      <c r="M434" s="27">
        <f t="shared" si="249"/>
        <v>0</v>
      </c>
      <c r="N434" s="27"/>
      <c r="O434" s="27">
        <f t="shared" si="250"/>
        <v>0</v>
      </c>
      <c r="P434" s="27">
        <f t="shared" si="251"/>
        <v>0</v>
      </c>
      <c r="Q434" s="27"/>
      <c r="R434" s="27">
        <f t="shared" si="252"/>
        <v>0</v>
      </c>
      <c r="S434" s="27">
        <f t="shared" si="253"/>
        <v>0</v>
      </c>
      <c r="T434" s="27"/>
      <c r="U434" s="27">
        <f t="shared" si="254"/>
        <v>0</v>
      </c>
      <c r="V434" s="27"/>
      <c r="W434" s="27">
        <f t="shared" si="255"/>
        <v>0</v>
      </c>
      <c r="X434" s="27"/>
      <c r="Y434" s="27">
        <f t="shared" si="256"/>
        <v>0</v>
      </c>
      <c r="Z434" s="27"/>
      <c r="AA434" s="27">
        <f t="shared" si="257"/>
        <v>0</v>
      </c>
      <c r="AB434" s="27">
        <f>SUM(H434:AA434)</f>
        <v>0</v>
      </c>
      <c r="AC434" s="21" t="str">
        <f>IF(ABS(AB434-F434)&lt;1,"ok","err")</f>
        <v>ok</v>
      </c>
    </row>
    <row r="435" spans="1:29" x14ac:dyDescent="0.25">
      <c r="A435" s="14">
        <v>912</v>
      </c>
      <c r="B435" s="14" t="s">
        <v>586</v>
      </c>
      <c r="C435" s="14" t="s">
        <v>589</v>
      </c>
      <c r="D435" s="14" t="s">
        <v>470</v>
      </c>
      <c r="F435" s="167">
        <v>0</v>
      </c>
      <c r="G435" s="27"/>
      <c r="H435" s="27">
        <f t="shared" si="246"/>
        <v>0</v>
      </c>
      <c r="I435" s="27">
        <f t="shared" si="247"/>
        <v>0</v>
      </c>
      <c r="J435" s="27"/>
      <c r="K435" s="27">
        <f t="shared" si="248"/>
        <v>0</v>
      </c>
      <c r="L435" s="27"/>
      <c r="M435" s="27">
        <f t="shared" si="249"/>
        <v>0</v>
      </c>
      <c r="N435" s="27"/>
      <c r="O435" s="27">
        <f t="shared" si="250"/>
        <v>0</v>
      </c>
      <c r="P435" s="27">
        <f t="shared" si="251"/>
        <v>0</v>
      </c>
      <c r="Q435" s="27"/>
      <c r="R435" s="27">
        <f t="shared" si="252"/>
        <v>0</v>
      </c>
      <c r="S435" s="27">
        <f t="shared" si="253"/>
        <v>0</v>
      </c>
      <c r="T435" s="27"/>
      <c r="U435" s="27">
        <f t="shared" si="254"/>
        <v>0</v>
      </c>
      <c r="V435" s="27"/>
      <c r="W435" s="27">
        <f t="shared" si="255"/>
        <v>0</v>
      </c>
      <c r="X435" s="27"/>
      <c r="Y435" s="27">
        <f t="shared" si="256"/>
        <v>0</v>
      </c>
      <c r="Z435" s="27"/>
      <c r="AA435" s="27">
        <f t="shared" si="257"/>
        <v>0</v>
      </c>
      <c r="AB435" s="27">
        <f t="shared" si="258"/>
        <v>0</v>
      </c>
      <c r="AC435" s="21" t="str">
        <f t="shared" si="259"/>
        <v>ok</v>
      </c>
    </row>
    <row r="436" spans="1:29" x14ac:dyDescent="0.25">
      <c r="A436" s="14">
        <v>913</v>
      </c>
      <c r="B436" s="14" t="s">
        <v>575</v>
      </c>
      <c r="C436" s="14" t="s">
        <v>590</v>
      </c>
      <c r="D436" s="14" t="s">
        <v>470</v>
      </c>
      <c r="F436" s="167">
        <v>0</v>
      </c>
      <c r="G436" s="27"/>
      <c r="H436" s="27">
        <f t="shared" si="246"/>
        <v>0</v>
      </c>
      <c r="I436" s="27">
        <f t="shared" si="247"/>
        <v>0</v>
      </c>
      <c r="J436" s="27"/>
      <c r="K436" s="27">
        <f t="shared" si="248"/>
        <v>0</v>
      </c>
      <c r="L436" s="27"/>
      <c r="M436" s="27">
        <f t="shared" si="249"/>
        <v>0</v>
      </c>
      <c r="N436" s="27"/>
      <c r="O436" s="27">
        <f t="shared" si="250"/>
        <v>0</v>
      </c>
      <c r="P436" s="27">
        <f t="shared" si="251"/>
        <v>0</v>
      </c>
      <c r="Q436" s="27"/>
      <c r="R436" s="27">
        <f t="shared" si="252"/>
        <v>0</v>
      </c>
      <c r="S436" s="27">
        <f t="shared" si="253"/>
        <v>0</v>
      </c>
      <c r="T436" s="27"/>
      <c r="U436" s="27">
        <f t="shared" si="254"/>
        <v>0</v>
      </c>
      <c r="V436" s="27"/>
      <c r="W436" s="27">
        <f t="shared" si="255"/>
        <v>0</v>
      </c>
      <c r="X436" s="27"/>
      <c r="Y436" s="27">
        <f t="shared" si="256"/>
        <v>0</v>
      </c>
      <c r="Z436" s="27"/>
      <c r="AA436" s="27">
        <f t="shared" si="257"/>
        <v>0</v>
      </c>
      <c r="AB436" s="27">
        <f t="shared" si="258"/>
        <v>0</v>
      </c>
      <c r="AC436" s="21" t="str">
        <f t="shared" si="259"/>
        <v>ok</v>
      </c>
    </row>
    <row r="437" spans="1:29" x14ac:dyDescent="0.25">
      <c r="A437" s="14">
        <v>915</v>
      </c>
      <c r="B437" s="14" t="s">
        <v>636</v>
      </c>
      <c r="C437" s="14" t="s">
        <v>639</v>
      </c>
      <c r="D437" s="14" t="s">
        <v>470</v>
      </c>
      <c r="F437" s="167">
        <v>0</v>
      </c>
      <c r="G437" s="27"/>
      <c r="H437" s="27">
        <f t="shared" si="246"/>
        <v>0</v>
      </c>
      <c r="I437" s="27">
        <f t="shared" si="247"/>
        <v>0</v>
      </c>
      <c r="J437" s="27"/>
      <c r="K437" s="27">
        <f t="shared" si="248"/>
        <v>0</v>
      </c>
      <c r="L437" s="27"/>
      <c r="M437" s="27">
        <f t="shared" si="249"/>
        <v>0</v>
      </c>
      <c r="N437" s="27"/>
      <c r="O437" s="27">
        <f t="shared" si="250"/>
        <v>0</v>
      </c>
      <c r="P437" s="27">
        <f t="shared" si="251"/>
        <v>0</v>
      </c>
      <c r="Q437" s="27"/>
      <c r="R437" s="27">
        <f t="shared" si="252"/>
        <v>0</v>
      </c>
      <c r="S437" s="27">
        <f t="shared" si="253"/>
        <v>0</v>
      </c>
      <c r="T437" s="27"/>
      <c r="U437" s="27">
        <f t="shared" si="254"/>
        <v>0</v>
      </c>
      <c r="V437" s="27"/>
      <c r="W437" s="27">
        <f t="shared" si="255"/>
        <v>0</v>
      </c>
      <c r="X437" s="27"/>
      <c r="Y437" s="27">
        <f t="shared" si="256"/>
        <v>0</v>
      </c>
      <c r="Z437" s="27"/>
      <c r="AA437" s="27">
        <f t="shared" si="257"/>
        <v>0</v>
      </c>
      <c r="AB437" s="27">
        <f t="shared" si="258"/>
        <v>0</v>
      </c>
      <c r="AC437" s="21" t="str">
        <f t="shared" si="259"/>
        <v>ok</v>
      </c>
    </row>
    <row r="438" spans="1:29" x14ac:dyDescent="0.25">
      <c r="A438" s="14">
        <v>916</v>
      </c>
      <c r="B438" s="14" t="s">
        <v>637</v>
      </c>
      <c r="C438" s="14" t="s">
        <v>640</v>
      </c>
      <c r="D438" s="14" t="s">
        <v>470</v>
      </c>
      <c r="F438" s="167">
        <v>0</v>
      </c>
      <c r="G438" s="27"/>
      <c r="H438" s="27">
        <f t="shared" si="246"/>
        <v>0</v>
      </c>
      <c r="I438" s="27">
        <f t="shared" si="247"/>
        <v>0</v>
      </c>
      <c r="J438" s="27"/>
      <c r="K438" s="27">
        <f t="shared" si="248"/>
        <v>0</v>
      </c>
      <c r="L438" s="27"/>
      <c r="M438" s="27">
        <f t="shared" si="249"/>
        <v>0</v>
      </c>
      <c r="N438" s="27"/>
      <c r="O438" s="27">
        <f t="shared" si="250"/>
        <v>0</v>
      </c>
      <c r="P438" s="27">
        <f t="shared" si="251"/>
        <v>0</v>
      </c>
      <c r="Q438" s="27"/>
      <c r="R438" s="27">
        <f t="shared" si="252"/>
        <v>0</v>
      </c>
      <c r="S438" s="27">
        <f t="shared" si="253"/>
        <v>0</v>
      </c>
      <c r="T438" s="27"/>
      <c r="U438" s="27">
        <f t="shared" si="254"/>
        <v>0</v>
      </c>
      <c r="V438" s="27"/>
      <c r="W438" s="27">
        <f t="shared" si="255"/>
        <v>0</v>
      </c>
      <c r="X438" s="27"/>
      <c r="Y438" s="27">
        <f t="shared" si="256"/>
        <v>0</v>
      </c>
      <c r="Z438" s="27"/>
      <c r="AA438" s="27">
        <f t="shared" si="257"/>
        <v>0</v>
      </c>
      <c r="AB438" s="27">
        <f t="shared" si="258"/>
        <v>0</v>
      </c>
      <c r="AC438" s="21" t="str">
        <f t="shared" si="259"/>
        <v>ok</v>
      </c>
    </row>
    <row r="439" spans="1:29" x14ac:dyDescent="0.25">
      <c r="F439" s="16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1"/>
    </row>
    <row r="440" spans="1:29" x14ac:dyDescent="0.25">
      <c r="A440" s="14" t="s">
        <v>542</v>
      </c>
      <c r="C440" s="14" t="s">
        <v>514</v>
      </c>
      <c r="F440" s="174">
        <f>SUM(F428:F439)</f>
        <v>6591.66</v>
      </c>
      <c r="G440" s="40"/>
      <c r="H440" s="40">
        <f>SUM(H428:H439)</f>
        <v>0</v>
      </c>
      <c r="I440" s="40">
        <f>SUM(I428:I439)</f>
        <v>0</v>
      </c>
      <c r="J440" s="40"/>
      <c r="K440" s="40">
        <f>SUM(K428:K439)</f>
        <v>0</v>
      </c>
      <c r="L440" s="40"/>
      <c r="M440" s="40">
        <f>SUM(M428:M439)</f>
        <v>0</v>
      </c>
      <c r="N440" s="40"/>
      <c r="O440" s="40">
        <f>SUM(O428:O439)</f>
        <v>0</v>
      </c>
      <c r="P440" s="40">
        <f>SUM(P428:P439)</f>
        <v>0</v>
      </c>
      <c r="Q440" s="40"/>
      <c r="R440" s="40">
        <f>SUM(R428:R439)</f>
        <v>0</v>
      </c>
      <c r="S440" s="40">
        <f>SUM(S428:S439)</f>
        <v>0</v>
      </c>
      <c r="T440" s="40"/>
      <c r="U440" s="40">
        <f>SUM(U428:U439)</f>
        <v>0</v>
      </c>
      <c r="V440" s="40"/>
      <c r="W440" s="40">
        <f>SUM(W428:W439)</f>
        <v>0</v>
      </c>
      <c r="X440" s="40"/>
      <c r="Y440" s="40">
        <f>SUM(Y428:Y439)</f>
        <v>6591.66</v>
      </c>
      <c r="Z440" s="40"/>
      <c r="AA440" s="40">
        <f>SUM(AA428:AA439)</f>
        <v>0</v>
      </c>
      <c r="AB440" s="27">
        <f>SUM(H440:AA440)</f>
        <v>6591.66</v>
      </c>
      <c r="AC440" s="21" t="str">
        <f>IF(ABS(AB440-F440)&lt;1,"ok","err")</f>
        <v>ok</v>
      </c>
    </row>
    <row r="441" spans="1:29" x14ac:dyDescent="0.25">
      <c r="F441" s="16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C441" s="21"/>
    </row>
    <row r="442" spans="1:29" x14ac:dyDescent="0.25">
      <c r="A442" s="14" t="s">
        <v>543</v>
      </c>
      <c r="C442" s="14" t="s">
        <v>515</v>
      </c>
      <c r="F442" s="167">
        <f>F414+F425+F440</f>
        <v>138058.56</v>
      </c>
      <c r="G442" s="27"/>
      <c r="H442" s="27">
        <f>H414+H425+H440</f>
        <v>0</v>
      </c>
      <c r="I442" s="27">
        <f>I414+I425+I440</f>
        <v>0</v>
      </c>
      <c r="J442" s="27"/>
      <c r="K442" s="27">
        <f>K414+K425+K440</f>
        <v>0</v>
      </c>
      <c r="L442" s="27"/>
      <c r="M442" s="27">
        <f>M414+M425+M440</f>
        <v>0</v>
      </c>
      <c r="N442" s="27"/>
      <c r="O442" s="27">
        <f>O414+O425+O440</f>
        <v>45344.834281140618</v>
      </c>
      <c r="P442" s="27">
        <f>P414+P425+P440</f>
        <v>34472.680941461535</v>
      </c>
      <c r="Q442" s="27"/>
      <c r="R442" s="27">
        <f>R414+R425+R440</f>
        <v>0</v>
      </c>
      <c r="S442" s="27">
        <f>S414+S425+S440</f>
        <v>1342.9248910686924</v>
      </c>
      <c r="T442" s="27"/>
      <c r="U442" s="27">
        <f>U414+U425+U440</f>
        <v>1322.1103715080108</v>
      </c>
      <c r="V442" s="27"/>
      <c r="W442" s="27">
        <f>W414+W425+W440</f>
        <v>17862.289514821136</v>
      </c>
      <c r="X442" s="27"/>
      <c r="Y442" s="27">
        <f>Y414+Y425+Y440</f>
        <v>37713.72</v>
      </c>
      <c r="Z442" s="27"/>
      <c r="AA442" s="27">
        <f>AA414+AA425+AA440</f>
        <v>0</v>
      </c>
      <c r="AB442" s="27">
        <f>SUM(H442:AA442)</f>
        <v>138058.56</v>
      </c>
      <c r="AC442" s="21" t="str">
        <f>IF(ABS(AB442-F442)&lt;1,"ok","err")</f>
        <v>ok</v>
      </c>
    </row>
    <row r="443" spans="1:29" x14ac:dyDescent="0.25">
      <c r="F443" s="16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C443" s="21"/>
    </row>
    <row r="444" spans="1:29" x14ac:dyDescent="0.25">
      <c r="F444" s="16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C444" s="21"/>
    </row>
    <row r="445" spans="1:29" x14ac:dyDescent="0.25">
      <c r="A445" s="19" t="s">
        <v>472</v>
      </c>
      <c r="F445" s="16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C445" s="21"/>
    </row>
    <row r="446" spans="1:29" x14ac:dyDescent="0.25">
      <c r="F446" s="16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C446" s="21"/>
    </row>
    <row r="447" spans="1:29" x14ac:dyDescent="0.25">
      <c r="A447" s="13" t="s">
        <v>159</v>
      </c>
      <c r="F447" s="16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C447" s="21"/>
    </row>
    <row r="448" spans="1:29" x14ac:dyDescent="0.25">
      <c r="A448" s="14">
        <v>920</v>
      </c>
      <c r="B448" s="14" t="s">
        <v>160</v>
      </c>
      <c r="C448" s="14" t="s">
        <v>516</v>
      </c>
      <c r="D448" s="14" t="s">
        <v>410</v>
      </c>
      <c r="F448" s="174">
        <v>29006.18</v>
      </c>
      <c r="G448" s="40"/>
      <c r="H448" s="27">
        <f t="shared" ref="H448:H459" si="260">IF(VLOOKUP($D448,$C$5:$AA$496,6,)=0,0,((VLOOKUP($D448,$C$5:$AA$496,6,)/VLOOKUP($D448,$C$5:$AA$496,4,))*$F448))</f>
        <v>0</v>
      </c>
      <c r="I448" s="27">
        <f t="shared" ref="I448:I459" si="261">IF(VLOOKUP($D448,$C$5:$AA$496,7,)=0,0,((VLOOKUP($D448,$C$5:$AA$496,7,)/VLOOKUP($D448,$C$5:$AA$496,4,))*$F448))</f>
        <v>0</v>
      </c>
      <c r="J448" s="27"/>
      <c r="K448" s="27">
        <f t="shared" ref="K448:K459" si="262">IF(VLOOKUP($D448,$C$5:$AA$496,9,)=0,0,((VLOOKUP($D448,$C$5:$AA$496,9,)/VLOOKUP($D448,$C$5:$AA$496,4,))*$F448))</f>
        <v>0</v>
      </c>
      <c r="L448" s="27"/>
      <c r="M448" s="27">
        <f t="shared" ref="M448:M459" si="263">IF(VLOOKUP($D448,$C$5:$AA$496,11,)=0,0,((VLOOKUP($D448,$C$5:$AA$496,11,)/VLOOKUP($D448,$C$5:$AA$496,4,))*$F448))</f>
        <v>0</v>
      </c>
      <c r="N448" s="27"/>
      <c r="O448" s="27">
        <f t="shared" ref="O448:O459" si="264">IF(VLOOKUP($D448,$C$5:$AA$496,13,)=0,0,((VLOOKUP($D448,$C$5:$AA$496,13,)/VLOOKUP($D448,$C$5:$AA$496,4,))*$F448))</f>
        <v>11339.581895322031</v>
      </c>
      <c r="P448" s="27">
        <f t="shared" ref="P448:P459" si="265">IF(VLOOKUP($D448,$C$5:$AA$496,14,)=0,0,((VLOOKUP($D448,$C$5:$AA$496,14,)/VLOOKUP($D448,$C$5:$AA$496,4,))*$F448))</f>
        <v>8324.9002166670289</v>
      </c>
      <c r="Q448" s="27"/>
      <c r="R448" s="27">
        <f t="shared" ref="R448:R459" si="266">IF(VLOOKUP($D448,$C$5:$AA$496,16,)=0,0,((VLOOKUP($D448,$C$5:$AA$496,16,)/VLOOKUP($D448,$C$5:$AA$496,4,))*$F448))</f>
        <v>0</v>
      </c>
      <c r="S448" s="27">
        <f t="shared" ref="S448:S459" si="267">IF(VLOOKUP($D448,$C$5:$AA$496,17,)=0,0,((VLOOKUP($D448,$C$5:$AA$496,17,)/VLOOKUP($D448,$C$5:$AA$496,4,))*$F448))</f>
        <v>278.52090301432594</v>
      </c>
      <c r="T448" s="27"/>
      <c r="U448" s="27">
        <f t="shared" ref="U448:U459" si="268">IF(VLOOKUP($D448,$C$5:$AA$496,19,)=0,0,((VLOOKUP($D448,$C$5:$AA$496,19,)/VLOOKUP($D448,$C$5:$AA$496,4,))*$F448))</f>
        <v>2421.4335546928451</v>
      </c>
      <c r="V448" s="27"/>
      <c r="W448" s="27">
        <f t="shared" ref="W448:W459" si="269">IF(VLOOKUP($D448,$C$5:$AA$496,21,)=0,0,((VLOOKUP($D448,$C$5:$AA$496,21,)/VLOOKUP($D448,$C$5:$AA$496,4,))*$F448))</f>
        <v>109.62017990024005</v>
      </c>
      <c r="X448" s="27"/>
      <c r="Y448" s="27">
        <f t="shared" ref="Y448:Y459" si="270">IF(VLOOKUP($D448,$C$5:$AA$496,23,)=0,0,((VLOOKUP($D448,$C$5:$AA$496,23,)/VLOOKUP($D448,$C$5:$AA$496,4,))*$F448))</f>
        <v>6532.1232504035343</v>
      </c>
      <c r="Z448" s="27"/>
      <c r="AA448" s="27">
        <f t="shared" ref="AA448:AA459" si="271">IF(VLOOKUP($D448,$C$5:$AA$496,25,)=0,0,((VLOOKUP($D448,$C$5:$AA$496,25,)/VLOOKUP($D448,$C$5:$AA$496,4,))*$F448))</f>
        <v>0</v>
      </c>
      <c r="AB448" s="27">
        <f t="shared" ref="AB448:AB459" si="272">SUM(H448:AA448)</f>
        <v>29006.180000000008</v>
      </c>
      <c r="AC448" s="21" t="str">
        <f t="shared" ref="AC448:AC459" si="273">IF(ABS(AB448-F448)&lt;1,"ok","err")</f>
        <v>ok</v>
      </c>
    </row>
    <row r="449" spans="1:29" x14ac:dyDescent="0.25">
      <c r="A449" s="14">
        <v>921</v>
      </c>
      <c r="B449" s="14" t="s">
        <v>162</v>
      </c>
      <c r="C449" s="14" t="s">
        <v>517</v>
      </c>
      <c r="D449" s="14" t="s">
        <v>515</v>
      </c>
      <c r="F449" s="167">
        <v>0</v>
      </c>
      <c r="G449" s="27"/>
      <c r="H449" s="27">
        <f t="shared" si="260"/>
        <v>0</v>
      </c>
      <c r="I449" s="27">
        <f t="shared" si="261"/>
        <v>0</v>
      </c>
      <c r="J449" s="27"/>
      <c r="K449" s="27">
        <f t="shared" si="262"/>
        <v>0</v>
      </c>
      <c r="L449" s="27"/>
      <c r="M449" s="27">
        <f t="shared" si="263"/>
        <v>0</v>
      </c>
      <c r="N449" s="27"/>
      <c r="O449" s="27">
        <f t="shared" si="264"/>
        <v>0</v>
      </c>
      <c r="P449" s="27">
        <f t="shared" si="265"/>
        <v>0</v>
      </c>
      <c r="Q449" s="27"/>
      <c r="R449" s="27">
        <f t="shared" si="266"/>
        <v>0</v>
      </c>
      <c r="S449" s="27">
        <f t="shared" si="267"/>
        <v>0</v>
      </c>
      <c r="T449" s="27"/>
      <c r="U449" s="27">
        <f t="shared" si="268"/>
        <v>0</v>
      </c>
      <c r="V449" s="27"/>
      <c r="W449" s="27">
        <f t="shared" si="269"/>
        <v>0</v>
      </c>
      <c r="X449" s="27"/>
      <c r="Y449" s="27">
        <f t="shared" si="270"/>
        <v>0</v>
      </c>
      <c r="Z449" s="27"/>
      <c r="AA449" s="27">
        <f t="shared" si="271"/>
        <v>0</v>
      </c>
      <c r="AB449" s="27">
        <f t="shared" si="272"/>
        <v>0</v>
      </c>
      <c r="AC449" s="21" t="str">
        <f t="shared" si="273"/>
        <v>ok</v>
      </c>
    </row>
    <row r="450" spans="1:29" x14ac:dyDescent="0.25">
      <c r="A450" s="14">
        <v>923</v>
      </c>
      <c r="B450" s="14" t="s">
        <v>164</v>
      </c>
      <c r="C450" s="14" t="s">
        <v>518</v>
      </c>
      <c r="D450" s="14" t="s">
        <v>410</v>
      </c>
      <c r="F450" s="167">
        <v>0</v>
      </c>
      <c r="G450" s="27"/>
      <c r="H450" s="27">
        <f t="shared" si="260"/>
        <v>0</v>
      </c>
      <c r="I450" s="27">
        <f t="shared" si="261"/>
        <v>0</v>
      </c>
      <c r="J450" s="27"/>
      <c r="K450" s="27">
        <f t="shared" si="262"/>
        <v>0</v>
      </c>
      <c r="L450" s="27"/>
      <c r="M450" s="27">
        <f t="shared" si="263"/>
        <v>0</v>
      </c>
      <c r="N450" s="27"/>
      <c r="O450" s="27">
        <f t="shared" si="264"/>
        <v>0</v>
      </c>
      <c r="P450" s="27">
        <f t="shared" si="265"/>
        <v>0</v>
      </c>
      <c r="Q450" s="27"/>
      <c r="R450" s="27">
        <f t="shared" si="266"/>
        <v>0</v>
      </c>
      <c r="S450" s="27">
        <f t="shared" si="267"/>
        <v>0</v>
      </c>
      <c r="T450" s="27"/>
      <c r="U450" s="27">
        <f t="shared" si="268"/>
        <v>0</v>
      </c>
      <c r="V450" s="27"/>
      <c r="W450" s="27">
        <f t="shared" si="269"/>
        <v>0</v>
      </c>
      <c r="X450" s="27"/>
      <c r="Y450" s="27">
        <f t="shared" si="270"/>
        <v>0</v>
      </c>
      <c r="Z450" s="27"/>
      <c r="AA450" s="27">
        <f t="shared" si="271"/>
        <v>0</v>
      </c>
      <c r="AB450" s="27">
        <f t="shared" si="272"/>
        <v>0</v>
      </c>
      <c r="AC450" s="21" t="str">
        <f t="shared" si="273"/>
        <v>ok</v>
      </c>
    </row>
    <row r="451" spans="1:29" x14ac:dyDescent="0.25">
      <c r="A451" s="14">
        <v>924</v>
      </c>
      <c r="B451" s="14" t="s">
        <v>166</v>
      </c>
      <c r="C451" s="14" t="s">
        <v>519</v>
      </c>
      <c r="D451" s="14" t="s">
        <v>84</v>
      </c>
      <c r="F451" s="167">
        <v>0</v>
      </c>
      <c r="G451" s="27"/>
      <c r="H451" s="27">
        <f t="shared" si="260"/>
        <v>0</v>
      </c>
      <c r="I451" s="27">
        <f t="shared" si="261"/>
        <v>0</v>
      </c>
      <c r="J451" s="27"/>
      <c r="K451" s="27">
        <f t="shared" si="262"/>
        <v>0</v>
      </c>
      <c r="L451" s="27"/>
      <c r="M451" s="27">
        <f t="shared" si="263"/>
        <v>0</v>
      </c>
      <c r="N451" s="27"/>
      <c r="O451" s="27">
        <f t="shared" si="264"/>
        <v>0</v>
      </c>
      <c r="P451" s="27">
        <f t="shared" si="265"/>
        <v>0</v>
      </c>
      <c r="Q451" s="27"/>
      <c r="R451" s="27">
        <f t="shared" si="266"/>
        <v>0</v>
      </c>
      <c r="S451" s="27">
        <f t="shared" si="267"/>
        <v>0</v>
      </c>
      <c r="T451" s="27"/>
      <c r="U451" s="27">
        <f t="shared" si="268"/>
        <v>0</v>
      </c>
      <c r="V451" s="27"/>
      <c r="W451" s="27">
        <f t="shared" si="269"/>
        <v>0</v>
      </c>
      <c r="X451" s="27"/>
      <c r="Y451" s="27">
        <f t="shared" si="270"/>
        <v>0</v>
      </c>
      <c r="Z451" s="27"/>
      <c r="AA451" s="27">
        <f t="shared" si="271"/>
        <v>0</v>
      </c>
      <c r="AB451" s="27">
        <f t="shared" si="272"/>
        <v>0</v>
      </c>
      <c r="AC451" s="21" t="str">
        <f t="shared" si="273"/>
        <v>ok</v>
      </c>
    </row>
    <row r="452" spans="1:29" x14ac:dyDescent="0.25">
      <c r="A452" s="14">
        <v>925</v>
      </c>
      <c r="B452" s="14" t="s">
        <v>168</v>
      </c>
      <c r="C452" s="14" t="s">
        <v>520</v>
      </c>
      <c r="D452" s="14" t="s">
        <v>515</v>
      </c>
      <c r="F452" s="167">
        <v>0</v>
      </c>
      <c r="G452" s="27"/>
      <c r="H452" s="27">
        <f t="shared" si="260"/>
        <v>0</v>
      </c>
      <c r="I452" s="27">
        <f t="shared" si="261"/>
        <v>0</v>
      </c>
      <c r="J452" s="27"/>
      <c r="K452" s="27">
        <f t="shared" si="262"/>
        <v>0</v>
      </c>
      <c r="L452" s="27"/>
      <c r="M452" s="27">
        <f t="shared" si="263"/>
        <v>0</v>
      </c>
      <c r="N452" s="27"/>
      <c r="O452" s="27">
        <f t="shared" si="264"/>
        <v>0</v>
      </c>
      <c r="P452" s="27">
        <f t="shared" si="265"/>
        <v>0</v>
      </c>
      <c r="Q452" s="27"/>
      <c r="R452" s="27">
        <f t="shared" si="266"/>
        <v>0</v>
      </c>
      <c r="S452" s="27">
        <f t="shared" si="267"/>
        <v>0</v>
      </c>
      <c r="T452" s="27"/>
      <c r="U452" s="27">
        <f t="shared" si="268"/>
        <v>0</v>
      </c>
      <c r="V452" s="27"/>
      <c r="W452" s="27">
        <f t="shared" si="269"/>
        <v>0</v>
      </c>
      <c r="X452" s="27"/>
      <c r="Y452" s="27">
        <f t="shared" si="270"/>
        <v>0</v>
      </c>
      <c r="Z452" s="27"/>
      <c r="AA452" s="27">
        <f t="shared" si="271"/>
        <v>0</v>
      </c>
      <c r="AB452" s="27">
        <f t="shared" si="272"/>
        <v>0</v>
      </c>
      <c r="AC452" s="21" t="str">
        <f t="shared" si="273"/>
        <v>ok</v>
      </c>
    </row>
    <row r="453" spans="1:29" x14ac:dyDescent="0.25">
      <c r="A453" s="14">
        <v>926</v>
      </c>
      <c r="B453" s="14" t="s">
        <v>170</v>
      </c>
      <c r="C453" s="14" t="s">
        <v>521</v>
      </c>
      <c r="D453" s="14" t="s">
        <v>515</v>
      </c>
      <c r="F453" s="167">
        <v>60</v>
      </c>
      <c r="G453" s="27"/>
      <c r="H453" s="27">
        <f t="shared" si="260"/>
        <v>0</v>
      </c>
      <c r="I453" s="27">
        <f t="shared" si="261"/>
        <v>0</v>
      </c>
      <c r="J453" s="27"/>
      <c r="K453" s="27">
        <f t="shared" si="262"/>
        <v>0</v>
      </c>
      <c r="L453" s="27"/>
      <c r="M453" s="27">
        <f t="shared" si="263"/>
        <v>0</v>
      </c>
      <c r="N453" s="27"/>
      <c r="O453" s="27">
        <f t="shared" si="264"/>
        <v>19.706782809182112</v>
      </c>
      <c r="P453" s="27">
        <f t="shared" si="265"/>
        <v>14.981764669193218</v>
      </c>
      <c r="Q453" s="27"/>
      <c r="R453" s="27">
        <f t="shared" si="266"/>
        <v>0</v>
      </c>
      <c r="S453" s="27">
        <f t="shared" si="267"/>
        <v>0.58363272414344713</v>
      </c>
      <c r="T453" s="27"/>
      <c r="U453" s="27">
        <f t="shared" si="268"/>
        <v>0.5745867716603783</v>
      </c>
      <c r="V453" s="27"/>
      <c r="W453" s="27">
        <f t="shared" si="269"/>
        <v>7.7629186548756426</v>
      </c>
      <c r="X453" s="27"/>
      <c r="Y453" s="27">
        <f t="shared" si="270"/>
        <v>16.390314370945198</v>
      </c>
      <c r="Z453" s="27"/>
      <c r="AA453" s="27">
        <f t="shared" si="271"/>
        <v>0</v>
      </c>
      <c r="AB453" s="27">
        <f t="shared" si="272"/>
        <v>59.999999999999993</v>
      </c>
      <c r="AC453" s="21" t="str">
        <f t="shared" si="273"/>
        <v>ok</v>
      </c>
    </row>
    <row r="454" spans="1:29" x14ac:dyDescent="0.25">
      <c r="A454" s="14">
        <v>928</v>
      </c>
      <c r="B454" s="14" t="s">
        <v>172</v>
      </c>
      <c r="C454" s="14" t="s">
        <v>522</v>
      </c>
      <c r="D454" s="14" t="s">
        <v>410</v>
      </c>
      <c r="F454" s="167">
        <v>0</v>
      </c>
      <c r="G454" s="27"/>
      <c r="H454" s="27">
        <f t="shared" si="260"/>
        <v>0</v>
      </c>
      <c r="I454" s="27">
        <f t="shared" si="261"/>
        <v>0</v>
      </c>
      <c r="J454" s="27"/>
      <c r="K454" s="27">
        <f t="shared" si="262"/>
        <v>0</v>
      </c>
      <c r="L454" s="27"/>
      <c r="M454" s="27">
        <f t="shared" si="263"/>
        <v>0</v>
      </c>
      <c r="N454" s="27"/>
      <c r="O454" s="27">
        <f t="shared" si="264"/>
        <v>0</v>
      </c>
      <c r="P454" s="27">
        <f t="shared" si="265"/>
        <v>0</v>
      </c>
      <c r="Q454" s="27"/>
      <c r="R454" s="27">
        <f t="shared" si="266"/>
        <v>0</v>
      </c>
      <c r="S454" s="27">
        <f t="shared" si="267"/>
        <v>0</v>
      </c>
      <c r="T454" s="27"/>
      <c r="U454" s="27">
        <f t="shared" si="268"/>
        <v>0</v>
      </c>
      <c r="V454" s="27"/>
      <c r="W454" s="27">
        <f t="shared" si="269"/>
        <v>0</v>
      </c>
      <c r="X454" s="27"/>
      <c r="Y454" s="27">
        <f t="shared" si="270"/>
        <v>0</v>
      </c>
      <c r="Z454" s="27"/>
      <c r="AA454" s="27">
        <f t="shared" si="271"/>
        <v>0</v>
      </c>
      <c r="AB454" s="27">
        <f t="shared" si="272"/>
        <v>0</v>
      </c>
      <c r="AC454" s="21" t="str">
        <f t="shared" si="273"/>
        <v>ok</v>
      </c>
    </row>
    <row r="455" spans="1:29" x14ac:dyDescent="0.25">
      <c r="A455" s="14">
        <v>929</v>
      </c>
      <c r="B455" s="14" t="s">
        <v>385</v>
      </c>
      <c r="C455" s="14" t="s">
        <v>523</v>
      </c>
      <c r="D455" s="14" t="s">
        <v>410</v>
      </c>
      <c r="F455" s="167">
        <v>0</v>
      </c>
      <c r="G455" s="27"/>
      <c r="H455" s="27">
        <f t="shared" si="260"/>
        <v>0</v>
      </c>
      <c r="I455" s="27">
        <f t="shared" si="261"/>
        <v>0</v>
      </c>
      <c r="J455" s="27"/>
      <c r="K455" s="27">
        <f t="shared" si="262"/>
        <v>0</v>
      </c>
      <c r="L455" s="27"/>
      <c r="M455" s="27">
        <f t="shared" si="263"/>
        <v>0</v>
      </c>
      <c r="N455" s="27"/>
      <c r="O455" s="27">
        <f t="shared" si="264"/>
        <v>0</v>
      </c>
      <c r="P455" s="27">
        <f t="shared" si="265"/>
        <v>0</v>
      </c>
      <c r="Q455" s="27"/>
      <c r="R455" s="27">
        <f t="shared" si="266"/>
        <v>0</v>
      </c>
      <c r="S455" s="27">
        <f t="shared" si="267"/>
        <v>0</v>
      </c>
      <c r="T455" s="27"/>
      <c r="U455" s="27">
        <f t="shared" si="268"/>
        <v>0</v>
      </c>
      <c r="V455" s="27"/>
      <c r="W455" s="27">
        <f t="shared" si="269"/>
        <v>0</v>
      </c>
      <c r="X455" s="27"/>
      <c r="Y455" s="27">
        <f t="shared" si="270"/>
        <v>0</v>
      </c>
      <c r="Z455" s="27"/>
      <c r="AA455" s="27">
        <f t="shared" si="271"/>
        <v>0</v>
      </c>
      <c r="AB455" s="27">
        <f t="shared" si="272"/>
        <v>0</v>
      </c>
      <c r="AC455" s="21" t="str">
        <f t="shared" si="273"/>
        <v>ok</v>
      </c>
    </row>
    <row r="456" spans="1:29" x14ac:dyDescent="0.25">
      <c r="A456" s="14">
        <v>930</v>
      </c>
      <c r="B456" s="14" t="s">
        <v>174</v>
      </c>
      <c r="C456" s="14" t="s">
        <v>524</v>
      </c>
      <c r="D456" s="14" t="s">
        <v>410</v>
      </c>
      <c r="F456" s="167">
        <v>0</v>
      </c>
      <c r="G456" s="27"/>
      <c r="H456" s="27">
        <f t="shared" si="260"/>
        <v>0</v>
      </c>
      <c r="I456" s="27">
        <f t="shared" si="261"/>
        <v>0</v>
      </c>
      <c r="J456" s="27"/>
      <c r="K456" s="27">
        <f t="shared" si="262"/>
        <v>0</v>
      </c>
      <c r="L456" s="27"/>
      <c r="M456" s="27">
        <f t="shared" si="263"/>
        <v>0</v>
      </c>
      <c r="N456" s="27"/>
      <c r="O456" s="27">
        <f t="shared" si="264"/>
        <v>0</v>
      </c>
      <c r="P456" s="27">
        <f t="shared" si="265"/>
        <v>0</v>
      </c>
      <c r="Q456" s="27"/>
      <c r="R456" s="27">
        <f t="shared" si="266"/>
        <v>0</v>
      </c>
      <c r="S456" s="27">
        <f t="shared" si="267"/>
        <v>0</v>
      </c>
      <c r="T456" s="27"/>
      <c r="U456" s="27">
        <f t="shared" si="268"/>
        <v>0</v>
      </c>
      <c r="V456" s="27"/>
      <c r="W456" s="27">
        <f t="shared" si="269"/>
        <v>0</v>
      </c>
      <c r="X456" s="27"/>
      <c r="Y456" s="27">
        <f t="shared" si="270"/>
        <v>0</v>
      </c>
      <c r="Z456" s="27"/>
      <c r="AA456" s="27">
        <f t="shared" si="271"/>
        <v>0</v>
      </c>
      <c r="AB456" s="27">
        <f t="shared" si="272"/>
        <v>0</v>
      </c>
      <c r="AC456" s="21" t="str">
        <f t="shared" si="273"/>
        <v>ok</v>
      </c>
    </row>
    <row r="457" spans="1:29" x14ac:dyDescent="0.25">
      <c r="A457" s="14">
        <v>931</v>
      </c>
      <c r="B457" s="14" t="s">
        <v>176</v>
      </c>
      <c r="C457" s="14" t="s">
        <v>525</v>
      </c>
      <c r="D457" s="14" t="s">
        <v>84</v>
      </c>
      <c r="F457" s="167">
        <v>0</v>
      </c>
      <c r="G457" s="27"/>
      <c r="H457" s="27">
        <f t="shared" si="260"/>
        <v>0</v>
      </c>
      <c r="I457" s="27">
        <f t="shared" si="261"/>
        <v>0</v>
      </c>
      <c r="J457" s="27"/>
      <c r="K457" s="27">
        <f t="shared" si="262"/>
        <v>0</v>
      </c>
      <c r="L457" s="27"/>
      <c r="M457" s="27">
        <f t="shared" si="263"/>
        <v>0</v>
      </c>
      <c r="N457" s="27"/>
      <c r="O457" s="27">
        <f t="shared" si="264"/>
        <v>0</v>
      </c>
      <c r="P457" s="27">
        <f t="shared" si="265"/>
        <v>0</v>
      </c>
      <c r="Q457" s="27"/>
      <c r="R457" s="27">
        <f t="shared" si="266"/>
        <v>0</v>
      </c>
      <c r="S457" s="27">
        <f t="shared" si="267"/>
        <v>0</v>
      </c>
      <c r="T457" s="27"/>
      <c r="U457" s="27">
        <f t="shared" si="268"/>
        <v>0</v>
      </c>
      <c r="V457" s="27"/>
      <c r="W457" s="27">
        <f t="shared" si="269"/>
        <v>0</v>
      </c>
      <c r="X457" s="27"/>
      <c r="Y457" s="27">
        <f t="shared" si="270"/>
        <v>0</v>
      </c>
      <c r="Z457" s="27"/>
      <c r="AA457" s="27">
        <f t="shared" si="271"/>
        <v>0</v>
      </c>
      <c r="AB457" s="27">
        <f t="shared" si="272"/>
        <v>0</v>
      </c>
      <c r="AC457" s="21" t="str">
        <f t="shared" si="273"/>
        <v>ok</v>
      </c>
    </row>
    <row r="458" spans="1:29" x14ac:dyDescent="0.25">
      <c r="A458" s="14">
        <v>932</v>
      </c>
      <c r="B458" s="14" t="s">
        <v>1025</v>
      </c>
      <c r="C458" s="14" t="s">
        <v>1024</v>
      </c>
      <c r="D458" s="14" t="s">
        <v>70</v>
      </c>
      <c r="F458" s="167">
        <v>0</v>
      </c>
      <c r="G458" s="27"/>
      <c r="H458" s="27">
        <f t="shared" si="260"/>
        <v>0</v>
      </c>
      <c r="I458" s="27">
        <f t="shared" si="261"/>
        <v>0</v>
      </c>
      <c r="J458" s="27"/>
      <c r="K458" s="27">
        <f t="shared" si="262"/>
        <v>0</v>
      </c>
      <c r="L458" s="27"/>
      <c r="M458" s="27">
        <f t="shared" si="263"/>
        <v>0</v>
      </c>
      <c r="N458" s="27"/>
      <c r="O458" s="27">
        <f t="shared" si="264"/>
        <v>0</v>
      </c>
      <c r="P458" s="27">
        <f t="shared" si="265"/>
        <v>0</v>
      </c>
      <c r="Q458" s="27"/>
      <c r="R458" s="27">
        <f t="shared" si="266"/>
        <v>0</v>
      </c>
      <c r="S458" s="27">
        <f t="shared" si="267"/>
        <v>0</v>
      </c>
      <c r="T458" s="27"/>
      <c r="U458" s="27">
        <f t="shared" si="268"/>
        <v>0</v>
      </c>
      <c r="V458" s="27"/>
      <c r="W458" s="27">
        <f t="shared" si="269"/>
        <v>0</v>
      </c>
      <c r="X458" s="27"/>
      <c r="Y458" s="27">
        <f t="shared" si="270"/>
        <v>0</v>
      </c>
      <c r="Z458" s="27"/>
      <c r="AA458" s="27">
        <f t="shared" si="271"/>
        <v>0</v>
      </c>
      <c r="AB458" s="27">
        <f t="shared" si="272"/>
        <v>0</v>
      </c>
      <c r="AC458" s="21" t="str">
        <f t="shared" si="273"/>
        <v>ok</v>
      </c>
    </row>
    <row r="459" spans="1:29" x14ac:dyDescent="0.25">
      <c r="A459" s="14">
        <v>935</v>
      </c>
      <c r="B459" s="14" t="s">
        <v>918</v>
      </c>
      <c r="C459" s="14" t="s">
        <v>1039</v>
      </c>
      <c r="D459" s="14" t="s">
        <v>70</v>
      </c>
      <c r="F459" s="167">
        <v>5449.81</v>
      </c>
      <c r="G459" s="27"/>
      <c r="H459" s="27">
        <f t="shared" si="260"/>
        <v>0</v>
      </c>
      <c r="I459" s="27">
        <f t="shared" si="261"/>
        <v>0</v>
      </c>
      <c r="J459" s="27"/>
      <c r="K459" s="27">
        <f t="shared" si="262"/>
        <v>0</v>
      </c>
      <c r="L459" s="27"/>
      <c r="M459" s="27">
        <f t="shared" si="263"/>
        <v>0</v>
      </c>
      <c r="N459" s="27"/>
      <c r="O459" s="27">
        <f t="shared" si="264"/>
        <v>2279.5153189169555</v>
      </c>
      <c r="P459" s="27">
        <f t="shared" si="265"/>
        <v>2251.0141268013799</v>
      </c>
      <c r="Q459" s="27"/>
      <c r="R459" s="27">
        <f t="shared" si="266"/>
        <v>0</v>
      </c>
      <c r="S459" s="27">
        <f t="shared" si="267"/>
        <v>363.07577941839259</v>
      </c>
      <c r="T459" s="27"/>
      <c r="U459" s="27">
        <f t="shared" si="268"/>
        <v>357.44832552058017</v>
      </c>
      <c r="V459" s="27"/>
      <c r="W459" s="27">
        <f t="shared" si="269"/>
        <v>198.75644934269368</v>
      </c>
      <c r="X459" s="27"/>
      <c r="Y459" s="27">
        <f t="shared" si="270"/>
        <v>0</v>
      </c>
      <c r="Z459" s="27"/>
      <c r="AA459" s="27">
        <f t="shared" si="271"/>
        <v>0</v>
      </c>
      <c r="AB459" s="27">
        <f t="shared" si="272"/>
        <v>5449.8100000000022</v>
      </c>
      <c r="AC459" s="21" t="str">
        <f t="shared" si="273"/>
        <v>ok</v>
      </c>
    </row>
    <row r="460" spans="1:29" x14ac:dyDescent="0.25">
      <c r="F460" s="16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1"/>
    </row>
    <row r="461" spans="1:29" x14ac:dyDescent="0.25">
      <c r="A461" s="14" t="s">
        <v>179</v>
      </c>
      <c r="C461" s="14" t="s">
        <v>526</v>
      </c>
      <c r="F461" s="174">
        <f>SUM(F448:F460)</f>
        <v>34515.99</v>
      </c>
      <c r="G461" s="40"/>
      <c r="H461" s="40">
        <f>SUM(H448:H460)</f>
        <v>0</v>
      </c>
      <c r="I461" s="40">
        <f>SUM(I448:I460)</f>
        <v>0</v>
      </c>
      <c r="J461" s="40"/>
      <c r="K461" s="40">
        <f>SUM(K448:K460)</f>
        <v>0</v>
      </c>
      <c r="L461" s="40"/>
      <c r="M461" s="40">
        <f>SUM(M448:M460)</f>
        <v>0</v>
      </c>
      <c r="N461" s="40"/>
      <c r="O461" s="40">
        <f>SUM(O448:O460)</f>
        <v>13638.80399704817</v>
      </c>
      <c r="P461" s="40">
        <f>SUM(P448:P460)</f>
        <v>10590.896108137602</v>
      </c>
      <c r="Q461" s="40"/>
      <c r="R461" s="40">
        <f>SUM(R448:R460)</f>
        <v>0</v>
      </c>
      <c r="S461" s="40">
        <f>SUM(S448:S460)</f>
        <v>642.18031515686198</v>
      </c>
      <c r="T461" s="40"/>
      <c r="U461" s="40">
        <f>SUM(U448:U460)</f>
        <v>2779.4564669850856</v>
      </c>
      <c r="V461" s="40"/>
      <c r="W461" s="40">
        <f>SUM(W448:W460)</f>
        <v>316.13954789780939</v>
      </c>
      <c r="X461" s="40"/>
      <c r="Y461" s="40">
        <f>SUM(Y448:Y460)</f>
        <v>6548.5135647744792</v>
      </c>
      <c r="Z461" s="40"/>
      <c r="AA461" s="40">
        <f>SUM(AA448:AA460)</f>
        <v>0</v>
      </c>
      <c r="AB461" s="27">
        <f>SUM(H461:AA461)</f>
        <v>34515.990000000005</v>
      </c>
      <c r="AC461" s="21" t="str">
        <f>IF(ABS(AB461-F461)&lt;1,"ok","err")</f>
        <v>ok</v>
      </c>
    </row>
    <row r="462" spans="1:29" x14ac:dyDescent="0.25">
      <c r="D462" s="64"/>
      <c r="F462" s="16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1"/>
    </row>
    <row r="463" spans="1:29" x14ac:dyDescent="0.25">
      <c r="A463" s="14" t="s">
        <v>181</v>
      </c>
      <c r="C463" s="14" t="s">
        <v>527</v>
      </c>
      <c r="F463" s="174">
        <f>F358+F416+F425+F440+F461</f>
        <v>172574.55</v>
      </c>
      <c r="G463" s="40"/>
      <c r="H463" s="40">
        <f>H358+H416+H425+H440+H461</f>
        <v>0</v>
      </c>
      <c r="I463" s="40">
        <f>I358+I416+I425+I440+I461</f>
        <v>0</v>
      </c>
      <c r="J463" s="40"/>
      <c r="K463" s="40">
        <f>K358+K416+K425+K440+K461</f>
        <v>0</v>
      </c>
      <c r="L463" s="40"/>
      <c r="M463" s="40">
        <f>M358+M416+M425+M440+M461</f>
        <v>0</v>
      </c>
      <c r="N463" s="40"/>
      <c r="O463" s="40">
        <f>O358+O416+O425+O440+O461</f>
        <v>58983.638278188788</v>
      </c>
      <c r="P463" s="40">
        <f>P358+P416+P425+P440+P461</f>
        <v>45063.577049599138</v>
      </c>
      <c r="Q463" s="40"/>
      <c r="R463" s="40">
        <f>R358+R416+R425+R440+R461</f>
        <v>0</v>
      </c>
      <c r="S463" s="40">
        <f>S358+S416+S425+S440+S461</f>
        <v>1985.1052062255544</v>
      </c>
      <c r="T463" s="40"/>
      <c r="U463" s="40">
        <f>U358+U416+U425+U440+U461</f>
        <v>4101.5668384930959</v>
      </c>
      <c r="V463" s="40"/>
      <c r="W463" s="40">
        <f>W358+W416+W425+W440+W461</f>
        <v>18178.429062718944</v>
      </c>
      <c r="X463" s="40"/>
      <c r="Y463" s="40">
        <f>Y358+Y416+Y425+Y440+Y461</f>
        <v>44262.233564774477</v>
      </c>
      <c r="Z463" s="40"/>
      <c r="AA463" s="40">
        <f>AA358+AA416+AA425+AA440+AA461</f>
        <v>0</v>
      </c>
      <c r="AB463" s="27">
        <f>SUM(H463:AA463)</f>
        <v>172574.55</v>
      </c>
      <c r="AC463" s="21" t="str">
        <f>IF(ABS(AB463-F463)&lt;1,"ok","err")</f>
        <v>ok</v>
      </c>
    </row>
    <row r="464" spans="1:29" x14ac:dyDescent="0.25">
      <c r="F464" s="16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1"/>
    </row>
    <row r="465" spans="1:29" x14ac:dyDescent="0.25">
      <c r="A465" s="14" t="s">
        <v>411</v>
      </c>
      <c r="C465" s="14" t="s">
        <v>528</v>
      </c>
      <c r="F465" s="175">
        <f>F463-F364</f>
        <v>172574.55</v>
      </c>
      <c r="G465" s="64"/>
      <c r="H465" s="64">
        <f>H463-H364</f>
        <v>0</v>
      </c>
      <c r="I465" s="64">
        <f>I463-I364</f>
        <v>0</v>
      </c>
      <c r="J465" s="64"/>
      <c r="K465" s="64">
        <f>K463-K364</f>
        <v>0</v>
      </c>
      <c r="L465" s="64"/>
      <c r="M465" s="64">
        <f>M463-M364</f>
        <v>0</v>
      </c>
      <c r="N465" s="64"/>
      <c r="O465" s="64">
        <f>O463-O364</f>
        <v>58983.638278188788</v>
      </c>
      <c r="P465" s="64">
        <f>P463-P364</f>
        <v>45063.577049599138</v>
      </c>
      <c r="Q465" s="64"/>
      <c r="R465" s="64">
        <f>R463-R364</f>
        <v>0</v>
      </c>
      <c r="S465" s="64">
        <f>S463-S364</f>
        <v>1985.1052062255544</v>
      </c>
      <c r="T465" s="64"/>
      <c r="U465" s="64">
        <f>U463-U364</f>
        <v>4101.5668384930959</v>
      </c>
      <c r="V465" s="64"/>
      <c r="W465" s="64">
        <f>W463-W364</f>
        <v>18178.429062718944</v>
      </c>
      <c r="X465" s="64"/>
      <c r="Y465" s="64">
        <f>Y463-Y364</f>
        <v>44262.233564774477</v>
      </c>
      <c r="Z465" s="64"/>
      <c r="AA465" s="64">
        <f>AA463-AA364</f>
        <v>0</v>
      </c>
      <c r="AB465" s="27">
        <f>SUM(H465:AA465)</f>
        <v>172574.55</v>
      </c>
      <c r="AC465" s="21" t="str">
        <f>IF(ABS(AB465-F465)&lt;1,"ok","err")</f>
        <v>ok</v>
      </c>
    </row>
    <row r="466" spans="1:29" x14ac:dyDescent="0.25">
      <c r="F466" s="175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27"/>
      <c r="AC466" s="21"/>
    </row>
    <row r="467" spans="1:29" x14ac:dyDescent="0.25">
      <c r="A467" s="19" t="s">
        <v>198</v>
      </c>
      <c r="AC467" s="21"/>
    </row>
    <row r="468" spans="1:29" x14ac:dyDescent="0.25">
      <c r="AC468" s="21"/>
    </row>
    <row r="469" spans="1:29" x14ac:dyDescent="0.25">
      <c r="A469" s="14" t="s">
        <v>1</v>
      </c>
      <c r="C469" s="14" t="s">
        <v>24</v>
      </c>
      <c r="F469" s="176">
        <v>1</v>
      </c>
      <c r="G469" s="68"/>
      <c r="H469" s="69">
        <v>0</v>
      </c>
      <c r="I469" s="69">
        <v>0</v>
      </c>
      <c r="J469" s="69"/>
      <c r="K469" s="69">
        <v>0</v>
      </c>
      <c r="L469" s="68"/>
      <c r="M469" s="69">
        <v>1</v>
      </c>
      <c r="N469" s="68"/>
      <c r="O469" s="69">
        <v>0</v>
      </c>
      <c r="P469" s="69">
        <v>0</v>
      </c>
      <c r="Q469" s="70"/>
      <c r="R469" s="68">
        <v>0</v>
      </c>
      <c r="S469" s="68">
        <v>0</v>
      </c>
      <c r="T469" s="68"/>
      <c r="U469" s="68">
        <v>0</v>
      </c>
      <c r="V469" s="68"/>
      <c r="W469" s="68">
        <v>0</v>
      </c>
      <c r="X469" s="68"/>
      <c r="Y469" s="68">
        <v>0</v>
      </c>
      <c r="Z469" s="68"/>
      <c r="AA469" s="68">
        <v>0</v>
      </c>
      <c r="AB469" s="69">
        <f>SUM(H469:AA469)</f>
        <v>1</v>
      </c>
      <c r="AC469" s="21" t="str">
        <f t="shared" ref="AC469:AC479" si="274">IF(ABS(AB469-F469)&lt;0.0000001,"ok","err")</f>
        <v>ok</v>
      </c>
    </row>
    <row r="470" spans="1:29" x14ac:dyDescent="0.25">
      <c r="A470" s="14" t="s">
        <v>199</v>
      </c>
      <c r="C470" s="14" t="s">
        <v>27</v>
      </c>
      <c r="F470" s="176">
        <v>1</v>
      </c>
      <c r="G470" s="68"/>
      <c r="H470" s="69">
        <v>0</v>
      </c>
      <c r="I470" s="69">
        <v>0</v>
      </c>
      <c r="J470" s="69"/>
      <c r="K470" s="69">
        <v>0</v>
      </c>
      <c r="L470" s="68"/>
      <c r="M470" s="69">
        <v>0</v>
      </c>
      <c r="N470" s="68"/>
      <c r="O470" s="69">
        <f>O471</f>
        <v>0.59343779765720539</v>
      </c>
      <c r="P470" s="69">
        <f>P471</f>
        <v>0.40656220234279461</v>
      </c>
      <c r="Q470" s="70"/>
      <c r="R470" s="68">
        <v>0</v>
      </c>
      <c r="S470" s="68">
        <v>0</v>
      </c>
      <c r="T470" s="68"/>
      <c r="U470" s="68">
        <v>0</v>
      </c>
      <c r="V470" s="68"/>
      <c r="W470" s="68">
        <v>0</v>
      </c>
      <c r="X470" s="68"/>
      <c r="Y470" s="68">
        <v>0</v>
      </c>
      <c r="Z470" s="68"/>
      <c r="AA470" s="68">
        <v>0</v>
      </c>
      <c r="AB470" s="69">
        <f t="shared" ref="AB470:AB478" si="275">SUM(H470:AA470)</f>
        <v>1</v>
      </c>
      <c r="AC470" s="21" t="str">
        <f t="shared" si="274"/>
        <v>ok</v>
      </c>
    </row>
    <row r="471" spans="1:29" x14ac:dyDescent="0.25">
      <c r="A471" s="14" t="s">
        <v>200</v>
      </c>
      <c r="C471" s="14" t="s">
        <v>30</v>
      </c>
      <c r="F471" s="176">
        <v>1</v>
      </c>
      <c r="G471" s="68"/>
      <c r="H471" s="69">
        <v>0</v>
      </c>
      <c r="I471" s="69">
        <v>0</v>
      </c>
      <c r="J471" s="69"/>
      <c r="K471" s="69">
        <v>0</v>
      </c>
      <c r="L471" s="68"/>
      <c r="M471" s="69">
        <v>0</v>
      </c>
      <c r="N471" s="68"/>
      <c r="O471" s="69">
        <f>ZeroInt!D165</f>
        <v>0.59343779765720539</v>
      </c>
      <c r="P471" s="69">
        <f>ZeroInt!E165</f>
        <v>0.40656220234279461</v>
      </c>
      <c r="Q471" s="70"/>
      <c r="R471" s="68">
        <v>0</v>
      </c>
      <c r="S471" s="68">
        <v>0</v>
      </c>
      <c r="T471" s="68"/>
      <c r="U471" s="68">
        <v>0</v>
      </c>
      <c r="V471" s="68"/>
      <c r="W471" s="68">
        <v>0</v>
      </c>
      <c r="X471" s="68"/>
      <c r="Y471" s="68">
        <v>0</v>
      </c>
      <c r="Z471" s="68"/>
      <c r="AA471" s="68">
        <v>0</v>
      </c>
      <c r="AB471" s="69">
        <f t="shared" si="275"/>
        <v>1</v>
      </c>
      <c r="AC471" s="21" t="str">
        <f t="shared" si="274"/>
        <v>ok</v>
      </c>
    </row>
    <row r="472" spans="1:29" x14ac:dyDescent="0.25">
      <c r="A472" s="14" t="s">
        <v>201</v>
      </c>
      <c r="C472" s="14" t="s">
        <v>33</v>
      </c>
      <c r="F472" s="176">
        <v>1</v>
      </c>
      <c r="G472" s="68"/>
      <c r="H472" s="69">
        <v>0</v>
      </c>
      <c r="I472" s="69">
        <v>0</v>
      </c>
      <c r="J472" s="69"/>
      <c r="K472" s="69">
        <v>0</v>
      </c>
      <c r="L472" s="68"/>
      <c r="M472" s="69">
        <v>0</v>
      </c>
      <c r="N472" s="68"/>
      <c r="O472" s="69">
        <f>ZeroInt!D166</f>
        <v>9.2904054810042602E-2</v>
      </c>
      <c r="P472" s="69">
        <f>ZeroInt!E166</f>
        <v>0.9070959451899574</v>
      </c>
      <c r="Q472" s="70"/>
      <c r="R472" s="68">
        <v>0</v>
      </c>
      <c r="S472" s="68">
        <v>0</v>
      </c>
      <c r="T472" s="68"/>
      <c r="U472" s="68">
        <v>0</v>
      </c>
      <c r="V472" s="68"/>
      <c r="W472" s="68">
        <v>0</v>
      </c>
      <c r="X472" s="68"/>
      <c r="Y472" s="68">
        <v>0</v>
      </c>
      <c r="Z472" s="68"/>
      <c r="AA472" s="68">
        <v>0</v>
      </c>
      <c r="AB472" s="69">
        <f t="shared" si="275"/>
        <v>1</v>
      </c>
      <c r="AC472" s="21" t="str">
        <f t="shared" si="274"/>
        <v>ok</v>
      </c>
    </row>
    <row r="473" spans="1:29" x14ac:dyDescent="0.25">
      <c r="A473" s="14" t="s">
        <v>202</v>
      </c>
      <c r="C473" s="14" t="s">
        <v>38</v>
      </c>
      <c r="F473" s="176">
        <v>1</v>
      </c>
      <c r="G473" s="68"/>
      <c r="H473" s="69">
        <v>0</v>
      </c>
      <c r="I473" s="69">
        <v>0</v>
      </c>
      <c r="J473" s="69"/>
      <c r="K473" s="69">
        <v>0</v>
      </c>
      <c r="L473" s="68"/>
      <c r="M473" s="69">
        <v>0</v>
      </c>
      <c r="N473" s="68"/>
      <c r="O473" s="69">
        <f>ZeroInt!D167</f>
        <v>0.38815719203692323</v>
      </c>
      <c r="P473" s="69">
        <f>ZeroInt!E167</f>
        <v>0.61184280796307677</v>
      </c>
      <c r="Q473" s="70"/>
      <c r="R473" s="68">
        <v>0</v>
      </c>
      <c r="S473" s="68">
        <v>0</v>
      </c>
      <c r="T473" s="68"/>
      <c r="U473" s="68">
        <v>0</v>
      </c>
      <c r="V473" s="68"/>
      <c r="W473" s="68">
        <v>0</v>
      </c>
      <c r="X473" s="68"/>
      <c r="Y473" s="68">
        <v>0</v>
      </c>
      <c r="Z473" s="68"/>
      <c r="AA473" s="68">
        <v>0</v>
      </c>
      <c r="AB473" s="69">
        <f t="shared" si="275"/>
        <v>1</v>
      </c>
      <c r="AC473" s="21" t="str">
        <f t="shared" si="274"/>
        <v>ok</v>
      </c>
    </row>
    <row r="474" spans="1:29" x14ac:dyDescent="0.25">
      <c r="A474" s="14" t="s">
        <v>203</v>
      </c>
      <c r="C474" s="14" t="s">
        <v>41</v>
      </c>
      <c r="F474" s="176">
        <v>1</v>
      </c>
      <c r="G474" s="68"/>
      <c r="H474" s="69">
        <v>0</v>
      </c>
      <c r="I474" s="69">
        <v>0</v>
      </c>
      <c r="J474" s="69"/>
      <c r="K474" s="69">
        <v>0</v>
      </c>
      <c r="L474" s="68"/>
      <c r="M474" s="69">
        <v>0</v>
      </c>
      <c r="N474" s="68"/>
      <c r="O474" s="69">
        <v>0</v>
      </c>
      <c r="P474" s="69">
        <v>0</v>
      </c>
      <c r="Q474" s="70"/>
      <c r="R474" s="68">
        <v>0</v>
      </c>
      <c r="S474" s="68">
        <v>1</v>
      </c>
      <c r="T474" s="68"/>
      <c r="U474" s="68">
        <v>0</v>
      </c>
      <c r="V474" s="68"/>
      <c r="W474" s="68">
        <v>0</v>
      </c>
      <c r="X474" s="68"/>
      <c r="Y474" s="68">
        <v>0</v>
      </c>
      <c r="Z474" s="68"/>
      <c r="AA474" s="68">
        <v>0</v>
      </c>
      <c r="AB474" s="69">
        <f t="shared" si="275"/>
        <v>1</v>
      </c>
      <c r="AC474" s="21" t="str">
        <f t="shared" si="274"/>
        <v>ok</v>
      </c>
    </row>
    <row r="475" spans="1:29" x14ac:dyDescent="0.25">
      <c r="A475" s="14" t="s">
        <v>4</v>
      </c>
      <c r="C475" s="14" t="s">
        <v>44</v>
      </c>
      <c r="F475" s="176">
        <v>1</v>
      </c>
      <c r="G475" s="68"/>
      <c r="H475" s="69">
        <v>0</v>
      </c>
      <c r="I475" s="69">
        <v>0</v>
      </c>
      <c r="J475" s="69"/>
      <c r="K475" s="69">
        <v>0</v>
      </c>
      <c r="L475" s="68"/>
      <c r="M475" s="69">
        <v>0</v>
      </c>
      <c r="N475" s="68"/>
      <c r="O475" s="69">
        <v>0</v>
      </c>
      <c r="P475" s="69">
        <v>0</v>
      </c>
      <c r="Q475" s="70"/>
      <c r="R475" s="68">
        <v>0</v>
      </c>
      <c r="S475" s="68">
        <v>0</v>
      </c>
      <c r="T475" s="68"/>
      <c r="U475" s="68">
        <v>1</v>
      </c>
      <c r="V475" s="68"/>
      <c r="W475" s="68">
        <v>0</v>
      </c>
      <c r="X475" s="68"/>
      <c r="Y475" s="68">
        <v>0</v>
      </c>
      <c r="Z475" s="68"/>
      <c r="AA475" s="68">
        <v>0</v>
      </c>
      <c r="AB475" s="69">
        <f t="shared" si="275"/>
        <v>1</v>
      </c>
      <c r="AC475" s="21" t="str">
        <f t="shared" si="274"/>
        <v>ok</v>
      </c>
    </row>
    <row r="476" spans="1:29" x14ac:dyDescent="0.25">
      <c r="A476" s="14" t="s">
        <v>204</v>
      </c>
      <c r="C476" s="14" t="s">
        <v>49</v>
      </c>
      <c r="F476" s="176">
        <v>1</v>
      </c>
      <c r="G476" s="68"/>
      <c r="H476" s="69">
        <v>0</v>
      </c>
      <c r="I476" s="69">
        <v>0</v>
      </c>
      <c r="J476" s="69"/>
      <c r="K476" s="69">
        <v>0</v>
      </c>
      <c r="L476" s="68"/>
      <c r="M476" s="69">
        <v>0</v>
      </c>
      <c r="N476" s="68"/>
      <c r="O476" s="69">
        <v>0</v>
      </c>
      <c r="P476" s="69">
        <v>0</v>
      </c>
      <c r="Q476" s="70"/>
      <c r="R476" s="68">
        <v>0</v>
      </c>
      <c r="S476" s="68">
        <v>0</v>
      </c>
      <c r="T476" s="68"/>
      <c r="U476" s="68">
        <v>0</v>
      </c>
      <c r="V476" s="68"/>
      <c r="W476" s="68">
        <v>1</v>
      </c>
      <c r="X476" s="68"/>
      <c r="Y476" s="68">
        <v>0</v>
      </c>
      <c r="Z476" s="68"/>
      <c r="AA476" s="68">
        <v>0</v>
      </c>
      <c r="AB476" s="69">
        <f t="shared" si="275"/>
        <v>1</v>
      </c>
      <c r="AC476" s="21" t="str">
        <f t="shared" si="274"/>
        <v>ok</v>
      </c>
    </row>
    <row r="477" spans="1:29" x14ac:dyDescent="0.25">
      <c r="A477" s="14" t="s">
        <v>205</v>
      </c>
      <c r="C477" s="14" t="s">
        <v>140</v>
      </c>
      <c r="F477" s="176">
        <v>1</v>
      </c>
      <c r="G477" s="68"/>
      <c r="H477" s="69">
        <v>0</v>
      </c>
      <c r="I477" s="69">
        <v>0</v>
      </c>
      <c r="J477" s="69"/>
      <c r="K477" s="69">
        <v>0</v>
      </c>
      <c r="L477" s="68"/>
      <c r="M477" s="69">
        <v>0</v>
      </c>
      <c r="N477" s="68"/>
      <c r="O477" s="69">
        <v>0</v>
      </c>
      <c r="P477" s="69">
        <v>0</v>
      </c>
      <c r="Q477" s="70"/>
      <c r="R477" s="68">
        <v>0</v>
      </c>
      <c r="S477" s="68">
        <v>0</v>
      </c>
      <c r="T477" s="68"/>
      <c r="U477" s="68">
        <v>0</v>
      </c>
      <c r="V477" s="68"/>
      <c r="W477" s="68">
        <v>0</v>
      </c>
      <c r="X477" s="68"/>
      <c r="Y477" s="68">
        <v>1</v>
      </c>
      <c r="Z477" s="68"/>
      <c r="AA477" s="68">
        <v>0</v>
      </c>
      <c r="AB477" s="69">
        <f t="shared" si="275"/>
        <v>1</v>
      </c>
      <c r="AC477" s="21" t="str">
        <f t="shared" si="274"/>
        <v>ok</v>
      </c>
    </row>
    <row r="478" spans="1:29" x14ac:dyDescent="0.25">
      <c r="A478" s="14" t="s">
        <v>206</v>
      </c>
      <c r="C478" s="14" t="s">
        <v>150</v>
      </c>
      <c r="F478" s="176">
        <v>1</v>
      </c>
      <c r="G478" s="68"/>
      <c r="H478" s="69">
        <v>0</v>
      </c>
      <c r="I478" s="69">
        <v>0</v>
      </c>
      <c r="J478" s="69"/>
      <c r="K478" s="69">
        <v>0</v>
      </c>
      <c r="L478" s="68"/>
      <c r="M478" s="69">
        <v>0</v>
      </c>
      <c r="N478" s="68"/>
      <c r="O478" s="69">
        <v>0</v>
      </c>
      <c r="P478" s="69">
        <v>0</v>
      </c>
      <c r="Q478" s="70"/>
      <c r="R478" s="68">
        <v>0</v>
      </c>
      <c r="S478" s="68">
        <v>0</v>
      </c>
      <c r="T478" s="68"/>
      <c r="U478" s="68">
        <v>0</v>
      </c>
      <c r="V478" s="68"/>
      <c r="W478" s="68">
        <v>0</v>
      </c>
      <c r="X478" s="68"/>
      <c r="Y478" s="68">
        <v>1</v>
      </c>
      <c r="Z478" s="68"/>
      <c r="AA478" s="68">
        <v>0</v>
      </c>
      <c r="AB478" s="69">
        <f t="shared" si="275"/>
        <v>1</v>
      </c>
      <c r="AC478" s="21" t="str">
        <f t="shared" si="274"/>
        <v>ok</v>
      </c>
    </row>
    <row r="479" spans="1:29" x14ac:dyDescent="0.25">
      <c r="A479" s="14" t="s">
        <v>349</v>
      </c>
      <c r="C479" s="14" t="s">
        <v>390</v>
      </c>
      <c r="F479" s="176">
        <v>1</v>
      </c>
      <c r="G479" s="68"/>
      <c r="H479" s="69">
        <v>0</v>
      </c>
      <c r="I479" s="69">
        <v>0</v>
      </c>
      <c r="J479" s="69"/>
      <c r="K479" s="69">
        <v>1</v>
      </c>
      <c r="L479" s="68"/>
      <c r="M479" s="69">
        <v>0</v>
      </c>
      <c r="N479" s="68"/>
      <c r="O479" s="69">
        <v>0</v>
      </c>
      <c r="P479" s="69">
        <v>0</v>
      </c>
      <c r="Q479" s="70"/>
      <c r="R479" s="68">
        <v>0</v>
      </c>
      <c r="S479" s="68">
        <v>0</v>
      </c>
      <c r="T479" s="68"/>
      <c r="U479" s="68">
        <v>0</v>
      </c>
      <c r="V479" s="68"/>
      <c r="W479" s="68">
        <v>0</v>
      </c>
      <c r="X479" s="68"/>
      <c r="Y479" s="68">
        <v>0</v>
      </c>
      <c r="Z479" s="68"/>
      <c r="AA479" s="68">
        <v>0</v>
      </c>
      <c r="AB479" s="69">
        <f>SUM(H479:AA479)</f>
        <v>1</v>
      </c>
      <c r="AC479" s="21" t="str">
        <f t="shared" si="274"/>
        <v>ok</v>
      </c>
    </row>
    <row r="480" spans="1:29" x14ac:dyDescent="0.25">
      <c r="A480" s="14" t="s">
        <v>469</v>
      </c>
      <c r="C480" s="14" t="s">
        <v>470</v>
      </c>
      <c r="F480" s="176">
        <v>1</v>
      </c>
      <c r="G480" s="68"/>
      <c r="H480" s="69">
        <v>0</v>
      </c>
      <c r="I480" s="69">
        <v>0</v>
      </c>
      <c r="J480" s="69"/>
      <c r="K480" s="69">
        <v>0</v>
      </c>
      <c r="L480" s="68"/>
      <c r="M480" s="69">
        <v>0</v>
      </c>
      <c r="N480" s="68"/>
      <c r="O480" s="69">
        <v>0</v>
      </c>
      <c r="P480" s="69">
        <v>0</v>
      </c>
      <c r="Q480" s="70"/>
      <c r="R480" s="68">
        <v>0</v>
      </c>
      <c r="S480" s="68">
        <v>0</v>
      </c>
      <c r="T480" s="68"/>
      <c r="U480" s="68">
        <v>0</v>
      </c>
      <c r="V480" s="68"/>
      <c r="W480" s="68">
        <v>0</v>
      </c>
      <c r="X480" s="68"/>
      <c r="Y480" s="68">
        <v>0</v>
      </c>
      <c r="Z480" s="68"/>
      <c r="AA480" s="68">
        <v>1</v>
      </c>
      <c r="AB480" s="69">
        <f>SUM(H480:AA480)</f>
        <v>1</v>
      </c>
      <c r="AC480" s="21" t="str">
        <f>IF(ABS(AB480-F480)&lt;0.0000001,"ok","err")</f>
        <v>ok</v>
      </c>
    </row>
    <row r="481" spans="1:29" x14ac:dyDescent="0.25">
      <c r="F481" s="176"/>
      <c r="G481" s="68"/>
      <c r="H481" s="69"/>
      <c r="I481" s="69"/>
      <c r="J481" s="69"/>
      <c r="K481" s="69"/>
      <c r="L481" s="69"/>
      <c r="M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21"/>
    </row>
    <row r="482" spans="1:29" x14ac:dyDescent="0.25">
      <c r="AC482" s="21"/>
    </row>
    <row r="483" spans="1:29" x14ac:dyDescent="0.25">
      <c r="A483" s="13" t="s">
        <v>401</v>
      </c>
      <c r="C483" s="14" t="s">
        <v>97</v>
      </c>
      <c r="F483" s="176">
        <v>1</v>
      </c>
      <c r="G483" s="68"/>
      <c r="H483" s="69">
        <f>'Purchased Power'!O76</f>
        <v>0.24611538192932225</v>
      </c>
      <c r="I483" s="69">
        <f>'Purchased Power'!O77</f>
        <v>0.75388461807067775</v>
      </c>
      <c r="J483" s="27"/>
      <c r="K483" s="27">
        <v>0</v>
      </c>
      <c r="L483" s="27"/>
      <c r="M483" s="27">
        <v>0</v>
      </c>
      <c r="N483" s="27"/>
      <c r="O483" s="27">
        <v>0</v>
      </c>
      <c r="P483" s="27">
        <v>0</v>
      </c>
      <c r="Q483" s="71"/>
      <c r="R483" s="27">
        <v>0</v>
      </c>
      <c r="S483" s="27">
        <v>0</v>
      </c>
      <c r="T483" s="27"/>
      <c r="U483" s="27">
        <v>0</v>
      </c>
      <c r="V483" s="27"/>
      <c r="W483" s="27">
        <v>0</v>
      </c>
      <c r="X483" s="27"/>
      <c r="Y483" s="27">
        <v>0</v>
      </c>
      <c r="Z483" s="27"/>
      <c r="AA483" s="27">
        <v>0</v>
      </c>
      <c r="AB483" s="69">
        <f>SUM(H483:AA483)</f>
        <v>1</v>
      </c>
      <c r="AC483" s="21" t="str">
        <f>IF(ABS(AB483-F483)&lt;1,"ok","err")</f>
        <v>ok</v>
      </c>
    </row>
    <row r="484" spans="1:29" x14ac:dyDescent="0.25">
      <c r="F484" s="176"/>
      <c r="AC484" s="21"/>
    </row>
    <row r="485" spans="1:29" x14ac:dyDescent="0.25">
      <c r="A485" s="14" t="s">
        <v>547</v>
      </c>
      <c r="C485" s="14" t="s">
        <v>545</v>
      </c>
      <c r="F485" s="176">
        <v>1</v>
      </c>
      <c r="G485" s="72"/>
      <c r="H485" s="27">
        <v>0</v>
      </c>
      <c r="I485" s="27">
        <v>0</v>
      </c>
      <c r="K485" s="27">
        <v>0</v>
      </c>
      <c r="M485" s="27">
        <v>0</v>
      </c>
      <c r="O485" s="27">
        <v>0</v>
      </c>
      <c r="P485" s="27">
        <v>0</v>
      </c>
      <c r="R485" s="27">
        <v>0</v>
      </c>
      <c r="S485" s="27">
        <v>0</v>
      </c>
      <c r="U485" s="27">
        <v>0</v>
      </c>
      <c r="W485" s="72">
        <v>1</v>
      </c>
      <c r="Y485" s="27">
        <v>0</v>
      </c>
      <c r="AA485" s="27">
        <v>0</v>
      </c>
      <c r="AB485" s="69">
        <f>SUM(H485:AA485)</f>
        <v>1</v>
      </c>
      <c r="AC485" s="21" t="str">
        <f>IF(ABS(AB485-F485)&lt;1,"ok","err")</f>
        <v>ok</v>
      </c>
    </row>
    <row r="486" spans="1:29" x14ac:dyDescent="0.25">
      <c r="A486" s="14" t="s">
        <v>548</v>
      </c>
      <c r="C486" s="14" t="s">
        <v>546</v>
      </c>
      <c r="F486" s="176">
        <v>1</v>
      </c>
      <c r="G486" s="72"/>
      <c r="H486" s="27">
        <v>0</v>
      </c>
      <c r="I486" s="27">
        <v>0</v>
      </c>
      <c r="K486" s="27">
        <v>0</v>
      </c>
      <c r="M486" s="27">
        <v>0</v>
      </c>
      <c r="O486" s="27">
        <v>0</v>
      </c>
      <c r="P486" s="27">
        <v>0</v>
      </c>
      <c r="R486" s="27">
        <v>0</v>
      </c>
      <c r="S486" s="27">
        <v>0</v>
      </c>
      <c r="U486" s="27">
        <v>0</v>
      </c>
      <c r="W486" s="72">
        <v>1</v>
      </c>
      <c r="Y486" s="27">
        <v>0</v>
      </c>
      <c r="AA486" s="27">
        <v>0</v>
      </c>
      <c r="AB486" s="69">
        <f>SUM(H486:AA486)</f>
        <v>1</v>
      </c>
      <c r="AC486" s="21" t="str">
        <f>IF(ABS(AB486-F486)&lt;1,"ok","err")</f>
        <v>ok</v>
      </c>
    </row>
    <row r="487" spans="1:29" x14ac:dyDescent="0.25">
      <c r="A487" s="14" t="s">
        <v>705</v>
      </c>
      <c r="C487" s="14" t="s">
        <v>550</v>
      </c>
      <c r="F487" s="176">
        <v>1</v>
      </c>
      <c r="G487" s="68"/>
      <c r="H487" s="69">
        <v>0</v>
      </c>
      <c r="I487" s="69">
        <v>0</v>
      </c>
      <c r="J487" s="69"/>
      <c r="K487" s="69">
        <v>0</v>
      </c>
      <c r="L487" s="68"/>
      <c r="M487" s="69">
        <v>0</v>
      </c>
      <c r="N487" s="68"/>
      <c r="O487" s="69">
        <v>0</v>
      </c>
      <c r="P487" s="69">
        <v>1</v>
      </c>
      <c r="Q487" s="70"/>
      <c r="R487" s="68">
        <v>0</v>
      </c>
      <c r="S487" s="68">
        <v>0</v>
      </c>
      <c r="T487" s="68"/>
      <c r="U487" s="68">
        <v>0</v>
      </c>
      <c r="V487" s="68"/>
      <c r="W487" s="68">
        <v>0</v>
      </c>
      <c r="X487" s="68"/>
      <c r="Y487" s="68">
        <v>0</v>
      </c>
      <c r="Z487" s="68"/>
      <c r="AA487" s="68">
        <v>0</v>
      </c>
      <c r="AB487" s="69">
        <f>SUM(H487:AA487)</f>
        <v>1</v>
      </c>
      <c r="AC487" s="21" t="str">
        <f>IF(ABS(AB487-F487)&lt;0.0000001,"ok","err")</f>
        <v>ok</v>
      </c>
    </row>
    <row r="488" spans="1:29" x14ac:dyDescent="0.25">
      <c r="A488" s="14" t="s">
        <v>819</v>
      </c>
      <c r="C488" s="14" t="s">
        <v>551</v>
      </c>
      <c r="F488" s="176">
        <v>1</v>
      </c>
      <c r="G488" s="68"/>
      <c r="H488" s="69">
        <v>1</v>
      </c>
      <c r="I488" s="69">
        <v>0</v>
      </c>
      <c r="J488" s="69"/>
      <c r="K488" s="69">
        <v>0</v>
      </c>
      <c r="L488" s="68"/>
      <c r="M488" s="69">
        <v>0</v>
      </c>
      <c r="N488" s="68"/>
      <c r="O488" s="69">
        <v>0</v>
      </c>
      <c r="P488" s="69">
        <v>0</v>
      </c>
      <c r="Q488" s="70"/>
      <c r="R488" s="68">
        <v>0</v>
      </c>
      <c r="S488" s="68">
        <v>0</v>
      </c>
      <c r="T488" s="68"/>
      <c r="U488" s="68">
        <v>0</v>
      </c>
      <c r="V488" s="68"/>
      <c r="W488" s="68">
        <v>0</v>
      </c>
      <c r="X488" s="68"/>
      <c r="Y488" s="68">
        <v>0</v>
      </c>
      <c r="Z488" s="68"/>
      <c r="AA488" s="68">
        <v>0</v>
      </c>
      <c r="AB488" s="69">
        <f>SUM(H488:AA488)</f>
        <v>1</v>
      </c>
      <c r="AC488" s="21" t="str">
        <f>IF(ABS(AB488-F488)&lt;0.0000001,"ok","err")</f>
        <v>ok</v>
      </c>
    </row>
    <row r="489" spans="1:29" x14ac:dyDescent="0.25">
      <c r="A489" s="14" t="s">
        <v>820</v>
      </c>
      <c r="C489" s="14" t="s">
        <v>783</v>
      </c>
      <c r="F489" s="176">
        <v>1</v>
      </c>
      <c r="G489" s="68"/>
      <c r="H489" s="69">
        <v>0</v>
      </c>
      <c r="I489" s="69">
        <v>1</v>
      </c>
      <c r="J489" s="69"/>
      <c r="K489" s="69">
        <v>0</v>
      </c>
      <c r="L489" s="68"/>
      <c r="M489" s="69">
        <v>0</v>
      </c>
      <c r="N489" s="68"/>
      <c r="O489" s="69">
        <v>0</v>
      </c>
      <c r="P489" s="69">
        <v>0</v>
      </c>
      <c r="Q489" s="70"/>
      <c r="R489" s="68">
        <v>0</v>
      </c>
      <c r="S489" s="68">
        <v>0</v>
      </c>
      <c r="T489" s="68"/>
      <c r="U489" s="68">
        <v>0</v>
      </c>
      <c r="V489" s="68"/>
      <c r="W489" s="68">
        <v>0</v>
      </c>
      <c r="X489" s="68"/>
      <c r="Y489" s="68">
        <v>0</v>
      </c>
      <c r="Z489" s="68"/>
      <c r="AA489" s="68">
        <v>0</v>
      </c>
      <c r="AB489" s="69">
        <f>SUM(H489:AA489)</f>
        <v>1</v>
      </c>
      <c r="AC489" s="21" t="str">
        <f>IF(ABS(AB489-F489)&lt;0.0000001,"ok","err")</f>
        <v>ok</v>
      </c>
    </row>
    <row r="490" spans="1:29" x14ac:dyDescent="0.25">
      <c r="F490" s="176"/>
      <c r="G490" s="68"/>
      <c r="AC490" s="21"/>
    </row>
    <row r="491" spans="1:29" x14ac:dyDescent="0.25">
      <c r="AC491" s="21"/>
    </row>
    <row r="492" spans="1:29" x14ac:dyDescent="0.25">
      <c r="F492" s="175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27"/>
      <c r="AC492" s="21"/>
    </row>
    <row r="493" spans="1:29" x14ac:dyDescent="0.25">
      <c r="F493" s="175"/>
      <c r="G493" s="64"/>
      <c r="H493" s="64"/>
      <c r="I493" s="64"/>
      <c r="J493" s="64"/>
      <c r="K493" s="64"/>
      <c r="L493" s="64"/>
      <c r="M493" s="64"/>
      <c r="N493" s="64"/>
      <c r="O493" s="25"/>
      <c r="P493" s="25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27"/>
      <c r="AC493" s="21"/>
    </row>
    <row r="494" spans="1:29" x14ac:dyDescent="0.25">
      <c r="O494" s="25"/>
      <c r="P494" s="25"/>
      <c r="AC494" s="21"/>
    </row>
    <row r="495" spans="1:29" x14ac:dyDescent="0.25">
      <c r="F495" s="167"/>
      <c r="G495" s="27"/>
      <c r="O495" s="25"/>
      <c r="P495" s="25"/>
      <c r="AC495" s="21"/>
    </row>
    <row r="496" spans="1:29" x14ac:dyDescent="0.25">
      <c r="F496" s="167"/>
      <c r="G496" s="27"/>
      <c r="O496" s="25"/>
      <c r="P496" s="25"/>
      <c r="AC496" s="21"/>
    </row>
    <row r="497" spans="6:29" x14ac:dyDescent="0.25">
      <c r="F497" s="167"/>
      <c r="G497" s="27"/>
      <c r="AC497" s="21"/>
    </row>
    <row r="498" spans="6:29" x14ac:dyDescent="0.25">
      <c r="F498" s="167"/>
      <c r="G498" s="27"/>
      <c r="AC498" s="21"/>
    </row>
    <row r="499" spans="6:29" x14ac:dyDescent="0.25">
      <c r="F499" s="167"/>
      <c r="G499" s="27"/>
      <c r="AC499" s="21"/>
    </row>
    <row r="500" spans="6:29" x14ac:dyDescent="0.25">
      <c r="F500" s="167"/>
      <c r="G500" s="27"/>
      <c r="AC500" s="21"/>
    </row>
    <row r="501" spans="6:29" x14ac:dyDescent="0.25">
      <c r="F501" s="167"/>
      <c r="G501" s="27"/>
      <c r="AC501" s="21"/>
    </row>
    <row r="502" spans="6:29" x14ac:dyDescent="0.25">
      <c r="F502" s="167"/>
      <c r="G502" s="27"/>
      <c r="AC502" s="21"/>
    </row>
    <row r="503" spans="6:29" x14ac:dyDescent="0.25">
      <c r="F503" s="177"/>
      <c r="G503" s="23"/>
      <c r="AC503" s="21"/>
    </row>
    <row r="504" spans="6:29" x14ac:dyDescent="0.25">
      <c r="AC504" s="21"/>
    </row>
    <row r="505" spans="6:29" x14ac:dyDescent="0.25">
      <c r="F505" s="174"/>
      <c r="G505" s="40"/>
      <c r="AC505" s="21"/>
    </row>
    <row r="506" spans="6:29" x14ac:dyDescent="0.25">
      <c r="AC506" s="21"/>
    </row>
    <row r="507" spans="6:29" x14ac:dyDescent="0.25">
      <c r="AC507" s="21"/>
    </row>
    <row r="508" spans="6:29" x14ac:dyDescent="0.25">
      <c r="AC508" s="21"/>
    </row>
  </sheetData>
  <phoneticPr fontId="0" type="noConversion"/>
  <conditionalFormatting sqref="AC1:AC65536">
    <cfRule type="cellIs" dxfId="4" priority="2" operator="equal">
      <formula>"err"</formula>
    </cfRule>
  </conditionalFormatting>
  <conditionalFormatting sqref="AC8:AC493">
    <cfRule type="containsText" dxfId="3" priority="1" operator="containsText" text="err">
      <formula>NOT(ISERROR(SEARCH("err",AC8)))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Roman,Bold"TAYLOR COUNTY R.E.C.C.
Cost of Service Study
Functionalization and Classification
12 Months Ended December 31, 2021</oddHeader>
    <oddFooter>&amp;RExhibit JW-4
Page &amp;P of &amp;N</oddFooter>
  </headerFooter>
  <rowBreaks count="13" manualBreakCount="13">
    <brk id="35" max="26" man="1"/>
    <brk id="58" max="26" man="1"/>
    <brk id="93" max="26" man="1"/>
    <brk id="144" max="26" man="1"/>
    <brk id="170" max="26" man="1"/>
    <brk id="215" max="26" man="1"/>
    <brk id="264" max="26" man="1"/>
    <brk id="288" max="26" man="1"/>
    <brk id="332" max="26" man="1"/>
    <brk id="359" max="26" man="1"/>
    <brk id="396" max="26" man="1"/>
    <brk id="443" max="26" man="1"/>
    <brk id="465" max="26" man="1"/>
  </rowBreaks>
  <colBreaks count="1" manualBreakCount="1">
    <brk id="14" max="4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654"/>
  <sheetViews>
    <sheetView tabSelected="1" view="pageBreakPreview" zoomScale="65" zoomScaleNormal="100" zoomScaleSheetLayoutView="65" workbookViewId="0">
      <pane xSplit="2" ySplit="3" topLeftCell="C332" activePane="bottomRight" state="frozen"/>
      <selection activeCell="E545" sqref="E545"/>
      <selection pane="topRight" activeCell="E545" sqref="E545"/>
      <selection pane="bottomLeft" activeCell="E545" sqref="E545"/>
      <selection pane="bottomRight" activeCell="H204" sqref="H204"/>
    </sheetView>
  </sheetViews>
  <sheetFormatPr defaultColWidth="9.109375" defaultRowHeight="13.2" x14ac:dyDescent="0.25"/>
  <cols>
    <col min="1" max="1" width="7.6640625" style="14" customWidth="1"/>
    <col min="2" max="2" width="56.44140625" style="14" customWidth="1"/>
    <col min="3" max="3" width="19.6640625" style="14" customWidth="1"/>
    <col min="4" max="4" width="11.88671875" style="14" bestFit="1" customWidth="1"/>
    <col min="5" max="5" width="15.109375" style="173" bestFit="1" customWidth="1"/>
    <col min="6" max="6" width="14.109375" style="14" bestFit="1" customWidth="1"/>
    <col min="7" max="7" width="16.5546875" style="14" bestFit="1" customWidth="1"/>
    <col min="8" max="8" width="16.88671875" style="14" bestFit="1" customWidth="1"/>
    <col min="9" max="9" width="16.77734375" style="14" bestFit="1" customWidth="1"/>
    <col min="10" max="10" width="11.77734375" style="14" bestFit="1" customWidth="1"/>
    <col min="11" max="11" width="18.6640625" style="14" customWidth="1"/>
    <col min="12" max="12" width="14.5546875" style="14" customWidth="1"/>
    <col min="13" max="15" width="9" style="14" hidden="1" customWidth="1"/>
    <col min="16" max="16" width="16.109375" style="14" hidden="1" customWidth="1"/>
    <col min="17" max="17" width="15.6640625" style="14" hidden="1" customWidth="1"/>
    <col min="18" max="18" width="20.6640625" style="14" hidden="1" customWidth="1"/>
    <col min="19" max="22" width="14.5546875" style="14" hidden="1" customWidth="1"/>
    <col min="23" max="23" width="13.5546875" style="14" hidden="1" customWidth="1"/>
    <col min="24" max="24" width="12" style="14" hidden="1" customWidth="1"/>
    <col min="25" max="30" width="17.6640625" style="14" hidden="1" customWidth="1"/>
    <col min="31" max="31" width="17.44140625" style="14" hidden="1" customWidth="1"/>
    <col min="32" max="32" width="21.88671875" style="14" hidden="1" customWidth="1"/>
    <col min="33" max="33" width="17.6640625" style="14" customWidth="1"/>
    <col min="34" max="34" width="10.6640625" style="14" customWidth="1"/>
    <col min="35" max="35" width="11.5546875" style="14" bestFit="1" customWidth="1"/>
    <col min="36" max="36" width="17.33203125" style="27" bestFit="1" customWidth="1"/>
    <col min="37" max="16384" width="9.109375" style="14"/>
  </cols>
  <sheetData>
    <row r="1" spans="1:36" x14ac:dyDescent="0.25">
      <c r="A1" s="53"/>
      <c r="B1" s="53"/>
      <c r="C1" s="53"/>
      <c r="D1" s="53"/>
      <c r="L1" s="261" t="s">
        <v>1190</v>
      </c>
      <c r="AH1" s="21" t="str">
        <f>IF(COUNTIF(AH4:AH541,"err"),"err","ok")</f>
        <v>ok</v>
      </c>
    </row>
    <row r="2" spans="1:36" s="117" customFormat="1" ht="77.25" customHeight="1" x14ac:dyDescent="0.25">
      <c r="A2" s="115"/>
      <c r="B2" s="115"/>
      <c r="C2" s="56"/>
      <c r="D2" s="116" t="s">
        <v>207</v>
      </c>
      <c r="E2" s="183" t="s">
        <v>0</v>
      </c>
      <c r="F2" s="56" t="str">
        <f>'Summary of Returns'!B10</f>
        <v>Residential Farm &amp; Home</v>
      </c>
      <c r="G2" s="56" t="str">
        <f>'Summary of Returns'!B11</f>
        <v>Residential Marketing Rate (ETS)</v>
      </c>
      <c r="H2" s="56" t="str">
        <f>'Summary of Returns'!B12</f>
        <v>General Purpose Part 1 &lt; 50 KVA</v>
      </c>
      <c r="I2" s="56" t="str">
        <f>'Summary of Returns'!B13</f>
        <v>General Purpose Part 2 &gt; 50 KVA</v>
      </c>
      <c r="J2" s="56" t="str">
        <f>'Summary of Returns'!B14</f>
        <v>Large Industrial B</v>
      </c>
      <c r="K2" s="56" t="str">
        <f>'Summary of Returns'!B15</f>
        <v>Lighting</v>
      </c>
      <c r="L2" s="56" t="str">
        <f>'Summary of Returns'!B16</f>
        <v>Special Contract</v>
      </c>
      <c r="M2" s="56">
        <f>'Summary of Returns'!B17</f>
        <v>0</v>
      </c>
      <c r="N2" s="56">
        <f>'Summary of Returns'!B18</f>
        <v>0</v>
      </c>
      <c r="O2" s="56">
        <f>'Summary of Returns'!B19</f>
        <v>0</v>
      </c>
      <c r="P2" s="56">
        <f>'Summary of Returns'!B20</f>
        <v>0</v>
      </c>
      <c r="Q2" s="56" t="s">
        <v>700</v>
      </c>
      <c r="R2" s="56" t="s">
        <v>700</v>
      </c>
      <c r="S2" s="56" t="s">
        <v>700</v>
      </c>
      <c r="T2" s="56" t="s">
        <v>700</v>
      </c>
      <c r="U2" s="56" t="s">
        <v>700</v>
      </c>
      <c r="V2" s="56" t="s">
        <v>700</v>
      </c>
      <c r="W2" s="56" t="s">
        <v>700</v>
      </c>
      <c r="X2" s="56" t="s">
        <v>700</v>
      </c>
      <c r="Y2" s="56" t="s">
        <v>700</v>
      </c>
      <c r="Z2" s="56" t="s">
        <v>700</v>
      </c>
      <c r="AA2" s="56" t="s">
        <v>700</v>
      </c>
      <c r="AB2" s="56" t="s">
        <v>700</v>
      </c>
      <c r="AC2" s="56" t="s">
        <v>700</v>
      </c>
      <c r="AD2" s="56" t="s">
        <v>700</v>
      </c>
      <c r="AE2" s="56" t="s">
        <v>700</v>
      </c>
      <c r="AF2" s="56" t="s">
        <v>700</v>
      </c>
      <c r="AG2" s="115"/>
      <c r="AH2" s="115"/>
      <c r="AJ2" s="118"/>
    </row>
    <row r="3" spans="1:36" ht="13.8" thickBot="1" x14ac:dyDescent="0.3">
      <c r="A3" s="58" t="s">
        <v>6</v>
      </c>
      <c r="B3" s="58"/>
      <c r="C3" s="59" t="s">
        <v>7</v>
      </c>
      <c r="D3" s="59" t="s">
        <v>8</v>
      </c>
      <c r="E3" s="170" t="s">
        <v>9</v>
      </c>
      <c r="F3" s="57" t="str">
        <f>'Summary of Returns'!C10</f>
        <v>A</v>
      </c>
      <c r="G3" s="57" t="str">
        <f>'Summary of Returns'!C11</f>
        <v>R-1</v>
      </c>
      <c r="H3" s="57" t="str">
        <f>'Summary of Returns'!C12</f>
        <v>GP1</v>
      </c>
      <c r="I3" s="57" t="str">
        <f>'Summary of Returns'!C13</f>
        <v>GP2</v>
      </c>
      <c r="J3" s="57" t="str">
        <f>'Summary of Returns'!C14</f>
        <v>B1</v>
      </c>
      <c r="K3" s="57" t="str">
        <f>'Summary of Returns'!C15</f>
        <v>SL</v>
      </c>
      <c r="L3" s="57" t="str">
        <f>'Summary of Returns'!C16</f>
        <v>TGP</v>
      </c>
      <c r="M3" s="57">
        <f>'Summary of Returns'!C17</f>
        <v>0</v>
      </c>
      <c r="N3" s="57">
        <f>'Summary of Returns'!C18</f>
        <v>0</v>
      </c>
      <c r="O3" s="57">
        <f>'Summary of Returns'!C19</f>
        <v>0</v>
      </c>
      <c r="P3" s="57">
        <f>'Summary of Returns'!C20</f>
        <v>0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 t="s">
        <v>13</v>
      </c>
      <c r="AH3" s="57" t="s">
        <v>14</v>
      </c>
    </row>
    <row r="5" spans="1:36" x14ac:dyDescent="0.25">
      <c r="A5" s="19" t="s">
        <v>15</v>
      </c>
    </row>
    <row r="7" spans="1:36" x14ac:dyDescent="0.25">
      <c r="A7" s="13" t="s">
        <v>885</v>
      </c>
    </row>
    <row r="8" spans="1:36" x14ac:dyDescent="0.25">
      <c r="A8" s="67" t="s">
        <v>208</v>
      </c>
      <c r="C8" s="14" t="s">
        <v>209</v>
      </c>
      <c r="D8" s="14" t="s">
        <v>654</v>
      </c>
      <c r="E8" s="174">
        <f>'Func &amp; Classif'!H82</f>
        <v>0</v>
      </c>
      <c r="F8" s="40">
        <f>IF(VLOOKUP($D8,$C$5:$AT$507,3,)=0,0,(VLOOKUP($D8,$C$5:$AT$507,4,)/VLOOKUP($D8,$C$5:$AT$507,3,))*$E8)</f>
        <v>0</v>
      </c>
      <c r="G8" s="40">
        <f>IF(VLOOKUP($D8,$C$5:$AT$507,3,)=0,0,(VLOOKUP($D8,$C$5:$AT$507,5,)/VLOOKUP($D8,$C$5:$AT$507,3,))*$E8)</f>
        <v>0</v>
      </c>
      <c r="H8" s="40">
        <f>IF(VLOOKUP($D8,$C$5:$AT$507,3,)=0,0,(VLOOKUP($D8,$C$5:$AT$507,6,)/VLOOKUP($D8,$C$5:$AT$507,3,))*$E8)</f>
        <v>0</v>
      </c>
      <c r="I8" s="40">
        <f>IF(VLOOKUP($D8,$C$5:$AT$507,3,)=0,0,(VLOOKUP($D8,$C$5:$AT$507,7,)/VLOOKUP($D8,$C$5:$AT$507,3,))*$E8)</f>
        <v>0</v>
      </c>
      <c r="J8" s="40">
        <f>IF(VLOOKUP($D8,$C$5:$AT$507,3,)=0,0,(VLOOKUP($D8,$C$5:$AT$507,8,)/VLOOKUP($D8,$C$5:$AT$507,3,))*$E8)</f>
        <v>0</v>
      </c>
      <c r="K8" s="40">
        <f>IF(VLOOKUP($D8,$C$5:$AT$507,3,)=0,0,(VLOOKUP($D8,$C$5:$AT$507,9,)/VLOOKUP($D8,$C$5:$AT$507,3,))*$E8)</f>
        <v>0</v>
      </c>
      <c r="L8" s="40">
        <f>IF(VLOOKUP($D8,$C$5:$AT$507,3,)=0,0,(VLOOKUP($D8,$C$5:$AT$507,10,)/VLOOKUP($D8,$C$5:$AT$507,3,))*$E8)</f>
        <v>0</v>
      </c>
      <c r="M8" s="40">
        <f>IF(VLOOKUP($D8,$C$5:$AT$507,3,)=0,0,(VLOOKUP($D8,$C$5:$AT$507,11,)/VLOOKUP($D8,$C$5:$AT$507,3,))*$E8)</f>
        <v>0</v>
      </c>
      <c r="N8" s="40">
        <f>IF(VLOOKUP($D8,$C$5:$AT$507,3,)=0,0,(VLOOKUP($D8,$C$5:$AT$507,12,)/VLOOKUP($D8,$C$5:$AT$507,3,))*$E8)</f>
        <v>0</v>
      </c>
      <c r="O8" s="40">
        <f>IF(VLOOKUP($D8,$C$5:$AT$507,3,)=0,0,(VLOOKUP($D8,$C$5:$AT$507,13,)/VLOOKUP($D8,$C$5:$AT$507,3,))*$E8)</f>
        <v>0</v>
      </c>
      <c r="P8" s="40">
        <f>IF(VLOOKUP($D8,$C$5:$AT$507,3,)=0,0,(VLOOKUP($D8,$C$5:$AT$507,14,)/VLOOKUP($D8,$C$5:$AT$507,3,))*$E8)</f>
        <v>0</v>
      </c>
      <c r="Q8" s="40">
        <f>IF(VLOOKUP($D8,$C$5:$AT$507,3,)=0,0,(VLOOKUP($D8,$C$5:$AT$507,15,)/VLOOKUP($D8,$C$5:$AT$507,3,))*$E8)</f>
        <v>0</v>
      </c>
      <c r="R8" s="40">
        <f>IF(VLOOKUP($D8,$C$5:$AT$507,3,)=0,0,(VLOOKUP($D8,$C$5:$AT$507,16,)/VLOOKUP($D8,$C$5:$AT$507,3,))*$E8)</f>
        <v>0</v>
      </c>
      <c r="S8" s="40">
        <f>IF(VLOOKUP($D8,$C$5:$AT$507,3,)=0,0,(VLOOKUP($D8,$C$5:$AT$507,17,)/VLOOKUP($D8,$C$5:$AT$507,3,))*$E8)</f>
        <v>0</v>
      </c>
      <c r="T8" s="40">
        <f>IF(VLOOKUP($D8,$C$5:$AT$507,3,)=0,0,(VLOOKUP($D8,$C$5:$AT$507,18,)/VLOOKUP($D8,$C$5:$AT$507,3,))*$E8)</f>
        <v>0</v>
      </c>
      <c r="U8" s="40">
        <f>IF(VLOOKUP($D8,$C$5:$AT$507,3,)=0,0,(VLOOKUP($D8,$C$5:$AT$507,19,)/VLOOKUP($D8,$C$5:$AT$507,3,))*$E8)</f>
        <v>0</v>
      </c>
      <c r="V8" s="40">
        <f>IF(VLOOKUP($D8,$C$5:$AT$507,3,)=0,0,(VLOOKUP($D8,$C$5:$AT$507,20,)/VLOOKUP($D8,$C$5:$AT$507,3,))*$E8)</f>
        <v>0</v>
      </c>
      <c r="W8" s="40">
        <f>IF(VLOOKUP($D8,$C$5:$AT$507,3,)=0,0,(VLOOKUP($D8,$C$5:$AT$507,21,)/VLOOKUP($D8,$C$5:$AT$507,3,))*$E8)</f>
        <v>0</v>
      </c>
      <c r="X8" s="40">
        <f>IF(VLOOKUP($D8,$C$5:$AT$507,3,)=0,0,(VLOOKUP($D8,$C$5:$AT$507,22,)/VLOOKUP($D8,$C$5:$AT$507,3,))*$E8)</f>
        <v>0</v>
      </c>
      <c r="Y8" s="40">
        <f>IF(VLOOKUP($D8,$C$5:$AT$507,3,)=0,0,(VLOOKUP($D8,$C$5:$AT$507,23,)/VLOOKUP($D8,$C$5:$AT$507,3,))*$E8)</f>
        <v>0</v>
      </c>
      <c r="Z8" s="40">
        <f>IF(VLOOKUP($D8,$C$5:$AT$507,3,)=0,0,(VLOOKUP($D8,$C$5:$AT$507,24,)/VLOOKUP($D8,$C$5:$AT$507,3,))*$E8)</f>
        <v>0</v>
      </c>
      <c r="AA8" s="40">
        <f>IF(VLOOKUP($D8,$C$5:$AT$507,3,)=0,0,(VLOOKUP($D8,$C$5:$AT$507,25,)/VLOOKUP($D8,$C$5:$AT$507,3,))*$E8)</f>
        <v>0</v>
      </c>
      <c r="AB8" s="40">
        <f>IF(VLOOKUP($D8,$C$5:$AT$507,3,)=0,0,(VLOOKUP($D8,$C$5:$AT$507,26,)/VLOOKUP($D8,$C$5:$AT$507,3,))*$E8)</f>
        <v>0</v>
      </c>
      <c r="AC8" s="40">
        <f>IF(VLOOKUP($D8,$C$5:$AT$507,3,)=0,0,(VLOOKUP($D8,$C$5:$AT$507,27,)/VLOOKUP($D8,$C$5:$AT$507,3,))*$E8)</f>
        <v>0</v>
      </c>
      <c r="AD8" s="40">
        <f>IF(VLOOKUP($D8,$C$5:$AT$507,3,)=0,0,(VLOOKUP($D8,$C$5:$AT$507,28,)/VLOOKUP($D8,$C$5:$AT$507,3,))*$E8)</f>
        <v>0</v>
      </c>
      <c r="AE8" s="40">
        <f>IF(VLOOKUP($D8,$C$5:$AT$507,3,)=0,0,(VLOOKUP($D8,$C$5:$AT$507,29,)/VLOOKUP($D8,$C$5:$AT$507,3,))*$E8)</f>
        <v>0</v>
      </c>
      <c r="AF8" s="40">
        <f>IF(VLOOKUP($D8,$C$5:$AT$507,3,)=0,0,(VLOOKUP($D8,$C$5:$AT$507,30,)/VLOOKUP($D8,$C$5:$AT$507,3,))*$E8)</f>
        <v>0</v>
      </c>
      <c r="AG8" s="64">
        <f>SUM(F8:AF8)</f>
        <v>0</v>
      </c>
      <c r="AH8" s="21" t="str">
        <f>IF(ABS(E8-AG8)&lt;0.01,"ok","err")</f>
        <v>ok</v>
      </c>
    </row>
    <row r="9" spans="1:36" x14ac:dyDescent="0.25">
      <c r="A9" s="67" t="s">
        <v>211</v>
      </c>
      <c r="C9" s="14" t="s">
        <v>212</v>
      </c>
      <c r="D9" s="14" t="s">
        <v>663</v>
      </c>
      <c r="E9" s="167">
        <f>'Func &amp; Classif'!I82</f>
        <v>0</v>
      </c>
      <c r="F9" s="40">
        <f>IF(VLOOKUP($D9,$C$5:$AT$507,3,)=0,0,(VLOOKUP($D9,$C$5:$AT$507,4,)/VLOOKUP($D9,$C$5:$AT$507,3,))*$E9)</f>
        <v>0</v>
      </c>
      <c r="G9" s="40">
        <f>IF(VLOOKUP($D9,$C$5:$AT$507,3,)=0,0,(VLOOKUP($D9,$C$5:$AT$507,5,)/VLOOKUP($D9,$C$5:$AT$507,3,))*$E9)</f>
        <v>0</v>
      </c>
      <c r="H9" s="40">
        <f>IF(VLOOKUP($D9,$C$5:$AT$507,3,)=0,0,(VLOOKUP($D9,$C$5:$AT$507,6,)/VLOOKUP($D9,$C$5:$AT$507,3,))*$E9)</f>
        <v>0</v>
      </c>
      <c r="I9" s="40">
        <f>IF(VLOOKUP($D9,$C$5:$AT$507,3,)=0,0,(VLOOKUP($D9,$C$5:$AT$507,7,)/VLOOKUP($D9,$C$5:$AT$507,3,))*$E9)</f>
        <v>0</v>
      </c>
      <c r="J9" s="40">
        <f>IF(VLOOKUP($D9,$C$5:$AT$507,3,)=0,0,(VLOOKUP($D9,$C$5:$AT$507,8,)/VLOOKUP($D9,$C$5:$AT$507,3,))*$E9)</f>
        <v>0</v>
      </c>
      <c r="K9" s="40">
        <f>IF(VLOOKUP($D9,$C$5:$AT$507,3,)=0,0,(VLOOKUP($D9,$C$5:$AT$507,9,)/VLOOKUP($D9,$C$5:$AT$507,3,))*$E9)</f>
        <v>0</v>
      </c>
      <c r="L9" s="40">
        <f>IF(VLOOKUP($D9,$C$5:$AT$507,3,)=0,0,(VLOOKUP($D9,$C$5:$AT$507,10,)/VLOOKUP($D9,$C$5:$AT$507,3,))*$E9)</f>
        <v>0</v>
      </c>
      <c r="M9" s="40">
        <f>IF(VLOOKUP($D9,$C$5:$AT$507,3,)=0,0,(VLOOKUP($D9,$C$5:$AT$507,11,)/VLOOKUP($D9,$C$5:$AT$507,3,))*$E9)</f>
        <v>0</v>
      </c>
      <c r="N9" s="40">
        <f>IF(VLOOKUP($D9,$C$5:$AT$507,3,)=0,0,(VLOOKUP($D9,$C$5:$AT$507,12,)/VLOOKUP($D9,$C$5:$AT$507,3,))*$E9)</f>
        <v>0</v>
      </c>
      <c r="O9" s="40">
        <f>IF(VLOOKUP($D9,$C$5:$AT$507,3,)=0,0,(VLOOKUP($D9,$C$5:$AT$507,13,)/VLOOKUP($D9,$C$5:$AT$507,3,))*$E9)</f>
        <v>0</v>
      </c>
      <c r="P9" s="40">
        <f>IF(VLOOKUP($D9,$C$5:$AT$507,3,)=0,0,(VLOOKUP($D9,$C$5:$AT$507,14,)/VLOOKUP($D9,$C$5:$AT$507,3,))*$E9)</f>
        <v>0</v>
      </c>
      <c r="Q9" s="40">
        <f>IF(VLOOKUP($D9,$C$5:$AT$507,3,)=0,0,(VLOOKUP($D9,$C$5:$AT$507,15,)/VLOOKUP($D9,$C$5:$AT$507,3,))*$E9)</f>
        <v>0</v>
      </c>
      <c r="R9" s="40">
        <f>IF(VLOOKUP($D9,$C$5:$AT$507,3,)=0,0,(VLOOKUP($D9,$C$5:$AT$507,16,)/VLOOKUP($D9,$C$5:$AT$507,3,))*$E9)</f>
        <v>0</v>
      </c>
      <c r="S9" s="40">
        <f>IF(VLOOKUP($D9,$C$5:$AT$507,3,)=0,0,(VLOOKUP($D9,$C$5:$AT$507,17,)/VLOOKUP($D9,$C$5:$AT$507,3,))*$E9)</f>
        <v>0</v>
      </c>
      <c r="T9" s="40">
        <f>IF(VLOOKUP($D9,$C$5:$AT$507,3,)=0,0,(VLOOKUP($D9,$C$5:$AT$507,18,)/VLOOKUP($D9,$C$5:$AT$507,3,))*$E9)</f>
        <v>0</v>
      </c>
      <c r="U9" s="40">
        <f>IF(VLOOKUP($D9,$C$5:$AT$507,3,)=0,0,(VLOOKUP($D9,$C$5:$AT$507,19,)/VLOOKUP($D9,$C$5:$AT$507,3,))*$E9)</f>
        <v>0</v>
      </c>
      <c r="V9" s="40">
        <f>IF(VLOOKUP($D9,$C$5:$AT$507,3,)=0,0,(VLOOKUP($D9,$C$5:$AT$507,20,)/VLOOKUP($D9,$C$5:$AT$507,3,))*$E9)</f>
        <v>0</v>
      </c>
      <c r="W9" s="40">
        <f>IF(VLOOKUP($D9,$C$5:$AT$507,3,)=0,0,(VLOOKUP($D9,$C$5:$AT$507,21,)/VLOOKUP($D9,$C$5:$AT$507,3,))*$E9)</f>
        <v>0</v>
      </c>
      <c r="X9" s="40">
        <f>IF(VLOOKUP($D9,$C$5:$AT$507,3,)=0,0,(VLOOKUP($D9,$C$5:$AT$507,22,)/VLOOKUP($D9,$C$5:$AT$507,3,))*$E9)</f>
        <v>0</v>
      </c>
      <c r="Y9" s="40">
        <f>IF(VLOOKUP($D9,$C$5:$AT$507,3,)=0,0,(VLOOKUP($D9,$C$5:$AT$507,23,)/VLOOKUP($D9,$C$5:$AT$507,3,))*$E9)</f>
        <v>0</v>
      </c>
      <c r="Z9" s="40">
        <f>IF(VLOOKUP($D9,$C$5:$AT$507,3,)=0,0,(VLOOKUP($D9,$C$5:$AT$507,24,)/VLOOKUP($D9,$C$5:$AT$507,3,))*$E9)</f>
        <v>0</v>
      </c>
      <c r="AA9" s="40">
        <f>IF(VLOOKUP($D9,$C$5:$AT$507,3,)=0,0,(VLOOKUP($D9,$C$5:$AT$507,25,)/VLOOKUP($D9,$C$5:$AT$507,3,))*$E9)</f>
        <v>0</v>
      </c>
      <c r="AB9" s="40">
        <f>IF(VLOOKUP($D9,$C$5:$AT$507,3,)=0,0,(VLOOKUP($D9,$C$5:$AT$507,26,)/VLOOKUP($D9,$C$5:$AT$507,3,))*$E9)</f>
        <v>0</v>
      </c>
      <c r="AC9" s="40">
        <f>IF(VLOOKUP($D9,$C$5:$AT$507,3,)=0,0,(VLOOKUP($D9,$C$5:$AT$507,27,)/VLOOKUP($D9,$C$5:$AT$507,3,))*$E9)</f>
        <v>0</v>
      </c>
      <c r="AD9" s="40">
        <f>IF(VLOOKUP($D9,$C$5:$AT$507,3,)=0,0,(VLOOKUP($D9,$C$5:$AT$507,28,)/VLOOKUP($D9,$C$5:$AT$507,3,))*$E9)</f>
        <v>0</v>
      </c>
      <c r="AE9" s="40">
        <f>IF(VLOOKUP($D9,$C$5:$AT$507,3,)=0,0,(VLOOKUP($D9,$C$5:$AT$507,29,)/VLOOKUP($D9,$C$5:$AT$507,3,))*$E9)</f>
        <v>0</v>
      </c>
      <c r="AF9" s="40">
        <f>IF(VLOOKUP($D9,$C$5:$AT$507,3,)=0,0,(VLOOKUP($D9,$C$5:$AT$507,30,)/VLOOKUP($D9,$C$5:$AT$507,3,))*$E9)</f>
        <v>0</v>
      </c>
      <c r="AG9" s="64">
        <f>SUM(F9:AF9)</f>
        <v>0</v>
      </c>
      <c r="AH9" s="21" t="str">
        <f>IF(ABS(E9-AG9)&lt;0.01,"ok","err")</f>
        <v>ok</v>
      </c>
    </row>
    <row r="10" spans="1:36" x14ac:dyDescent="0.25">
      <c r="A10" s="14" t="s">
        <v>214</v>
      </c>
      <c r="C10" s="14" t="s">
        <v>215</v>
      </c>
      <c r="E10" s="174">
        <f t="shared" ref="E10:T10" si="0">E8+E9</f>
        <v>0</v>
      </c>
      <c r="F10" s="40">
        <f t="shared" si="0"/>
        <v>0</v>
      </c>
      <c r="G10" s="40">
        <f t="shared" si="0"/>
        <v>0</v>
      </c>
      <c r="H10" s="40">
        <f t="shared" si="0"/>
        <v>0</v>
      </c>
      <c r="I10" s="40">
        <f t="shared" si="0"/>
        <v>0</v>
      </c>
      <c r="J10" s="40">
        <f t="shared" si="0"/>
        <v>0</v>
      </c>
      <c r="K10" s="40">
        <f t="shared" si="0"/>
        <v>0</v>
      </c>
      <c r="L10" s="40">
        <v>0</v>
      </c>
      <c r="M10" s="40">
        <v>0</v>
      </c>
      <c r="N10" s="40">
        <v>0</v>
      </c>
      <c r="O10" s="40">
        <v>0</v>
      </c>
      <c r="P10" s="40">
        <f t="shared" si="0"/>
        <v>0</v>
      </c>
      <c r="Q10" s="40">
        <f t="shared" si="0"/>
        <v>0</v>
      </c>
      <c r="R10" s="40">
        <f t="shared" si="0"/>
        <v>0</v>
      </c>
      <c r="S10" s="40">
        <f t="shared" si="0"/>
        <v>0</v>
      </c>
      <c r="T10" s="40">
        <f t="shared" si="0"/>
        <v>0</v>
      </c>
      <c r="U10" s="40">
        <f t="shared" ref="U10:AF10" si="1">U8+U9</f>
        <v>0</v>
      </c>
      <c r="V10" s="40">
        <f t="shared" si="1"/>
        <v>0</v>
      </c>
      <c r="W10" s="40">
        <f t="shared" si="1"/>
        <v>0</v>
      </c>
      <c r="X10" s="40">
        <f t="shared" si="1"/>
        <v>0</v>
      </c>
      <c r="Y10" s="40">
        <f t="shared" si="1"/>
        <v>0</v>
      </c>
      <c r="Z10" s="40">
        <f t="shared" si="1"/>
        <v>0</v>
      </c>
      <c r="AA10" s="40">
        <f t="shared" si="1"/>
        <v>0</v>
      </c>
      <c r="AB10" s="40">
        <f t="shared" si="1"/>
        <v>0</v>
      </c>
      <c r="AC10" s="40">
        <f t="shared" si="1"/>
        <v>0</v>
      </c>
      <c r="AD10" s="40">
        <f t="shared" si="1"/>
        <v>0</v>
      </c>
      <c r="AE10" s="40">
        <f t="shared" si="1"/>
        <v>0</v>
      </c>
      <c r="AF10" s="40">
        <f t="shared" si="1"/>
        <v>0</v>
      </c>
      <c r="AG10" s="64">
        <f>SUM(F10:AF10)</f>
        <v>0</v>
      </c>
      <c r="AH10" s="21" t="str">
        <f>IF(ABS(E10-AG10)&lt;0.01,"ok","err")</f>
        <v>ok</v>
      </c>
    </row>
    <row r="11" spans="1:36" x14ac:dyDescent="0.25">
      <c r="E11" s="167"/>
      <c r="F11" s="27"/>
      <c r="L11" s="27"/>
    </row>
    <row r="12" spans="1:36" x14ac:dyDescent="0.25">
      <c r="A12" s="13" t="s">
        <v>349</v>
      </c>
      <c r="E12" s="167"/>
      <c r="F12" s="27"/>
      <c r="L12" s="27"/>
    </row>
    <row r="13" spans="1:36" x14ac:dyDescent="0.25">
      <c r="A13" s="67" t="s">
        <v>208</v>
      </c>
      <c r="C13" s="14" t="s">
        <v>875</v>
      </c>
      <c r="D13" s="14" t="s">
        <v>596</v>
      </c>
      <c r="E13" s="174">
        <f>'Func &amp; Classif'!K82</f>
        <v>0</v>
      </c>
      <c r="F13" s="40">
        <f>IF(VLOOKUP($D13,$C$5:$AT$507,3,)=0,0,(VLOOKUP($D13,$C$5:$AT$507,4,)/VLOOKUP($D13,$C$5:$AT$507,3,))*$E13)</f>
        <v>0</v>
      </c>
      <c r="G13" s="40">
        <f>IF(VLOOKUP($D13,$C$5:$AT$507,3,)=0,0,(VLOOKUP($D13,$C$5:$AT$507,5,)/VLOOKUP($D13,$C$5:$AT$507,3,))*$E13)</f>
        <v>0</v>
      </c>
      <c r="H13" s="40">
        <f>IF(VLOOKUP($D13,$C$5:$AT$507,3,)=0,0,(VLOOKUP($D13,$C$5:$AT$507,6,)/VLOOKUP($D13,$C$5:$AT$507,3,))*$E13)</f>
        <v>0</v>
      </c>
      <c r="I13" s="40">
        <f>IF(VLOOKUP($D13,$C$5:$AT$507,3,)=0,0,(VLOOKUP($D13,$C$5:$AT$507,7,)/VLOOKUP($D13,$C$5:$AT$507,3,))*$E13)</f>
        <v>0</v>
      </c>
      <c r="J13" s="40">
        <f>IF(VLOOKUP($D13,$C$5:$AT$507,3,)=0,0,(VLOOKUP($D13,$C$5:$AT$507,8,)/VLOOKUP($D13,$C$5:$AT$507,3,))*$E13)</f>
        <v>0</v>
      </c>
      <c r="K13" s="40">
        <f>IF(VLOOKUP($D13,$C$5:$AT$507,3,)=0,0,(VLOOKUP($D13,$C$5:$AT$507,9,)/VLOOKUP($D13,$C$5:$AT$507,3,))*$E13)</f>
        <v>0</v>
      </c>
      <c r="L13" s="40">
        <v>0</v>
      </c>
      <c r="M13" s="40">
        <v>0</v>
      </c>
      <c r="N13" s="40">
        <v>0</v>
      </c>
      <c r="O13" s="40">
        <v>0</v>
      </c>
      <c r="P13" s="40">
        <f>IF(VLOOKUP($D13,$C$5:$AT$507,3,)=0,0,(VLOOKUP($D13,$C$5:$AT$507,14,)/VLOOKUP($D13,$C$5:$AT$507,3,))*$E13)</f>
        <v>0</v>
      </c>
      <c r="Q13" s="40">
        <f>IF(VLOOKUP($D13,$C$5:$AT$507,3,)=0,0,(VLOOKUP($D13,$C$5:$AT$507,15,)/VLOOKUP($D13,$C$5:$AT$507,3,))*$E13)</f>
        <v>0</v>
      </c>
      <c r="R13" s="40">
        <f>IF(VLOOKUP($D13,$C$5:$AT$507,3,)=0,0,(VLOOKUP($D13,$C$5:$AT$507,16,)/VLOOKUP($D13,$C$5:$AT$507,3,))*$E13)</f>
        <v>0</v>
      </c>
      <c r="S13" s="40">
        <f>IF(VLOOKUP($D13,$C$5:$AT$507,3,)=0,0,(VLOOKUP($D13,$C$5:$AT$507,17,)/VLOOKUP($D13,$C$5:$AT$507,3,))*$E13)</f>
        <v>0</v>
      </c>
      <c r="T13" s="40">
        <f>IF(VLOOKUP($D13,$C$5:$AT$507,3,)=0,0,(VLOOKUP($D13,$C$5:$AT$507,18,)/VLOOKUP($D13,$C$5:$AT$507,3,))*$E13)</f>
        <v>0</v>
      </c>
      <c r="U13" s="40">
        <f>IF(VLOOKUP($D13,$C$5:$AT$507,3,)=0,0,(VLOOKUP($D13,$C$5:$AT$507,19,)/VLOOKUP($D13,$C$5:$AT$507,3,))*$E13)</f>
        <v>0</v>
      </c>
      <c r="V13" s="40">
        <f>IF(VLOOKUP($D13,$C$5:$AT$507,3,)=0,0,(VLOOKUP($D13,$C$5:$AT$507,20,)/VLOOKUP($D13,$C$5:$AT$507,3,))*$E13)</f>
        <v>0</v>
      </c>
      <c r="W13" s="40">
        <f>IF(VLOOKUP($D13,$C$5:$AT$507,3,)=0,0,(VLOOKUP($D13,$C$5:$AT$507,21,)/VLOOKUP($D13,$C$5:$AT$507,3,))*$E13)</f>
        <v>0</v>
      </c>
      <c r="X13" s="40">
        <f>IF(VLOOKUP($D13,$C$5:$AT$507,3,)=0,0,(VLOOKUP($D13,$C$5:$AT$507,22,)/VLOOKUP($D13,$C$5:$AT$507,3,))*$E13)</f>
        <v>0</v>
      </c>
      <c r="Y13" s="40">
        <f>IF(VLOOKUP($D13,$C$5:$AT$507,3,)=0,0,(VLOOKUP($D13,$C$5:$AT$507,23,)/VLOOKUP($D13,$C$5:$AT$507,3,))*$E13)</f>
        <v>0</v>
      </c>
      <c r="Z13" s="40">
        <f>IF(VLOOKUP($D13,$C$5:$AT$507,3,)=0,0,(VLOOKUP($D13,$C$5:$AT$507,24,)/VLOOKUP($D13,$C$5:$AT$507,3,))*$E13)</f>
        <v>0</v>
      </c>
      <c r="AA13" s="40">
        <f>IF(VLOOKUP($D13,$C$5:$AT$507,3,)=0,0,(VLOOKUP($D13,$C$5:$AT$507,25,)/VLOOKUP($D13,$C$5:$AT$507,3,))*$E13)</f>
        <v>0</v>
      </c>
      <c r="AB13" s="40">
        <f>IF(VLOOKUP($D13,$C$5:$AT$507,3,)=0,0,(VLOOKUP($D13,$C$5:$AT$507,26,)/VLOOKUP($D13,$C$5:$AT$507,3,))*$E13)</f>
        <v>0</v>
      </c>
      <c r="AC13" s="40">
        <f>IF(VLOOKUP($D13,$C$5:$AT$507,3,)=0,0,(VLOOKUP($D13,$C$5:$AT$507,27,)/VLOOKUP($D13,$C$5:$AT$507,3,))*$E13)</f>
        <v>0</v>
      </c>
      <c r="AD13" s="40">
        <f>IF(VLOOKUP($D13,$C$5:$AT$507,3,)=0,0,(VLOOKUP($D13,$C$5:$AT$507,28,)/VLOOKUP($D13,$C$5:$AT$507,3,))*$E13)</f>
        <v>0</v>
      </c>
      <c r="AE13" s="40">
        <f>IF(VLOOKUP($D13,$C$5:$AT$507,3,)=0,0,(VLOOKUP($D13,$C$5:$AT$507,29,)/VLOOKUP($D13,$C$5:$AT$507,3,))*$E13)</f>
        <v>0</v>
      </c>
      <c r="AF13" s="40">
        <f>IF(VLOOKUP($D13,$C$5:$AT$507,3,)=0,0,(VLOOKUP($D13,$C$5:$AT$507,30,)/VLOOKUP($D13,$C$5:$AT$507,3,))*$E13)</f>
        <v>0</v>
      </c>
      <c r="AG13" s="64">
        <f>SUM(F13:AF13)</f>
        <v>0</v>
      </c>
      <c r="AH13" s="21" t="str">
        <f>IF(ABS(E13-AG13)&lt;0.01,"ok","err")</f>
        <v>ok</v>
      </c>
    </row>
    <row r="14" spans="1:36" x14ac:dyDescent="0.25">
      <c r="E14" s="167"/>
    </row>
    <row r="15" spans="1:36" x14ac:dyDescent="0.25">
      <c r="A15" s="13" t="s">
        <v>1</v>
      </c>
      <c r="E15" s="167"/>
      <c r="F15" s="27"/>
      <c r="L15" s="27"/>
    </row>
    <row r="16" spans="1:36" x14ac:dyDescent="0.25">
      <c r="A16" s="67" t="s">
        <v>208</v>
      </c>
      <c r="C16" s="14" t="s">
        <v>216</v>
      </c>
      <c r="D16" s="14" t="s">
        <v>612</v>
      </c>
      <c r="E16" s="174">
        <f>'Func &amp; Classif'!M82</f>
        <v>0</v>
      </c>
      <c r="F16" s="40">
        <f>IF(VLOOKUP($D16,$C$5:$AT$507,3,)=0,0,(VLOOKUP($D16,$C$5:$AT$507,4,)/VLOOKUP($D16,$C$5:$AT$507,3,))*$E16)</f>
        <v>0</v>
      </c>
      <c r="G16" s="40">
        <f>IF(VLOOKUP($D16,$C$5:$AT$507,3,)=0,0,(VLOOKUP($D16,$C$5:$AT$507,5,)/VLOOKUP($D16,$C$5:$AT$507,3,))*$E16)</f>
        <v>0</v>
      </c>
      <c r="H16" s="40">
        <f>IF(VLOOKUP($D16,$C$5:$AT$507,3,)=0,0,(VLOOKUP($D16,$C$5:$AT$507,6,)/VLOOKUP($D16,$C$5:$AT$507,3,))*$E16)</f>
        <v>0</v>
      </c>
      <c r="I16" s="40">
        <f>IF(VLOOKUP($D16,$C$5:$AT$507,3,)=0,0,(VLOOKUP($D16,$C$5:$AT$507,7,)/VLOOKUP($D16,$C$5:$AT$507,3,))*$E16)</f>
        <v>0</v>
      </c>
      <c r="J16" s="40">
        <f>IF(VLOOKUP($D16,$C$5:$AT$507,3,)=0,0,(VLOOKUP($D16,$C$5:$AT$507,8,)/VLOOKUP($D16,$C$5:$AT$507,3,))*$E16)</f>
        <v>0</v>
      </c>
      <c r="K16" s="40">
        <f>IF(VLOOKUP($D16,$C$5:$AT$507,3,)=0,0,(VLOOKUP($D16,$C$5:$AT$507,9,)/VLOOKUP($D16,$C$5:$AT$507,3,))*$E16)</f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IF(VLOOKUP($D16,$C$5:$AT$507,3,)=0,0,(VLOOKUP($D16,$C$5:$AT$507,14,)/VLOOKUP($D16,$C$5:$AT$507,3,))*$E16)</f>
        <v>0</v>
      </c>
      <c r="Q16" s="40">
        <f>IF(VLOOKUP($D16,$C$5:$AT$507,3,)=0,0,(VLOOKUP($D16,$C$5:$AT$507,15,)/VLOOKUP($D16,$C$5:$AT$507,3,))*$E16)</f>
        <v>0</v>
      </c>
      <c r="R16" s="40">
        <f>IF(VLOOKUP($D16,$C$5:$AT$507,3,)=0,0,(VLOOKUP($D16,$C$5:$AT$507,16,)/VLOOKUP($D16,$C$5:$AT$507,3,))*$E16)</f>
        <v>0</v>
      </c>
      <c r="S16" s="40">
        <f>IF(VLOOKUP($D16,$C$5:$AT$507,3,)=0,0,(VLOOKUP($D16,$C$5:$AT$507,17,)/VLOOKUP($D16,$C$5:$AT$507,3,))*$E16)</f>
        <v>0</v>
      </c>
      <c r="T16" s="40">
        <f>IF(VLOOKUP($D16,$C$5:$AT$507,3,)=0,0,(VLOOKUP($D16,$C$5:$AT$507,18,)/VLOOKUP($D16,$C$5:$AT$507,3,))*$E16)</f>
        <v>0</v>
      </c>
      <c r="U16" s="40">
        <f>IF(VLOOKUP($D16,$C$5:$AT$507,3,)=0,0,(VLOOKUP($D16,$C$5:$AT$507,19,)/VLOOKUP($D16,$C$5:$AT$507,3,))*$E16)</f>
        <v>0</v>
      </c>
      <c r="V16" s="40">
        <f>IF(VLOOKUP($D16,$C$5:$AT$507,3,)=0,0,(VLOOKUP($D16,$C$5:$AT$507,20,)/VLOOKUP($D16,$C$5:$AT$507,3,))*$E16)</f>
        <v>0</v>
      </c>
      <c r="W16" s="40">
        <f>IF(VLOOKUP($D16,$C$5:$AT$507,3,)=0,0,(VLOOKUP($D16,$C$5:$AT$507,21,)/VLOOKUP($D16,$C$5:$AT$507,3,))*$E16)</f>
        <v>0</v>
      </c>
      <c r="X16" s="40">
        <f>IF(VLOOKUP($D16,$C$5:$AT$507,3,)=0,0,(VLOOKUP($D16,$C$5:$AT$507,22,)/VLOOKUP($D16,$C$5:$AT$507,3,))*$E16)</f>
        <v>0</v>
      </c>
      <c r="Y16" s="40">
        <f>IF(VLOOKUP($D16,$C$5:$AT$507,3,)=0,0,(VLOOKUP($D16,$C$5:$AT$507,23,)/VLOOKUP($D16,$C$5:$AT$507,3,))*$E16)</f>
        <v>0</v>
      </c>
      <c r="Z16" s="40">
        <f>IF(VLOOKUP($D16,$C$5:$AT$507,3,)=0,0,(VLOOKUP($D16,$C$5:$AT$507,24,)/VLOOKUP($D16,$C$5:$AT$507,3,))*$E16)</f>
        <v>0</v>
      </c>
      <c r="AA16" s="40">
        <f>IF(VLOOKUP($D16,$C$5:$AT$507,3,)=0,0,(VLOOKUP($D16,$C$5:$AT$507,25,)/VLOOKUP($D16,$C$5:$AT$507,3,))*$E16)</f>
        <v>0</v>
      </c>
      <c r="AB16" s="40">
        <f>IF(VLOOKUP($D16,$C$5:$AT$507,3,)=0,0,(VLOOKUP($D16,$C$5:$AT$507,26,)/VLOOKUP($D16,$C$5:$AT$507,3,))*$E16)</f>
        <v>0</v>
      </c>
      <c r="AC16" s="40">
        <f>IF(VLOOKUP($D16,$C$5:$AT$507,3,)=0,0,(VLOOKUP($D16,$C$5:$AT$507,27,)/VLOOKUP($D16,$C$5:$AT$507,3,))*$E16)</f>
        <v>0</v>
      </c>
      <c r="AD16" s="40">
        <f>IF(VLOOKUP($D16,$C$5:$AT$507,3,)=0,0,(VLOOKUP($D16,$C$5:$AT$507,28,)/VLOOKUP($D16,$C$5:$AT$507,3,))*$E16)</f>
        <v>0</v>
      </c>
      <c r="AE16" s="40">
        <f>IF(VLOOKUP($D16,$C$5:$AT$507,3,)=0,0,(VLOOKUP($D16,$C$5:$AT$507,29,)/VLOOKUP($D16,$C$5:$AT$507,3,))*$E16)</f>
        <v>0</v>
      </c>
      <c r="AF16" s="40">
        <f>IF(VLOOKUP($D16,$C$5:$AT$507,3,)=0,0,(VLOOKUP($D16,$C$5:$AT$507,30,)/VLOOKUP($D16,$C$5:$AT$507,3,))*$E16)</f>
        <v>0</v>
      </c>
      <c r="AG16" s="64">
        <f>SUM(F16:AF16)</f>
        <v>0</v>
      </c>
      <c r="AH16" s="21" t="str">
        <f>IF(ABS(E16-AG16)&lt;0.01,"ok","err")</f>
        <v>ok</v>
      </c>
    </row>
    <row r="17" spans="1:35" x14ac:dyDescent="0.25">
      <c r="E17" s="167"/>
    </row>
    <row r="18" spans="1:35" x14ac:dyDescent="0.25">
      <c r="A18" s="13" t="s">
        <v>356</v>
      </c>
      <c r="E18" s="167"/>
    </row>
    <row r="19" spans="1:35" x14ac:dyDescent="0.25">
      <c r="A19" s="67" t="s">
        <v>208</v>
      </c>
      <c r="C19" s="14" t="s">
        <v>218</v>
      </c>
      <c r="D19" s="14" t="s">
        <v>604</v>
      </c>
      <c r="E19" s="174">
        <f>'Func &amp; Classif'!O82</f>
        <v>42869111.056778811</v>
      </c>
      <c r="F19" s="40">
        <f>IF(VLOOKUP($D19,$C$5:$AT$507,3,)=0,0,(VLOOKUP($D19,$C$5:$AT$507,4,)/VLOOKUP($D19,$C$5:$AT$507,3,))*$E19)</f>
        <v>35284974.772023313</v>
      </c>
      <c r="G19" s="40">
        <f>IF(VLOOKUP($D19,$C$5:$AT$507,3,)=0,0,(VLOOKUP($D19,$C$5:$AT$507,5,)/VLOOKUP($D19,$C$5:$AT$507,3,))*$E19)</f>
        <v>34928.359094021813</v>
      </c>
      <c r="H19" s="40">
        <f>IF(VLOOKUP($D19,$C$5:$AT$507,3,)=0,0,(VLOOKUP($D19,$C$5:$AT$507,6,)/VLOOKUP($D19,$C$5:$AT$507,3,))*$E19)</f>
        <v>1843464.2696827354</v>
      </c>
      <c r="I19" s="40">
        <f>IF(VLOOKUP($D19,$C$5:$AT$507,3,)=0,0,(VLOOKUP($D19,$C$5:$AT$507,7,)/VLOOKUP($D19,$C$5:$AT$507,3,))*$E19)</f>
        <v>4865735.7032814501</v>
      </c>
      <c r="J19" s="40">
        <f>IF(VLOOKUP($D19,$C$5:$AT$507,3,)=0,0,(VLOOKUP($D19,$C$5:$AT$507,8,)/VLOOKUP($D19,$C$5:$AT$507,3,))*$E19)</f>
        <v>840007.95269728662</v>
      </c>
      <c r="K19" s="40">
        <f>IF(VLOOKUP($D19,$C$5:$AT$507,3,)=0,0,(VLOOKUP($D19,$C$5:$AT$507,9,)/VLOOKUP($D19,$C$5:$AT$507,3,))*$E19)</f>
        <v>0</v>
      </c>
      <c r="L19" s="40">
        <f>IF(VLOOKUP($D19,$C$5:$AT$507,3,)=0,0,(VLOOKUP($D19,$C$5:$AT$507,10,)/VLOOKUP($D19,$C$5:$AT$507,3,))*$E19)</f>
        <v>0</v>
      </c>
      <c r="M19" s="40">
        <f>IF(VLOOKUP($D19,$C$5:$AT$507,3,)=0,0,(VLOOKUP($D19,$C$5:$AT$507,11,)/VLOOKUP($D19,$C$5:$AT$507,3,))*$E19)</f>
        <v>0</v>
      </c>
      <c r="N19" s="40">
        <f>IF(VLOOKUP($D19,$C$5:$AT$507,3,)=0,0,(VLOOKUP($D19,$C$5:$AT$507,12,)/VLOOKUP($D19,$C$5:$AT$507,3,))*$E19)</f>
        <v>0</v>
      </c>
      <c r="O19" s="40">
        <f>IF(VLOOKUP($D19,$C$5:$AT$507,3,)=0,0,(VLOOKUP($D19,$C$5:$AT$507,13,)/VLOOKUP($D19,$C$5:$AT$507,3,))*$E19)</f>
        <v>0</v>
      </c>
      <c r="P19" s="40">
        <f>IF(VLOOKUP($D19,$C$5:$AT$507,3,)=0,0,(VLOOKUP($D19,$C$5:$AT$507,14,)/VLOOKUP($D19,$C$5:$AT$507,3,))*$E19)</f>
        <v>0</v>
      </c>
      <c r="Q19" s="40">
        <f>IF(VLOOKUP($D19,$C$5:$AT$507,3,)=0,0,(VLOOKUP($D19,$C$5:$AT$507,15,)/VLOOKUP($D19,$C$5:$AT$507,3,))*$E19)</f>
        <v>0</v>
      </c>
      <c r="R19" s="40">
        <f>IF(VLOOKUP($D19,$C$5:$AT$507,3,)=0,0,(VLOOKUP($D19,$C$5:$AT$507,16,)/VLOOKUP($D19,$C$5:$AT$507,3,))*$E19)</f>
        <v>0</v>
      </c>
      <c r="S19" s="40">
        <f>IF(VLOOKUP($D19,$C$5:$AT$507,3,)=0,0,(VLOOKUP($D19,$C$5:$AT$507,17,)/VLOOKUP($D19,$C$5:$AT$507,3,))*$E19)</f>
        <v>0</v>
      </c>
      <c r="T19" s="40">
        <f>IF(VLOOKUP($D19,$C$5:$AT$507,3,)=0,0,(VLOOKUP($D19,$C$5:$AT$507,18,)/VLOOKUP($D19,$C$5:$AT$507,3,))*$E19)</f>
        <v>0</v>
      </c>
      <c r="U19" s="40">
        <f>IF(VLOOKUP($D19,$C$5:$AT$507,3,)=0,0,(VLOOKUP($D19,$C$5:$AT$507,19,)/VLOOKUP($D19,$C$5:$AT$507,3,))*$E19)</f>
        <v>0</v>
      </c>
      <c r="V19" s="40">
        <f>IF(VLOOKUP($D19,$C$5:$AT$507,3,)=0,0,(VLOOKUP($D19,$C$5:$AT$507,20,)/VLOOKUP($D19,$C$5:$AT$507,3,))*$E19)</f>
        <v>0</v>
      </c>
      <c r="W19" s="40">
        <f>IF(VLOOKUP($D19,$C$5:$AT$507,3,)=0,0,(VLOOKUP($D19,$C$5:$AT$507,21,)/VLOOKUP($D19,$C$5:$AT$507,3,))*$E19)</f>
        <v>0</v>
      </c>
      <c r="X19" s="40">
        <f>IF(VLOOKUP($D19,$C$5:$AT$507,3,)=0,0,(VLOOKUP($D19,$C$5:$AT$507,22,)/VLOOKUP($D19,$C$5:$AT$507,3,))*$E19)</f>
        <v>0</v>
      </c>
      <c r="Y19" s="40">
        <f>IF(VLOOKUP($D19,$C$5:$AT$507,3,)=0,0,(VLOOKUP($D19,$C$5:$AT$507,23,)/VLOOKUP($D19,$C$5:$AT$507,3,))*$E19)</f>
        <v>0</v>
      </c>
      <c r="Z19" s="40">
        <f>IF(VLOOKUP($D19,$C$5:$AT$507,3,)=0,0,(VLOOKUP($D19,$C$5:$AT$507,24,)/VLOOKUP($D19,$C$5:$AT$507,3,))*$E19)</f>
        <v>0</v>
      </c>
      <c r="AA19" s="40">
        <f>IF(VLOOKUP($D19,$C$5:$AT$507,3,)=0,0,(VLOOKUP($D19,$C$5:$AT$507,25,)/VLOOKUP($D19,$C$5:$AT$507,3,))*$E19)</f>
        <v>0</v>
      </c>
      <c r="AB19" s="40">
        <f>IF(VLOOKUP($D19,$C$5:$AT$507,3,)=0,0,(VLOOKUP($D19,$C$5:$AT$507,26,)/VLOOKUP($D19,$C$5:$AT$507,3,))*$E19)</f>
        <v>0</v>
      </c>
      <c r="AC19" s="40">
        <f>IF(VLOOKUP($D19,$C$5:$AT$507,3,)=0,0,(VLOOKUP($D19,$C$5:$AT$507,27,)/VLOOKUP($D19,$C$5:$AT$507,3,))*$E19)</f>
        <v>0</v>
      </c>
      <c r="AD19" s="40">
        <f>IF(VLOOKUP($D19,$C$5:$AT$507,3,)=0,0,(VLOOKUP($D19,$C$5:$AT$507,28,)/VLOOKUP($D19,$C$5:$AT$507,3,))*$E19)</f>
        <v>0</v>
      </c>
      <c r="AE19" s="40">
        <f>IF(VLOOKUP($D19,$C$5:$AT$507,3,)=0,0,(VLOOKUP($D19,$C$5:$AT$507,29,)/VLOOKUP($D19,$C$5:$AT$507,3,))*$E19)</f>
        <v>0</v>
      </c>
      <c r="AF19" s="40">
        <f>IF(VLOOKUP($D19,$C$5:$AT$507,3,)=0,0,(VLOOKUP($D19,$C$5:$AT$507,30,)/VLOOKUP($D19,$C$5:$AT$507,3,))*$E19)</f>
        <v>0</v>
      </c>
      <c r="AG19" s="64">
        <f>SUM(F19:AF19)</f>
        <v>42869111.056778803</v>
      </c>
      <c r="AH19" s="21" t="str">
        <f>IF(ABS(E19-AG19)&lt;0.01,"ok","err")</f>
        <v>ok</v>
      </c>
      <c r="AI19" s="64"/>
    </row>
    <row r="20" spans="1:35" x14ac:dyDescent="0.25">
      <c r="A20" s="67" t="s">
        <v>220</v>
      </c>
      <c r="C20" s="14" t="s">
        <v>221</v>
      </c>
      <c r="D20" s="14" t="s">
        <v>222</v>
      </c>
      <c r="E20" s="167">
        <f>'Func &amp; Classif'!P82</f>
        <v>42333110.811501369</v>
      </c>
      <c r="F20" s="40">
        <f>IF(VLOOKUP($D20,$C$5:$AT$507,3,)=0,0,(VLOOKUP($D20,$C$5:$AT$507,4,)/VLOOKUP($D20,$C$5:$AT$507,3,))*$E20)</f>
        <v>36985548.430979565</v>
      </c>
      <c r="G20" s="40">
        <f>IF(VLOOKUP($D20,$C$5:$AT$507,3,)=0,0,(VLOOKUP($D20,$C$5:$AT$507,5,)/VLOOKUP($D20,$C$5:$AT$507,3,))*$E20)</f>
        <v>27830.770944259526</v>
      </c>
      <c r="H20" s="40">
        <f>IF(VLOOKUP($D20,$C$5:$AT$507,3,)=0,0,(VLOOKUP($D20,$C$5:$AT$507,6,)/VLOOKUP($D20,$C$5:$AT$507,3,))*$E20)</f>
        <v>4520954.1245008251</v>
      </c>
      <c r="I20" s="40">
        <f>IF(VLOOKUP($D20,$C$5:$AT$507,3,)=0,0,(VLOOKUP($D20,$C$5:$AT$507,7,)/VLOOKUP($D20,$C$5:$AT$507,3,))*$E20)</f>
        <v>544246.18735440855</v>
      </c>
      <c r="J20" s="40">
        <f>IF(VLOOKUP($D20,$C$5:$AT$507,3,)=0,0,(VLOOKUP($D20,$C$5:$AT$507,8,)/VLOOKUP($D20,$C$5:$AT$507,3,))*$E20)</f>
        <v>7730.7697067387571</v>
      </c>
      <c r="K20" s="40">
        <f>IF(VLOOKUP($D20,$C$5:$AT$507,3,)=0,0,(VLOOKUP($D20,$C$5:$AT$507,9,)/VLOOKUP($D20,$C$5:$AT$507,3,))*$E20)</f>
        <v>246800.52801557558</v>
      </c>
      <c r="L20" s="40">
        <f>IF(VLOOKUP($D20,$C$5:$AT$507,3,)=0,0,(VLOOKUP($D20,$C$5:$AT$507,10,)/VLOOKUP($D20,$C$5:$AT$507,3,))*$E20)</f>
        <v>0</v>
      </c>
      <c r="M20" s="40">
        <f>IF(VLOOKUP($D20,$C$5:$AT$507,3,)=0,0,(VLOOKUP($D20,$C$5:$AT$507,11,)/VLOOKUP($D20,$C$5:$AT$507,3,))*$E20)</f>
        <v>0</v>
      </c>
      <c r="N20" s="40">
        <f>IF(VLOOKUP($D20,$C$5:$AT$507,3,)=0,0,(VLOOKUP($D20,$C$5:$AT$507,12,)/VLOOKUP($D20,$C$5:$AT$507,3,))*$E20)</f>
        <v>0</v>
      </c>
      <c r="O20" s="40">
        <f>IF(VLOOKUP($D20,$C$5:$AT$507,3,)=0,0,(VLOOKUP($D20,$C$5:$AT$507,13,)/VLOOKUP($D20,$C$5:$AT$507,3,))*$E20)</f>
        <v>0</v>
      </c>
      <c r="P20" s="40">
        <f>IF(VLOOKUP($D20,$C$5:$AT$507,3,)=0,0,(VLOOKUP($D20,$C$5:$AT$507,14,)/VLOOKUP($D20,$C$5:$AT$507,3,))*$E20)</f>
        <v>0</v>
      </c>
      <c r="Q20" s="40">
        <f>IF(VLOOKUP($D20,$C$5:$AT$507,3,)=0,0,(VLOOKUP($D20,$C$5:$AT$507,15,)/VLOOKUP($D20,$C$5:$AT$507,3,))*$E20)</f>
        <v>0</v>
      </c>
      <c r="R20" s="40">
        <f>IF(VLOOKUP($D20,$C$5:$AT$507,3,)=0,0,(VLOOKUP($D20,$C$5:$AT$507,16,)/VLOOKUP($D20,$C$5:$AT$507,3,))*$E20)</f>
        <v>0</v>
      </c>
      <c r="S20" s="40">
        <f>IF(VLOOKUP($D20,$C$5:$AT$507,3,)=0,0,(VLOOKUP($D20,$C$5:$AT$507,17,)/VLOOKUP($D20,$C$5:$AT$507,3,))*$E20)</f>
        <v>0</v>
      </c>
      <c r="T20" s="40">
        <f>IF(VLOOKUP($D20,$C$5:$AT$507,3,)=0,0,(VLOOKUP($D20,$C$5:$AT$507,18,)/VLOOKUP($D20,$C$5:$AT$507,3,))*$E20)</f>
        <v>0</v>
      </c>
      <c r="U20" s="40">
        <f>IF(VLOOKUP($D20,$C$5:$AT$507,3,)=0,0,(VLOOKUP($D20,$C$5:$AT$507,19,)/VLOOKUP($D20,$C$5:$AT$507,3,))*$E20)</f>
        <v>0</v>
      </c>
      <c r="V20" s="40">
        <f>IF(VLOOKUP($D20,$C$5:$AT$507,3,)=0,0,(VLOOKUP($D20,$C$5:$AT$507,20,)/VLOOKUP($D20,$C$5:$AT$507,3,))*$E20)</f>
        <v>0</v>
      </c>
      <c r="W20" s="40">
        <f>IF(VLOOKUP($D20,$C$5:$AT$507,3,)=0,0,(VLOOKUP($D20,$C$5:$AT$507,21,)/VLOOKUP($D20,$C$5:$AT$507,3,))*$E20)</f>
        <v>0</v>
      </c>
      <c r="X20" s="40">
        <f>IF(VLOOKUP($D20,$C$5:$AT$507,3,)=0,0,(VLOOKUP($D20,$C$5:$AT$507,22,)/VLOOKUP($D20,$C$5:$AT$507,3,))*$E20)</f>
        <v>0</v>
      </c>
      <c r="Y20" s="40">
        <f>IF(VLOOKUP($D20,$C$5:$AT$507,3,)=0,0,(VLOOKUP($D20,$C$5:$AT$507,23,)/VLOOKUP($D20,$C$5:$AT$507,3,))*$E20)</f>
        <v>0</v>
      </c>
      <c r="Z20" s="40">
        <f>IF(VLOOKUP($D20,$C$5:$AT$507,3,)=0,0,(VLOOKUP($D20,$C$5:$AT$507,24,)/VLOOKUP($D20,$C$5:$AT$507,3,))*$E20)</f>
        <v>0</v>
      </c>
      <c r="AA20" s="40">
        <f>IF(VLOOKUP($D20,$C$5:$AT$507,3,)=0,0,(VLOOKUP($D20,$C$5:$AT$507,25,)/VLOOKUP($D20,$C$5:$AT$507,3,))*$E20)</f>
        <v>0</v>
      </c>
      <c r="AB20" s="40">
        <f>IF(VLOOKUP($D20,$C$5:$AT$507,3,)=0,0,(VLOOKUP($D20,$C$5:$AT$507,26,)/VLOOKUP($D20,$C$5:$AT$507,3,))*$E20)</f>
        <v>0</v>
      </c>
      <c r="AC20" s="40">
        <f>IF(VLOOKUP($D20,$C$5:$AT$507,3,)=0,0,(VLOOKUP($D20,$C$5:$AT$507,27,)/VLOOKUP($D20,$C$5:$AT$507,3,))*$E20)</f>
        <v>0</v>
      </c>
      <c r="AD20" s="40">
        <f>IF(VLOOKUP($D20,$C$5:$AT$507,3,)=0,0,(VLOOKUP($D20,$C$5:$AT$507,28,)/VLOOKUP($D20,$C$5:$AT$507,3,))*$E20)</f>
        <v>0</v>
      </c>
      <c r="AE20" s="40">
        <f>IF(VLOOKUP($D20,$C$5:$AT$507,3,)=0,0,(VLOOKUP($D20,$C$5:$AT$507,29,)/VLOOKUP($D20,$C$5:$AT$507,3,))*$E20)</f>
        <v>0</v>
      </c>
      <c r="AF20" s="40">
        <f>IF(VLOOKUP($D20,$C$5:$AT$507,3,)=0,0,(VLOOKUP($D20,$C$5:$AT$507,30,)/VLOOKUP($D20,$C$5:$AT$507,3,))*$E20)</f>
        <v>0</v>
      </c>
      <c r="AG20" s="64">
        <f>SUM(F20:AF20)</f>
        <v>42333110.811501376</v>
      </c>
      <c r="AH20" s="21" t="str">
        <f>IF(ABS(E20-AG20)&lt;0.01,"ok","err")</f>
        <v>ok</v>
      </c>
    </row>
    <row r="21" spans="1:35" x14ac:dyDescent="0.25">
      <c r="A21" s="14" t="s">
        <v>223</v>
      </c>
      <c r="C21" s="14" t="s">
        <v>471</v>
      </c>
      <c r="E21" s="174">
        <f t="shared" ref="E21:T21" si="2">E19+E20</f>
        <v>85202221.868280172</v>
      </c>
      <c r="F21" s="40">
        <f t="shared" si="2"/>
        <v>72270523.20300287</v>
      </c>
      <c r="G21" s="40">
        <f t="shared" si="2"/>
        <v>62759.130038281335</v>
      </c>
      <c r="H21" s="40">
        <f t="shared" si="2"/>
        <v>6364418.3941835603</v>
      </c>
      <c r="I21" s="40">
        <f t="shared" si="2"/>
        <v>5409981.8906358583</v>
      </c>
      <c r="J21" s="40">
        <f t="shared" si="2"/>
        <v>847738.72240402538</v>
      </c>
      <c r="K21" s="40">
        <f t="shared" si="2"/>
        <v>246800.52801557558</v>
      </c>
      <c r="L21" s="40">
        <f t="shared" si="2"/>
        <v>0</v>
      </c>
      <c r="M21" s="40">
        <f t="shared" si="2"/>
        <v>0</v>
      </c>
      <c r="N21" s="40">
        <f t="shared" si="2"/>
        <v>0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ref="U21:AF21" si="3">U19+U20</f>
        <v>0</v>
      </c>
      <c r="V21" s="40">
        <f t="shared" si="3"/>
        <v>0</v>
      </c>
      <c r="W21" s="40">
        <f t="shared" si="3"/>
        <v>0</v>
      </c>
      <c r="X21" s="40">
        <f t="shared" si="3"/>
        <v>0</v>
      </c>
      <c r="Y21" s="40">
        <f t="shared" si="3"/>
        <v>0</v>
      </c>
      <c r="Z21" s="40">
        <f t="shared" si="3"/>
        <v>0</v>
      </c>
      <c r="AA21" s="40">
        <f t="shared" si="3"/>
        <v>0</v>
      </c>
      <c r="AB21" s="40">
        <f t="shared" si="3"/>
        <v>0</v>
      </c>
      <c r="AC21" s="40">
        <f t="shared" si="3"/>
        <v>0</v>
      </c>
      <c r="AD21" s="40">
        <f t="shared" si="3"/>
        <v>0</v>
      </c>
      <c r="AE21" s="40">
        <f t="shared" si="3"/>
        <v>0</v>
      </c>
      <c r="AF21" s="40">
        <f t="shared" si="3"/>
        <v>0</v>
      </c>
      <c r="AG21" s="64">
        <f>SUM(F21:AF21)</f>
        <v>85202221.868280157</v>
      </c>
      <c r="AH21" s="21" t="str">
        <f>IF(ABS(E21-AG21)&lt;0.01,"ok","err")</f>
        <v>ok</v>
      </c>
    </row>
    <row r="22" spans="1:35" x14ac:dyDescent="0.25">
      <c r="E22" s="167"/>
    </row>
    <row r="23" spans="1:35" x14ac:dyDescent="0.25">
      <c r="A23" s="13" t="s">
        <v>3</v>
      </c>
      <c r="E23" s="167"/>
    </row>
    <row r="24" spans="1:35" x14ac:dyDescent="0.25">
      <c r="A24" s="67" t="s">
        <v>208</v>
      </c>
      <c r="C24" s="14" t="s">
        <v>224</v>
      </c>
      <c r="D24" s="14" t="s">
        <v>616</v>
      </c>
      <c r="E24" s="174">
        <f>'Func &amp; Classif'!R82</f>
        <v>0</v>
      </c>
      <c r="F24" s="40">
        <f>IF(VLOOKUP($D24,$C$5:$AT$507,3,)=0,0,(VLOOKUP($D24,$C$5:$AT$507,4,)/VLOOKUP($D24,$C$5:$AT$507,3,))*$E24)</f>
        <v>0</v>
      </c>
      <c r="G24" s="40">
        <f>IF(VLOOKUP($D24,$C$5:$AT$507,3,)=0,0,(VLOOKUP($D24,$C$5:$AT$507,5,)/VLOOKUP($D24,$C$5:$AT$507,3,))*$E24)</f>
        <v>0</v>
      </c>
      <c r="H24" s="40">
        <f>IF(VLOOKUP($D24,$C$5:$AT$507,3,)=0,0,(VLOOKUP($D24,$C$5:$AT$507,6,)/VLOOKUP($D24,$C$5:$AT$507,3,))*$E24)</f>
        <v>0</v>
      </c>
      <c r="I24" s="40">
        <f>IF(VLOOKUP($D24,$C$5:$AT$507,3,)=0,0,(VLOOKUP($D24,$C$5:$AT$507,7,)/VLOOKUP($D24,$C$5:$AT$507,3,))*$E24)</f>
        <v>0</v>
      </c>
      <c r="J24" s="40">
        <f>IF(VLOOKUP($D24,$C$5:$AT$507,3,)=0,0,(VLOOKUP($D24,$C$5:$AT$507,8,)/VLOOKUP($D24,$C$5:$AT$507,3,))*$E24)</f>
        <v>0</v>
      </c>
      <c r="K24" s="40">
        <f>IF(VLOOKUP($D24,$C$5:$AT$507,3,)=0,0,(VLOOKUP($D24,$C$5:$AT$507,9,)/VLOOKUP($D24,$C$5:$AT$507,3,))*$E24)</f>
        <v>0</v>
      </c>
      <c r="L24" s="40">
        <f>IF(VLOOKUP($D24,$C$5:$AT$507,3,)=0,0,(VLOOKUP($D24,$C$5:$AT$507,10,)/VLOOKUP($D24,$C$5:$AT$507,3,))*$E24)</f>
        <v>0</v>
      </c>
      <c r="M24" s="40">
        <f>IF(VLOOKUP($D24,$C$5:$AT$507,3,)=0,0,(VLOOKUP($D24,$C$5:$AT$507,11,)/VLOOKUP($D24,$C$5:$AT$507,3,))*$E24)</f>
        <v>0</v>
      </c>
      <c r="N24" s="40">
        <f>IF(VLOOKUP($D24,$C$5:$AT$507,3,)=0,0,(VLOOKUP($D24,$C$5:$AT$507,12,)/VLOOKUP($D24,$C$5:$AT$507,3,))*$E24)</f>
        <v>0</v>
      </c>
      <c r="O24" s="40">
        <f>IF(VLOOKUP($D24,$C$5:$AT$507,3,)=0,0,(VLOOKUP($D24,$C$5:$AT$507,13,)/VLOOKUP($D24,$C$5:$AT$507,3,))*$E24)</f>
        <v>0</v>
      </c>
      <c r="P24" s="40">
        <f>IF(VLOOKUP($D24,$C$5:$AT$507,3,)=0,0,(VLOOKUP($D24,$C$5:$AT$507,14,)/VLOOKUP($D24,$C$5:$AT$507,3,))*$E24)</f>
        <v>0</v>
      </c>
      <c r="Q24" s="40">
        <f>IF(VLOOKUP($D24,$C$5:$AT$507,3,)=0,0,(VLOOKUP($D24,$C$5:$AT$507,15,)/VLOOKUP($D24,$C$5:$AT$507,3,))*$E24)</f>
        <v>0</v>
      </c>
      <c r="R24" s="40">
        <f>IF(VLOOKUP($D24,$C$5:$AT$507,3,)=0,0,(VLOOKUP($D24,$C$5:$AT$507,16,)/VLOOKUP($D24,$C$5:$AT$507,3,))*$E24)</f>
        <v>0</v>
      </c>
      <c r="S24" s="40">
        <f>IF(VLOOKUP($D24,$C$5:$AT$507,3,)=0,0,(VLOOKUP($D24,$C$5:$AT$507,17,)/VLOOKUP($D24,$C$5:$AT$507,3,))*$E24)</f>
        <v>0</v>
      </c>
      <c r="T24" s="40">
        <f>IF(VLOOKUP($D24,$C$5:$AT$507,3,)=0,0,(VLOOKUP($D24,$C$5:$AT$507,18,)/VLOOKUP($D24,$C$5:$AT$507,3,))*$E24)</f>
        <v>0</v>
      </c>
      <c r="U24" s="40">
        <f>IF(VLOOKUP($D24,$C$5:$AT$507,3,)=0,0,(VLOOKUP($D24,$C$5:$AT$507,19,)/VLOOKUP($D24,$C$5:$AT$507,3,))*$E24)</f>
        <v>0</v>
      </c>
      <c r="V24" s="40">
        <f>IF(VLOOKUP($D24,$C$5:$AT$507,3,)=0,0,(VLOOKUP($D24,$C$5:$AT$507,20,)/VLOOKUP($D24,$C$5:$AT$507,3,))*$E24)</f>
        <v>0</v>
      </c>
      <c r="W24" s="40">
        <f>IF(VLOOKUP($D24,$C$5:$AT$507,3,)=0,0,(VLOOKUP($D24,$C$5:$AT$507,21,)/VLOOKUP($D24,$C$5:$AT$507,3,))*$E24)</f>
        <v>0</v>
      </c>
      <c r="X24" s="40">
        <f>IF(VLOOKUP($D24,$C$5:$AT$507,3,)=0,0,(VLOOKUP($D24,$C$5:$AT$507,22,)/VLOOKUP($D24,$C$5:$AT$507,3,))*$E24)</f>
        <v>0</v>
      </c>
      <c r="Y24" s="40">
        <f>IF(VLOOKUP($D24,$C$5:$AT$507,3,)=0,0,(VLOOKUP($D24,$C$5:$AT$507,23,)/VLOOKUP($D24,$C$5:$AT$507,3,))*$E24)</f>
        <v>0</v>
      </c>
      <c r="Z24" s="40">
        <f>IF(VLOOKUP($D24,$C$5:$AT$507,3,)=0,0,(VLOOKUP($D24,$C$5:$AT$507,24,)/VLOOKUP($D24,$C$5:$AT$507,3,))*$E24)</f>
        <v>0</v>
      </c>
      <c r="AA24" s="40">
        <f>IF(VLOOKUP($D24,$C$5:$AT$507,3,)=0,0,(VLOOKUP($D24,$C$5:$AT$507,25,)/VLOOKUP($D24,$C$5:$AT$507,3,))*$E24)</f>
        <v>0</v>
      </c>
      <c r="AB24" s="40">
        <f>IF(VLOOKUP($D24,$C$5:$AT$507,3,)=0,0,(VLOOKUP($D24,$C$5:$AT$507,26,)/VLOOKUP($D24,$C$5:$AT$507,3,))*$E24)</f>
        <v>0</v>
      </c>
      <c r="AC24" s="40">
        <f>IF(VLOOKUP($D24,$C$5:$AT$507,3,)=0,0,(VLOOKUP($D24,$C$5:$AT$507,27,)/VLOOKUP($D24,$C$5:$AT$507,3,))*$E24)</f>
        <v>0</v>
      </c>
      <c r="AD24" s="40">
        <f>IF(VLOOKUP($D24,$C$5:$AT$507,3,)=0,0,(VLOOKUP($D24,$C$5:$AT$507,28,)/VLOOKUP($D24,$C$5:$AT$507,3,))*$E24)</f>
        <v>0</v>
      </c>
      <c r="AE24" s="40">
        <f>IF(VLOOKUP($D24,$C$5:$AT$507,3,)=0,0,(VLOOKUP($D24,$C$5:$AT$507,29,)/VLOOKUP($D24,$C$5:$AT$507,3,))*$E24)</f>
        <v>0</v>
      </c>
      <c r="AF24" s="40">
        <f>IF(VLOOKUP($D24,$C$5:$AT$507,3,)=0,0,(VLOOKUP($D24,$C$5:$AT$507,30,)/VLOOKUP($D24,$C$5:$AT$507,3,))*$E24)</f>
        <v>0</v>
      </c>
      <c r="AG24" s="64">
        <f>SUM(F24:AF24)</f>
        <v>0</v>
      </c>
      <c r="AH24" s="21" t="str">
        <f>IF(ABS(E24-AG24)&lt;0.01,"ok","err")</f>
        <v>ok</v>
      </c>
    </row>
    <row r="25" spans="1:35" x14ac:dyDescent="0.25">
      <c r="A25" s="67" t="s">
        <v>220</v>
      </c>
      <c r="C25" s="14" t="s">
        <v>225</v>
      </c>
      <c r="D25" s="14" t="s">
        <v>698</v>
      </c>
      <c r="E25" s="167">
        <f>'Func &amp; Classif'!S82</f>
        <v>6828090.0684224088</v>
      </c>
      <c r="F25" s="40">
        <f>IF(VLOOKUP($D25,$C$5:$AT$507,3,)=0,0,(VLOOKUP($D25,$C$5:$AT$507,4,)/VLOOKUP($D25,$C$5:$AT$507,3,))*$E25)</f>
        <v>5876558.3762701843</v>
      </c>
      <c r="G25" s="40">
        <f>IF(VLOOKUP($D25,$C$5:$AT$507,3,)=0,0,(VLOOKUP($D25,$C$5:$AT$507,5,)/VLOOKUP($D25,$C$5:$AT$507,3,))*$E25)</f>
        <v>4421.9744480942818</v>
      </c>
      <c r="H25" s="40">
        <f>IF(VLOOKUP($D25,$C$5:$AT$507,3,)=0,0,(VLOOKUP($D25,$C$5:$AT$507,6,)/VLOOKUP($D25,$C$5:$AT$507,3,))*$E25)</f>
        <v>820943.06579223368</v>
      </c>
      <c r="I25" s="40">
        <f>IF(VLOOKUP($D25,$C$5:$AT$507,3,)=0,0,(VLOOKUP($D25,$C$5:$AT$507,7,)/VLOOKUP($D25,$C$5:$AT$507,3,))*$E25)</f>
        <v>123534.52426422121</v>
      </c>
      <c r="J25" s="40">
        <f>IF(VLOOKUP($D25,$C$5:$AT$507,3,)=0,0,(VLOOKUP($D25,$C$5:$AT$507,8,)/VLOOKUP($D25,$C$5:$AT$507,3,))*$E25)</f>
        <v>2632.1276476751677</v>
      </c>
      <c r="K25" s="40">
        <f>IF(VLOOKUP($D25,$C$5:$AT$507,3,)=0,0,(VLOOKUP($D25,$C$5:$AT$507,9,)/VLOOKUP($D25,$C$5:$AT$507,3,))*$E25)</f>
        <v>0</v>
      </c>
      <c r="L25" s="40">
        <f>IF(VLOOKUP($D25,$C$5:$AT$507,3,)=0,0,(VLOOKUP($D25,$C$5:$AT$507,10,)/VLOOKUP($D25,$C$5:$AT$507,3,))*$E25)</f>
        <v>0</v>
      </c>
      <c r="M25" s="40">
        <f>IF(VLOOKUP($D25,$C$5:$AT$507,3,)=0,0,(VLOOKUP($D25,$C$5:$AT$507,11,)/VLOOKUP($D25,$C$5:$AT$507,3,))*$E25)</f>
        <v>0</v>
      </c>
      <c r="N25" s="40">
        <f>IF(VLOOKUP($D25,$C$5:$AT$507,3,)=0,0,(VLOOKUP($D25,$C$5:$AT$507,12,)/VLOOKUP($D25,$C$5:$AT$507,3,))*$E25)</f>
        <v>0</v>
      </c>
      <c r="O25" s="40">
        <f>IF(VLOOKUP($D25,$C$5:$AT$507,3,)=0,0,(VLOOKUP($D25,$C$5:$AT$507,13,)/VLOOKUP($D25,$C$5:$AT$507,3,))*$E25)</f>
        <v>0</v>
      </c>
      <c r="P25" s="40">
        <f>IF(VLOOKUP($D25,$C$5:$AT$507,3,)=0,0,(VLOOKUP($D25,$C$5:$AT$507,14,)/VLOOKUP($D25,$C$5:$AT$507,3,))*$E25)</f>
        <v>0</v>
      </c>
      <c r="Q25" s="40">
        <f>IF(VLOOKUP($D25,$C$5:$AT$507,3,)=0,0,(VLOOKUP($D25,$C$5:$AT$507,15,)/VLOOKUP($D25,$C$5:$AT$507,3,))*$E25)</f>
        <v>0</v>
      </c>
      <c r="R25" s="40">
        <f>IF(VLOOKUP($D25,$C$5:$AT$507,3,)=0,0,(VLOOKUP($D25,$C$5:$AT$507,16,)/VLOOKUP($D25,$C$5:$AT$507,3,))*$E25)</f>
        <v>0</v>
      </c>
      <c r="S25" s="40">
        <f>IF(VLOOKUP($D25,$C$5:$AT$507,3,)=0,0,(VLOOKUP($D25,$C$5:$AT$507,17,)/VLOOKUP($D25,$C$5:$AT$507,3,))*$E25)</f>
        <v>0</v>
      </c>
      <c r="T25" s="40">
        <f>IF(VLOOKUP($D25,$C$5:$AT$507,3,)=0,0,(VLOOKUP($D25,$C$5:$AT$507,18,)/VLOOKUP($D25,$C$5:$AT$507,3,))*$E25)</f>
        <v>0</v>
      </c>
      <c r="U25" s="40">
        <f>IF(VLOOKUP($D25,$C$5:$AT$507,3,)=0,0,(VLOOKUP($D25,$C$5:$AT$507,19,)/VLOOKUP($D25,$C$5:$AT$507,3,))*$E25)</f>
        <v>0</v>
      </c>
      <c r="V25" s="40">
        <f>IF(VLOOKUP($D25,$C$5:$AT$507,3,)=0,0,(VLOOKUP($D25,$C$5:$AT$507,20,)/VLOOKUP($D25,$C$5:$AT$507,3,))*$E25)</f>
        <v>0</v>
      </c>
      <c r="W25" s="40">
        <f>IF(VLOOKUP($D25,$C$5:$AT$507,3,)=0,0,(VLOOKUP($D25,$C$5:$AT$507,21,)/VLOOKUP($D25,$C$5:$AT$507,3,))*$E25)</f>
        <v>0</v>
      </c>
      <c r="X25" s="40">
        <f>IF(VLOOKUP($D25,$C$5:$AT$507,3,)=0,0,(VLOOKUP($D25,$C$5:$AT$507,22,)/VLOOKUP($D25,$C$5:$AT$507,3,))*$E25)</f>
        <v>0</v>
      </c>
      <c r="Y25" s="40">
        <f>IF(VLOOKUP($D25,$C$5:$AT$507,3,)=0,0,(VLOOKUP($D25,$C$5:$AT$507,23,)/VLOOKUP($D25,$C$5:$AT$507,3,))*$E25)</f>
        <v>0</v>
      </c>
      <c r="Z25" s="40">
        <f>IF(VLOOKUP($D25,$C$5:$AT$507,3,)=0,0,(VLOOKUP($D25,$C$5:$AT$507,24,)/VLOOKUP($D25,$C$5:$AT$507,3,))*$E25)</f>
        <v>0</v>
      </c>
      <c r="AA25" s="40">
        <f>IF(VLOOKUP($D25,$C$5:$AT$507,3,)=0,0,(VLOOKUP($D25,$C$5:$AT$507,25,)/VLOOKUP($D25,$C$5:$AT$507,3,))*$E25)</f>
        <v>0</v>
      </c>
      <c r="AB25" s="40">
        <f>IF(VLOOKUP($D25,$C$5:$AT$507,3,)=0,0,(VLOOKUP($D25,$C$5:$AT$507,26,)/VLOOKUP($D25,$C$5:$AT$507,3,))*$E25)</f>
        <v>0</v>
      </c>
      <c r="AC25" s="40">
        <f>IF(VLOOKUP($D25,$C$5:$AT$507,3,)=0,0,(VLOOKUP($D25,$C$5:$AT$507,27,)/VLOOKUP($D25,$C$5:$AT$507,3,))*$E25)</f>
        <v>0</v>
      </c>
      <c r="AD25" s="40">
        <f>IF(VLOOKUP($D25,$C$5:$AT$507,3,)=0,0,(VLOOKUP($D25,$C$5:$AT$507,28,)/VLOOKUP($D25,$C$5:$AT$507,3,))*$E25)</f>
        <v>0</v>
      </c>
      <c r="AE25" s="40">
        <f>IF(VLOOKUP($D25,$C$5:$AT$507,3,)=0,0,(VLOOKUP($D25,$C$5:$AT$507,29,)/VLOOKUP($D25,$C$5:$AT$507,3,))*$E25)</f>
        <v>0</v>
      </c>
      <c r="AF25" s="40">
        <f>IF(VLOOKUP($D25,$C$5:$AT$507,3,)=0,0,(VLOOKUP($D25,$C$5:$AT$507,30,)/VLOOKUP($D25,$C$5:$AT$507,3,))*$E25)</f>
        <v>0</v>
      </c>
      <c r="AG25" s="64">
        <f>SUM(F25:AF25)</f>
        <v>6828090.0684224088</v>
      </c>
      <c r="AH25" s="21" t="str">
        <f>IF(ABS(E25-AG25)&lt;0.01,"ok","err")</f>
        <v>ok</v>
      </c>
    </row>
    <row r="26" spans="1:35" x14ac:dyDescent="0.25">
      <c r="A26" s="14" t="s">
        <v>227</v>
      </c>
      <c r="E26" s="174">
        <f t="shared" ref="E26:T26" si="4">E24+E25</f>
        <v>6828090.0684224088</v>
      </c>
      <c r="F26" s="40">
        <f t="shared" si="4"/>
        <v>5876558.3762701843</v>
      </c>
      <c r="G26" s="40">
        <f t="shared" si="4"/>
        <v>4421.9744480942818</v>
      </c>
      <c r="H26" s="40">
        <f t="shared" si="4"/>
        <v>820943.06579223368</v>
      </c>
      <c r="I26" s="40">
        <f t="shared" si="4"/>
        <v>123534.52426422121</v>
      </c>
      <c r="J26" s="40">
        <f t="shared" si="4"/>
        <v>2632.1276476751677</v>
      </c>
      <c r="K26" s="40">
        <f t="shared" si="4"/>
        <v>0</v>
      </c>
      <c r="L26" s="40">
        <f t="shared" si="4"/>
        <v>0</v>
      </c>
      <c r="M26" s="40">
        <f t="shared" si="4"/>
        <v>0</v>
      </c>
      <c r="N26" s="40">
        <f t="shared" si="4"/>
        <v>0</v>
      </c>
      <c r="O26" s="40">
        <f t="shared" si="4"/>
        <v>0</v>
      </c>
      <c r="P26" s="40">
        <f t="shared" si="4"/>
        <v>0</v>
      </c>
      <c r="Q26" s="40">
        <f t="shared" si="4"/>
        <v>0</v>
      </c>
      <c r="R26" s="40">
        <f t="shared" si="4"/>
        <v>0</v>
      </c>
      <c r="S26" s="40">
        <f t="shared" si="4"/>
        <v>0</v>
      </c>
      <c r="T26" s="40">
        <f t="shared" si="4"/>
        <v>0</v>
      </c>
      <c r="U26" s="40">
        <f t="shared" ref="U26:AF26" si="5">U24+U25</f>
        <v>0</v>
      </c>
      <c r="V26" s="40">
        <f t="shared" si="5"/>
        <v>0</v>
      </c>
      <c r="W26" s="40">
        <f t="shared" si="5"/>
        <v>0</v>
      </c>
      <c r="X26" s="40">
        <f t="shared" si="5"/>
        <v>0</v>
      </c>
      <c r="Y26" s="40">
        <f t="shared" si="5"/>
        <v>0</v>
      </c>
      <c r="Z26" s="40">
        <f t="shared" si="5"/>
        <v>0</v>
      </c>
      <c r="AA26" s="40">
        <f t="shared" si="5"/>
        <v>0</v>
      </c>
      <c r="AB26" s="40">
        <f t="shared" si="5"/>
        <v>0</v>
      </c>
      <c r="AC26" s="40">
        <f t="shared" si="5"/>
        <v>0</v>
      </c>
      <c r="AD26" s="40">
        <f t="shared" si="5"/>
        <v>0</v>
      </c>
      <c r="AE26" s="40">
        <f t="shared" si="5"/>
        <v>0</v>
      </c>
      <c r="AF26" s="40">
        <f t="shared" si="5"/>
        <v>0</v>
      </c>
      <c r="AG26" s="64">
        <f>SUM(F26:AF26)</f>
        <v>6828090.0684224088</v>
      </c>
      <c r="AH26" s="21" t="str">
        <f>IF(ABS(E26-AG26)&lt;0.01,"ok","err")</f>
        <v>ok</v>
      </c>
    </row>
    <row r="27" spans="1:35" x14ac:dyDescent="0.25">
      <c r="E27" s="167"/>
    </row>
    <row r="28" spans="1:35" x14ac:dyDescent="0.25">
      <c r="A28" s="13" t="s">
        <v>4</v>
      </c>
      <c r="E28" s="167"/>
    </row>
    <row r="29" spans="1:35" x14ac:dyDescent="0.25">
      <c r="A29" s="67" t="s">
        <v>220</v>
      </c>
      <c r="C29" s="14" t="s">
        <v>228</v>
      </c>
      <c r="D29" s="14" t="s">
        <v>229</v>
      </c>
      <c r="E29" s="174">
        <f>'Func &amp; Classif'!U82</f>
        <v>6722258.8225824628</v>
      </c>
      <c r="F29" s="40">
        <f>IF(VLOOKUP($D29,$C$5:$AT$507,3,)=0,0,(VLOOKUP($D29,$C$5:$AT$507,4,)/VLOOKUP($D29,$C$5:$AT$507,3,))*$E29)</f>
        <v>5031545.2077660467</v>
      </c>
      <c r="G29" s="40">
        <f>IF(VLOOKUP($D29,$C$5:$AT$507,3,)=0,0,(VLOOKUP($D29,$C$5:$AT$507,5,)/VLOOKUP($D29,$C$5:$AT$507,3,))*$E29)</f>
        <v>3786.1215559461912</v>
      </c>
      <c r="H29" s="40">
        <f>IF(VLOOKUP($D29,$C$5:$AT$507,3,)=0,0,(VLOOKUP($D29,$C$5:$AT$507,6,)/VLOOKUP($D29,$C$5:$AT$507,3,))*$E29)</f>
        <v>1230068.8255096292</v>
      </c>
      <c r="I29" s="40">
        <f>IF(VLOOKUP($D29,$C$5:$AT$507,3,)=0,0,(VLOOKUP($D29,$C$5:$AT$507,7,)/VLOOKUP($D29,$C$5:$AT$507,3,))*$E29)</f>
        <v>444238.26256435306</v>
      </c>
      <c r="J29" s="40">
        <f>IF(VLOOKUP($D29,$C$5:$AT$507,3,)=0,0,(VLOOKUP($D29,$C$5:$AT$507,8,)/VLOOKUP($D29,$C$5:$AT$507,3,))*$E29)</f>
        <v>12620.405186487304</v>
      </c>
      <c r="K29" s="40">
        <f>IF(VLOOKUP($D29,$C$5:$AT$507,3,)=0,0,(VLOOKUP($D29,$C$5:$AT$507,9,)/VLOOKUP($D29,$C$5:$AT$507,3,))*$E29)</f>
        <v>0</v>
      </c>
      <c r="L29" s="40">
        <f>IF(VLOOKUP($D29,$C$5:$AT$507,3,)=0,0,(VLOOKUP($D29,$C$5:$AT$507,10,)/VLOOKUP($D29,$C$5:$AT$507,3,))*$E29)</f>
        <v>0</v>
      </c>
      <c r="M29" s="40">
        <f>IF(VLOOKUP($D29,$C$5:$AT$507,3,)=0,0,(VLOOKUP($D29,$C$5:$AT$507,11,)/VLOOKUP($D29,$C$5:$AT$507,3,))*$E29)</f>
        <v>0</v>
      </c>
      <c r="N29" s="40">
        <f>IF(VLOOKUP($D29,$C$5:$AT$507,3,)=0,0,(VLOOKUP($D29,$C$5:$AT$507,12,)/VLOOKUP($D29,$C$5:$AT$507,3,))*$E29)</f>
        <v>0</v>
      </c>
      <c r="O29" s="40">
        <f>IF(VLOOKUP($D29,$C$5:$AT$507,3,)=0,0,(VLOOKUP($D29,$C$5:$AT$507,13,)/VLOOKUP($D29,$C$5:$AT$507,3,))*$E29)</f>
        <v>0</v>
      </c>
      <c r="P29" s="40">
        <f>IF(VLOOKUP($D29,$C$5:$AT$507,3,)=0,0,(VLOOKUP($D29,$C$5:$AT$507,14,)/VLOOKUP($D29,$C$5:$AT$507,3,))*$E29)</f>
        <v>0</v>
      </c>
      <c r="Q29" s="40">
        <f>IF(VLOOKUP($D29,$C$5:$AT$507,3,)=0,0,(VLOOKUP($D29,$C$5:$AT$507,15,)/VLOOKUP($D29,$C$5:$AT$507,3,))*$E29)</f>
        <v>0</v>
      </c>
      <c r="R29" s="40">
        <f>IF(VLOOKUP($D29,$C$5:$AT$507,3,)=0,0,(VLOOKUP($D29,$C$5:$AT$507,16,)/VLOOKUP($D29,$C$5:$AT$507,3,))*$E29)</f>
        <v>0</v>
      </c>
      <c r="S29" s="40">
        <f>IF(VLOOKUP($D29,$C$5:$AT$507,3,)=0,0,(VLOOKUP($D29,$C$5:$AT$507,17,)/VLOOKUP($D29,$C$5:$AT$507,3,))*$E29)</f>
        <v>0</v>
      </c>
      <c r="T29" s="40">
        <f>IF(VLOOKUP($D29,$C$5:$AT$507,3,)=0,0,(VLOOKUP($D29,$C$5:$AT$507,18,)/VLOOKUP($D29,$C$5:$AT$507,3,))*$E29)</f>
        <v>0</v>
      </c>
      <c r="U29" s="40">
        <f>IF(VLOOKUP($D29,$C$5:$AT$507,3,)=0,0,(VLOOKUP($D29,$C$5:$AT$507,19,)/VLOOKUP($D29,$C$5:$AT$507,3,))*$E29)</f>
        <v>0</v>
      </c>
      <c r="V29" s="40">
        <f>IF(VLOOKUP($D29,$C$5:$AT$507,3,)=0,0,(VLOOKUP($D29,$C$5:$AT$507,20,)/VLOOKUP($D29,$C$5:$AT$507,3,))*$E29)</f>
        <v>0</v>
      </c>
      <c r="W29" s="40">
        <f>IF(VLOOKUP($D29,$C$5:$AT$507,3,)=0,0,(VLOOKUP($D29,$C$5:$AT$507,21,)/VLOOKUP($D29,$C$5:$AT$507,3,))*$E29)</f>
        <v>0</v>
      </c>
      <c r="X29" s="40">
        <f>IF(VLOOKUP($D29,$C$5:$AT$507,3,)=0,0,(VLOOKUP($D29,$C$5:$AT$507,22,)/VLOOKUP($D29,$C$5:$AT$507,3,))*$E29)</f>
        <v>0</v>
      </c>
      <c r="Y29" s="40">
        <f>IF(VLOOKUP($D29,$C$5:$AT$507,3,)=0,0,(VLOOKUP($D29,$C$5:$AT$507,23,)/VLOOKUP($D29,$C$5:$AT$507,3,))*$E29)</f>
        <v>0</v>
      </c>
      <c r="Z29" s="40">
        <f>IF(VLOOKUP($D29,$C$5:$AT$507,3,)=0,0,(VLOOKUP($D29,$C$5:$AT$507,24,)/VLOOKUP($D29,$C$5:$AT$507,3,))*$E29)</f>
        <v>0</v>
      </c>
      <c r="AA29" s="40">
        <f>IF(VLOOKUP($D29,$C$5:$AT$507,3,)=0,0,(VLOOKUP($D29,$C$5:$AT$507,25,)/VLOOKUP($D29,$C$5:$AT$507,3,))*$E29)</f>
        <v>0</v>
      </c>
      <c r="AB29" s="40">
        <f>IF(VLOOKUP($D29,$C$5:$AT$507,3,)=0,0,(VLOOKUP($D29,$C$5:$AT$507,26,)/VLOOKUP($D29,$C$5:$AT$507,3,))*$E29)</f>
        <v>0</v>
      </c>
      <c r="AC29" s="40">
        <f>IF(VLOOKUP($D29,$C$5:$AT$507,3,)=0,0,(VLOOKUP($D29,$C$5:$AT$507,27,)/VLOOKUP($D29,$C$5:$AT$507,3,))*$E29)</f>
        <v>0</v>
      </c>
      <c r="AD29" s="40">
        <f>IF(VLOOKUP($D29,$C$5:$AT$507,3,)=0,0,(VLOOKUP($D29,$C$5:$AT$507,28,)/VLOOKUP($D29,$C$5:$AT$507,3,))*$E29)</f>
        <v>0</v>
      </c>
      <c r="AE29" s="40">
        <f>IF(VLOOKUP($D29,$C$5:$AT$507,3,)=0,0,(VLOOKUP($D29,$C$5:$AT$507,29,)/VLOOKUP($D29,$C$5:$AT$507,3,))*$E29)</f>
        <v>0</v>
      </c>
      <c r="AF29" s="40">
        <f>IF(VLOOKUP($D29,$C$5:$AT$507,3,)=0,0,(VLOOKUP($D29,$C$5:$AT$507,30,)/VLOOKUP($D29,$C$5:$AT$507,3,))*$E29)</f>
        <v>0</v>
      </c>
      <c r="AG29" s="64">
        <f>SUM(F29:AF29)</f>
        <v>6722258.8225824619</v>
      </c>
      <c r="AH29" s="21" t="str">
        <f>IF(ABS(E29-AG29)&lt;0.01,"ok","err")</f>
        <v>ok</v>
      </c>
    </row>
    <row r="30" spans="1:35" x14ac:dyDescent="0.25">
      <c r="E30" s="167"/>
    </row>
    <row r="31" spans="1:35" x14ac:dyDescent="0.25">
      <c r="A31" s="13" t="s">
        <v>5</v>
      </c>
      <c r="E31" s="167"/>
    </row>
    <row r="32" spans="1:35" x14ac:dyDescent="0.25">
      <c r="A32" s="67" t="s">
        <v>220</v>
      </c>
      <c r="C32" s="14" t="s">
        <v>230</v>
      </c>
      <c r="D32" s="14" t="s">
        <v>231</v>
      </c>
      <c r="E32" s="174">
        <f>'Func &amp; Classif'!W82</f>
        <v>3737861.3907149523</v>
      </c>
      <c r="F32" s="40">
        <f>IF(VLOOKUP($D32,$C$5:$AT$507,3,)=0,0,(VLOOKUP($D32,$C$5:$AT$507,4,)/VLOOKUP($D32,$C$5:$AT$507,3,))*$E32)</f>
        <v>0</v>
      </c>
      <c r="G32" s="40">
        <f>IF(VLOOKUP($D32,$C$5:$AT$507,3,)=0,0,(VLOOKUP($D32,$C$5:$AT$507,5,)/VLOOKUP($D32,$C$5:$AT$507,3,))*$E32)</f>
        <v>0</v>
      </c>
      <c r="H32" s="40">
        <f>IF(VLOOKUP($D32,$C$5:$AT$507,3,)=0,0,(VLOOKUP($D32,$C$5:$AT$507,6,)/VLOOKUP($D32,$C$5:$AT$507,3,))*$E32)</f>
        <v>0</v>
      </c>
      <c r="I32" s="40">
        <f>IF(VLOOKUP($D32,$C$5:$AT$507,3,)=0,0,(VLOOKUP($D32,$C$5:$AT$507,7,)/VLOOKUP($D32,$C$5:$AT$507,3,))*$E32)</f>
        <v>0</v>
      </c>
      <c r="J32" s="40">
        <f>IF(VLOOKUP($D32,$C$5:$AT$507,3,)=0,0,(VLOOKUP($D32,$C$5:$AT$507,8,)/VLOOKUP($D32,$C$5:$AT$507,3,))*$E32)</f>
        <v>0</v>
      </c>
      <c r="K32" s="40">
        <f>IF(VLOOKUP($D32,$C$5:$AT$507,3,)=0,0,(VLOOKUP($D32,$C$5:$AT$507,9,)/VLOOKUP($D32,$C$5:$AT$507,3,))*$E32)</f>
        <v>3737861.3907149523</v>
      </c>
      <c r="L32" s="40">
        <f>IF(VLOOKUP($D32,$C$5:$AT$507,3,)=0,0,(VLOOKUP($D32,$C$5:$AT$507,10,)/VLOOKUP($D32,$C$5:$AT$507,3,))*$E32)</f>
        <v>0</v>
      </c>
      <c r="M32" s="40">
        <f>IF(VLOOKUP($D32,$C$5:$AT$507,3,)=0,0,(VLOOKUP($D32,$C$5:$AT$507,11,)/VLOOKUP($D32,$C$5:$AT$507,3,))*$E32)</f>
        <v>0</v>
      </c>
      <c r="N32" s="40">
        <f>IF(VLOOKUP($D32,$C$5:$AT$507,3,)=0,0,(VLOOKUP($D32,$C$5:$AT$507,12,)/VLOOKUP($D32,$C$5:$AT$507,3,))*$E32)</f>
        <v>0</v>
      </c>
      <c r="O32" s="40">
        <f>IF(VLOOKUP($D32,$C$5:$AT$507,3,)=0,0,(VLOOKUP($D32,$C$5:$AT$507,13,)/VLOOKUP($D32,$C$5:$AT$507,3,))*$E32)</f>
        <v>0</v>
      </c>
      <c r="P32" s="40">
        <f>IF(VLOOKUP($D32,$C$5:$AT$507,3,)=0,0,(VLOOKUP($D32,$C$5:$AT$507,14,)/VLOOKUP($D32,$C$5:$AT$507,3,))*$E32)</f>
        <v>0</v>
      </c>
      <c r="Q32" s="40">
        <f>IF(VLOOKUP($D32,$C$5:$AT$507,3,)=0,0,(VLOOKUP($D32,$C$5:$AT$507,15,)/VLOOKUP($D32,$C$5:$AT$507,3,))*$E32)</f>
        <v>0</v>
      </c>
      <c r="R32" s="40">
        <f>IF(VLOOKUP($D32,$C$5:$AT$507,3,)=0,0,(VLOOKUP($D32,$C$5:$AT$507,16,)/VLOOKUP($D32,$C$5:$AT$507,3,))*$E32)</f>
        <v>0</v>
      </c>
      <c r="S32" s="40">
        <f>IF(VLOOKUP($D32,$C$5:$AT$507,3,)=0,0,(VLOOKUP($D32,$C$5:$AT$507,17,)/VLOOKUP($D32,$C$5:$AT$507,3,))*$E32)</f>
        <v>0</v>
      </c>
      <c r="T32" s="40">
        <f>IF(VLOOKUP($D32,$C$5:$AT$507,3,)=0,0,(VLOOKUP($D32,$C$5:$AT$507,18,)/VLOOKUP($D32,$C$5:$AT$507,3,))*$E32)</f>
        <v>0</v>
      </c>
      <c r="U32" s="40">
        <f>IF(VLOOKUP($D32,$C$5:$AT$507,3,)=0,0,(VLOOKUP($D32,$C$5:$AT$507,19,)/VLOOKUP($D32,$C$5:$AT$507,3,))*$E32)</f>
        <v>0</v>
      </c>
      <c r="V32" s="40">
        <f>IF(VLOOKUP($D32,$C$5:$AT$507,3,)=0,0,(VLOOKUP($D32,$C$5:$AT$507,20,)/VLOOKUP($D32,$C$5:$AT$507,3,))*$E32)</f>
        <v>0</v>
      </c>
      <c r="W32" s="40">
        <f>IF(VLOOKUP($D32,$C$5:$AT$507,3,)=0,0,(VLOOKUP($D32,$C$5:$AT$507,21,)/VLOOKUP($D32,$C$5:$AT$507,3,))*$E32)</f>
        <v>0</v>
      </c>
      <c r="X32" s="40">
        <f>IF(VLOOKUP($D32,$C$5:$AT$507,3,)=0,0,(VLOOKUP($D32,$C$5:$AT$507,22,)/VLOOKUP($D32,$C$5:$AT$507,3,))*$E32)</f>
        <v>0</v>
      </c>
      <c r="Y32" s="40">
        <f>IF(VLOOKUP($D32,$C$5:$AT$507,3,)=0,0,(VLOOKUP($D32,$C$5:$AT$507,23,)/VLOOKUP($D32,$C$5:$AT$507,3,))*$E32)</f>
        <v>0</v>
      </c>
      <c r="Z32" s="40">
        <f>IF(VLOOKUP($D32,$C$5:$AT$507,3,)=0,0,(VLOOKUP($D32,$C$5:$AT$507,24,)/VLOOKUP($D32,$C$5:$AT$507,3,))*$E32)</f>
        <v>0</v>
      </c>
      <c r="AA32" s="40">
        <f>IF(VLOOKUP($D32,$C$5:$AT$507,3,)=0,0,(VLOOKUP($D32,$C$5:$AT$507,25,)/VLOOKUP($D32,$C$5:$AT$507,3,))*$E32)</f>
        <v>0</v>
      </c>
      <c r="AB32" s="40">
        <f>IF(VLOOKUP($D32,$C$5:$AT$507,3,)=0,0,(VLOOKUP($D32,$C$5:$AT$507,26,)/VLOOKUP($D32,$C$5:$AT$507,3,))*$E32)</f>
        <v>0</v>
      </c>
      <c r="AC32" s="40">
        <f>IF(VLOOKUP($D32,$C$5:$AT$507,3,)=0,0,(VLOOKUP($D32,$C$5:$AT$507,27,)/VLOOKUP($D32,$C$5:$AT$507,3,))*$E32)</f>
        <v>0</v>
      </c>
      <c r="AD32" s="40">
        <f>IF(VLOOKUP($D32,$C$5:$AT$507,3,)=0,0,(VLOOKUP($D32,$C$5:$AT$507,28,)/VLOOKUP($D32,$C$5:$AT$507,3,))*$E32)</f>
        <v>0</v>
      </c>
      <c r="AE32" s="40">
        <f>IF(VLOOKUP($D32,$C$5:$AT$507,3,)=0,0,(VLOOKUP($D32,$C$5:$AT$507,29,)/VLOOKUP($D32,$C$5:$AT$507,3,))*$E32)</f>
        <v>0</v>
      </c>
      <c r="AF32" s="40">
        <f>IF(VLOOKUP($D32,$C$5:$AT$507,3,)=0,0,(VLOOKUP($D32,$C$5:$AT$507,30,)/VLOOKUP($D32,$C$5:$AT$507,3,))*$E32)</f>
        <v>0</v>
      </c>
      <c r="AG32" s="64">
        <f>SUM(F32:AF32)</f>
        <v>3737861.3907149523</v>
      </c>
      <c r="AH32" s="21" t="str">
        <f>IF(ABS(E32-AG32)&lt;0.01,"ok","err")</f>
        <v>ok</v>
      </c>
    </row>
    <row r="33" spans="1:35" x14ac:dyDescent="0.25">
      <c r="E33" s="167"/>
    </row>
    <row r="34" spans="1:35" x14ac:dyDescent="0.25">
      <c r="A34" s="13" t="s">
        <v>544</v>
      </c>
      <c r="E34" s="167"/>
    </row>
    <row r="35" spans="1:35" x14ac:dyDescent="0.25">
      <c r="A35" s="67" t="s">
        <v>220</v>
      </c>
      <c r="C35" s="14" t="s">
        <v>232</v>
      </c>
      <c r="D35" s="14" t="s">
        <v>233</v>
      </c>
      <c r="E35" s="174">
        <f>'Func &amp; Classif'!Y82</f>
        <v>0</v>
      </c>
      <c r="F35" s="40">
        <f>IF(VLOOKUP($D35,$C$5:$AT$507,3,)=0,0,(VLOOKUP($D35,$C$5:$AT$507,4,)/VLOOKUP($D35,$C$5:$AT$507,3,))*$E35)</f>
        <v>0</v>
      </c>
      <c r="G35" s="40">
        <f>IF(VLOOKUP($D35,$C$5:$AT$507,3,)=0,0,(VLOOKUP($D35,$C$5:$AT$507,5,)/VLOOKUP($D35,$C$5:$AT$507,3,))*$E35)</f>
        <v>0</v>
      </c>
      <c r="H35" s="40">
        <f>IF(VLOOKUP($D35,$C$5:$AT$507,3,)=0,0,(VLOOKUP($D35,$C$5:$AT$507,6,)/VLOOKUP($D35,$C$5:$AT$507,3,))*$E35)</f>
        <v>0</v>
      </c>
      <c r="I35" s="40">
        <f>IF(VLOOKUP($D35,$C$5:$AT$507,3,)=0,0,(VLOOKUP($D35,$C$5:$AT$507,7,)/VLOOKUP($D35,$C$5:$AT$507,3,))*$E35)</f>
        <v>0</v>
      </c>
      <c r="J35" s="40">
        <f>IF(VLOOKUP($D35,$C$5:$AT$507,3,)=0,0,(VLOOKUP($D35,$C$5:$AT$507,8,)/VLOOKUP($D35,$C$5:$AT$507,3,))*$E35)</f>
        <v>0</v>
      </c>
      <c r="K35" s="40">
        <f>IF(VLOOKUP($D35,$C$5:$AT$507,3,)=0,0,(VLOOKUP($D35,$C$5:$AT$507,9,)/VLOOKUP($D35,$C$5:$AT$507,3,))*$E35)</f>
        <v>0</v>
      </c>
      <c r="L35" s="40">
        <f>IF(VLOOKUP($D35,$C$5:$AT$507,3,)=0,0,(VLOOKUP($D35,$C$5:$AT$507,10,)/VLOOKUP($D35,$C$5:$AT$507,3,))*$E35)</f>
        <v>0</v>
      </c>
      <c r="M35" s="40">
        <f>IF(VLOOKUP($D35,$C$5:$AT$507,3,)=0,0,(VLOOKUP($D35,$C$5:$AT$507,11,)/VLOOKUP($D35,$C$5:$AT$507,3,))*$E35)</f>
        <v>0</v>
      </c>
      <c r="N35" s="40">
        <f>IF(VLOOKUP($D35,$C$5:$AT$507,3,)=0,0,(VLOOKUP($D35,$C$5:$AT$507,12,)/VLOOKUP($D35,$C$5:$AT$507,3,))*$E35)</f>
        <v>0</v>
      </c>
      <c r="O35" s="40">
        <f>IF(VLOOKUP($D35,$C$5:$AT$507,3,)=0,0,(VLOOKUP($D35,$C$5:$AT$507,13,)/VLOOKUP($D35,$C$5:$AT$507,3,))*$E35)</f>
        <v>0</v>
      </c>
      <c r="P35" s="40">
        <f>IF(VLOOKUP($D35,$C$5:$AT$507,3,)=0,0,(VLOOKUP($D35,$C$5:$AT$507,14,)/VLOOKUP($D35,$C$5:$AT$507,3,))*$E35)</f>
        <v>0</v>
      </c>
      <c r="Q35" s="40">
        <f>IF(VLOOKUP($D35,$C$5:$AT$507,3,)=0,0,(VLOOKUP($D35,$C$5:$AT$507,15,)/VLOOKUP($D35,$C$5:$AT$507,3,))*$E35)</f>
        <v>0</v>
      </c>
      <c r="R35" s="40">
        <f>IF(VLOOKUP($D35,$C$5:$AT$507,3,)=0,0,(VLOOKUP($D35,$C$5:$AT$507,16,)/VLOOKUP($D35,$C$5:$AT$507,3,))*$E35)</f>
        <v>0</v>
      </c>
      <c r="S35" s="40">
        <f>IF(VLOOKUP($D35,$C$5:$AT$507,3,)=0,0,(VLOOKUP($D35,$C$5:$AT$507,17,)/VLOOKUP($D35,$C$5:$AT$507,3,))*$E35)</f>
        <v>0</v>
      </c>
      <c r="T35" s="40">
        <f>IF(VLOOKUP($D35,$C$5:$AT$507,3,)=0,0,(VLOOKUP($D35,$C$5:$AT$507,18,)/VLOOKUP($D35,$C$5:$AT$507,3,))*$E35)</f>
        <v>0</v>
      </c>
      <c r="U35" s="40">
        <f>IF(VLOOKUP($D35,$C$5:$AT$507,3,)=0,0,(VLOOKUP($D35,$C$5:$AT$507,19,)/VLOOKUP($D35,$C$5:$AT$507,3,))*$E35)</f>
        <v>0</v>
      </c>
      <c r="V35" s="40">
        <f>IF(VLOOKUP($D35,$C$5:$AT$507,3,)=0,0,(VLOOKUP($D35,$C$5:$AT$507,20,)/VLOOKUP($D35,$C$5:$AT$507,3,))*$E35)</f>
        <v>0</v>
      </c>
      <c r="W35" s="40">
        <f>IF(VLOOKUP($D35,$C$5:$AT$507,3,)=0,0,(VLOOKUP($D35,$C$5:$AT$507,21,)/VLOOKUP($D35,$C$5:$AT$507,3,))*$E35)</f>
        <v>0</v>
      </c>
      <c r="X35" s="40">
        <f>IF(VLOOKUP($D35,$C$5:$AT$507,3,)=0,0,(VLOOKUP($D35,$C$5:$AT$507,22,)/VLOOKUP($D35,$C$5:$AT$507,3,))*$E35)</f>
        <v>0</v>
      </c>
      <c r="Y35" s="40">
        <f>IF(VLOOKUP($D35,$C$5:$AT$507,3,)=0,0,(VLOOKUP($D35,$C$5:$AT$507,23,)/VLOOKUP($D35,$C$5:$AT$507,3,))*$E35)</f>
        <v>0</v>
      </c>
      <c r="Z35" s="40">
        <f>IF(VLOOKUP($D35,$C$5:$AT$507,3,)=0,0,(VLOOKUP($D35,$C$5:$AT$507,24,)/VLOOKUP($D35,$C$5:$AT$507,3,))*$E35)</f>
        <v>0</v>
      </c>
      <c r="AA35" s="40">
        <f>IF(VLOOKUP($D35,$C$5:$AT$507,3,)=0,0,(VLOOKUP($D35,$C$5:$AT$507,25,)/VLOOKUP($D35,$C$5:$AT$507,3,))*$E35)</f>
        <v>0</v>
      </c>
      <c r="AB35" s="40">
        <f>IF(VLOOKUP($D35,$C$5:$AT$507,3,)=0,0,(VLOOKUP($D35,$C$5:$AT$507,26,)/VLOOKUP($D35,$C$5:$AT$507,3,))*$E35)</f>
        <v>0</v>
      </c>
      <c r="AC35" s="40">
        <f>IF(VLOOKUP($D35,$C$5:$AT$507,3,)=0,0,(VLOOKUP($D35,$C$5:$AT$507,27,)/VLOOKUP($D35,$C$5:$AT$507,3,))*$E35)</f>
        <v>0</v>
      </c>
      <c r="AD35" s="40">
        <f>IF(VLOOKUP($D35,$C$5:$AT$507,3,)=0,0,(VLOOKUP($D35,$C$5:$AT$507,28,)/VLOOKUP($D35,$C$5:$AT$507,3,))*$E35)</f>
        <v>0</v>
      </c>
      <c r="AE35" s="40">
        <f>IF(VLOOKUP($D35,$C$5:$AT$507,3,)=0,0,(VLOOKUP($D35,$C$5:$AT$507,29,)/VLOOKUP($D35,$C$5:$AT$507,3,))*$E35)</f>
        <v>0</v>
      </c>
      <c r="AF35" s="40">
        <f>IF(VLOOKUP($D35,$C$5:$AT$507,3,)=0,0,(VLOOKUP($D35,$C$5:$AT$507,30,)/VLOOKUP($D35,$C$5:$AT$507,3,))*$E35)</f>
        <v>0</v>
      </c>
      <c r="AG35" s="64">
        <f>SUM(F35:AF35)</f>
        <v>0</v>
      </c>
      <c r="AH35" s="21" t="str">
        <f>IF(ABS(E35-AG35)&lt;0.01,"ok","err")</f>
        <v>ok</v>
      </c>
    </row>
    <row r="36" spans="1:35" x14ac:dyDescent="0.25">
      <c r="E36" s="167"/>
    </row>
    <row r="37" spans="1:35" x14ac:dyDescent="0.25">
      <c r="A37" s="13" t="s">
        <v>469</v>
      </c>
      <c r="E37" s="167"/>
    </row>
    <row r="38" spans="1:35" x14ac:dyDescent="0.25">
      <c r="A38" s="67" t="s">
        <v>220</v>
      </c>
      <c r="C38" s="14" t="s">
        <v>225</v>
      </c>
      <c r="D38" s="14" t="s">
        <v>234</v>
      </c>
      <c r="E38" s="174">
        <f>'Func &amp; Classif'!AA82</f>
        <v>0</v>
      </c>
      <c r="F38" s="40">
        <f>IF(VLOOKUP($D38,$C$5:$AT$507,3,)=0,0,(VLOOKUP($D38,$C$5:$AT$507,4,)/VLOOKUP($D38,$C$5:$AT$507,3,))*$E38)</f>
        <v>0</v>
      </c>
      <c r="G38" s="40">
        <f>IF(VLOOKUP($D38,$C$5:$AT$507,3,)=0,0,(VLOOKUP($D38,$C$5:$AT$507,5,)/VLOOKUP($D38,$C$5:$AT$507,3,))*$E38)</f>
        <v>0</v>
      </c>
      <c r="H38" s="40">
        <f>IF(VLOOKUP($D38,$C$5:$AT$507,3,)=0,0,(VLOOKUP($D38,$C$5:$AT$507,6,)/VLOOKUP($D38,$C$5:$AT$507,3,))*$E38)</f>
        <v>0</v>
      </c>
      <c r="I38" s="40">
        <f>IF(VLOOKUP($D38,$C$5:$AT$507,3,)=0,0,(VLOOKUP($D38,$C$5:$AT$507,7,)/VLOOKUP($D38,$C$5:$AT$507,3,))*$E38)</f>
        <v>0</v>
      </c>
      <c r="J38" s="40">
        <f>IF(VLOOKUP($D38,$C$5:$AT$507,3,)=0,0,(VLOOKUP($D38,$C$5:$AT$507,8,)/VLOOKUP($D38,$C$5:$AT$507,3,))*$E38)</f>
        <v>0</v>
      </c>
      <c r="K38" s="40">
        <f>IF(VLOOKUP($D38,$C$5:$AT$507,3,)=0,0,(VLOOKUP($D38,$C$5:$AT$507,9,)/VLOOKUP($D38,$C$5:$AT$507,3,))*$E38)</f>
        <v>0</v>
      </c>
      <c r="L38" s="40">
        <f>IF(VLOOKUP($D38,$C$5:$AT$507,3,)=0,0,(VLOOKUP($D38,$C$5:$AT$507,10,)/VLOOKUP($D38,$C$5:$AT$507,3,))*$E38)</f>
        <v>0</v>
      </c>
      <c r="M38" s="40">
        <f>IF(VLOOKUP($D38,$C$5:$AT$507,3,)=0,0,(VLOOKUP($D38,$C$5:$AT$507,11,)/VLOOKUP($D38,$C$5:$AT$507,3,))*$E38)</f>
        <v>0</v>
      </c>
      <c r="N38" s="40">
        <f>IF(VLOOKUP($D38,$C$5:$AT$507,3,)=0,0,(VLOOKUP($D38,$C$5:$AT$507,12,)/VLOOKUP($D38,$C$5:$AT$507,3,))*$E38)</f>
        <v>0</v>
      </c>
      <c r="O38" s="40">
        <f>IF(VLOOKUP($D38,$C$5:$AT$507,3,)=0,0,(VLOOKUP($D38,$C$5:$AT$507,13,)/VLOOKUP($D38,$C$5:$AT$507,3,))*$E38)</f>
        <v>0</v>
      </c>
      <c r="P38" s="40">
        <f>IF(VLOOKUP($D38,$C$5:$AT$507,3,)=0,0,(VLOOKUP($D38,$C$5:$AT$507,14,)/VLOOKUP($D38,$C$5:$AT$507,3,))*$E38)</f>
        <v>0</v>
      </c>
      <c r="Q38" s="40">
        <f>IF(VLOOKUP($D38,$C$5:$AT$507,3,)=0,0,(VLOOKUP($D38,$C$5:$AT$507,15,)/VLOOKUP($D38,$C$5:$AT$507,3,))*$E38)</f>
        <v>0</v>
      </c>
      <c r="R38" s="40">
        <f>IF(VLOOKUP($D38,$C$5:$AT$507,3,)=0,0,(VLOOKUP($D38,$C$5:$AT$507,16,)/VLOOKUP($D38,$C$5:$AT$507,3,))*$E38)</f>
        <v>0</v>
      </c>
      <c r="S38" s="40">
        <f>IF(VLOOKUP($D38,$C$5:$AT$507,3,)=0,0,(VLOOKUP($D38,$C$5:$AT$507,17,)/VLOOKUP($D38,$C$5:$AT$507,3,))*$E38)</f>
        <v>0</v>
      </c>
      <c r="T38" s="40">
        <f>IF(VLOOKUP($D38,$C$5:$AT$507,3,)=0,0,(VLOOKUP($D38,$C$5:$AT$507,18,)/VLOOKUP($D38,$C$5:$AT$507,3,))*$E38)</f>
        <v>0</v>
      </c>
      <c r="U38" s="40">
        <f>IF(VLOOKUP($D38,$C$5:$AT$507,3,)=0,0,(VLOOKUP($D38,$C$5:$AT$507,19,)/VLOOKUP($D38,$C$5:$AT$507,3,))*$E38)</f>
        <v>0</v>
      </c>
      <c r="V38" s="40">
        <f>IF(VLOOKUP($D38,$C$5:$AT$507,3,)=0,0,(VLOOKUP($D38,$C$5:$AT$507,20,)/VLOOKUP($D38,$C$5:$AT$507,3,))*$E38)</f>
        <v>0</v>
      </c>
      <c r="W38" s="40">
        <f>IF(VLOOKUP($D38,$C$5:$AT$507,3,)=0,0,(VLOOKUP($D38,$C$5:$AT$507,21,)/VLOOKUP($D38,$C$5:$AT$507,3,))*$E38)</f>
        <v>0</v>
      </c>
      <c r="X38" s="40">
        <f>IF(VLOOKUP($D38,$C$5:$AT$507,3,)=0,0,(VLOOKUP($D38,$C$5:$AT$507,22,)/VLOOKUP($D38,$C$5:$AT$507,3,))*$E38)</f>
        <v>0</v>
      </c>
      <c r="Y38" s="40">
        <f>IF(VLOOKUP($D38,$C$5:$AT$507,3,)=0,0,(VLOOKUP($D38,$C$5:$AT$507,23,)/VLOOKUP($D38,$C$5:$AT$507,3,))*$E38)</f>
        <v>0</v>
      </c>
      <c r="Z38" s="40">
        <f>IF(VLOOKUP($D38,$C$5:$AT$507,3,)=0,0,(VLOOKUP($D38,$C$5:$AT$507,24,)/VLOOKUP($D38,$C$5:$AT$507,3,))*$E38)</f>
        <v>0</v>
      </c>
      <c r="AA38" s="40">
        <f>IF(VLOOKUP($D38,$C$5:$AT$507,3,)=0,0,(VLOOKUP($D38,$C$5:$AT$507,25,)/VLOOKUP($D38,$C$5:$AT$507,3,))*$E38)</f>
        <v>0</v>
      </c>
      <c r="AB38" s="40">
        <f>IF(VLOOKUP($D38,$C$5:$AT$507,3,)=0,0,(VLOOKUP($D38,$C$5:$AT$507,26,)/VLOOKUP($D38,$C$5:$AT$507,3,))*$E38)</f>
        <v>0</v>
      </c>
      <c r="AC38" s="40">
        <f>IF(VLOOKUP($D38,$C$5:$AT$507,3,)=0,0,(VLOOKUP($D38,$C$5:$AT$507,27,)/VLOOKUP($D38,$C$5:$AT$507,3,))*$E38)</f>
        <v>0</v>
      </c>
      <c r="AD38" s="40">
        <f>IF(VLOOKUP($D38,$C$5:$AT$507,3,)=0,0,(VLOOKUP($D38,$C$5:$AT$507,28,)/VLOOKUP($D38,$C$5:$AT$507,3,))*$E38)</f>
        <v>0</v>
      </c>
      <c r="AE38" s="40">
        <f>IF(VLOOKUP($D38,$C$5:$AT$507,3,)=0,0,(VLOOKUP($D38,$C$5:$AT$507,29,)/VLOOKUP($D38,$C$5:$AT$507,3,))*$E38)</f>
        <v>0</v>
      </c>
      <c r="AF38" s="40">
        <f>IF(VLOOKUP($D38,$C$5:$AT$507,3,)=0,0,(VLOOKUP($D38,$C$5:$AT$507,30,)/VLOOKUP($D38,$C$5:$AT$507,3,))*$E38)</f>
        <v>0</v>
      </c>
      <c r="AG38" s="64">
        <f>SUM(F38:AF38)</f>
        <v>0</v>
      </c>
      <c r="AH38" s="21" t="str">
        <f>IF(ABS(E38-AG38)&lt;0.01,"ok","err")</f>
        <v>ok</v>
      </c>
    </row>
    <row r="39" spans="1:35" x14ac:dyDescent="0.25">
      <c r="E39" s="167"/>
    </row>
    <row r="40" spans="1:35" x14ac:dyDescent="0.25">
      <c r="A40" s="14" t="s">
        <v>0</v>
      </c>
      <c r="C40" s="14" t="s">
        <v>235</v>
      </c>
      <c r="E40" s="174">
        <f>E10+E13+E16+E21+E26+E29+E32+E35+E38</f>
        <v>102490432.15000001</v>
      </c>
      <c r="F40" s="40">
        <f t="shared" ref="F40:R40" si="6">F10+F13+F16+F21+F26+F29+F32+F35+F38</f>
        <v>83178626.787039101</v>
      </c>
      <c r="G40" s="40">
        <f t="shared" si="6"/>
        <v>70967.226042321796</v>
      </c>
      <c r="H40" s="40">
        <f t="shared" si="6"/>
        <v>8415430.2854854241</v>
      </c>
      <c r="I40" s="40">
        <f t="shared" si="6"/>
        <v>5977754.6774644321</v>
      </c>
      <c r="J40" s="40">
        <f t="shared" si="6"/>
        <v>862991.25523818797</v>
      </c>
      <c r="K40" s="40">
        <f t="shared" si="6"/>
        <v>3984661.9187305276</v>
      </c>
      <c r="L40" s="40">
        <f t="shared" si="6"/>
        <v>0</v>
      </c>
      <c r="M40" s="40">
        <f t="shared" si="6"/>
        <v>0</v>
      </c>
      <c r="N40" s="40">
        <f t="shared" si="6"/>
        <v>0</v>
      </c>
      <c r="O40" s="40">
        <f t="shared" si="6"/>
        <v>0</v>
      </c>
      <c r="P40" s="40">
        <f t="shared" si="6"/>
        <v>0</v>
      </c>
      <c r="Q40" s="40">
        <f t="shared" si="6"/>
        <v>0</v>
      </c>
      <c r="R40" s="40">
        <f t="shared" si="6"/>
        <v>0</v>
      </c>
      <c r="S40" s="40">
        <f t="shared" ref="S40:AF40" si="7">S10+S16+S21+S26+S29+S32+S35+S38</f>
        <v>0</v>
      </c>
      <c r="T40" s="40">
        <f t="shared" si="7"/>
        <v>0</v>
      </c>
      <c r="U40" s="40">
        <f t="shared" si="7"/>
        <v>0</v>
      </c>
      <c r="V40" s="40">
        <f t="shared" si="7"/>
        <v>0</v>
      </c>
      <c r="W40" s="40">
        <f t="shared" si="7"/>
        <v>0</v>
      </c>
      <c r="X40" s="40">
        <f t="shared" si="7"/>
        <v>0</v>
      </c>
      <c r="Y40" s="40">
        <f t="shared" si="7"/>
        <v>0</v>
      </c>
      <c r="Z40" s="40">
        <f t="shared" si="7"/>
        <v>0</v>
      </c>
      <c r="AA40" s="40">
        <f t="shared" si="7"/>
        <v>0</v>
      </c>
      <c r="AB40" s="40">
        <f t="shared" si="7"/>
        <v>0</v>
      </c>
      <c r="AC40" s="40">
        <f t="shared" si="7"/>
        <v>0</v>
      </c>
      <c r="AD40" s="40">
        <f t="shared" si="7"/>
        <v>0</v>
      </c>
      <c r="AE40" s="40">
        <f t="shared" si="7"/>
        <v>0</v>
      </c>
      <c r="AF40" s="40">
        <f t="shared" si="7"/>
        <v>0</v>
      </c>
      <c r="AG40" s="64">
        <f>SUM(F40:AF40)</f>
        <v>102490432.14999999</v>
      </c>
      <c r="AH40" s="21" t="str">
        <f>IF(ABS(E40-AG40)&lt;0.01,"ok","err")</f>
        <v>ok</v>
      </c>
      <c r="AI40" s="64"/>
    </row>
    <row r="44" spans="1:35" x14ac:dyDescent="0.25">
      <c r="A44" s="19" t="s">
        <v>83</v>
      </c>
    </row>
    <row r="46" spans="1:35" x14ac:dyDescent="0.25">
      <c r="A46" s="13" t="s">
        <v>885</v>
      </c>
    </row>
    <row r="47" spans="1:35" x14ac:dyDescent="0.25">
      <c r="A47" s="67" t="s">
        <v>208</v>
      </c>
      <c r="C47" s="14" t="s">
        <v>236</v>
      </c>
      <c r="D47" s="14" t="s">
        <v>654</v>
      </c>
      <c r="E47" s="174">
        <f>'Func &amp; Classif'!H126</f>
        <v>0</v>
      </c>
      <c r="F47" s="40">
        <f>IF(VLOOKUP($D47,$C$5:$AT$507,3,)=0,0,(VLOOKUP($D47,$C$5:$AT$507,4,)/VLOOKUP($D47,$C$5:$AT$507,3,))*$E47)</f>
        <v>0</v>
      </c>
      <c r="G47" s="40">
        <f>IF(VLOOKUP($D47,$C$5:$AT$507,3,)=0,0,(VLOOKUP($D47,$C$5:$AT$507,5,)/VLOOKUP($D47,$C$5:$AT$507,3,))*$E47)</f>
        <v>0</v>
      </c>
      <c r="H47" s="40">
        <f>IF(VLOOKUP($D47,$C$5:$AT$507,3,)=0,0,(VLOOKUP($D47,$C$5:$AT$507,6,)/VLOOKUP($D47,$C$5:$AT$507,3,))*$E47)</f>
        <v>0</v>
      </c>
      <c r="I47" s="40">
        <f>IF(VLOOKUP($D47,$C$5:$AT$507,3,)=0,0,(VLOOKUP($D47,$C$5:$AT$507,7,)/VLOOKUP($D47,$C$5:$AT$507,3,))*$E47)</f>
        <v>0</v>
      </c>
      <c r="J47" s="40">
        <f>IF(VLOOKUP($D47,$C$5:$AT$507,3,)=0,0,(VLOOKUP($D47,$C$5:$AT$507,8,)/VLOOKUP($D47,$C$5:$AT$507,3,))*$E47)</f>
        <v>0</v>
      </c>
      <c r="K47" s="40">
        <f>IF(VLOOKUP($D47,$C$5:$AT$507,3,)=0,0,(VLOOKUP($D47,$C$5:$AT$507,9,)/VLOOKUP($D47,$C$5:$AT$507,3,))*$E47)</f>
        <v>0</v>
      </c>
      <c r="L47" s="40">
        <f>IF(VLOOKUP($D47,$C$5:$AT$507,3,)=0,0,(VLOOKUP($D47,$C$5:$AT$507,10,)/VLOOKUP($D47,$C$5:$AT$507,3,))*$E47)</f>
        <v>0</v>
      </c>
      <c r="M47" s="40">
        <f>IF(VLOOKUP($D47,$C$5:$AT$507,3,)=0,0,(VLOOKUP($D47,$C$5:$AT$507,11,)/VLOOKUP($D47,$C$5:$AT$507,3,))*$E47)</f>
        <v>0</v>
      </c>
      <c r="N47" s="40">
        <f>IF(VLOOKUP($D47,$C$5:$AT$507,3,)=0,0,(VLOOKUP($D47,$C$5:$AT$507,12,)/VLOOKUP($D47,$C$5:$AT$507,3,))*$E47)</f>
        <v>0</v>
      </c>
      <c r="O47" s="40">
        <f>IF(VLOOKUP($D47,$C$5:$AT$507,3,)=0,0,(VLOOKUP($D47,$C$5:$AT$507,13,)/VLOOKUP($D47,$C$5:$AT$507,3,))*$E47)</f>
        <v>0</v>
      </c>
      <c r="P47" s="40">
        <f>IF(VLOOKUP($D47,$C$5:$AT$507,3,)=0,0,(VLOOKUP($D47,$C$5:$AT$507,14,)/VLOOKUP($D47,$C$5:$AT$507,3,))*$E47)</f>
        <v>0</v>
      </c>
      <c r="Q47" s="40">
        <f>IF(VLOOKUP($D47,$C$5:$AT$507,3,)=0,0,(VLOOKUP($D47,$C$5:$AT$507,15,)/VLOOKUP($D47,$C$5:$AT$507,3,))*$E47)</f>
        <v>0</v>
      </c>
      <c r="R47" s="40">
        <f>IF(VLOOKUP($D47,$C$5:$AT$507,3,)=0,0,(VLOOKUP($D47,$C$5:$AT$507,16,)/VLOOKUP($D47,$C$5:$AT$507,3,))*$E47)</f>
        <v>0</v>
      </c>
      <c r="S47" s="40">
        <f>IF(VLOOKUP($D47,$C$5:$AT$507,3,)=0,0,(VLOOKUP($D47,$C$5:$AT$507,17,)/VLOOKUP($D47,$C$5:$AT$507,3,))*$E47)</f>
        <v>0</v>
      </c>
      <c r="T47" s="40">
        <f>IF(VLOOKUP($D47,$C$5:$AT$507,3,)=0,0,(VLOOKUP($D47,$C$5:$AT$507,18,)/VLOOKUP($D47,$C$5:$AT$507,3,))*$E47)</f>
        <v>0</v>
      </c>
      <c r="U47" s="40">
        <f>IF(VLOOKUP($D47,$C$5:$AT$507,3,)=0,0,(VLOOKUP($D47,$C$5:$AT$507,19,)/VLOOKUP($D47,$C$5:$AT$507,3,))*$E47)</f>
        <v>0</v>
      </c>
      <c r="V47" s="40">
        <f>IF(VLOOKUP($D47,$C$5:$AT$507,3,)=0,0,(VLOOKUP($D47,$C$5:$AT$507,20,)/VLOOKUP($D47,$C$5:$AT$507,3,))*$E47)</f>
        <v>0</v>
      </c>
      <c r="W47" s="40">
        <f>IF(VLOOKUP($D47,$C$5:$AT$507,3,)=0,0,(VLOOKUP($D47,$C$5:$AT$507,21,)/VLOOKUP($D47,$C$5:$AT$507,3,))*$E47)</f>
        <v>0</v>
      </c>
      <c r="X47" s="40">
        <f>IF(VLOOKUP($D47,$C$5:$AT$507,3,)=0,0,(VLOOKUP($D47,$C$5:$AT$507,22,)/VLOOKUP($D47,$C$5:$AT$507,3,))*$E47)</f>
        <v>0</v>
      </c>
      <c r="Y47" s="40">
        <f>IF(VLOOKUP($D47,$C$5:$AT$507,3,)=0,0,(VLOOKUP($D47,$C$5:$AT$507,23,)/VLOOKUP($D47,$C$5:$AT$507,3,))*$E47)</f>
        <v>0</v>
      </c>
      <c r="Z47" s="40">
        <f>IF(VLOOKUP($D47,$C$5:$AT$507,3,)=0,0,(VLOOKUP($D47,$C$5:$AT$507,24,)/VLOOKUP($D47,$C$5:$AT$507,3,))*$E47)</f>
        <v>0</v>
      </c>
      <c r="AA47" s="40">
        <f>IF(VLOOKUP($D47,$C$5:$AT$507,3,)=0,0,(VLOOKUP($D47,$C$5:$AT$507,25,)/VLOOKUP($D47,$C$5:$AT$507,3,))*$E47)</f>
        <v>0</v>
      </c>
      <c r="AB47" s="40">
        <f>IF(VLOOKUP($D47,$C$5:$AT$507,3,)=0,0,(VLOOKUP($D47,$C$5:$AT$507,26,)/VLOOKUP($D47,$C$5:$AT$507,3,))*$E47)</f>
        <v>0</v>
      </c>
      <c r="AC47" s="40">
        <f>IF(VLOOKUP($D47,$C$5:$AT$507,3,)=0,0,(VLOOKUP($D47,$C$5:$AT$507,27,)/VLOOKUP($D47,$C$5:$AT$507,3,))*$E47)</f>
        <v>0</v>
      </c>
      <c r="AD47" s="40">
        <f>IF(VLOOKUP($D47,$C$5:$AT$507,3,)=0,0,(VLOOKUP($D47,$C$5:$AT$507,28,)/VLOOKUP($D47,$C$5:$AT$507,3,))*$E47)</f>
        <v>0</v>
      </c>
      <c r="AE47" s="40">
        <f>IF(VLOOKUP($D47,$C$5:$AT$507,3,)=0,0,(VLOOKUP($D47,$C$5:$AT$507,29,)/VLOOKUP($D47,$C$5:$AT$507,3,))*$E47)</f>
        <v>0</v>
      </c>
      <c r="AF47" s="40">
        <f>IF(VLOOKUP($D47,$C$5:$AT$507,3,)=0,0,(VLOOKUP($D47,$C$5:$AT$507,30,)/VLOOKUP($D47,$C$5:$AT$507,3,))*$E47)</f>
        <v>0</v>
      </c>
      <c r="AG47" s="64">
        <f>SUM(F47:AF47)</f>
        <v>0</v>
      </c>
      <c r="AH47" s="21" t="str">
        <f>IF(ABS(E47-AG47)&lt;0.01,"ok","err")</f>
        <v>ok</v>
      </c>
    </row>
    <row r="48" spans="1:35" x14ac:dyDescent="0.25">
      <c r="A48" s="67" t="s">
        <v>211</v>
      </c>
      <c r="C48" s="14" t="s">
        <v>237</v>
      </c>
      <c r="D48" s="14" t="s">
        <v>663</v>
      </c>
      <c r="E48" s="167">
        <f>'Func &amp; Classif'!I126</f>
        <v>0</v>
      </c>
      <c r="F48" s="40">
        <f>IF(VLOOKUP($D48,$C$5:$AT$507,3,)=0,0,(VLOOKUP($D48,$C$5:$AT$507,4,)/VLOOKUP($D48,$C$5:$AT$507,3,))*$E48)</f>
        <v>0</v>
      </c>
      <c r="G48" s="40">
        <f>IF(VLOOKUP($D48,$C$5:$AT$507,3,)=0,0,(VLOOKUP($D48,$C$5:$AT$507,5,)/VLOOKUP($D48,$C$5:$AT$507,3,))*$E48)</f>
        <v>0</v>
      </c>
      <c r="H48" s="40">
        <f>IF(VLOOKUP($D48,$C$5:$AT$507,3,)=0,0,(VLOOKUP($D48,$C$5:$AT$507,6,)/VLOOKUP($D48,$C$5:$AT$507,3,))*$E48)</f>
        <v>0</v>
      </c>
      <c r="I48" s="40">
        <f>IF(VLOOKUP($D48,$C$5:$AT$507,3,)=0,0,(VLOOKUP($D48,$C$5:$AT$507,7,)/VLOOKUP($D48,$C$5:$AT$507,3,))*$E48)</f>
        <v>0</v>
      </c>
      <c r="J48" s="40">
        <f>IF(VLOOKUP($D48,$C$5:$AT$507,3,)=0,0,(VLOOKUP($D48,$C$5:$AT$507,8,)/VLOOKUP($D48,$C$5:$AT$507,3,))*$E48)</f>
        <v>0</v>
      </c>
      <c r="K48" s="40">
        <f>IF(VLOOKUP($D48,$C$5:$AT$507,3,)=0,0,(VLOOKUP($D48,$C$5:$AT$507,9,)/VLOOKUP($D48,$C$5:$AT$507,3,))*$E48)</f>
        <v>0</v>
      </c>
      <c r="L48" s="40">
        <f>IF(VLOOKUP($D48,$C$5:$AT$507,3,)=0,0,(VLOOKUP($D48,$C$5:$AT$507,10,)/VLOOKUP($D48,$C$5:$AT$507,3,))*$E48)</f>
        <v>0</v>
      </c>
      <c r="M48" s="40">
        <f>IF(VLOOKUP($D48,$C$5:$AT$507,3,)=0,0,(VLOOKUP($D48,$C$5:$AT$507,11,)/VLOOKUP($D48,$C$5:$AT$507,3,))*$E48)</f>
        <v>0</v>
      </c>
      <c r="N48" s="40">
        <f>IF(VLOOKUP($D48,$C$5:$AT$507,3,)=0,0,(VLOOKUP($D48,$C$5:$AT$507,12,)/VLOOKUP($D48,$C$5:$AT$507,3,))*$E48)</f>
        <v>0</v>
      </c>
      <c r="O48" s="40">
        <f>IF(VLOOKUP($D48,$C$5:$AT$507,3,)=0,0,(VLOOKUP($D48,$C$5:$AT$507,13,)/VLOOKUP($D48,$C$5:$AT$507,3,))*$E48)</f>
        <v>0</v>
      </c>
      <c r="P48" s="40">
        <f>IF(VLOOKUP($D48,$C$5:$AT$507,3,)=0,0,(VLOOKUP($D48,$C$5:$AT$507,14,)/VLOOKUP($D48,$C$5:$AT$507,3,))*$E48)</f>
        <v>0</v>
      </c>
      <c r="Q48" s="40">
        <f>IF(VLOOKUP($D48,$C$5:$AT$507,3,)=0,0,(VLOOKUP($D48,$C$5:$AT$507,15,)/VLOOKUP($D48,$C$5:$AT$507,3,))*$E48)</f>
        <v>0</v>
      </c>
      <c r="R48" s="40">
        <f>IF(VLOOKUP($D48,$C$5:$AT$507,3,)=0,0,(VLOOKUP($D48,$C$5:$AT$507,16,)/VLOOKUP($D48,$C$5:$AT$507,3,))*$E48)</f>
        <v>0</v>
      </c>
      <c r="S48" s="40">
        <f>IF(VLOOKUP($D48,$C$5:$AT$507,3,)=0,0,(VLOOKUP($D48,$C$5:$AT$507,17,)/VLOOKUP($D48,$C$5:$AT$507,3,))*$E48)</f>
        <v>0</v>
      </c>
      <c r="T48" s="40">
        <f>IF(VLOOKUP($D48,$C$5:$AT$507,3,)=0,0,(VLOOKUP($D48,$C$5:$AT$507,18,)/VLOOKUP($D48,$C$5:$AT$507,3,))*$E48)</f>
        <v>0</v>
      </c>
      <c r="U48" s="40">
        <f>IF(VLOOKUP($D48,$C$5:$AT$507,3,)=0,0,(VLOOKUP($D48,$C$5:$AT$507,19,)/VLOOKUP($D48,$C$5:$AT$507,3,))*$E48)</f>
        <v>0</v>
      </c>
      <c r="V48" s="40">
        <f>IF(VLOOKUP($D48,$C$5:$AT$507,3,)=0,0,(VLOOKUP($D48,$C$5:$AT$507,20,)/VLOOKUP($D48,$C$5:$AT$507,3,))*$E48)</f>
        <v>0</v>
      </c>
      <c r="W48" s="40">
        <f>IF(VLOOKUP($D48,$C$5:$AT$507,3,)=0,0,(VLOOKUP($D48,$C$5:$AT$507,21,)/VLOOKUP($D48,$C$5:$AT$507,3,))*$E48)</f>
        <v>0</v>
      </c>
      <c r="X48" s="40">
        <f>IF(VLOOKUP($D48,$C$5:$AT$507,3,)=0,0,(VLOOKUP($D48,$C$5:$AT$507,22,)/VLOOKUP($D48,$C$5:$AT$507,3,))*$E48)</f>
        <v>0</v>
      </c>
      <c r="Y48" s="40">
        <f>IF(VLOOKUP($D48,$C$5:$AT$507,3,)=0,0,(VLOOKUP($D48,$C$5:$AT$507,23,)/VLOOKUP($D48,$C$5:$AT$507,3,))*$E48)</f>
        <v>0</v>
      </c>
      <c r="Z48" s="40">
        <f>IF(VLOOKUP($D48,$C$5:$AT$507,3,)=0,0,(VLOOKUP($D48,$C$5:$AT$507,24,)/VLOOKUP($D48,$C$5:$AT$507,3,))*$E48)</f>
        <v>0</v>
      </c>
      <c r="AA48" s="40">
        <f>IF(VLOOKUP($D48,$C$5:$AT$507,3,)=0,0,(VLOOKUP($D48,$C$5:$AT$507,25,)/VLOOKUP($D48,$C$5:$AT$507,3,))*$E48)</f>
        <v>0</v>
      </c>
      <c r="AB48" s="40">
        <f>IF(VLOOKUP($D48,$C$5:$AT$507,3,)=0,0,(VLOOKUP($D48,$C$5:$AT$507,26,)/VLOOKUP($D48,$C$5:$AT$507,3,))*$E48)</f>
        <v>0</v>
      </c>
      <c r="AC48" s="40">
        <f>IF(VLOOKUP($D48,$C$5:$AT$507,3,)=0,0,(VLOOKUP($D48,$C$5:$AT$507,27,)/VLOOKUP($D48,$C$5:$AT$507,3,))*$E48)</f>
        <v>0</v>
      </c>
      <c r="AD48" s="40">
        <f>IF(VLOOKUP($D48,$C$5:$AT$507,3,)=0,0,(VLOOKUP($D48,$C$5:$AT$507,28,)/VLOOKUP($D48,$C$5:$AT$507,3,))*$E48)</f>
        <v>0</v>
      </c>
      <c r="AE48" s="40">
        <f>IF(VLOOKUP($D48,$C$5:$AT$507,3,)=0,0,(VLOOKUP($D48,$C$5:$AT$507,29,)/VLOOKUP($D48,$C$5:$AT$507,3,))*$E48)</f>
        <v>0</v>
      </c>
      <c r="AF48" s="40">
        <f>IF(VLOOKUP($D48,$C$5:$AT$507,3,)=0,0,(VLOOKUP($D48,$C$5:$AT$507,30,)/VLOOKUP($D48,$C$5:$AT$507,3,))*$E48)</f>
        <v>0</v>
      </c>
      <c r="AG48" s="64">
        <f>SUM(F48:AF48)</f>
        <v>0</v>
      </c>
      <c r="AH48" s="21" t="str">
        <f>IF(ABS(E48-AG48)&lt;0.01,"ok","err")</f>
        <v>ok</v>
      </c>
    </row>
    <row r="49" spans="1:34" x14ac:dyDescent="0.25">
      <c r="A49" s="14" t="s">
        <v>214</v>
      </c>
      <c r="C49" s="14" t="s">
        <v>238</v>
      </c>
      <c r="E49" s="167">
        <f t="shared" ref="E49:T49" si="8">E47+E48</f>
        <v>0</v>
      </c>
      <c r="F49" s="40">
        <f t="shared" si="8"/>
        <v>0</v>
      </c>
      <c r="G49" s="40">
        <f t="shared" si="8"/>
        <v>0</v>
      </c>
      <c r="H49" s="40">
        <f t="shared" si="8"/>
        <v>0</v>
      </c>
      <c r="I49" s="40">
        <f t="shared" si="8"/>
        <v>0</v>
      </c>
      <c r="J49" s="40">
        <f t="shared" si="8"/>
        <v>0</v>
      </c>
      <c r="K49" s="40">
        <f t="shared" si="8"/>
        <v>0</v>
      </c>
      <c r="L49" s="40">
        <f t="shared" si="8"/>
        <v>0</v>
      </c>
      <c r="M49" s="40">
        <f t="shared" si="8"/>
        <v>0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0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ref="U49:AF49" si="9">U47+U48</f>
        <v>0</v>
      </c>
      <c r="V49" s="40">
        <f t="shared" si="9"/>
        <v>0</v>
      </c>
      <c r="W49" s="40">
        <f t="shared" si="9"/>
        <v>0</v>
      </c>
      <c r="X49" s="40">
        <f t="shared" si="9"/>
        <v>0</v>
      </c>
      <c r="Y49" s="40">
        <f t="shared" si="9"/>
        <v>0</v>
      </c>
      <c r="Z49" s="40">
        <f t="shared" si="9"/>
        <v>0</v>
      </c>
      <c r="AA49" s="40">
        <f t="shared" si="9"/>
        <v>0</v>
      </c>
      <c r="AB49" s="40">
        <f t="shared" si="9"/>
        <v>0</v>
      </c>
      <c r="AC49" s="40">
        <f t="shared" si="9"/>
        <v>0</v>
      </c>
      <c r="AD49" s="40">
        <f t="shared" si="9"/>
        <v>0</v>
      </c>
      <c r="AE49" s="40">
        <f t="shared" si="9"/>
        <v>0</v>
      </c>
      <c r="AF49" s="40">
        <f t="shared" si="9"/>
        <v>0</v>
      </c>
      <c r="AG49" s="64">
        <f>SUM(F49:AF49)</f>
        <v>0</v>
      </c>
      <c r="AH49" s="21" t="str">
        <f>IF(ABS(E49-AG49)&lt;0.01,"ok","err")</f>
        <v>ok</v>
      </c>
    </row>
    <row r="50" spans="1:34" x14ac:dyDescent="0.25">
      <c r="E50" s="167"/>
      <c r="F50" s="27"/>
    </row>
    <row r="51" spans="1:34" x14ac:dyDescent="0.25">
      <c r="A51" s="13" t="s">
        <v>349</v>
      </c>
      <c r="E51" s="167"/>
      <c r="F51" s="27"/>
    </row>
    <row r="52" spans="1:34" x14ac:dyDescent="0.25">
      <c r="A52" s="67" t="s">
        <v>208</v>
      </c>
      <c r="C52" s="14" t="s">
        <v>874</v>
      </c>
      <c r="D52" s="14" t="s">
        <v>596</v>
      </c>
      <c r="E52" s="174">
        <f>'Func &amp; Classif'!K126</f>
        <v>0</v>
      </c>
      <c r="F52" s="40">
        <f>IF(VLOOKUP($D52,$C$5:$AT$507,3,)=0,0,(VLOOKUP($D52,$C$5:$AT$507,4,)/VLOOKUP($D52,$C$5:$AT$507,3,))*$E52)</f>
        <v>0</v>
      </c>
      <c r="G52" s="40">
        <f>IF(VLOOKUP($D52,$C$5:$AT$507,3,)=0,0,(VLOOKUP($D52,$C$5:$AT$507,5,)/VLOOKUP($D52,$C$5:$AT$507,3,))*$E52)</f>
        <v>0</v>
      </c>
      <c r="H52" s="40">
        <f>IF(VLOOKUP($D52,$C$5:$AT$507,3,)=0,0,(VLOOKUP($D52,$C$5:$AT$507,6,)/VLOOKUP($D52,$C$5:$AT$507,3,))*$E52)</f>
        <v>0</v>
      </c>
      <c r="I52" s="40">
        <f>IF(VLOOKUP($D52,$C$5:$AT$507,3,)=0,0,(VLOOKUP($D52,$C$5:$AT$507,7,)/VLOOKUP($D52,$C$5:$AT$507,3,))*$E52)</f>
        <v>0</v>
      </c>
      <c r="J52" s="40">
        <f>IF(VLOOKUP($D52,$C$5:$AT$507,3,)=0,0,(VLOOKUP($D52,$C$5:$AT$507,8,)/VLOOKUP($D52,$C$5:$AT$507,3,))*$E52)</f>
        <v>0</v>
      </c>
      <c r="K52" s="40">
        <f>IF(VLOOKUP($D52,$C$5:$AT$507,3,)=0,0,(VLOOKUP($D52,$C$5:$AT$507,9,)/VLOOKUP($D52,$C$5:$AT$507,3,))*$E52)</f>
        <v>0</v>
      </c>
      <c r="L52" s="40">
        <f>IF(VLOOKUP($D52,$C$5:$AT$507,3,)=0,0,(VLOOKUP($D52,$C$5:$AT$507,10,)/VLOOKUP($D52,$C$5:$AT$507,3,))*$E52)</f>
        <v>0</v>
      </c>
      <c r="M52" s="40">
        <f>IF(VLOOKUP($D52,$C$5:$AT$507,3,)=0,0,(VLOOKUP($D52,$C$5:$AT$507,11,)/VLOOKUP($D52,$C$5:$AT$507,3,))*$E52)</f>
        <v>0</v>
      </c>
      <c r="N52" s="40">
        <f>IF(VLOOKUP($D52,$C$5:$AT$507,3,)=0,0,(VLOOKUP($D52,$C$5:$AT$507,12,)/VLOOKUP($D52,$C$5:$AT$507,3,))*$E52)</f>
        <v>0</v>
      </c>
      <c r="O52" s="40">
        <f>IF(VLOOKUP($D52,$C$5:$AT$507,3,)=0,0,(VLOOKUP($D52,$C$5:$AT$507,13,)/VLOOKUP($D52,$C$5:$AT$507,3,))*$E52)</f>
        <v>0</v>
      </c>
      <c r="P52" s="40">
        <f>IF(VLOOKUP($D52,$C$5:$AT$507,3,)=0,0,(VLOOKUP($D52,$C$5:$AT$507,14,)/VLOOKUP($D52,$C$5:$AT$507,3,))*$E52)</f>
        <v>0</v>
      </c>
      <c r="Q52" s="40">
        <f>IF(VLOOKUP($D52,$C$5:$AT$507,3,)=0,0,(VLOOKUP($D52,$C$5:$AT$507,15,)/VLOOKUP($D52,$C$5:$AT$507,3,))*$E52)</f>
        <v>0</v>
      </c>
      <c r="R52" s="40">
        <f>IF(VLOOKUP($D52,$C$5:$AT$507,3,)=0,0,(VLOOKUP($D52,$C$5:$AT$507,16,)/VLOOKUP($D52,$C$5:$AT$507,3,))*$E52)</f>
        <v>0</v>
      </c>
      <c r="S52" s="40">
        <f>IF(VLOOKUP($D52,$C$5:$AT$507,3,)=0,0,(VLOOKUP($D52,$C$5:$AT$507,17,)/VLOOKUP($D52,$C$5:$AT$507,3,))*$E52)</f>
        <v>0</v>
      </c>
      <c r="T52" s="40">
        <f>IF(VLOOKUP($D52,$C$5:$AT$507,3,)=0,0,(VLOOKUP($D52,$C$5:$AT$507,18,)/VLOOKUP($D52,$C$5:$AT$507,3,))*$E52)</f>
        <v>0</v>
      </c>
      <c r="U52" s="40">
        <f>IF(VLOOKUP($D52,$C$5:$AT$507,3,)=0,0,(VLOOKUP($D52,$C$5:$AT$507,19,)/VLOOKUP($D52,$C$5:$AT$507,3,))*$E52)</f>
        <v>0</v>
      </c>
      <c r="V52" s="40">
        <f>IF(VLOOKUP($D52,$C$5:$AT$507,3,)=0,0,(VLOOKUP($D52,$C$5:$AT$507,20,)/VLOOKUP($D52,$C$5:$AT$507,3,))*$E52)</f>
        <v>0</v>
      </c>
      <c r="W52" s="40">
        <f>IF(VLOOKUP($D52,$C$5:$AT$507,3,)=0,0,(VLOOKUP($D52,$C$5:$AT$507,21,)/VLOOKUP($D52,$C$5:$AT$507,3,))*$E52)</f>
        <v>0</v>
      </c>
      <c r="X52" s="40">
        <f>IF(VLOOKUP($D52,$C$5:$AT$507,3,)=0,0,(VLOOKUP($D52,$C$5:$AT$507,22,)/VLOOKUP($D52,$C$5:$AT$507,3,))*$E52)</f>
        <v>0</v>
      </c>
      <c r="Y52" s="40">
        <f>IF(VLOOKUP($D52,$C$5:$AT$507,3,)=0,0,(VLOOKUP($D52,$C$5:$AT$507,23,)/VLOOKUP($D52,$C$5:$AT$507,3,))*$E52)</f>
        <v>0</v>
      </c>
      <c r="Z52" s="40">
        <f>IF(VLOOKUP($D52,$C$5:$AT$507,3,)=0,0,(VLOOKUP($D52,$C$5:$AT$507,24,)/VLOOKUP($D52,$C$5:$AT$507,3,))*$E52)</f>
        <v>0</v>
      </c>
      <c r="AA52" s="40">
        <f>IF(VLOOKUP($D52,$C$5:$AT$507,3,)=0,0,(VLOOKUP($D52,$C$5:$AT$507,25,)/VLOOKUP($D52,$C$5:$AT$507,3,))*$E52)</f>
        <v>0</v>
      </c>
      <c r="AB52" s="40">
        <f>IF(VLOOKUP($D52,$C$5:$AT$507,3,)=0,0,(VLOOKUP($D52,$C$5:$AT$507,26,)/VLOOKUP($D52,$C$5:$AT$507,3,))*$E52)</f>
        <v>0</v>
      </c>
      <c r="AC52" s="40">
        <f>IF(VLOOKUP($D52,$C$5:$AT$507,3,)=0,0,(VLOOKUP($D52,$C$5:$AT$507,27,)/VLOOKUP($D52,$C$5:$AT$507,3,))*$E52)</f>
        <v>0</v>
      </c>
      <c r="AD52" s="40">
        <f>IF(VLOOKUP($D52,$C$5:$AT$507,3,)=0,0,(VLOOKUP($D52,$C$5:$AT$507,28,)/VLOOKUP($D52,$C$5:$AT$507,3,))*$E52)</f>
        <v>0</v>
      </c>
      <c r="AE52" s="40">
        <f>IF(VLOOKUP($D52,$C$5:$AT$507,3,)=0,0,(VLOOKUP($D52,$C$5:$AT$507,29,)/VLOOKUP($D52,$C$5:$AT$507,3,))*$E52)</f>
        <v>0</v>
      </c>
      <c r="AF52" s="40">
        <f>IF(VLOOKUP($D52,$C$5:$AT$507,3,)=0,0,(VLOOKUP($D52,$C$5:$AT$507,30,)/VLOOKUP($D52,$C$5:$AT$507,3,))*$E52)</f>
        <v>0</v>
      </c>
      <c r="AG52" s="64">
        <f>SUM(F52:AF52)</f>
        <v>0</v>
      </c>
      <c r="AH52" s="21" t="str">
        <f>IF(ABS(E52-AG52)&lt;0.01,"ok","err")</f>
        <v>ok</v>
      </c>
    </row>
    <row r="53" spans="1:34" x14ac:dyDescent="0.25">
      <c r="E53" s="167"/>
    </row>
    <row r="54" spans="1:34" x14ac:dyDescent="0.25">
      <c r="A54" s="13" t="s">
        <v>1</v>
      </c>
      <c r="E54" s="167"/>
      <c r="F54" s="27"/>
    </row>
    <row r="55" spans="1:34" x14ac:dyDescent="0.25">
      <c r="A55" s="67" t="s">
        <v>208</v>
      </c>
      <c r="C55" s="14" t="s">
        <v>239</v>
      </c>
      <c r="D55" s="14" t="s">
        <v>612</v>
      </c>
      <c r="E55" s="174">
        <f>'Func &amp; Classif'!M126</f>
        <v>0</v>
      </c>
      <c r="F55" s="40">
        <f>IF(VLOOKUP($D55,$C$5:$AT$507,3,)=0,0,(VLOOKUP($D55,$C$5:$AT$507,4,)/VLOOKUP($D55,$C$5:$AT$507,3,))*$E55)</f>
        <v>0</v>
      </c>
      <c r="G55" s="40">
        <f>IF(VLOOKUP($D55,$C$5:$AT$507,3,)=0,0,(VLOOKUP($D55,$C$5:$AT$507,5,)/VLOOKUP($D55,$C$5:$AT$507,3,))*$E55)</f>
        <v>0</v>
      </c>
      <c r="H55" s="40">
        <f>IF(VLOOKUP($D55,$C$5:$AT$507,3,)=0,0,(VLOOKUP($D55,$C$5:$AT$507,6,)/VLOOKUP($D55,$C$5:$AT$507,3,))*$E55)</f>
        <v>0</v>
      </c>
      <c r="I55" s="40">
        <f>IF(VLOOKUP($D55,$C$5:$AT$507,3,)=0,0,(VLOOKUP($D55,$C$5:$AT$507,7,)/VLOOKUP($D55,$C$5:$AT$507,3,))*$E55)</f>
        <v>0</v>
      </c>
      <c r="J55" s="40">
        <f>IF(VLOOKUP($D55,$C$5:$AT$507,3,)=0,0,(VLOOKUP($D55,$C$5:$AT$507,8,)/VLOOKUP($D55,$C$5:$AT$507,3,))*$E55)</f>
        <v>0</v>
      </c>
      <c r="K55" s="40">
        <f>IF(VLOOKUP($D55,$C$5:$AT$507,3,)=0,0,(VLOOKUP($D55,$C$5:$AT$507,9,)/VLOOKUP($D55,$C$5:$AT$507,3,))*$E55)</f>
        <v>0</v>
      </c>
      <c r="L55" s="40">
        <f>IF(VLOOKUP($D55,$C$5:$AT$507,3,)=0,0,(VLOOKUP($D55,$C$5:$AT$507,10,)/VLOOKUP($D55,$C$5:$AT$507,3,))*$E55)</f>
        <v>0</v>
      </c>
      <c r="M55" s="40">
        <f>IF(VLOOKUP($D55,$C$5:$AT$507,3,)=0,0,(VLOOKUP($D55,$C$5:$AT$507,11,)/VLOOKUP($D55,$C$5:$AT$507,3,))*$E55)</f>
        <v>0</v>
      </c>
      <c r="N55" s="40">
        <f>IF(VLOOKUP($D55,$C$5:$AT$507,3,)=0,0,(VLOOKUP($D55,$C$5:$AT$507,12,)/VLOOKUP($D55,$C$5:$AT$507,3,))*$E55)</f>
        <v>0</v>
      </c>
      <c r="O55" s="40">
        <f>IF(VLOOKUP($D55,$C$5:$AT$507,3,)=0,0,(VLOOKUP($D55,$C$5:$AT$507,13,)/VLOOKUP($D55,$C$5:$AT$507,3,))*$E55)</f>
        <v>0</v>
      </c>
      <c r="P55" s="40">
        <f>IF(VLOOKUP($D55,$C$5:$AT$507,3,)=0,0,(VLOOKUP($D55,$C$5:$AT$507,14,)/VLOOKUP($D55,$C$5:$AT$507,3,))*$E55)</f>
        <v>0</v>
      </c>
      <c r="Q55" s="40">
        <f>IF(VLOOKUP($D55,$C$5:$AT$507,3,)=0,0,(VLOOKUP($D55,$C$5:$AT$507,15,)/VLOOKUP($D55,$C$5:$AT$507,3,))*$E55)</f>
        <v>0</v>
      </c>
      <c r="R55" s="40">
        <f>IF(VLOOKUP($D55,$C$5:$AT$507,3,)=0,0,(VLOOKUP($D55,$C$5:$AT$507,16,)/VLOOKUP($D55,$C$5:$AT$507,3,))*$E55)</f>
        <v>0</v>
      </c>
      <c r="S55" s="40">
        <f>IF(VLOOKUP($D55,$C$5:$AT$507,3,)=0,0,(VLOOKUP($D55,$C$5:$AT$507,17,)/VLOOKUP($D55,$C$5:$AT$507,3,))*$E55)</f>
        <v>0</v>
      </c>
      <c r="T55" s="40">
        <f>IF(VLOOKUP($D55,$C$5:$AT$507,3,)=0,0,(VLOOKUP($D55,$C$5:$AT$507,18,)/VLOOKUP($D55,$C$5:$AT$507,3,))*$E55)</f>
        <v>0</v>
      </c>
      <c r="U55" s="40">
        <f>IF(VLOOKUP($D55,$C$5:$AT$507,3,)=0,0,(VLOOKUP($D55,$C$5:$AT$507,19,)/VLOOKUP($D55,$C$5:$AT$507,3,))*$E55)</f>
        <v>0</v>
      </c>
      <c r="V55" s="40">
        <f>IF(VLOOKUP($D55,$C$5:$AT$507,3,)=0,0,(VLOOKUP($D55,$C$5:$AT$507,20,)/VLOOKUP($D55,$C$5:$AT$507,3,))*$E55)</f>
        <v>0</v>
      </c>
      <c r="W55" s="40">
        <f>IF(VLOOKUP($D55,$C$5:$AT$507,3,)=0,0,(VLOOKUP($D55,$C$5:$AT$507,21,)/VLOOKUP($D55,$C$5:$AT$507,3,))*$E55)</f>
        <v>0</v>
      </c>
      <c r="X55" s="40">
        <f>IF(VLOOKUP($D55,$C$5:$AT$507,3,)=0,0,(VLOOKUP($D55,$C$5:$AT$507,22,)/VLOOKUP($D55,$C$5:$AT$507,3,))*$E55)</f>
        <v>0</v>
      </c>
      <c r="Y55" s="40">
        <f>IF(VLOOKUP($D55,$C$5:$AT$507,3,)=0,0,(VLOOKUP($D55,$C$5:$AT$507,23,)/VLOOKUP($D55,$C$5:$AT$507,3,))*$E55)</f>
        <v>0</v>
      </c>
      <c r="Z55" s="40">
        <f>IF(VLOOKUP($D55,$C$5:$AT$507,3,)=0,0,(VLOOKUP($D55,$C$5:$AT$507,24,)/VLOOKUP($D55,$C$5:$AT$507,3,))*$E55)</f>
        <v>0</v>
      </c>
      <c r="AA55" s="40">
        <f>IF(VLOOKUP($D55,$C$5:$AT$507,3,)=0,0,(VLOOKUP($D55,$C$5:$AT$507,25,)/VLOOKUP($D55,$C$5:$AT$507,3,))*$E55)</f>
        <v>0</v>
      </c>
      <c r="AB55" s="40">
        <f>IF(VLOOKUP($D55,$C$5:$AT$507,3,)=0,0,(VLOOKUP($D55,$C$5:$AT$507,26,)/VLOOKUP($D55,$C$5:$AT$507,3,))*$E55)</f>
        <v>0</v>
      </c>
      <c r="AC55" s="40">
        <f>IF(VLOOKUP($D55,$C$5:$AT$507,3,)=0,0,(VLOOKUP($D55,$C$5:$AT$507,27,)/VLOOKUP($D55,$C$5:$AT$507,3,))*$E55)</f>
        <v>0</v>
      </c>
      <c r="AD55" s="40">
        <f>IF(VLOOKUP($D55,$C$5:$AT$507,3,)=0,0,(VLOOKUP($D55,$C$5:$AT$507,28,)/VLOOKUP($D55,$C$5:$AT$507,3,))*$E55)</f>
        <v>0</v>
      </c>
      <c r="AE55" s="40">
        <f>IF(VLOOKUP($D55,$C$5:$AT$507,3,)=0,0,(VLOOKUP($D55,$C$5:$AT$507,29,)/VLOOKUP($D55,$C$5:$AT$507,3,))*$E55)</f>
        <v>0</v>
      </c>
      <c r="AF55" s="40">
        <f>IF(VLOOKUP($D55,$C$5:$AT$507,3,)=0,0,(VLOOKUP($D55,$C$5:$AT$507,30,)/VLOOKUP($D55,$C$5:$AT$507,3,))*$E55)</f>
        <v>0</v>
      </c>
      <c r="AG55" s="64">
        <f>SUM(F55:AF55)</f>
        <v>0</v>
      </c>
      <c r="AH55" s="21" t="str">
        <f>IF(ABS(E55-AG55)&lt;0.01,"ok","err")</f>
        <v>ok</v>
      </c>
    </row>
    <row r="56" spans="1:34" x14ac:dyDescent="0.25">
      <c r="E56" s="167"/>
    </row>
    <row r="57" spans="1:34" x14ac:dyDescent="0.25">
      <c r="A57" s="13" t="s">
        <v>2</v>
      </c>
      <c r="E57" s="167"/>
    </row>
    <row r="58" spans="1:34" x14ac:dyDescent="0.25">
      <c r="A58" s="67" t="s">
        <v>208</v>
      </c>
      <c r="C58" s="14" t="s">
        <v>240</v>
      </c>
      <c r="D58" s="14" t="s">
        <v>604</v>
      </c>
      <c r="E58" s="174">
        <f>'Func &amp; Classif'!O126</f>
        <v>26724190.480644315</v>
      </c>
      <c r="F58" s="40">
        <f>IF(VLOOKUP($D58,$C$5:$AT$507,3,)=0,0,(VLOOKUP($D58,$C$5:$AT$507,4,)/VLOOKUP($D58,$C$5:$AT$507,3,))*$E58)</f>
        <v>21996313.048417442</v>
      </c>
      <c r="G58" s="40">
        <f>IF(VLOOKUP($D58,$C$5:$AT$507,3,)=0,0,(VLOOKUP($D58,$C$5:$AT$507,5,)/VLOOKUP($D58,$C$5:$AT$507,3,))*$E58)</f>
        <v>21774.002273307746</v>
      </c>
      <c r="H58" s="40">
        <f>IF(VLOOKUP($D58,$C$5:$AT$507,3,)=0,0,(VLOOKUP($D58,$C$5:$AT$507,6,)/VLOOKUP($D58,$C$5:$AT$507,3,))*$E58)</f>
        <v>1149197.8506858514</v>
      </c>
      <c r="I58" s="40">
        <f>IF(VLOOKUP($D58,$C$5:$AT$507,3,)=0,0,(VLOOKUP($D58,$C$5:$AT$507,7,)/VLOOKUP($D58,$C$5:$AT$507,3,))*$E58)</f>
        <v>3033252.7210732414</v>
      </c>
      <c r="J58" s="40">
        <f>IF(VLOOKUP($D58,$C$5:$AT$507,3,)=0,0,(VLOOKUP($D58,$C$5:$AT$507,8,)/VLOOKUP($D58,$C$5:$AT$507,3,))*$E58)</f>
        <v>523652.85819446924</v>
      </c>
      <c r="K58" s="40">
        <f>IF(VLOOKUP($D58,$C$5:$AT$507,3,)=0,0,(VLOOKUP($D58,$C$5:$AT$507,9,)/VLOOKUP($D58,$C$5:$AT$507,3,))*$E58)</f>
        <v>0</v>
      </c>
      <c r="L58" s="40">
        <f>IF(VLOOKUP($D58,$C$5:$AT$507,3,)=0,0,(VLOOKUP($D58,$C$5:$AT$507,10,)/VLOOKUP($D58,$C$5:$AT$507,3,))*$E58)</f>
        <v>0</v>
      </c>
      <c r="M58" s="40">
        <f>IF(VLOOKUP($D58,$C$5:$AT$507,3,)=0,0,(VLOOKUP($D58,$C$5:$AT$507,11,)/VLOOKUP($D58,$C$5:$AT$507,3,))*$E58)</f>
        <v>0</v>
      </c>
      <c r="N58" s="40">
        <f>IF(VLOOKUP($D58,$C$5:$AT$507,3,)=0,0,(VLOOKUP($D58,$C$5:$AT$507,12,)/VLOOKUP($D58,$C$5:$AT$507,3,))*$E58)</f>
        <v>0</v>
      </c>
      <c r="O58" s="40">
        <f>IF(VLOOKUP($D58,$C$5:$AT$507,3,)=0,0,(VLOOKUP($D58,$C$5:$AT$507,13,)/VLOOKUP($D58,$C$5:$AT$507,3,))*$E58)</f>
        <v>0</v>
      </c>
      <c r="P58" s="40">
        <f>IF(VLOOKUP($D58,$C$5:$AT$507,3,)=0,0,(VLOOKUP($D58,$C$5:$AT$507,14,)/VLOOKUP($D58,$C$5:$AT$507,3,))*$E58)</f>
        <v>0</v>
      </c>
      <c r="Q58" s="40">
        <f>IF(VLOOKUP($D58,$C$5:$AT$507,3,)=0,0,(VLOOKUP($D58,$C$5:$AT$507,15,)/VLOOKUP($D58,$C$5:$AT$507,3,))*$E58)</f>
        <v>0</v>
      </c>
      <c r="R58" s="40">
        <f>IF(VLOOKUP($D58,$C$5:$AT$507,3,)=0,0,(VLOOKUP($D58,$C$5:$AT$507,16,)/VLOOKUP($D58,$C$5:$AT$507,3,))*$E58)</f>
        <v>0</v>
      </c>
      <c r="S58" s="40">
        <f>IF(VLOOKUP($D58,$C$5:$AT$507,3,)=0,0,(VLOOKUP($D58,$C$5:$AT$507,17,)/VLOOKUP($D58,$C$5:$AT$507,3,))*$E58)</f>
        <v>0</v>
      </c>
      <c r="T58" s="40">
        <f>IF(VLOOKUP($D58,$C$5:$AT$507,3,)=0,0,(VLOOKUP($D58,$C$5:$AT$507,18,)/VLOOKUP($D58,$C$5:$AT$507,3,))*$E58)</f>
        <v>0</v>
      </c>
      <c r="U58" s="40">
        <f>IF(VLOOKUP($D58,$C$5:$AT$507,3,)=0,0,(VLOOKUP($D58,$C$5:$AT$507,19,)/VLOOKUP($D58,$C$5:$AT$507,3,))*$E58)</f>
        <v>0</v>
      </c>
      <c r="V58" s="40">
        <f>IF(VLOOKUP($D58,$C$5:$AT$507,3,)=0,0,(VLOOKUP($D58,$C$5:$AT$507,20,)/VLOOKUP($D58,$C$5:$AT$507,3,))*$E58)</f>
        <v>0</v>
      </c>
      <c r="W58" s="40">
        <f>IF(VLOOKUP($D58,$C$5:$AT$507,3,)=0,0,(VLOOKUP($D58,$C$5:$AT$507,21,)/VLOOKUP($D58,$C$5:$AT$507,3,))*$E58)</f>
        <v>0</v>
      </c>
      <c r="X58" s="40">
        <f>IF(VLOOKUP($D58,$C$5:$AT$507,3,)=0,0,(VLOOKUP($D58,$C$5:$AT$507,22,)/VLOOKUP($D58,$C$5:$AT$507,3,))*$E58)</f>
        <v>0</v>
      </c>
      <c r="Y58" s="40">
        <f>IF(VLOOKUP($D58,$C$5:$AT$507,3,)=0,0,(VLOOKUP($D58,$C$5:$AT$507,23,)/VLOOKUP($D58,$C$5:$AT$507,3,))*$E58)</f>
        <v>0</v>
      </c>
      <c r="Z58" s="40">
        <f>IF(VLOOKUP($D58,$C$5:$AT$507,3,)=0,0,(VLOOKUP($D58,$C$5:$AT$507,24,)/VLOOKUP($D58,$C$5:$AT$507,3,))*$E58)</f>
        <v>0</v>
      </c>
      <c r="AA58" s="40">
        <f>IF(VLOOKUP($D58,$C$5:$AT$507,3,)=0,0,(VLOOKUP($D58,$C$5:$AT$507,25,)/VLOOKUP($D58,$C$5:$AT$507,3,))*$E58)</f>
        <v>0</v>
      </c>
      <c r="AB58" s="40">
        <f>IF(VLOOKUP($D58,$C$5:$AT$507,3,)=0,0,(VLOOKUP($D58,$C$5:$AT$507,26,)/VLOOKUP($D58,$C$5:$AT$507,3,))*$E58)</f>
        <v>0</v>
      </c>
      <c r="AC58" s="40">
        <f>IF(VLOOKUP($D58,$C$5:$AT$507,3,)=0,0,(VLOOKUP($D58,$C$5:$AT$507,27,)/VLOOKUP($D58,$C$5:$AT$507,3,))*$E58)</f>
        <v>0</v>
      </c>
      <c r="AD58" s="40">
        <f>IF(VLOOKUP($D58,$C$5:$AT$507,3,)=0,0,(VLOOKUP($D58,$C$5:$AT$507,28,)/VLOOKUP($D58,$C$5:$AT$507,3,))*$E58)</f>
        <v>0</v>
      </c>
      <c r="AE58" s="40">
        <f>IF(VLOOKUP($D58,$C$5:$AT$507,3,)=0,0,(VLOOKUP($D58,$C$5:$AT$507,29,)/VLOOKUP($D58,$C$5:$AT$507,3,))*$E58)</f>
        <v>0</v>
      </c>
      <c r="AF58" s="40">
        <f>IF(VLOOKUP($D58,$C$5:$AT$507,3,)=0,0,(VLOOKUP($D58,$C$5:$AT$507,30,)/VLOOKUP($D58,$C$5:$AT$507,3,))*$E58)</f>
        <v>0</v>
      </c>
      <c r="AG58" s="64">
        <f>SUM(F58:AF58)</f>
        <v>26724190.480644308</v>
      </c>
      <c r="AH58" s="21" t="str">
        <f>IF(ABS(E58-AG58)&lt;0.01,"ok","err")</f>
        <v>ok</v>
      </c>
    </row>
    <row r="59" spans="1:34" x14ac:dyDescent="0.25">
      <c r="A59" s="67" t="s">
        <v>220</v>
      </c>
      <c r="C59" s="14" t="s">
        <v>241</v>
      </c>
      <c r="D59" s="14" t="s">
        <v>222</v>
      </c>
      <c r="E59" s="167">
        <f>'Func &amp; Classif'!P126</f>
        <v>26390053.095955033</v>
      </c>
      <c r="F59" s="40">
        <f>IF(VLOOKUP($D59,$C$5:$AT$507,3,)=0,0,(VLOOKUP($D59,$C$5:$AT$507,4,)/VLOOKUP($D59,$C$5:$AT$507,3,))*$E59)</f>
        <v>23056434.270154949</v>
      </c>
      <c r="G59" s="40">
        <f>IF(VLOOKUP($D59,$C$5:$AT$507,3,)=0,0,(VLOOKUP($D59,$C$5:$AT$507,5,)/VLOOKUP($D59,$C$5:$AT$507,3,))*$E59)</f>
        <v>17349.43425704565</v>
      </c>
      <c r="H59" s="40">
        <f>IF(VLOOKUP($D59,$C$5:$AT$507,3,)=0,0,(VLOOKUP($D59,$C$5:$AT$507,6,)/VLOOKUP($D59,$C$5:$AT$507,3,))*$E59)</f>
        <v>2818319.2093111938</v>
      </c>
      <c r="I59" s="40">
        <f>IF(VLOOKUP($D59,$C$5:$AT$507,3,)=0,0,(VLOOKUP($D59,$C$5:$AT$507,7,)/VLOOKUP($D59,$C$5:$AT$507,3,))*$E59)</f>
        <v>339277.82547111495</v>
      </c>
      <c r="J59" s="40">
        <f>IF(VLOOKUP($D59,$C$5:$AT$507,3,)=0,0,(VLOOKUP($D59,$C$5:$AT$507,8,)/VLOOKUP($D59,$C$5:$AT$507,3,))*$E59)</f>
        <v>4819.2872936237918</v>
      </c>
      <c r="K59" s="40">
        <f>IF(VLOOKUP($D59,$C$5:$AT$507,3,)=0,0,(VLOOKUP($D59,$C$5:$AT$507,9,)/VLOOKUP($D59,$C$5:$AT$507,3,))*$E59)</f>
        <v>153853.0694671098</v>
      </c>
      <c r="L59" s="40">
        <f>IF(VLOOKUP($D59,$C$5:$AT$507,3,)=0,0,(VLOOKUP($D59,$C$5:$AT$507,10,)/VLOOKUP($D59,$C$5:$AT$507,3,))*$E59)</f>
        <v>0</v>
      </c>
      <c r="M59" s="40">
        <f>IF(VLOOKUP($D59,$C$5:$AT$507,3,)=0,0,(VLOOKUP($D59,$C$5:$AT$507,11,)/VLOOKUP($D59,$C$5:$AT$507,3,))*$E59)</f>
        <v>0</v>
      </c>
      <c r="N59" s="40">
        <f>IF(VLOOKUP($D59,$C$5:$AT$507,3,)=0,0,(VLOOKUP($D59,$C$5:$AT$507,12,)/VLOOKUP($D59,$C$5:$AT$507,3,))*$E59)</f>
        <v>0</v>
      </c>
      <c r="O59" s="40">
        <f>IF(VLOOKUP($D59,$C$5:$AT$507,3,)=0,0,(VLOOKUP($D59,$C$5:$AT$507,13,)/VLOOKUP($D59,$C$5:$AT$507,3,))*$E59)</f>
        <v>0</v>
      </c>
      <c r="P59" s="40">
        <f>IF(VLOOKUP($D59,$C$5:$AT$507,3,)=0,0,(VLOOKUP($D59,$C$5:$AT$507,14,)/VLOOKUP($D59,$C$5:$AT$507,3,))*$E59)</f>
        <v>0</v>
      </c>
      <c r="Q59" s="40">
        <f>IF(VLOOKUP($D59,$C$5:$AT$507,3,)=0,0,(VLOOKUP($D59,$C$5:$AT$507,15,)/VLOOKUP($D59,$C$5:$AT$507,3,))*$E59)</f>
        <v>0</v>
      </c>
      <c r="R59" s="40">
        <f>IF(VLOOKUP($D59,$C$5:$AT$507,3,)=0,0,(VLOOKUP($D59,$C$5:$AT$507,16,)/VLOOKUP($D59,$C$5:$AT$507,3,))*$E59)</f>
        <v>0</v>
      </c>
      <c r="S59" s="40">
        <f>IF(VLOOKUP($D59,$C$5:$AT$507,3,)=0,0,(VLOOKUP($D59,$C$5:$AT$507,17,)/VLOOKUP($D59,$C$5:$AT$507,3,))*$E59)</f>
        <v>0</v>
      </c>
      <c r="T59" s="40">
        <f>IF(VLOOKUP($D59,$C$5:$AT$507,3,)=0,0,(VLOOKUP($D59,$C$5:$AT$507,18,)/VLOOKUP($D59,$C$5:$AT$507,3,))*$E59)</f>
        <v>0</v>
      </c>
      <c r="U59" s="40">
        <f>IF(VLOOKUP($D59,$C$5:$AT$507,3,)=0,0,(VLOOKUP($D59,$C$5:$AT$507,19,)/VLOOKUP($D59,$C$5:$AT$507,3,))*$E59)</f>
        <v>0</v>
      </c>
      <c r="V59" s="40">
        <f>IF(VLOOKUP($D59,$C$5:$AT$507,3,)=0,0,(VLOOKUP($D59,$C$5:$AT$507,20,)/VLOOKUP($D59,$C$5:$AT$507,3,))*$E59)</f>
        <v>0</v>
      </c>
      <c r="W59" s="40">
        <f>IF(VLOOKUP($D59,$C$5:$AT$507,3,)=0,0,(VLOOKUP($D59,$C$5:$AT$507,21,)/VLOOKUP($D59,$C$5:$AT$507,3,))*$E59)</f>
        <v>0</v>
      </c>
      <c r="X59" s="40">
        <f>IF(VLOOKUP($D59,$C$5:$AT$507,3,)=0,0,(VLOOKUP($D59,$C$5:$AT$507,22,)/VLOOKUP($D59,$C$5:$AT$507,3,))*$E59)</f>
        <v>0</v>
      </c>
      <c r="Y59" s="40">
        <f>IF(VLOOKUP($D59,$C$5:$AT$507,3,)=0,0,(VLOOKUP($D59,$C$5:$AT$507,23,)/VLOOKUP($D59,$C$5:$AT$507,3,))*$E59)</f>
        <v>0</v>
      </c>
      <c r="Z59" s="40">
        <f>IF(VLOOKUP($D59,$C$5:$AT$507,3,)=0,0,(VLOOKUP($D59,$C$5:$AT$507,24,)/VLOOKUP($D59,$C$5:$AT$507,3,))*$E59)</f>
        <v>0</v>
      </c>
      <c r="AA59" s="40">
        <f>IF(VLOOKUP($D59,$C$5:$AT$507,3,)=0,0,(VLOOKUP($D59,$C$5:$AT$507,25,)/VLOOKUP($D59,$C$5:$AT$507,3,))*$E59)</f>
        <v>0</v>
      </c>
      <c r="AB59" s="40">
        <f>IF(VLOOKUP($D59,$C$5:$AT$507,3,)=0,0,(VLOOKUP($D59,$C$5:$AT$507,26,)/VLOOKUP($D59,$C$5:$AT$507,3,))*$E59)</f>
        <v>0</v>
      </c>
      <c r="AC59" s="40">
        <f>IF(VLOOKUP($D59,$C$5:$AT$507,3,)=0,0,(VLOOKUP($D59,$C$5:$AT$507,27,)/VLOOKUP($D59,$C$5:$AT$507,3,))*$E59)</f>
        <v>0</v>
      </c>
      <c r="AD59" s="40">
        <f>IF(VLOOKUP($D59,$C$5:$AT$507,3,)=0,0,(VLOOKUP($D59,$C$5:$AT$507,28,)/VLOOKUP($D59,$C$5:$AT$507,3,))*$E59)</f>
        <v>0</v>
      </c>
      <c r="AE59" s="40">
        <f>IF(VLOOKUP($D59,$C$5:$AT$507,3,)=0,0,(VLOOKUP($D59,$C$5:$AT$507,29,)/VLOOKUP($D59,$C$5:$AT$507,3,))*$E59)</f>
        <v>0</v>
      </c>
      <c r="AF59" s="40">
        <f>IF(VLOOKUP($D59,$C$5:$AT$507,3,)=0,0,(VLOOKUP($D59,$C$5:$AT$507,30,)/VLOOKUP($D59,$C$5:$AT$507,3,))*$E59)</f>
        <v>0</v>
      </c>
      <c r="AG59" s="64">
        <f>SUM(F59:AF59)</f>
        <v>26390053.095955037</v>
      </c>
      <c r="AH59" s="21" t="str">
        <f>IF(ABS(E59-AG59)&lt;0.01,"ok","err")</f>
        <v>ok</v>
      </c>
    </row>
    <row r="60" spans="1:34" x14ac:dyDescent="0.25">
      <c r="A60" s="14" t="s">
        <v>223</v>
      </c>
      <c r="E60" s="174">
        <f t="shared" ref="E60:T60" si="10">E58+E59</f>
        <v>53114243.576599345</v>
      </c>
      <c r="F60" s="40">
        <f t="shared" si="10"/>
        <v>45052747.318572387</v>
      </c>
      <c r="G60" s="40">
        <f t="shared" si="10"/>
        <v>39123.4365303534</v>
      </c>
      <c r="H60" s="40">
        <f t="shared" si="10"/>
        <v>3967517.0599970454</v>
      </c>
      <c r="I60" s="40">
        <f t="shared" si="10"/>
        <v>3372530.5465443563</v>
      </c>
      <c r="J60" s="40">
        <f t="shared" si="10"/>
        <v>528472.14548809303</v>
      </c>
      <c r="K60" s="40">
        <f t="shared" si="10"/>
        <v>153853.0694671098</v>
      </c>
      <c r="L60" s="40">
        <f t="shared" si="10"/>
        <v>0</v>
      </c>
      <c r="M60" s="40">
        <f t="shared" si="10"/>
        <v>0</v>
      </c>
      <c r="N60" s="40">
        <f t="shared" si="10"/>
        <v>0</v>
      </c>
      <c r="O60" s="40">
        <f t="shared" si="10"/>
        <v>0</v>
      </c>
      <c r="P60" s="40">
        <f t="shared" si="10"/>
        <v>0</v>
      </c>
      <c r="Q60" s="40">
        <f t="shared" si="10"/>
        <v>0</v>
      </c>
      <c r="R60" s="40">
        <f t="shared" si="10"/>
        <v>0</v>
      </c>
      <c r="S60" s="40">
        <f t="shared" si="10"/>
        <v>0</v>
      </c>
      <c r="T60" s="40">
        <f t="shared" si="10"/>
        <v>0</v>
      </c>
      <c r="U60" s="40">
        <f t="shared" ref="U60:AF60" si="11">U58+U59</f>
        <v>0</v>
      </c>
      <c r="V60" s="40">
        <f t="shared" si="11"/>
        <v>0</v>
      </c>
      <c r="W60" s="40">
        <f t="shared" si="11"/>
        <v>0</v>
      </c>
      <c r="X60" s="40">
        <f t="shared" si="11"/>
        <v>0</v>
      </c>
      <c r="Y60" s="40">
        <f t="shared" si="11"/>
        <v>0</v>
      </c>
      <c r="Z60" s="40">
        <f t="shared" si="11"/>
        <v>0</v>
      </c>
      <c r="AA60" s="40">
        <f t="shared" si="11"/>
        <v>0</v>
      </c>
      <c r="AB60" s="40">
        <f t="shared" si="11"/>
        <v>0</v>
      </c>
      <c r="AC60" s="40">
        <f t="shared" si="11"/>
        <v>0</v>
      </c>
      <c r="AD60" s="40">
        <f t="shared" si="11"/>
        <v>0</v>
      </c>
      <c r="AE60" s="40">
        <f t="shared" si="11"/>
        <v>0</v>
      </c>
      <c r="AF60" s="40">
        <f t="shared" si="11"/>
        <v>0</v>
      </c>
      <c r="AG60" s="64">
        <f>SUM(F60:AF60)</f>
        <v>53114243.576599345</v>
      </c>
      <c r="AH60" s="21" t="str">
        <f>IF(ABS(E60-AG60)&lt;0.01,"ok","err")</f>
        <v>ok</v>
      </c>
    </row>
    <row r="61" spans="1:34" x14ac:dyDescent="0.25">
      <c r="E61" s="167"/>
    </row>
    <row r="62" spans="1:34" x14ac:dyDescent="0.25">
      <c r="A62" s="13" t="s">
        <v>3</v>
      </c>
      <c r="E62" s="167"/>
    </row>
    <row r="63" spans="1:34" x14ac:dyDescent="0.25">
      <c r="A63" s="67" t="s">
        <v>208</v>
      </c>
      <c r="C63" s="14" t="s">
        <v>242</v>
      </c>
      <c r="D63" s="14" t="s">
        <v>616</v>
      </c>
      <c r="E63" s="174">
        <f>'Func &amp; Classif'!R126</f>
        <v>0</v>
      </c>
      <c r="F63" s="40">
        <f>IF(VLOOKUP($D63,$C$5:$AT$507,3,)=0,0,(VLOOKUP($D63,$C$5:$AT$507,4,)/VLOOKUP($D63,$C$5:$AT$507,3,))*$E63)</f>
        <v>0</v>
      </c>
      <c r="G63" s="40">
        <f>IF(VLOOKUP($D63,$C$5:$AT$507,3,)=0,0,(VLOOKUP($D63,$C$5:$AT$507,5,)/VLOOKUP($D63,$C$5:$AT$507,3,))*$E63)</f>
        <v>0</v>
      </c>
      <c r="H63" s="40">
        <f>IF(VLOOKUP($D63,$C$5:$AT$507,3,)=0,0,(VLOOKUP($D63,$C$5:$AT$507,6,)/VLOOKUP($D63,$C$5:$AT$507,3,))*$E63)</f>
        <v>0</v>
      </c>
      <c r="I63" s="40">
        <f>IF(VLOOKUP($D63,$C$5:$AT$507,3,)=0,0,(VLOOKUP($D63,$C$5:$AT$507,7,)/VLOOKUP($D63,$C$5:$AT$507,3,))*$E63)</f>
        <v>0</v>
      </c>
      <c r="J63" s="40">
        <f>IF(VLOOKUP($D63,$C$5:$AT$507,3,)=0,0,(VLOOKUP($D63,$C$5:$AT$507,8,)/VLOOKUP($D63,$C$5:$AT$507,3,))*$E63)</f>
        <v>0</v>
      </c>
      <c r="K63" s="40">
        <f>IF(VLOOKUP($D63,$C$5:$AT$507,3,)=0,0,(VLOOKUP($D63,$C$5:$AT$507,9,)/VLOOKUP($D63,$C$5:$AT$507,3,))*$E63)</f>
        <v>0</v>
      </c>
      <c r="L63" s="40">
        <f>IF(VLOOKUP($D63,$C$5:$AT$507,3,)=0,0,(VLOOKUP($D63,$C$5:$AT$507,10,)/VLOOKUP($D63,$C$5:$AT$507,3,))*$E63)</f>
        <v>0</v>
      </c>
      <c r="M63" s="40">
        <f>IF(VLOOKUP($D63,$C$5:$AT$507,3,)=0,0,(VLOOKUP($D63,$C$5:$AT$507,11,)/VLOOKUP($D63,$C$5:$AT$507,3,))*$E63)</f>
        <v>0</v>
      </c>
      <c r="N63" s="40">
        <f>IF(VLOOKUP($D63,$C$5:$AT$507,3,)=0,0,(VLOOKUP($D63,$C$5:$AT$507,12,)/VLOOKUP($D63,$C$5:$AT$507,3,))*$E63)</f>
        <v>0</v>
      </c>
      <c r="O63" s="40">
        <f>IF(VLOOKUP($D63,$C$5:$AT$507,3,)=0,0,(VLOOKUP($D63,$C$5:$AT$507,13,)/VLOOKUP($D63,$C$5:$AT$507,3,))*$E63)</f>
        <v>0</v>
      </c>
      <c r="P63" s="40">
        <f>IF(VLOOKUP($D63,$C$5:$AT$507,3,)=0,0,(VLOOKUP($D63,$C$5:$AT$507,14,)/VLOOKUP($D63,$C$5:$AT$507,3,))*$E63)</f>
        <v>0</v>
      </c>
      <c r="Q63" s="40">
        <f>IF(VLOOKUP($D63,$C$5:$AT$507,3,)=0,0,(VLOOKUP($D63,$C$5:$AT$507,15,)/VLOOKUP($D63,$C$5:$AT$507,3,))*$E63)</f>
        <v>0</v>
      </c>
      <c r="R63" s="40">
        <f>IF(VLOOKUP($D63,$C$5:$AT$507,3,)=0,0,(VLOOKUP($D63,$C$5:$AT$507,16,)/VLOOKUP($D63,$C$5:$AT$507,3,))*$E63)</f>
        <v>0</v>
      </c>
      <c r="S63" s="40">
        <f>IF(VLOOKUP($D63,$C$5:$AT$507,3,)=0,0,(VLOOKUP($D63,$C$5:$AT$507,17,)/VLOOKUP($D63,$C$5:$AT$507,3,))*$E63)</f>
        <v>0</v>
      </c>
      <c r="T63" s="40">
        <f>IF(VLOOKUP($D63,$C$5:$AT$507,3,)=0,0,(VLOOKUP($D63,$C$5:$AT$507,18,)/VLOOKUP($D63,$C$5:$AT$507,3,))*$E63)</f>
        <v>0</v>
      </c>
      <c r="U63" s="40">
        <f>IF(VLOOKUP($D63,$C$5:$AT$507,3,)=0,0,(VLOOKUP($D63,$C$5:$AT$507,19,)/VLOOKUP($D63,$C$5:$AT$507,3,))*$E63)</f>
        <v>0</v>
      </c>
      <c r="V63" s="40">
        <f>IF(VLOOKUP($D63,$C$5:$AT$507,3,)=0,0,(VLOOKUP($D63,$C$5:$AT$507,20,)/VLOOKUP($D63,$C$5:$AT$507,3,))*$E63)</f>
        <v>0</v>
      </c>
      <c r="W63" s="40">
        <f>IF(VLOOKUP($D63,$C$5:$AT$507,3,)=0,0,(VLOOKUP($D63,$C$5:$AT$507,21,)/VLOOKUP($D63,$C$5:$AT$507,3,))*$E63)</f>
        <v>0</v>
      </c>
      <c r="X63" s="40">
        <f>IF(VLOOKUP($D63,$C$5:$AT$507,3,)=0,0,(VLOOKUP($D63,$C$5:$AT$507,22,)/VLOOKUP($D63,$C$5:$AT$507,3,))*$E63)</f>
        <v>0</v>
      </c>
      <c r="Y63" s="40">
        <f>IF(VLOOKUP($D63,$C$5:$AT$507,3,)=0,0,(VLOOKUP($D63,$C$5:$AT$507,23,)/VLOOKUP($D63,$C$5:$AT$507,3,))*$E63)</f>
        <v>0</v>
      </c>
      <c r="Z63" s="40">
        <f>IF(VLOOKUP($D63,$C$5:$AT$507,3,)=0,0,(VLOOKUP($D63,$C$5:$AT$507,24,)/VLOOKUP($D63,$C$5:$AT$507,3,))*$E63)</f>
        <v>0</v>
      </c>
      <c r="AA63" s="40">
        <f>IF(VLOOKUP($D63,$C$5:$AT$507,3,)=0,0,(VLOOKUP($D63,$C$5:$AT$507,25,)/VLOOKUP($D63,$C$5:$AT$507,3,))*$E63)</f>
        <v>0</v>
      </c>
      <c r="AB63" s="40">
        <f>IF(VLOOKUP($D63,$C$5:$AT$507,3,)=0,0,(VLOOKUP($D63,$C$5:$AT$507,26,)/VLOOKUP($D63,$C$5:$AT$507,3,))*$E63)</f>
        <v>0</v>
      </c>
      <c r="AC63" s="40">
        <f>IF(VLOOKUP($D63,$C$5:$AT$507,3,)=0,0,(VLOOKUP($D63,$C$5:$AT$507,27,)/VLOOKUP($D63,$C$5:$AT$507,3,))*$E63)</f>
        <v>0</v>
      </c>
      <c r="AD63" s="40">
        <f>IF(VLOOKUP($D63,$C$5:$AT$507,3,)=0,0,(VLOOKUP($D63,$C$5:$AT$507,28,)/VLOOKUP($D63,$C$5:$AT$507,3,))*$E63)</f>
        <v>0</v>
      </c>
      <c r="AE63" s="40">
        <f>IF(VLOOKUP($D63,$C$5:$AT$507,3,)=0,0,(VLOOKUP($D63,$C$5:$AT$507,29,)/VLOOKUP($D63,$C$5:$AT$507,3,))*$E63)</f>
        <v>0</v>
      </c>
      <c r="AF63" s="40">
        <f>IF(VLOOKUP($D63,$C$5:$AT$507,3,)=0,0,(VLOOKUP($D63,$C$5:$AT$507,30,)/VLOOKUP($D63,$C$5:$AT$507,3,))*$E63)</f>
        <v>0</v>
      </c>
      <c r="AG63" s="64">
        <f>SUM(F63:AF63)</f>
        <v>0</v>
      </c>
      <c r="AH63" s="21" t="str">
        <f>IF(ABS(E63-AG63)&lt;0.01,"ok","err")</f>
        <v>ok</v>
      </c>
    </row>
    <row r="64" spans="1:34" x14ac:dyDescent="0.25">
      <c r="A64" s="67" t="s">
        <v>220</v>
      </c>
      <c r="C64" s="14" t="s">
        <v>243</v>
      </c>
      <c r="D64" s="14" t="s">
        <v>698</v>
      </c>
      <c r="E64" s="167">
        <f>'Func &amp; Classif'!S126</f>
        <v>4256565.5109067559</v>
      </c>
      <c r="F64" s="40">
        <f>IF(VLOOKUP($D64,$C$5:$AT$507,3,)=0,0,(VLOOKUP($D64,$C$5:$AT$507,4,)/VLOOKUP($D64,$C$5:$AT$507,3,))*$E64)</f>
        <v>3663389.8288692613</v>
      </c>
      <c r="G64" s="40">
        <f>IF(VLOOKUP($D64,$C$5:$AT$507,3,)=0,0,(VLOOKUP($D64,$C$5:$AT$507,5,)/VLOOKUP($D64,$C$5:$AT$507,3,))*$E64)</f>
        <v>2756.6162334202877</v>
      </c>
      <c r="H64" s="40">
        <f>IF(VLOOKUP($D64,$C$5:$AT$507,3,)=0,0,(VLOOKUP($D64,$C$5:$AT$507,6,)/VLOOKUP($D64,$C$5:$AT$507,3,))*$E64)</f>
        <v>511767.99152513797</v>
      </c>
      <c r="I64" s="40">
        <f>IF(VLOOKUP($D64,$C$5:$AT$507,3,)=0,0,(VLOOKUP($D64,$C$5:$AT$507,7,)/VLOOKUP($D64,$C$5:$AT$507,3,))*$E64)</f>
        <v>77010.231282852488</v>
      </c>
      <c r="J64" s="40">
        <f>IF(VLOOKUP($D64,$C$5:$AT$507,3,)=0,0,(VLOOKUP($D64,$C$5:$AT$507,8,)/VLOOKUP($D64,$C$5:$AT$507,3,))*$E64)</f>
        <v>1640.8429960835049</v>
      </c>
      <c r="K64" s="40">
        <f>IF(VLOOKUP($D64,$C$5:$AT$507,3,)=0,0,(VLOOKUP($D64,$C$5:$AT$507,9,)/VLOOKUP($D64,$C$5:$AT$507,3,))*$E64)</f>
        <v>0</v>
      </c>
      <c r="L64" s="40">
        <f>IF(VLOOKUP($D64,$C$5:$AT$507,3,)=0,0,(VLOOKUP($D64,$C$5:$AT$507,10,)/VLOOKUP($D64,$C$5:$AT$507,3,))*$E64)</f>
        <v>0</v>
      </c>
      <c r="M64" s="40">
        <f>IF(VLOOKUP($D64,$C$5:$AT$507,3,)=0,0,(VLOOKUP($D64,$C$5:$AT$507,11,)/VLOOKUP($D64,$C$5:$AT$507,3,))*$E64)</f>
        <v>0</v>
      </c>
      <c r="N64" s="40">
        <f>IF(VLOOKUP($D64,$C$5:$AT$507,3,)=0,0,(VLOOKUP($D64,$C$5:$AT$507,12,)/VLOOKUP($D64,$C$5:$AT$507,3,))*$E64)</f>
        <v>0</v>
      </c>
      <c r="O64" s="40">
        <f>IF(VLOOKUP($D64,$C$5:$AT$507,3,)=0,0,(VLOOKUP($D64,$C$5:$AT$507,13,)/VLOOKUP($D64,$C$5:$AT$507,3,))*$E64)</f>
        <v>0</v>
      </c>
      <c r="P64" s="40">
        <f>IF(VLOOKUP($D64,$C$5:$AT$507,3,)=0,0,(VLOOKUP($D64,$C$5:$AT$507,14,)/VLOOKUP($D64,$C$5:$AT$507,3,))*$E64)</f>
        <v>0</v>
      </c>
      <c r="Q64" s="40">
        <f>IF(VLOOKUP($D64,$C$5:$AT$507,3,)=0,0,(VLOOKUP($D64,$C$5:$AT$507,15,)/VLOOKUP($D64,$C$5:$AT$507,3,))*$E64)</f>
        <v>0</v>
      </c>
      <c r="R64" s="40">
        <f>IF(VLOOKUP($D64,$C$5:$AT$507,3,)=0,0,(VLOOKUP($D64,$C$5:$AT$507,16,)/VLOOKUP($D64,$C$5:$AT$507,3,))*$E64)</f>
        <v>0</v>
      </c>
      <c r="S64" s="40">
        <f>IF(VLOOKUP($D64,$C$5:$AT$507,3,)=0,0,(VLOOKUP($D64,$C$5:$AT$507,17,)/VLOOKUP($D64,$C$5:$AT$507,3,))*$E64)</f>
        <v>0</v>
      </c>
      <c r="T64" s="40">
        <f>IF(VLOOKUP($D64,$C$5:$AT$507,3,)=0,0,(VLOOKUP($D64,$C$5:$AT$507,18,)/VLOOKUP($D64,$C$5:$AT$507,3,))*$E64)</f>
        <v>0</v>
      </c>
      <c r="U64" s="40">
        <f>IF(VLOOKUP($D64,$C$5:$AT$507,3,)=0,0,(VLOOKUP($D64,$C$5:$AT$507,19,)/VLOOKUP($D64,$C$5:$AT$507,3,))*$E64)</f>
        <v>0</v>
      </c>
      <c r="V64" s="40">
        <f>IF(VLOOKUP($D64,$C$5:$AT$507,3,)=0,0,(VLOOKUP($D64,$C$5:$AT$507,20,)/VLOOKUP($D64,$C$5:$AT$507,3,))*$E64)</f>
        <v>0</v>
      </c>
      <c r="W64" s="40">
        <f>IF(VLOOKUP($D64,$C$5:$AT$507,3,)=0,0,(VLOOKUP($D64,$C$5:$AT$507,21,)/VLOOKUP($D64,$C$5:$AT$507,3,))*$E64)</f>
        <v>0</v>
      </c>
      <c r="X64" s="40">
        <f>IF(VLOOKUP($D64,$C$5:$AT$507,3,)=0,0,(VLOOKUP($D64,$C$5:$AT$507,22,)/VLOOKUP($D64,$C$5:$AT$507,3,))*$E64)</f>
        <v>0</v>
      </c>
      <c r="Y64" s="40">
        <f>IF(VLOOKUP($D64,$C$5:$AT$507,3,)=0,0,(VLOOKUP($D64,$C$5:$AT$507,23,)/VLOOKUP($D64,$C$5:$AT$507,3,))*$E64)</f>
        <v>0</v>
      </c>
      <c r="Z64" s="40">
        <f>IF(VLOOKUP($D64,$C$5:$AT$507,3,)=0,0,(VLOOKUP($D64,$C$5:$AT$507,24,)/VLOOKUP($D64,$C$5:$AT$507,3,))*$E64)</f>
        <v>0</v>
      </c>
      <c r="AA64" s="40">
        <f>IF(VLOOKUP($D64,$C$5:$AT$507,3,)=0,0,(VLOOKUP($D64,$C$5:$AT$507,25,)/VLOOKUP($D64,$C$5:$AT$507,3,))*$E64)</f>
        <v>0</v>
      </c>
      <c r="AB64" s="40">
        <f>IF(VLOOKUP($D64,$C$5:$AT$507,3,)=0,0,(VLOOKUP($D64,$C$5:$AT$507,26,)/VLOOKUP($D64,$C$5:$AT$507,3,))*$E64)</f>
        <v>0</v>
      </c>
      <c r="AC64" s="40">
        <f>IF(VLOOKUP($D64,$C$5:$AT$507,3,)=0,0,(VLOOKUP($D64,$C$5:$AT$507,27,)/VLOOKUP($D64,$C$5:$AT$507,3,))*$E64)</f>
        <v>0</v>
      </c>
      <c r="AD64" s="40">
        <f>IF(VLOOKUP($D64,$C$5:$AT$507,3,)=0,0,(VLOOKUP($D64,$C$5:$AT$507,28,)/VLOOKUP($D64,$C$5:$AT$507,3,))*$E64)</f>
        <v>0</v>
      </c>
      <c r="AE64" s="40">
        <f>IF(VLOOKUP($D64,$C$5:$AT$507,3,)=0,0,(VLOOKUP($D64,$C$5:$AT$507,29,)/VLOOKUP($D64,$C$5:$AT$507,3,))*$E64)</f>
        <v>0</v>
      </c>
      <c r="AF64" s="40">
        <f>IF(VLOOKUP($D64,$C$5:$AT$507,3,)=0,0,(VLOOKUP($D64,$C$5:$AT$507,30,)/VLOOKUP($D64,$C$5:$AT$507,3,))*$E64)</f>
        <v>0</v>
      </c>
      <c r="AG64" s="64">
        <f>SUM(F64:AF64)</f>
        <v>4256565.510906755</v>
      </c>
      <c r="AH64" s="21" t="str">
        <f>IF(ABS(E64-AG64)&lt;0.01,"ok","err")</f>
        <v>ok</v>
      </c>
    </row>
    <row r="65" spans="1:34" x14ac:dyDescent="0.25">
      <c r="A65" s="14" t="s">
        <v>227</v>
      </c>
      <c r="E65" s="174">
        <f t="shared" ref="E65:T65" si="12">E63+E64</f>
        <v>4256565.5109067559</v>
      </c>
      <c r="F65" s="40">
        <f t="shared" si="12"/>
        <v>3663389.8288692613</v>
      </c>
      <c r="G65" s="40">
        <f t="shared" si="12"/>
        <v>2756.6162334202877</v>
      </c>
      <c r="H65" s="40">
        <f t="shared" si="12"/>
        <v>511767.99152513797</v>
      </c>
      <c r="I65" s="40">
        <f t="shared" si="12"/>
        <v>77010.231282852488</v>
      </c>
      <c r="J65" s="40">
        <f t="shared" si="12"/>
        <v>1640.8429960835049</v>
      </c>
      <c r="K65" s="40">
        <f t="shared" si="12"/>
        <v>0</v>
      </c>
      <c r="L65" s="40">
        <f t="shared" si="12"/>
        <v>0</v>
      </c>
      <c r="M65" s="40">
        <f t="shared" si="12"/>
        <v>0</v>
      </c>
      <c r="N65" s="40">
        <f t="shared" si="12"/>
        <v>0</v>
      </c>
      <c r="O65" s="40">
        <f t="shared" si="12"/>
        <v>0</v>
      </c>
      <c r="P65" s="40">
        <f t="shared" si="12"/>
        <v>0</v>
      </c>
      <c r="Q65" s="40">
        <f t="shared" si="12"/>
        <v>0</v>
      </c>
      <c r="R65" s="40">
        <f t="shared" si="12"/>
        <v>0</v>
      </c>
      <c r="S65" s="40">
        <f t="shared" si="12"/>
        <v>0</v>
      </c>
      <c r="T65" s="40">
        <f t="shared" si="12"/>
        <v>0</v>
      </c>
      <c r="U65" s="40">
        <f t="shared" ref="U65:AF65" si="13">U63+U64</f>
        <v>0</v>
      </c>
      <c r="V65" s="40">
        <f t="shared" si="13"/>
        <v>0</v>
      </c>
      <c r="W65" s="40">
        <f t="shared" si="13"/>
        <v>0</v>
      </c>
      <c r="X65" s="40">
        <f t="shared" si="13"/>
        <v>0</v>
      </c>
      <c r="Y65" s="40">
        <f t="shared" si="13"/>
        <v>0</v>
      </c>
      <c r="Z65" s="40">
        <f t="shared" si="13"/>
        <v>0</v>
      </c>
      <c r="AA65" s="40">
        <f t="shared" si="13"/>
        <v>0</v>
      </c>
      <c r="AB65" s="40">
        <f t="shared" si="13"/>
        <v>0</v>
      </c>
      <c r="AC65" s="40">
        <f t="shared" si="13"/>
        <v>0</v>
      </c>
      <c r="AD65" s="40">
        <f t="shared" si="13"/>
        <v>0</v>
      </c>
      <c r="AE65" s="40">
        <f t="shared" si="13"/>
        <v>0</v>
      </c>
      <c r="AF65" s="40">
        <f t="shared" si="13"/>
        <v>0</v>
      </c>
      <c r="AG65" s="64">
        <f>SUM(F65:AF65)</f>
        <v>4256565.510906755</v>
      </c>
      <c r="AH65" s="21" t="str">
        <f>IF(ABS(E65-AG65)&lt;0.01,"ok","err")</f>
        <v>ok</v>
      </c>
    </row>
    <row r="66" spans="1:34" x14ac:dyDescent="0.25">
      <c r="E66" s="167"/>
    </row>
    <row r="67" spans="1:34" x14ac:dyDescent="0.25">
      <c r="A67" s="13" t="s">
        <v>4</v>
      </c>
      <c r="E67" s="167"/>
    </row>
    <row r="68" spans="1:34" x14ac:dyDescent="0.25">
      <c r="A68" s="67" t="s">
        <v>220</v>
      </c>
      <c r="C68" s="14" t="s">
        <v>244</v>
      </c>
      <c r="D68" s="14" t="s">
        <v>229</v>
      </c>
      <c r="E68" s="174">
        <f>'Func &amp; Classif'!U126</f>
        <v>4190591.3326952066</v>
      </c>
      <c r="F68" s="40">
        <f>IF(VLOOKUP($D68,$C$5:$AT$507,3,)=0,0,(VLOOKUP($D68,$C$5:$AT$507,4,)/VLOOKUP($D68,$C$5:$AT$507,3,))*$E68)</f>
        <v>3136616.7674020478</v>
      </c>
      <c r="G68" s="40">
        <f>IF(VLOOKUP($D68,$C$5:$AT$507,3,)=0,0,(VLOOKUP($D68,$C$5:$AT$507,5,)/VLOOKUP($D68,$C$5:$AT$507,3,))*$E68)</f>
        <v>2360.2316714701246</v>
      </c>
      <c r="H68" s="40">
        <f>IF(VLOOKUP($D68,$C$5:$AT$507,3,)=0,0,(VLOOKUP($D68,$C$5:$AT$507,6,)/VLOOKUP($D68,$C$5:$AT$507,3,))*$E68)</f>
        <v>766813.04526429391</v>
      </c>
      <c r="I68" s="40">
        <f>IF(VLOOKUP($D68,$C$5:$AT$507,3,)=0,0,(VLOOKUP($D68,$C$5:$AT$507,7,)/VLOOKUP($D68,$C$5:$AT$507,3,))*$E68)</f>
        <v>276933.84945249464</v>
      </c>
      <c r="J68" s="40">
        <f>IF(VLOOKUP($D68,$C$5:$AT$507,3,)=0,0,(VLOOKUP($D68,$C$5:$AT$507,8,)/VLOOKUP($D68,$C$5:$AT$507,3,))*$E68)</f>
        <v>7867.4389049004158</v>
      </c>
      <c r="K68" s="40">
        <f>IF(VLOOKUP($D68,$C$5:$AT$507,3,)=0,0,(VLOOKUP($D68,$C$5:$AT$507,9,)/VLOOKUP($D68,$C$5:$AT$507,3,))*$E68)</f>
        <v>0</v>
      </c>
      <c r="L68" s="40">
        <f>IF(VLOOKUP($D68,$C$5:$AT$507,3,)=0,0,(VLOOKUP($D68,$C$5:$AT$507,10,)/VLOOKUP($D68,$C$5:$AT$507,3,))*$E68)</f>
        <v>0</v>
      </c>
      <c r="M68" s="40">
        <f>IF(VLOOKUP($D68,$C$5:$AT$507,3,)=0,0,(VLOOKUP($D68,$C$5:$AT$507,11,)/VLOOKUP($D68,$C$5:$AT$507,3,))*$E68)</f>
        <v>0</v>
      </c>
      <c r="N68" s="40">
        <f>IF(VLOOKUP($D68,$C$5:$AT$507,3,)=0,0,(VLOOKUP($D68,$C$5:$AT$507,12,)/VLOOKUP($D68,$C$5:$AT$507,3,))*$E68)</f>
        <v>0</v>
      </c>
      <c r="O68" s="40">
        <f>IF(VLOOKUP($D68,$C$5:$AT$507,3,)=0,0,(VLOOKUP($D68,$C$5:$AT$507,13,)/VLOOKUP($D68,$C$5:$AT$507,3,))*$E68)</f>
        <v>0</v>
      </c>
      <c r="P68" s="40">
        <f>IF(VLOOKUP($D68,$C$5:$AT$507,3,)=0,0,(VLOOKUP($D68,$C$5:$AT$507,14,)/VLOOKUP($D68,$C$5:$AT$507,3,))*$E68)</f>
        <v>0</v>
      </c>
      <c r="Q68" s="40">
        <f>IF(VLOOKUP($D68,$C$5:$AT$507,3,)=0,0,(VLOOKUP($D68,$C$5:$AT$507,15,)/VLOOKUP($D68,$C$5:$AT$507,3,))*$E68)</f>
        <v>0</v>
      </c>
      <c r="R68" s="40">
        <f>IF(VLOOKUP($D68,$C$5:$AT$507,3,)=0,0,(VLOOKUP($D68,$C$5:$AT$507,16,)/VLOOKUP($D68,$C$5:$AT$507,3,))*$E68)</f>
        <v>0</v>
      </c>
      <c r="S68" s="40">
        <f>IF(VLOOKUP($D68,$C$5:$AT$507,3,)=0,0,(VLOOKUP($D68,$C$5:$AT$507,17,)/VLOOKUP($D68,$C$5:$AT$507,3,))*$E68)</f>
        <v>0</v>
      </c>
      <c r="T68" s="40">
        <f>IF(VLOOKUP($D68,$C$5:$AT$507,3,)=0,0,(VLOOKUP($D68,$C$5:$AT$507,18,)/VLOOKUP($D68,$C$5:$AT$507,3,))*$E68)</f>
        <v>0</v>
      </c>
      <c r="U68" s="40">
        <f>IF(VLOOKUP($D68,$C$5:$AT$507,3,)=0,0,(VLOOKUP($D68,$C$5:$AT$507,19,)/VLOOKUP($D68,$C$5:$AT$507,3,))*$E68)</f>
        <v>0</v>
      </c>
      <c r="V68" s="40">
        <f>IF(VLOOKUP($D68,$C$5:$AT$507,3,)=0,0,(VLOOKUP($D68,$C$5:$AT$507,20,)/VLOOKUP($D68,$C$5:$AT$507,3,))*$E68)</f>
        <v>0</v>
      </c>
      <c r="W68" s="40">
        <f>IF(VLOOKUP($D68,$C$5:$AT$507,3,)=0,0,(VLOOKUP($D68,$C$5:$AT$507,21,)/VLOOKUP($D68,$C$5:$AT$507,3,))*$E68)</f>
        <v>0</v>
      </c>
      <c r="X68" s="40">
        <f>IF(VLOOKUP($D68,$C$5:$AT$507,3,)=0,0,(VLOOKUP($D68,$C$5:$AT$507,22,)/VLOOKUP($D68,$C$5:$AT$507,3,))*$E68)</f>
        <v>0</v>
      </c>
      <c r="Y68" s="40">
        <f>IF(VLOOKUP($D68,$C$5:$AT$507,3,)=0,0,(VLOOKUP($D68,$C$5:$AT$507,23,)/VLOOKUP($D68,$C$5:$AT$507,3,))*$E68)</f>
        <v>0</v>
      </c>
      <c r="Z68" s="40">
        <f>IF(VLOOKUP($D68,$C$5:$AT$507,3,)=0,0,(VLOOKUP($D68,$C$5:$AT$507,24,)/VLOOKUP($D68,$C$5:$AT$507,3,))*$E68)</f>
        <v>0</v>
      </c>
      <c r="AA68" s="40">
        <f>IF(VLOOKUP($D68,$C$5:$AT$507,3,)=0,0,(VLOOKUP($D68,$C$5:$AT$507,25,)/VLOOKUP($D68,$C$5:$AT$507,3,))*$E68)</f>
        <v>0</v>
      </c>
      <c r="AB68" s="40">
        <f>IF(VLOOKUP($D68,$C$5:$AT$507,3,)=0,0,(VLOOKUP($D68,$C$5:$AT$507,26,)/VLOOKUP($D68,$C$5:$AT$507,3,))*$E68)</f>
        <v>0</v>
      </c>
      <c r="AC68" s="40">
        <f>IF(VLOOKUP($D68,$C$5:$AT$507,3,)=0,0,(VLOOKUP($D68,$C$5:$AT$507,27,)/VLOOKUP($D68,$C$5:$AT$507,3,))*$E68)</f>
        <v>0</v>
      </c>
      <c r="AD68" s="40">
        <f>IF(VLOOKUP($D68,$C$5:$AT$507,3,)=0,0,(VLOOKUP($D68,$C$5:$AT$507,28,)/VLOOKUP($D68,$C$5:$AT$507,3,))*$E68)</f>
        <v>0</v>
      </c>
      <c r="AE68" s="40">
        <f>IF(VLOOKUP($D68,$C$5:$AT$507,3,)=0,0,(VLOOKUP($D68,$C$5:$AT$507,29,)/VLOOKUP($D68,$C$5:$AT$507,3,))*$E68)</f>
        <v>0</v>
      </c>
      <c r="AF68" s="40">
        <f>IF(VLOOKUP($D68,$C$5:$AT$507,3,)=0,0,(VLOOKUP($D68,$C$5:$AT$507,30,)/VLOOKUP($D68,$C$5:$AT$507,3,))*$E68)</f>
        <v>0</v>
      </c>
      <c r="AG68" s="64">
        <f>SUM(F68:AF68)</f>
        <v>4190591.3326952071</v>
      </c>
      <c r="AH68" s="21" t="str">
        <f>IF(ABS(E68-AG68)&lt;0.01,"ok","err")</f>
        <v>ok</v>
      </c>
    </row>
    <row r="69" spans="1:34" x14ac:dyDescent="0.25">
      <c r="E69" s="167"/>
    </row>
    <row r="70" spans="1:34" x14ac:dyDescent="0.25">
      <c r="A70" s="13" t="s">
        <v>5</v>
      </c>
      <c r="E70" s="167"/>
    </row>
    <row r="71" spans="1:34" x14ac:dyDescent="0.25">
      <c r="A71" s="67" t="s">
        <v>220</v>
      </c>
      <c r="C71" s="14" t="s">
        <v>245</v>
      </c>
      <c r="D71" s="14" t="s">
        <v>231</v>
      </c>
      <c r="E71" s="174">
        <f>'Func &amp; Classif'!W126</f>
        <v>2330146.7497986946</v>
      </c>
      <c r="F71" s="40">
        <f>IF(VLOOKUP($D71,$C$5:$AT$507,3,)=0,0,(VLOOKUP($D71,$C$5:$AT$507,4,)/VLOOKUP($D71,$C$5:$AT$507,3,))*$E71)</f>
        <v>0</v>
      </c>
      <c r="G71" s="40">
        <f>IF(VLOOKUP($D71,$C$5:$AT$507,3,)=0,0,(VLOOKUP($D71,$C$5:$AT$507,5,)/VLOOKUP($D71,$C$5:$AT$507,3,))*$E71)</f>
        <v>0</v>
      </c>
      <c r="H71" s="40">
        <f>IF(VLOOKUP($D71,$C$5:$AT$507,3,)=0,0,(VLOOKUP($D71,$C$5:$AT$507,6,)/VLOOKUP($D71,$C$5:$AT$507,3,))*$E71)</f>
        <v>0</v>
      </c>
      <c r="I71" s="40">
        <f>IF(VLOOKUP($D71,$C$5:$AT$507,3,)=0,0,(VLOOKUP($D71,$C$5:$AT$507,7,)/VLOOKUP($D71,$C$5:$AT$507,3,))*$E71)</f>
        <v>0</v>
      </c>
      <c r="J71" s="40">
        <f>IF(VLOOKUP($D71,$C$5:$AT$507,3,)=0,0,(VLOOKUP($D71,$C$5:$AT$507,8,)/VLOOKUP($D71,$C$5:$AT$507,3,))*$E71)</f>
        <v>0</v>
      </c>
      <c r="K71" s="40">
        <f>IF(VLOOKUP($D71,$C$5:$AT$507,3,)=0,0,(VLOOKUP($D71,$C$5:$AT$507,9,)/VLOOKUP($D71,$C$5:$AT$507,3,))*$E71)</f>
        <v>2330146.7497986946</v>
      </c>
      <c r="L71" s="40">
        <f>IF(VLOOKUP($D71,$C$5:$AT$507,3,)=0,0,(VLOOKUP($D71,$C$5:$AT$507,10,)/VLOOKUP($D71,$C$5:$AT$507,3,))*$E71)</f>
        <v>0</v>
      </c>
      <c r="M71" s="40">
        <f>IF(VLOOKUP($D71,$C$5:$AT$507,3,)=0,0,(VLOOKUP($D71,$C$5:$AT$507,11,)/VLOOKUP($D71,$C$5:$AT$507,3,))*$E71)</f>
        <v>0</v>
      </c>
      <c r="N71" s="40">
        <f>IF(VLOOKUP($D71,$C$5:$AT$507,3,)=0,0,(VLOOKUP($D71,$C$5:$AT$507,12,)/VLOOKUP($D71,$C$5:$AT$507,3,))*$E71)</f>
        <v>0</v>
      </c>
      <c r="O71" s="40">
        <f>IF(VLOOKUP($D71,$C$5:$AT$507,3,)=0,0,(VLOOKUP($D71,$C$5:$AT$507,13,)/VLOOKUP($D71,$C$5:$AT$507,3,))*$E71)</f>
        <v>0</v>
      </c>
      <c r="P71" s="40">
        <f>IF(VLOOKUP($D71,$C$5:$AT$507,3,)=0,0,(VLOOKUP($D71,$C$5:$AT$507,14,)/VLOOKUP($D71,$C$5:$AT$507,3,))*$E71)</f>
        <v>0</v>
      </c>
      <c r="Q71" s="40">
        <f>IF(VLOOKUP($D71,$C$5:$AT$507,3,)=0,0,(VLOOKUP($D71,$C$5:$AT$507,15,)/VLOOKUP($D71,$C$5:$AT$507,3,))*$E71)</f>
        <v>0</v>
      </c>
      <c r="R71" s="40">
        <f>IF(VLOOKUP($D71,$C$5:$AT$507,3,)=0,0,(VLOOKUP($D71,$C$5:$AT$507,16,)/VLOOKUP($D71,$C$5:$AT$507,3,))*$E71)</f>
        <v>0</v>
      </c>
      <c r="S71" s="40">
        <f>IF(VLOOKUP($D71,$C$5:$AT$507,3,)=0,0,(VLOOKUP($D71,$C$5:$AT$507,17,)/VLOOKUP($D71,$C$5:$AT$507,3,))*$E71)</f>
        <v>0</v>
      </c>
      <c r="T71" s="40">
        <f>IF(VLOOKUP($D71,$C$5:$AT$507,3,)=0,0,(VLOOKUP($D71,$C$5:$AT$507,18,)/VLOOKUP($D71,$C$5:$AT$507,3,))*$E71)</f>
        <v>0</v>
      </c>
      <c r="U71" s="40">
        <f>IF(VLOOKUP($D71,$C$5:$AT$507,3,)=0,0,(VLOOKUP($D71,$C$5:$AT$507,19,)/VLOOKUP($D71,$C$5:$AT$507,3,))*$E71)</f>
        <v>0</v>
      </c>
      <c r="V71" s="40">
        <f>IF(VLOOKUP($D71,$C$5:$AT$507,3,)=0,0,(VLOOKUP($D71,$C$5:$AT$507,20,)/VLOOKUP($D71,$C$5:$AT$507,3,))*$E71)</f>
        <v>0</v>
      </c>
      <c r="W71" s="40">
        <f>IF(VLOOKUP($D71,$C$5:$AT$507,3,)=0,0,(VLOOKUP($D71,$C$5:$AT$507,21,)/VLOOKUP($D71,$C$5:$AT$507,3,))*$E71)</f>
        <v>0</v>
      </c>
      <c r="X71" s="40">
        <f>IF(VLOOKUP($D71,$C$5:$AT$507,3,)=0,0,(VLOOKUP($D71,$C$5:$AT$507,22,)/VLOOKUP($D71,$C$5:$AT$507,3,))*$E71)</f>
        <v>0</v>
      </c>
      <c r="Y71" s="40">
        <f>IF(VLOOKUP($D71,$C$5:$AT$507,3,)=0,0,(VLOOKUP($D71,$C$5:$AT$507,23,)/VLOOKUP($D71,$C$5:$AT$507,3,))*$E71)</f>
        <v>0</v>
      </c>
      <c r="Z71" s="40">
        <f>IF(VLOOKUP($D71,$C$5:$AT$507,3,)=0,0,(VLOOKUP($D71,$C$5:$AT$507,24,)/VLOOKUP($D71,$C$5:$AT$507,3,))*$E71)</f>
        <v>0</v>
      </c>
      <c r="AA71" s="40">
        <f>IF(VLOOKUP($D71,$C$5:$AT$507,3,)=0,0,(VLOOKUP($D71,$C$5:$AT$507,25,)/VLOOKUP($D71,$C$5:$AT$507,3,))*$E71)</f>
        <v>0</v>
      </c>
      <c r="AB71" s="40">
        <f>IF(VLOOKUP($D71,$C$5:$AT$507,3,)=0,0,(VLOOKUP($D71,$C$5:$AT$507,26,)/VLOOKUP($D71,$C$5:$AT$507,3,))*$E71)</f>
        <v>0</v>
      </c>
      <c r="AC71" s="40">
        <f>IF(VLOOKUP($D71,$C$5:$AT$507,3,)=0,0,(VLOOKUP($D71,$C$5:$AT$507,27,)/VLOOKUP($D71,$C$5:$AT$507,3,))*$E71)</f>
        <v>0</v>
      </c>
      <c r="AD71" s="40">
        <f>IF(VLOOKUP($D71,$C$5:$AT$507,3,)=0,0,(VLOOKUP($D71,$C$5:$AT$507,28,)/VLOOKUP($D71,$C$5:$AT$507,3,))*$E71)</f>
        <v>0</v>
      </c>
      <c r="AE71" s="40">
        <f>IF(VLOOKUP($D71,$C$5:$AT$507,3,)=0,0,(VLOOKUP($D71,$C$5:$AT$507,29,)/VLOOKUP($D71,$C$5:$AT$507,3,))*$E71)</f>
        <v>0</v>
      </c>
      <c r="AF71" s="40">
        <f>IF(VLOOKUP($D71,$C$5:$AT$507,3,)=0,0,(VLOOKUP($D71,$C$5:$AT$507,30,)/VLOOKUP($D71,$C$5:$AT$507,3,))*$E71)</f>
        <v>0</v>
      </c>
      <c r="AG71" s="64">
        <f>SUM(F71:AF71)</f>
        <v>2330146.7497986946</v>
      </c>
      <c r="AH71" s="21" t="str">
        <f>IF(ABS(E71-AG71)&lt;0.01,"ok","err")</f>
        <v>ok</v>
      </c>
    </row>
    <row r="72" spans="1:34" x14ac:dyDescent="0.25">
      <c r="E72" s="167"/>
    </row>
    <row r="73" spans="1:34" x14ac:dyDescent="0.25">
      <c r="A73" s="13" t="s">
        <v>544</v>
      </c>
      <c r="E73" s="167"/>
    </row>
    <row r="74" spans="1:34" x14ac:dyDescent="0.25">
      <c r="A74" s="67" t="s">
        <v>220</v>
      </c>
      <c r="C74" s="14" t="s">
        <v>246</v>
      </c>
      <c r="D74" s="14" t="s">
        <v>233</v>
      </c>
      <c r="E74" s="174">
        <f>'Func &amp; Classif'!Y126</f>
        <v>0</v>
      </c>
      <c r="F74" s="40">
        <f>IF(VLOOKUP($D74,$C$5:$AT$507,3,)=0,0,(VLOOKUP($D74,$C$5:$AT$507,4,)/VLOOKUP($D74,$C$5:$AT$507,3,))*$E74)</f>
        <v>0</v>
      </c>
      <c r="G74" s="40">
        <f>IF(VLOOKUP($D74,$C$5:$AT$507,3,)=0,0,(VLOOKUP($D74,$C$5:$AT$507,5,)/VLOOKUP($D74,$C$5:$AT$507,3,))*$E74)</f>
        <v>0</v>
      </c>
      <c r="H74" s="40">
        <f>IF(VLOOKUP($D74,$C$5:$AT$507,3,)=0,0,(VLOOKUP($D74,$C$5:$AT$507,6,)/VLOOKUP($D74,$C$5:$AT$507,3,))*$E74)</f>
        <v>0</v>
      </c>
      <c r="I74" s="40">
        <f>IF(VLOOKUP($D74,$C$5:$AT$507,3,)=0,0,(VLOOKUP($D74,$C$5:$AT$507,7,)/VLOOKUP($D74,$C$5:$AT$507,3,))*$E74)</f>
        <v>0</v>
      </c>
      <c r="J74" s="40">
        <f>IF(VLOOKUP($D74,$C$5:$AT$507,3,)=0,0,(VLOOKUP($D74,$C$5:$AT$507,8,)/VLOOKUP($D74,$C$5:$AT$507,3,))*$E74)</f>
        <v>0</v>
      </c>
      <c r="K74" s="40">
        <f>IF(VLOOKUP($D74,$C$5:$AT$507,3,)=0,0,(VLOOKUP($D74,$C$5:$AT$507,9,)/VLOOKUP($D74,$C$5:$AT$507,3,))*$E74)</f>
        <v>0</v>
      </c>
      <c r="L74" s="40">
        <f>IF(VLOOKUP($D74,$C$5:$AT$507,3,)=0,0,(VLOOKUP($D74,$C$5:$AT$507,10,)/VLOOKUP($D74,$C$5:$AT$507,3,))*$E74)</f>
        <v>0</v>
      </c>
      <c r="M74" s="40">
        <f>IF(VLOOKUP($D74,$C$5:$AT$507,3,)=0,0,(VLOOKUP($D74,$C$5:$AT$507,11,)/VLOOKUP($D74,$C$5:$AT$507,3,))*$E74)</f>
        <v>0</v>
      </c>
      <c r="N74" s="40">
        <f>IF(VLOOKUP($D74,$C$5:$AT$507,3,)=0,0,(VLOOKUP($D74,$C$5:$AT$507,12,)/VLOOKUP($D74,$C$5:$AT$507,3,))*$E74)</f>
        <v>0</v>
      </c>
      <c r="O74" s="40">
        <f>IF(VLOOKUP($D74,$C$5:$AT$507,3,)=0,0,(VLOOKUP($D74,$C$5:$AT$507,13,)/VLOOKUP($D74,$C$5:$AT$507,3,))*$E74)</f>
        <v>0</v>
      </c>
      <c r="P74" s="40">
        <f>IF(VLOOKUP($D74,$C$5:$AT$507,3,)=0,0,(VLOOKUP($D74,$C$5:$AT$507,14,)/VLOOKUP($D74,$C$5:$AT$507,3,))*$E74)</f>
        <v>0</v>
      </c>
      <c r="Q74" s="40">
        <f>IF(VLOOKUP($D74,$C$5:$AT$507,3,)=0,0,(VLOOKUP($D74,$C$5:$AT$507,15,)/VLOOKUP($D74,$C$5:$AT$507,3,))*$E74)</f>
        <v>0</v>
      </c>
      <c r="R74" s="40">
        <f>IF(VLOOKUP($D74,$C$5:$AT$507,3,)=0,0,(VLOOKUP($D74,$C$5:$AT$507,16,)/VLOOKUP($D74,$C$5:$AT$507,3,))*$E74)</f>
        <v>0</v>
      </c>
      <c r="S74" s="40">
        <f>IF(VLOOKUP($D74,$C$5:$AT$507,3,)=0,0,(VLOOKUP($D74,$C$5:$AT$507,17,)/VLOOKUP($D74,$C$5:$AT$507,3,))*$E74)</f>
        <v>0</v>
      </c>
      <c r="T74" s="40">
        <f>IF(VLOOKUP($D74,$C$5:$AT$507,3,)=0,0,(VLOOKUP($D74,$C$5:$AT$507,18,)/VLOOKUP($D74,$C$5:$AT$507,3,))*$E74)</f>
        <v>0</v>
      </c>
      <c r="U74" s="40">
        <f>IF(VLOOKUP($D74,$C$5:$AT$507,3,)=0,0,(VLOOKUP($D74,$C$5:$AT$507,19,)/VLOOKUP($D74,$C$5:$AT$507,3,))*$E74)</f>
        <v>0</v>
      </c>
      <c r="V74" s="40">
        <f>IF(VLOOKUP($D74,$C$5:$AT$507,3,)=0,0,(VLOOKUP($D74,$C$5:$AT$507,20,)/VLOOKUP($D74,$C$5:$AT$507,3,))*$E74)</f>
        <v>0</v>
      </c>
      <c r="W74" s="40">
        <f>IF(VLOOKUP($D74,$C$5:$AT$507,3,)=0,0,(VLOOKUP($D74,$C$5:$AT$507,21,)/VLOOKUP($D74,$C$5:$AT$507,3,))*$E74)</f>
        <v>0</v>
      </c>
      <c r="X74" s="40">
        <f>IF(VLOOKUP($D74,$C$5:$AT$507,3,)=0,0,(VLOOKUP($D74,$C$5:$AT$507,22,)/VLOOKUP($D74,$C$5:$AT$507,3,))*$E74)</f>
        <v>0</v>
      </c>
      <c r="Y74" s="40">
        <f>IF(VLOOKUP($D74,$C$5:$AT$507,3,)=0,0,(VLOOKUP($D74,$C$5:$AT$507,23,)/VLOOKUP($D74,$C$5:$AT$507,3,))*$E74)</f>
        <v>0</v>
      </c>
      <c r="Z74" s="40">
        <f>IF(VLOOKUP($D74,$C$5:$AT$507,3,)=0,0,(VLOOKUP($D74,$C$5:$AT$507,24,)/VLOOKUP($D74,$C$5:$AT$507,3,))*$E74)</f>
        <v>0</v>
      </c>
      <c r="AA74" s="40">
        <f>IF(VLOOKUP($D74,$C$5:$AT$507,3,)=0,0,(VLOOKUP($D74,$C$5:$AT$507,25,)/VLOOKUP($D74,$C$5:$AT$507,3,))*$E74)</f>
        <v>0</v>
      </c>
      <c r="AB74" s="40">
        <f>IF(VLOOKUP($D74,$C$5:$AT$507,3,)=0,0,(VLOOKUP($D74,$C$5:$AT$507,26,)/VLOOKUP($D74,$C$5:$AT$507,3,))*$E74)</f>
        <v>0</v>
      </c>
      <c r="AC74" s="40">
        <f>IF(VLOOKUP($D74,$C$5:$AT$507,3,)=0,0,(VLOOKUP($D74,$C$5:$AT$507,27,)/VLOOKUP($D74,$C$5:$AT$507,3,))*$E74)</f>
        <v>0</v>
      </c>
      <c r="AD74" s="40">
        <f>IF(VLOOKUP($D74,$C$5:$AT$507,3,)=0,0,(VLOOKUP($D74,$C$5:$AT$507,28,)/VLOOKUP($D74,$C$5:$AT$507,3,))*$E74)</f>
        <v>0</v>
      </c>
      <c r="AE74" s="40">
        <f>IF(VLOOKUP($D74,$C$5:$AT$507,3,)=0,0,(VLOOKUP($D74,$C$5:$AT$507,29,)/VLOOKUP($D74,$C$5:$AT$507,3,))*$E74)</f>
        <v>0</v>
      </c>
      <c r="AF74" s="40">
        <f>IF(VLOOKUP($D74,$C$5:$AT$507,3,)=0,0,(VLOOKUP($D74,$C$5:$AT$507,30,)/VLOOKUP($D74,$C$5:$AT$507,3,))*$E74)</f>
        <v>0</v>
      </c>
      <c r="AG74" s="64">
        <f>SUM(F74:AF74)</f>
        <v>0</v>
      </c>
      <c r="AH74" s="21" t="str">
        <f>IF(ABS(E74-AG74)&lt;0.01,"ok","err")</f>
        <v>ok</v>
      </c>
    </row>
    <row r="75" spans="1:34" x14ac:dyDescent="0.25">
      <c r="E75" s="167"/>
    </row>
    <row r="76" spans="1:34" x14ac:dyDescent="0.25">
      <c r="A76" s="13" t="s">
        <v>469</v>
      </c>
      <c r="E76" s="167"/>
    </row>
    <row r="77" spans="1:34" x14ac:dyDescent="0.25">
      <c r="A77" s="67" t="s">
        <v>220</v>
      </c>
      <c r="C77" s="14" t="s">
        <v>243</v>
      </c>
      <c r="D77" s="14" t="s">
        <v>234</v>
      </c>
      <c r="E77" s="174">
        <f>'Func &amp; Classif'!AA126</f>
        <v>0</v>
      </c>
      <c r="F77" s="40">
        <f>IF(VLOOKUP($D77,$C$5:$AT$507,3,)=0,0,(VLOOKUP($D77,$C$5:$AT$507,4,)/VLOOKUP($D77,$C$5:$AT$507,3,))*$E77)</f>
        <v>0</v>
      </c>
      <c r="G77" s="40">
        <f>IF(VLOOKUP($D77,$C$5:$AT$507,3,)=0,0,(VLOOKUP($D77,$C$5:$AT$507,5,)/VLOOKUP($D77,$C$5:$AT$507,3,))*$E77)</f>
        <v>0</v>
      </c>
      <c r="H77" s="40">
        <f>IF(VLOOKUP($D77,$C$5:$AT$507,3,)=0,0,(VLOOKUP($D77,$C$5:$AT$507,6,)/VLOOKUP($D77,$C$5:$AT$507,3,))*$E77)</f>
        <v>0</v>
      </c>
      <c r="I77" s="40">
        <f>IF(VLOOKUP($D77,$C$5:$AT$507,3,)=0,0,(VLOOKUP($D77,$C$5:$AT$507,7,)/VLOOKUP($D77,$C$5:$AT$507,3,))*$E77)</f>
        <v>0</v>
      </c>
      <c r="J77" s="40">
        <f>IF(VLOOKUP($D77,$C$5:$AT$507,3,)=0,0,(VLOOKUP($D77,$C$5:$AT$507,8,)/VLOOKUP($D77,$C$5:$AT$507,3,))*$E77)</f>
        <v>0</v>
      </c>
      <c r="K77" s="40">
        <f>IF(VLOOKUP($D77,$C$5:$AT$507,3,)=0,0,(VLOOKUP($D77,$C$5:$AT$507,9,)/VLOOKUP($D77,$C$5:$AT$507,3,))*$E77)</f>
        <v>0</v>
      </c>
      <c r="L77" s="40">
        <f>IF(VLOOKUP($D77,$C$5:$AT$507,3,)=0,0,(VLOOKUP($D77,$C$5:$AT$507,10,)/VLOOKUP($D77,$C$5:$AT$507,3,))*$E77)</f>
        <v>0</v>
      </c>
      <c r="M77" s="40">
        <f>IF(VLOOKUP($D77,$C$5:$AT$507,3,)=0,0,(VLOOKUP($D77,$C$5:$AT$507,11,)/VLOOKUP($D77,$C$5:$AT$507,3,))*$E77)</f>
        <v>0</v>
      </c>
      <c r="N77" s="40">
        <f>IF(VLOOKUP($D77,$C$5:$AT$507,3,)=0,0,(VLOOKUP($D77,$C$5:$AT$507,12,)/VLOOKUP($D77,$C$5:$AT$507,3,))*$E77)</f>
        <v>0</v>
      </c>
      <c r="O77" s="40">
        <f>IF(VLOOKUP($D77,$C$5:$AT$507,3,)=0,0,(VLOOKUP($D77,$C$5:$AT$507,13,)/VLOOKUP($D77,$C$5:$AT$507,3,))*$E77)</f>
        <v>0</v>
      </c>
      <c r="P77" s="40">
        <f>IF(VLOOKUP($D77,$C$5:$AT$507,3,)=0,0,(VLOOKUP($D77,$C$5:$AT$507,14,)/VLOOKUP($D77,$C$5:$AT$507,3,))*$E77)</f>
        <v>0</v>
      </c>
      <c r="Q77" s="40">
        <f>IF(VLOOKUP($D77,$C$5:$AT$507,3,)=0,0,(VLOOKUP($D77,$C$5:$AT$507,15,)/VLOOKUP($D77,$C$5:$AT$507,3,))*$E77)</f>
        <v>0</v>
      </c>
      <c r="R77" s="40">
        <f>IF(VLOOKUP($D77,$C$5:$AT$507,3,)=0,0,(VLOOKUP($D77,$C$5:$AT$507,16,)/VLOOKUP($D77,$C$5:$AT$507,3,))*$E77)</f>
        <v>0</v>
      </c>
      <c r="S77" s="40">
        <f>IF(VLOOKUP($D77,$C$5:$AT$507,3,)=0,0,(VLOOKUP($D77,$C$5:$AT$507,17,)/VLOOKUP($D77,$C$5:$AT$507,3,))*$E77)</f>
        <v>0</v>
      </c>
      <c r="T77" s="40">
        <f>IF(VLOOKUP($D77,$C$5:$AT$507,3,)=0,0,(VLOOKUP($D77,$C$5:$AT$507,18,)/VLOOKUP($D77,$C$5:$AT$507,3,))*$E77)</f>
        <v>0</v>
      </c>
      <c r="U77" s="40">
        <f>IF(VLOOKUP($D77,$C$5:$AT$507,3,)=0,0,(VLOOKUP($D77,$C$5:$AT$507,19,)/VLOOKUP($D77,$C$5:$AT$507,3,))*$E77)</f>
        <v>0</v>
      </c>
      <c r="V77" s="40">
        <f>IF(VLOOKUP($D77,$C$5:$AT$507,3,)=0,0,(VLOOKUP($D77,$C$5:$AT$507,20,)/VLOOKUP($D77,$C$5:$AT$507,3,))*$E77)</f>
        <v>0</v>
      </c>
      <c r="W77" s="40">
        <f>IF(VLOOKUP($D77,$C$5:$AT$507,3,)=0,0,(VLOOKUP($D77,$C$5:$AT$507,21,)/VLOOKUP($D77,$C$5:$AT$507,3,))*$E77)</f>
        <v>0</v>
      </c>
      <c r="X77" s="40">
        <f>IF(VLOOKUP($D77,$C$5:$AT$507,3,)=0,0,(VLOOKUP($D77,$C$5:$AT$507,22,)/VLOOKUP($D77,$C$5:$AT$507,3,))*$E77)</f>
        <v>0</v>
      </c>
      <c r="Y77" s="40">
        <f>IF(VLOOKUP($D77,$C$5:$AT$507,3,)=0,0,(VLOOKUP($D77,$C$5:$AT$507,23,)/VLOOKUP($D77,$C$5:$AT$507,3,))*$E77)</f>
        <v>0</v>
      </c>
      <c r="Z77" s="40">
        <f>IF(VLOOKUP($D77,$C$5:$AT$507,3,)=0,0,(VLOOKUP($D77,$C$5:$AT$507,24,)/VLOOKUP($D77,$C$5:$AT$507,3,))*$E77)</f>
        <v>0</v>
      </c>
      <c r="AA77" s="40">
        <f>IF(VLOOKUP($D77,$C$5:$AT$507,3,)=0,0,(VLOOKUP($D77,$C$5:$AT$507,25,)/VLOOKUP($D77,$C$5:$AT$507,3,))*$E77)</f>
        <v>0</v>
      </c>
      <c r="AB77" s="40">
        <f>IF(VLOOKUP($D77,$C$5:$AT$507,3,)=0,0,(VLOOKUP($D77,$C$5:$AT$507,26,)/VLOOKUP($D77,$C$5:$AT$507,3,))*$E77)</f>
        <v>0</v>
      </c>
      <c r="AC77" s="40">
        <f>IF(VLOOKUP($D77,$C$5:$AT$507,3,)=0,0,(VLOOKUP($D77,$C$5:$AT$507,27,)/VLOOKUP($D77,$C$5:$AT$507,3,))*$E77)</f>
        <v>0</v>
      </c>
      <c r="AD77" s="40">
        <f>IF(VLOOKUP($D77,$C$5:$AT$507,3,)=0,0,(VLOOKUP($D77,$C$5:$AT$507,28,)/VLOOKUP($D77,$C$5:$AT$507,3,))*$E77)</f>
        <v>0</v>
      </c>
      <c r="AE77" s="40">
        <f>IF(VLOOKUP($D77,$C$5:$AT$507,3,)=0,0,(VLOOKUP($D77,$C$5:$AT$507,29,)/VLOOKUP($D77,$C$5:$AT$507,3,))*$E77)</f>
        <v>0</v>
      </c>
      <c r="AF77" s="40">
        <f>IF(VLOOKUP($D77,$C$5:$AT$507,3,)=0,0,(VLOOKUP($D77,$C$5:$AT$507,30,)/VLOOKUP($D77,$C$5:$AT$507,3,))*$E77)</f>
        <v>0</v>
      </c>
      <c r="AG77" s="64">
        <f>SUM(F77:AF77)</f>
        <v>0</v>
      </c>
      <c r="AH77" s="21" t="str">
        <f>IF(ABS(E77-AG77)&lt;0.01,"ok","err")</f>
        <v>ok</v>
      </c>
    </row>
    <row r="78" spans="1:34" x14ac:dyDescent="0.25">
      <c r="E78" s="167"/>
    </row>
    <row r="79" spans="1:34" x14ac:dyDescent="0.25">
      <c r="A79" s="14" t="s">
        <v>0</v>
      </c>
      <c r="C79" s="14" t="s">
        <v>247</v>
      </c>
      <c r="E79" s="174">
        <f>E49+E52+E55+E60+E65+E68+E71+E74+E77</f>
        <v>63891547.170000002</v>
      </c>
      <c r="F79" s="40">
        <f t="shared" ref="F79:R79" si="14">F49+F52+F55+F60+F65+F68+F71+F74+F77</f>
        <v>51852753.914843693</v>
      </c>
      <c r="G79" s="40">
        <f t="shared" si="14"/>
        <v>44240.284435243811</v>
      </c>
      <c r="H79" s="40">
        <f t="shared" si="14"/>
        <v>5246098.0967864767</v>
      </c>
      <c r="I79" s="40">
        <f t="shared" si="14"/>
        <v>3726474.6272797035</v>
      </c>
      <c r="J79" s="40">
        <f t="shared" si="14"/>
        <v>537980.42738907703</v>
      </c>
      <c r="K79" s="40">
        <f t="shared" si="14"/>
        <v>2483999.8192658043</v>
      </c>
      <c r="L79" s="40">
        <f t="shared" si="14"/>
        <v>0</v>
      </c>
      <c r="M79" s="40">
        <f t="shared" si="14"/>
        <v>0</v>
      </c>
      <c r="N79" s="40">
        <f t="shared" si="14"/>
        <v>0</v>
      </c>
      <c r="O79" s="40">
        <f t="shared" si="14"/>
        <v>0</v>
      </c>
      <c r="P79" s="40">
        <f t="shared" si="14"/>
        <v>0</v>
      </c>
      <c r="Q79" s="40">
        <f t="shared" si="14"/>
        <v>0</v>
      </c>
      <c r="R79" s="40">
        <f t="shared" si="14"/>
        <v>0</v>
      </c>
      <c r="S79" s="40">
        <f t="shared" ref="S79:AF79" si="15">S49+S55+S60+S65+S68+S71+S74+S77</f>
        <v>0</v>
      </c>
      <c r="T79" s="40">
        <f t="shared" si="15"/>
        <v>0</v>
      </c>
      <c r="U79" s="40">
        <f t="shared" si="15"/>
        <v>0</v>
      </c>
      <c r="V79" s="40">
        <f t="shared" si="15"/>
        <v>0</v>
      </c>
      <c r="W79" s="40">
        <f t="shared" si="15"/>
        <v>0</v>
      </c>
      <c r="X79" s="40">
        <f t="shared" si="15"/>
        <v>0</v>
      </c>
      <c r="Y79" s="40">
        <f t="shared" si="15"/>
        <v>0</v>
      </c>
      <c r="Z79" s="40">
        <f t="shared" si="15"/>
        <v>0</v>
      </c>
      <c r="AA79" s="40">
        <f t="shared" si="15"/>
        <v>0</v>
      </c>
      <c r="AB79" s="40">
        <f t="shared" si="15"/>
        <v>0</v>
      </c>
      <c r="AC79" s="40">
        <f t="shared" si="15"/>
        <v>0</v>
      </c>
      <c r="AD79" s="40">
        <f t="shared" si="15"/>
        <v>0</v>
      </c>
      <c r="AE79" s="40">
        <f t="shared" si="15"/>
        <v>0</v>
      </c>
      <c r="AF79" s="40">
        <f t="shared" si="15"/>
        <v>0</v>
      </c>
      <c r="AG79" s="64">
        <f>SUM(F79:AF79)</f>
        <v>63891547.170000002</v>
      </c>
      <c r="AH79" s="21" t="str">
        <f>IF(ABS(E79-AG79)&lt;0.01,"ok","err")</f>
        <v>ok</v>
      </c>
    </row>
    <row r="80" spans="1:34" x14ac:dyDescent="0.25">
      <c r="F80" s="25"/>
    </row>
    <row r="82" spans="1:34" x14ac:dyDescent="0.25">
      <c r="A82" s="19" t="s">
        <v>248</v>
      </c>
    </row>
    <row r="84" spans="1:34" x14ac:dyDescent="0.25">
      <c r="A84" s="13" t="s">
        <v>885</v>
      </c>
    </row>
    <row r="85" spans="1:34" x14ac:dyDescent="0.25">
      <c r="A85" s="67" t="s">
        <v>208</v>
      </c>
      <c r="C85" s="14" t="s">
        <v>249</v>
      </c>
      <c r="D85" s="14" t="s">
        <v>654</v>
      </c>
      <c r="E85" s="174">
        <f>'Func &amp; Classif'!H144</f>
        <v>0</v>
      </c>
      <c r="F85" s="40">
        <f>IF(VLOOKUP($D85,$C$5:$AT$507,3,)=0,0,(VLOOKUP($D85,$C$5:$AT$507,4,)/VLOOKUP($D85,$C$5:$AT$507,3,))*$E85)</f>
        <v>0</v>
      </c>
      <c r="G85" s="40">
        <f>IF(VLOOKUP($D85,$C$5:$AT$507,3,)=0,0,(VLOOKUP($D85,$C$5:$AT$507,5,)/VLOOKUP($D85,$C$5:$AT$507,3,))*$E85)</f>
        <v>0</v>
      </c>
      <c r="H85" s="40">
        <f>IF(VLOOKUP($D85,$C$5:$AT$507,3,)=0,0,(VLOOKUP($D85,$C$5:$AT$507,6,)/VLOOKUP($D85,$C$5:$AT$507,3,))*$E85)</f>
        <v>0</v>
      </c>
      <c r="I85" s="40">
        <f>IF(VLOOKUP($D85,$C$5:$AT$507,3,)=0,0,(VLOOKUP($D85,$C$5:$AT$507,7,)/VLOOKUP($D85,$C$5:$AT$507,3,))*$E85)</f>
        <v>0</v>
      </c>
      <c r="J85" s="40">
        <f>IF(VLOOKUP($D85,$C$5:$AT$507,3,)=0,0,(VLOOKUP($D85,$C$5:$AT$507,8,)/VLOOKUP($D85,$C$5:$AT$507,3,))*$E85)</f>
        <v>0</v>
      </c>
      <c r="K85" s="40">
        <f>IF(VLOOKUP($D85,$C$5:$AT$507,3,)=0,0,(VLOOKUP($D85,$C$5:$AT$507,9,)/VLOOKUP($D85,$C$5:$AT$507,3,))*$E85)</f>
        <v>0</v>
      </c>
      <c r="L85" s="40">
        <f>IF(VLOOKUP($D85,$C$5:$AT$507,3,)=0,0,(VLOOKUP($D85,$C$5:$AT$507,10,)/VLOOKUP($D85,$C$5:$AT$507,3,))*$E85)</f>
        <v>0</v>
      </c>
      <c r="M85" s="40">
        <f>IF(VLOOKUP($D85,$C$5:$AT$507,3,)=0,0,(VLOOKUP($D85,$C$5:$AT$507,11,)/VLOOKUP($D85,$C$5:$AT$507,3,))*$E85)</f>
        <v>0</v>
      </c>
      <c r="N85" s="40">
        <f>IF(VLOOKUP($D85,$C$5:$AT$507,3,)=0,0,(VLOOKUP($D85,$C$5:$AT$507,12,)/VLOOKUP($D85,$C$5:$AT$507,3,))*$E85)</f>
        <v>0</v>
      </c>
      <c r="O85" s="40">
        <f>IF(VLOOKUP($D85,$C$5:$AT$507,3,)=0,0,(VLOOKUP($D85,$C$5:$AT$507,13,)/VLOOKUP($D85,$C$5:$AT$507,3,))*$E85)</f>
        <v>0</v>
      </c>
      <c r="P85" s="40">
        <f>IF(VLOOKUP($D85,$C$5:$AT$507,3,)=0,0,(VLOOKUP($D85,$C$5:$AT$507,14,)/VLOOKUP($D85,$C$5:$AT$507,3,))*$E85)</f>
        <v>0</v>
      </c>
      <c r="Q85" s="40">
        <f>IF(VLOOKUP($D85,$C$5:$AT$507,3,)=0,0,(VLOOKUP($D85,$C$5:$AT$507,15,)/VLOOKUP($D85,$C$5:$AT$507,3,))*$E85)</f>
        <v>0</v>
      </c>
      <c r="R85" s="40">
        <f>IF(VLOOKUP($D85,$C$5:$AT$507,3,)=0,0,(VLOOKUP($D85,$C$5:$AT$507,16,)/VLOOKUP($D85,$C$5:$AT$507,3,))*$E85)</f>
        <v>0</v>
      </c>
      <c r="S85" s="40">
        <f>IF(VLOOKUP($D85,$C$5:$AT$507,3,)=0,0,(VLOOKUP($D85,$C$5:$AT$507,17,)/VLOOKUP($D85,$C$5:$AT$507,3,))*$E85)</f>
        <v>0</v>
      </c>
      <c r="T85" s="40">
        <f>IF(VLOOKUP($D85,$C$5:$AT$507,3,)=0,0,(VLOOKUP($D85,$C$5:$AT$507,18,)/VLOOKUP($D85,$C$5:$AT$507,3,))*$E85)</f>
        <v>0</v>
      </c>
      <c r="U85" s="40">
        <f>IF(VLOOKUP($D85,$C$5:$AT$507,3,)=0,0,(VLOOKUP($D85,$C$5:$AT$507,19,)/VLOOKUP($D85,$C$5:$AT$507,3,))*$E85)</f>
        <v>0</v>
      </c>
      <c r="V85" s="40">
        <f>IF(VLOOKUP($D85,$C$5:$AT$507,3,)=0,0,(VLOOKUP($D85,$C$5:$AT$507,20,)/VLOOKUP($D85,$C$5:$AT$507,3,))*$E85)</f>
        <v>0</v>
      </c>
      <c r="W85" s="40">
        <f>IF(VLOOKUP($D85,$C$5:$AT$507,3,)=0,0,(VLOOKUP($D85,$C$5:$AT$507,21,)/VLOOKUP($D85,$C$5:$AT$507,3,))*$E85)</f>
        <v>0</v>
      </c>
      <c r="X85" s="40">
        <f>IF(VLOOKUP($D85,$C$5:$AT$507,3,)=0,0,(VLOOKUP($D85,$C$5:$AT$507,22,)/VLOOKUP($D85,$C$5:$AT$507,3,))*$E85)</f>
        <v>0</v>
      </c>
      <c r="Y85" s="40">
        <f>IF(VLOOKUP($D85,$C$5:$AT$507,3,)=0,0,(VLOOKUP($D85,$C$5:$AT$507,23,)/VLOOKUP($D85,$C$5:$AT$507,3,))*$E85)</f>
        <v>0</v>
      </c>
      <c r="Z85" s="40">
        <f>IF(VLOOKUP($D85,$C$5:$AT$507,3,)=0,0,(VLOOKUP($D85,$C$5:$AT$507,24,)/VLOOKUP($D85,$C$5:$AT$507,3,))*$E85)</f>
        <v>0</v>
      </c>
      <c r="AA85" s="40">
        <f>IF(VLOOKUP($D85,$C$5:$AT$507,3,)=0,0,(VLOOKUP($D85,$C$5:$AT$507,25,)/VLOOKUP($D85,$C$5:$AT$507,3,))*$E85)</f>
        <v>0</v>
      </c>
      <c r="AB85" s="40">
        <f>IF(VLOOKUP($D85,$C$5:$AT$507,3,)=0,0,(VLOOKUP($D85,$C$5:$AT$507,26,)/VLOOKUP($D85,$C$5:$AT$507,3,))*$E85)</f>
        <v>0</v>
      </c>
      <c r="AC85" s="40">
        <f>IF(VLOOKUP($D85,$C$5:$AT$507,3,)=0,0,(VLOOKUP($D85,$C$5:$AT$507,27,)/VLOOKUP($D85,$C$5:$AT$507,3,))*$E85)</f>
        <v>0</v>
      </c>
      <c r="AD85" s="40">
        <f>IF(VLOOKUP($D85,$C$5:$AT$507,3,)=0,0,(VLOOKUP($D85,$C$5:$AT$507,28,)/VLOOKUP($D85,$C$5:$AT$507,3,))*$E85)</f>
        <v>0</v>
      </c>
      <c r="AE85" s="40">
        <f>IF(VLOOKUP($D85,$C$5:$AT$507,3,)=0,0,(VLOOKUP($D85,$C$5:$AT$507,29,)/VLOOKUP($D85,$C$5:$AT$507,3,))*$E85)</f>
        <v>0</v>
      </c>
      <c r="AF85" s="40">
        <f>IF(VLOOKUP($D85,$C$5:$AT$507,3,)=0,0,(VLOOKUP($D85,$C$5:$AT$507,30,)/VLOOKUP($D85,$C$5:$AT$507,3,))*$E85)</f>
        <v>0</v>
      </c>
      <c r="AG85" s="64">
        <f>SUM(F85:AF85)</f>
        <v>0</v>
      </c>
      <c r="AH85" s="21" t="str">
        <f>IF(ABS(E85-AG85)&lt;0.01,"ok","err")</f>
        <v>ok</v>
      </c>
    </row>
    <row r="86" spans="1:34" x14ac:dyDescent="0.25">
      <c r="A86" s="67" t="s">
        <v>211</v>
      </c>
      <c r="C86" s="14" t="s">
        <v>250</v>
      </c>
      <c r="D86" s="14" t="s">
        <v>663</v>
      </c>
      <c r="E86" s="167">
        <f>'Func &amp; Classif'!I144</f>
        <v>0</v>
      </c>
      <c r="F86" s="40">
        <f>IF(VLOOKUP($D86,$C$5:$AT$507,3,)=0,0,(VLOOKUP($D86,$C$5:$AT$507,4,)/VLOOKUP($D86,$C$5:$AT$507,3,))*$E86)</f>
        <v>0</v>
      </c>
      <c r="G86" s="40">
        <f>IF(VLOOKUP($D86,$C$5:$AT$507,3,)=0,0,(VLOOKUP($D86,$C$5:$AT$507,5,)/VLOOKUP($D86,$C$5:$AT$507,3,))*$E86)</f>
        <v>0</v>
      </c>
      <c r="H86" s="40">
        <f>IF(VLOOKUP($D86,$C$5:$AT$507,3,)=0,0,(VLOOKUP($D86,$C$5:$AT$507,6,)/VLOOKUP($D86,$C$5:$AT$507,3,))*$E86)</f>
        <v>0</v>
      </c>
      <c r="I86" s="40">
        <f>IF(VLOOKUP($D86,$C$5:$AT$507,3,)=0,0,(VLOOKUP($D86,$C$5:$AT$507,7,)/VLOOKUP($D86,$C$5:$AT$507,3,))*$E86)</f>
        <v>0</v>
      </c>
      <c r="J86" s="40">
        <f>IF(VLOOKUP($D86,$C$5:$AT$507,3,)=0,0,(VLOOKUP($D86,$C$5:$AT$507,8,)/VLOOKUP($D86,$C$5:$AT$507,3,))*$E86)</f>
        <v>0</v>
      </c>
      <c r="K86" s="40">
        <f>IF(VLOOKUP($D86,$C$5:$AT$507,3,)=0,0,(VLOOKUP($D86,$C$5:$AT$507,9,)/VLOOKUP($D86,$C$5:$AT$507,3,))*$E86)</f>
        <v>0</v>
      </c>
      <c r="L86" s="40">
        <f>IF(VLOOKUP($D86,$C$5:$AT$507,3,)=0,0,(VLOOKUP($D86,$C$5:$AT$507,10,)/VLOOKUP($D86,$C$5:$AT$507,3,))*$E86)</f>
        <v>0</v>
      </c>
      <c r="M86" s="40">
        <f>IF(VLOOKUP($D86,$C$5:$AT$507,3,)=0,0,(VLOOKUP($D86,$C$5:$AT$507,11,)/VLOOKUP($D86,$C$5:$AT$507,3,))*$E86)</f>
        <v>0</v>
      </c>
      <c r="N86" s="40">
        <f>IF(VLOOKUP($D86,$C$5:$AT$507,3,)=0,0,(VLOOKUP($D86,$C$5:$AT$507,12,)/VLOOKUP($D86,$C$5:$AT$507,3,))*$E86)</f>
        <v>0</v>
      </c>
      <c r="O86" s="40">
        <f>IF(VLOOKUP($D86,$C$5:$AT$507,3,)=0,0,(VLOOKUP($D86,$C$5:$AT$507,13,)/VLOOKUP($D86,$C$5:$AT$507,3,))*$E86)</f>
        <v>0</v>
      </c>
      <c r="P86" s="40">
        <f>IF(VLOOKUP($D86,$C$5:$AT$507,3,)=0,0,(VLOOKUP($D86,$C$5:$AT$507,14,)/VLOOKUP($D86,$C$5:$AT$507,3,))*$E86)</f>
        <v>0</v>
      </c>
      <c r="Q86" s="40">
        <f>IF(VLOOKUP($D86,$C$5:$AT$507,3,)=0,0,(VLOOKUP($D86,$C$5:$AT$507,15,)/VLOOKUP($D86,$C$5:$AT$507,3,))*$E86)</f>
        <v>0</v>
      </c>
      <c r="R86" s="40">
        <f>IF(VLOOKUP($D86,$C$5:$AT$507,3,)=0,0,(VLOOKUP($D86,$C$5:$AT$507,16,)/VLOOKUP($D86,$C$5:$AT$507,3,))*$E86)</f>
        <v>0</v>
      </c>
      <c r="S86" s="40">
        <f>IF(VLOOKUP($D86,$C$5:$AT$507,3,)=0,0,(VLOOKUP($D86,$C$5:$AT$507,17,)/VLOOKUP($D86,$C$5:$AT$507,3,))*$E86)</f>
        <v>0</v>
      </c>
      <c r="T86" s="40">
        <f>IF(VLOOKUP($D86,$C$5:$AT$507,3,)=0,0,(VLOOKUP($D86,$C$5:$AT$507,18,)/VLOOKUP($D86,$C$5:$AT$507,3,))*$E86)</f>
        <v>0</v>
      </c>
      <c r="U86" s="40">
        <f>IF(VLOOKUP($D86,$C$5:$AT$507,3,)=0,0,(VLOOKUP($D86,$C$5:$AT$507,19,)/VLOOKUP($D86,$C$5:$AT$507,3,))*$E86)</f>
        <v>0</v>
      </c>
      <c r="V86" s="40">
        <f>IF(VLOOKUP($D86,$C$5:$AT$507,3,)=0,0,(VLOOKUP($D86,$C$5:$AT$507,20,)/VLOOKUP($D86,$C$5:$AT$507,3,))*$E86)</f>
        <v>0</v>
      </c>
      <c r="W86" s="40">
        <f>IF(VLOOKUP($D86,$C$5:$AT$507,3,)=0,0,(VLOOKUP($D86,$C$5:$AT$507,21,)/VLOOKUP($D86,$C$5:$AT$507,3,))*$E86)</f>
        <v>0</v>
      </c>
      <c r="X86" s="40">
        <f>IF(VLOOKUP($D86,$C$5:$AT$507,3,)=0,0,(VLOOKUP($D86,$C$5:$AT$507,22,)/VLOOKUP($D86,$C$5:$AT$507,3,))*$E86)</f>
        <v>0</v>
      </c>
      <c r="Y86" s="40">
        <f>IF(VLOOKUP($D86,$C$5:$AT$507,3,)=0,0,(VLOOKUP($D86,$C$5:$AT$507,23,)/VLOOKUP($D86,$C$5:$AT$507,3,))*$E86)</f>
        <v>0</v>
      </c>
      <c r="Z86" s="40">
        <f>IF(VLOOKUP($D86,$C$5:$AT$507,3,)=0,0,(VLOOKUP($D86,$C$5:$AT$507,24,)/VLOOKUP($D86,$C$5:$AT$507,3,))*$E86)</f>
        <v>0</v>
      </c>
      <c r="AA86" s="40">
        <f>IF(VLOOKUP($D86,$C$5:$AT$507,3,)=0,0,(VLOOKUP($D86,$C$5:$AT$507,25,)/VLOOKUP($D86,$C$5:$AT$507,3,))*$E86)</f>
        <v>0</v>
      </c>
      <c r="AB86" s="40">
        <f>IF(VLOOKUP($D86,$C$5:$AT$507,3,)=0,0,(VLOOKUP($D86,$C$5:$AT$507,26,)/VLOOKUP($D86,$C$5:$AT$507,3,))*$E86)</f>
        <v>0</v>
      </c>
      <c r="AC86" s="40">
        <f>IF(VLOOKUP($D86,$C$5:$AT$507,3,)=0,0,(VLOOKUP($D86,$C$5:$AT$507,27,)/VLOOKUP($D86,$C$5:$AT$507,3,))*$E86)</f>
        <v>0</v>
      </c>
      <c r="AD86" s="40">
        <f>IF(VLOOKUP($D86,$C$5:$AT$507,3,)=0,0,(VLOOKUP($D86,$C$5:$AT$507,28,)/VLOOKUP($D86,$C$5:$AT$507,3,))*$E86)</f>
        <v>0</v>
      </c>
      <c r="AE86" s="40">
        <f>IF(VLOOKUP($D86,$C$5:$AT$507,3,)=0,0,(VLOOKUP($D86,$C$5:$AT$507,29,)/VLOOKUP($D86,$C$5:$AT$507,3,))*$E86)</f>
        <v>0</v>
      </c>
      <c r="AF86" s="40">
        <f>IF(VLOOKUP($D86,$C$5:$AT$507,3,)=0,0,(VLOOKUP($D86,$C$5:$AT$507,30,)/VLOOKUP($D86,$C$5:$AT$507,3,))*$E86)</f>
        <v>0</v>
      </c>
      <c r="AG86" s="64">
        <f>SUM(F86:AF86)</f>
        <v>0</v>
      </c>
      <c r="AH86" s="21" t="str">
        <f>IF(ABS(E86-AG86)&lt;0.01,"ok","err")</f>
        <v>ok</v>
      </c>
    </row>
    <row r="87" spans="1:34" x14ac:dyDescent="0.25">
      <c r="A87" s="14" t="s">
        <v>214</v>
      </c>
      <c r="C87" s="14" t="s">
        <v>251</v>
      </c>
      <c r="E87" s="167">
        <f t="shared" ref="E87:T87" si="16">E85+E86</f>
        <v>0</v>
      </c>
      <c r="F87" s="40">
        <f t="shared" si="16"/>
        <v>0</v>
      </c>
      <c r="G87" s="40">
        <f t="shared" si="16"/>
        <v>0</v>
      </c>
      <c r="H87" s="40">
        <f t="shared" si="16"/>
        <v>0</v>
      </c>
      <c r="I87" s="40">
        <f t="shared" si="16"/>
        <v>0</v>
      </c>
      <c r="J87" s="40">
        <f t="shared" si="16"/>
        <v>0</v>
      </c>
      <c r="K87" s="40">
        <f t="shared" si="16"/>
        <v>0</v>
      </c>
      <c r="L87" s="40">
        <f t="shared" si="16"/>
        <v>0</v>
      </c>
      <c r="M87" s="40">
        <f t="shared" si="16"/>
        <v>0</v>
      </c>
      <c r="N87" s="40">
        <f t="shared" si="16"/>
        <v>0</v>
      </c>
      <c r="O87" s="40">
        <f t="shared" si="16"/>
        <v>0</v>
      </c>
      <c r="P87" s="40">
        <f t="shared" si="16"/>
        <v>0</v>
      </c>
      <c r="Q87" s="40">
        <f t="shared" si="16"/>
        <v>0</v>
      </c>
      <c r="R87" s="40">
        <f t="shared" si="16"/>
        <v>0</v>
      </c>
      <c r="S87" s="40">
        <f t="shared" si="16"/>
        <v>0</v>
      </c>
      <c r="T87" s="40">
        <f t="shared" si="16"/>
        <v>0</v>
      </c>
      <c r="U87" s="40">
        <f t="shared" ref="U87:AF87" si="17">U85+U86</f>
        <v>0</v>
      </c>
      <c r="V87" s="40">
        <f t="shared" si="17"/>
        <v>0</v>
      </c>
      <c r="W87" s="40">
        <f t="shared" si="17"/>
        <v>0</v>
      </c>
      <c r="X87" s="40">
        <f t="shared" si="17"/>
        <v>0</v>
      </c>
      <c r="Y87" s="40">
        <f t="shared" si="17"/>
        <v>0</v>
      </c>
      <c r="Z87" s="40">
        <f t="shared" si="17"/>
        <v>0</v>
      </c>
      <c r="AA87" s="40">
        <f t="shared" si="17"/>
        <v>0</v>
      </c>
      <c r="AB87" s="40">
        <f t="shared" si="17"/>
        <v>0</v>
      </c>
      <c r="AC87" s="40">
        <f t="shared" si="17"/>
        <v>0</v>
      </c>
      <c r="AD87" s="40">
        <f t="shared" si="17"/>
        <v>0</v>
      </c>
      <c r="AE87" s="40">
        <f t="shared" si="17"/>
        <v>0</v>
      </c>
      <c r="AF87" s="40">
        <f t="shared" si="17"/>
        <v>0</v>
      </c>
      <c r="AG87" s="64">
        <f>SUM(F87:AF87)</f>
        <v>0</v>
      </c>
      <c r="AH87" s="21" t="str">
        <f>IF(ABS(E87-AG87)&lt;0.01,"ok","err")</f>
        <v>ok</v>
      </c>
    </row>
    <row r="88" spans="1:34" x14ac:dyDescent="0.25">
      <c r="E88" s="167"/>
      <c r="F88" s="27"/>
    </row>
    <row r="89" spans="1:34" x14ac:dyDescent="0.25">
      <c r="A89" s="13" t="s">
        <v>349</v>
      </c>
      <c r="E89" s="167"/>
      <c r="F89" s="27"/>
    </row>
    <row r="90" spans="1:34" x14ac:dyDescent="0.25">
      <c r="A90" s="67" t="s">
        <v>208</v>
      </c>
      <c r="C90" s="14" t="s">
        <v>876</v>
      </c>
      <c r="D90" s="14" t="s">
        <v>596</v>
      </c>
      <c r="E90" s="174">
        <f>'Func &amp; Classif'!K144</f>
        <v>0</v>
      </c>
      <c r="F90" s="40">
        <f>IF(VLOOKUP($D90,$C$5:$AT$507,3,)=0,0,(VLOOKUP($D90,$C$5:$AT$507,4,)/VLOOKUP($D90,$C$5:$AT$507,3,))*$E90)</f>
        <v>0</v>
      </c>
      <c r="G90" s="40">
        <f>IF(VLOOKUP($D90,$C$5:$AT$507,3,)=0,0,(VLOOKUP($D90,$C$5:$AT$507,5,)/VLOOKUP($D90,$C$5:$AT$507,3,))*$E90)</f>
        <v>0</v>
      </c>
      <c r="H90" s="40">
        <f>IF(VLOOKUP($D90,$C$5:$AT$507,3,)=0,0,(VLOOKUP($D90,$C$5:$AT$507,6,)/VLOOKUP($D90,$C$5:$AT$507,3,))*$E90)</f>
        <v>0</v>
      </c>
      <c r="I90" s="40">
        <f>IF(VLOOKUP($D90,$C$5:$AT$507,3,)=0,0,(VLOOKUP($D90,$C$5:$AT$507,7,)/VLOOKUP($D90,$C$5:$AT$507,3,))*$E90)</f>
        <v>0</v>
      </c>
      <c r="J90" s="40">
        <f>IF(VLOOKUP($D90,$C$5:$AT$507,3,)=0,0,(VLOOKUP($D90,$C$5:$AT$507,8,)/VLOOKUP($D90,$C$5:$AT$507,3,))*$E90)</f>
        <v>0</v>
      </c>
      <c r="K90" s="40">
        <f>IF(VLOOKUP($D90,$C$5:$AT$507,3,)=0,0,(VLOOKUP($D90,$C$5:$AT$507,9,)/VLOOKUP($D90,$C$5:$AT$507,3,))*$E90)</f>
        <v>0</v>
      </c>
      <c r="L90" s="40">
        <f>IF(VLOOKUP($D90,$C$5:$AT$507,3,)=0,0,(VLOOKUP($D90,$C$5:$AT$507,10,)/VLOOKUP($D90,$C$5:$AT$507,3,))*$E90)</f>
        <v>0</v>
      </c>
      <c r="M90" s="40">
        <f>IF(VLOOKUP($D90,$C$5:$AT$507,3,)=0,0,(VLOOKUP($D90,$C$5:$AT$507,11,)/VLOOKUP($D90,$C$5:$AT$507,3,))*$E90)</f>
        <v>0</v>
      </c>
      <c r="N90" s="40">
        <f>IF(VLOOKUP($D90,$C$5:$AT$507,3,)=0,0,(VLOOKUP($D90,$C$5:$AT$507,12,)/VLOOKUP($D90,$C$5:$AT$507,3,))*$E90)</f>
        <v>0</v>
      </c>
      <c r="O90" s="40">
        <f>IF(VLOOKUP($D90,$C$5:$AT$507,3,)=0,0,(VLOOKUP($D90,$C$5:$AT$507,13,)/VLOOKUP($D90,$C$5:$AT$507,3,))*$E90)</f>
        <v>0</v>
      </c>
      <c r="P90" s="40">
        <f>IF(VLOOKUP($D90,$C$5:$AT$507,3,)=0,0,(VLOOKUP($D90,$C$5:$AT$507,14,)/VLOOKUP($D90,$C$5:$AT$507,3,))*$E90)</f>
        <v>0</v>
      </c>
      <c r="Q90" s="40">
        <f>IF(VLOOKUP($D90,$C$5:$AT$507,3,)=0,0,(VLOOKUP($D90,$C$5:$AT$507,15,)/VLOOKUP($D90,$C$5:$AT$507,3,))*$E90)</f>
        <v>0</v>
      </c>
      <c r="R90" s="40">
        <f>IF(VLOOKUP($D90,$C$5:$AT$507,3,)=0,0,(VLOOKUP($D90,$C$5:$AT$507,16,)/VLOOKUP($D90,$C$5:$AT$507,3,))*$E90)</f>
        <v>0</v>
      </c>
      <c r="S90" s="40">
        <f>IF(VLOOKUP($D90,$C$5:$AT$507,3,)=0,0,(VLOOKUP($D90,$C$5:$AT$507,17,)/VLOOKUP($D90,$C$5:$AT$507,3,))*$E90)</f>
        <v>0</v>
      </c>
      <c r="T90" s="40">
        <f>IF(VLOOKUP($D90,$C$5:$AT$507,3,)=0,0,(VLOOKUP($D90,$C$5:$AT$507,18,)/VLOOKUP($D90,$C$5:$AT$507,3,))*$E90)</f>
        <v>0</v>
      </c>
      <c r="U90" s="40">
        <f>IF(VLOOKUP($D90,$C$5:$AT$507,3,)=0,0,(VLOOKUP($D90,$C$5:$AT$507,19,)/VLOOKUP($D90,$C$5:$AT$507,3,))*$E90)</f>
        <v>0</v>
      </c>
      <c r="V90" s="40">
        <f>IF(VLOOKUP($D90,$C$5:$AT$507,3,)=0,0,(VLOOKUP($D90,$C$5:$AT$507,20,)/VLOOKUP($D90,$C$5:$AT$507,3,))*$E90)</f>
        <v>0</v>
      </c>
      <c r="W90" s="40">
        <f>IF(VLOOKUP($D90,$C$5:$AT$507,3,)=0,0,(VLOOKUP($D90,$C$5:$AT$507,21,)/VLOOKUP($D90,$C$5:$AT$507,3,))*$E90)</f>
        <v>0</v>
      </c>
      <c r="X90" s="40">
        <f>IF(VLOOKUP($D90,$C$5:$AT$507,3,)=0,0,(VLOOKUP($D90,$C$5:$AT$507,22,)/VLOOKUP($D90,$C$5:$AT$507,3,))*$E90)</f>
        <v>0</v>
      </c>
      <c r="Y90" s="40">
        <f>IF(VLOOKUP($D90,$C$5:$AT$507,3,)=0,0,(VLOOKUP($D90,$C$5:$AT$507,23,)/VLOOKUP($D90,$C$5:$AT$507,3,))*$E90)</f>
        <v>0</v>
      </c>
      <c r="Z90" s="40">
        <f>IF(VLOOKUP($D90,$C$5:$AT$507,3,)=0,0,(VLOOKUP($D90,$C$5:$AT$507,24,)/VLOOKUP($D90,$C$5:$AT$507,3,))*$E90)</f>
        <v>0</v>
      </c>
      <c r="AA90" s="40">
        <f>IF(VLOOKUP($D90,$C$5:$AT$507,3,)=0,0,(VLOOKUP($D90,$C$5:$AT$507,25,)/VLOOKUP($D90,$C$5:$AT$507,3,))*$E90)</f>
        <v>0</v>
      </c>
      <c r="AB90" s="40">
        <f>IF(VLOOKUP($D90,$C$5:$AT$507,3,)=0,0,(VLOOKUP($D90,$C$5:$AT$507,26,)/VLOOKUP($D90,$C$5:$AT$507,3,))*$E90)</f>
        <v>0</v>
      </c>
      <c r="AC90" s="40">
        <f>IF(VLOOKUP($D90,$C$5:$AT$507,3,)=0,0,(VLOOKUP($D90,$C$5:$AT$507,27,)/VLOOKUP($D90,$C$5:$AT$507,3,))*$E90)</f>
        <v>0</v>
      </c>
      <c r="AD90" s="40">
        <f>IF(VLOOKUP($D90,$C$5:$AT$507,3,)=0,0,(VLOOKUP($D90,$C$5:$AT$507,28,)/VLOOKUP($D90,$C$5:$AT$507,3,))*$E90)</f>
        <v>0</v>
      </c>
      <c r="AE90" s="40">
        <f>IF(VLOOKUP($D90,$C$5:$AT$507,3,)=0,0,(VLOOKUP($D90,$C$5:$AT$507,29,)/VLOOKUP($D90,$C$5:$AT$507,3,))*$E90)</f>
        <v>0</v>
      </c>
      <c r="AF90" s="40">
        <f>IF(VLOOKUP($D90,$C$5:$AT$507,3,)=0,0,(VLOOKUP($D90,$C$5:$AT$507,30,)/VLOOKUP($D90,$C$5:$AT$507,3,))*$E90)</f>
        <v>0</v>
      </c>
      <c r="AG90" s="64">
        <f>SUM(F90:AF90)</f>
        <v>0</v>
      </c>
      <c r="AH90" s="21" t="str">
        <f>IF(ABS(E90-AG90)&lt;0.01,"ok","err")</f>
        <v>ok</v>
      </c>
    </row>
    <row r="91" spans="1:34" x14ac:dyDescent="0.25">
      <c r="E91" s="167"/>
    </row>
    <row r="92" spans="1:34" x14ac:dyDescent="0.25">
      <c r="A92" s="13" t="s">
        <v>1</v>
      </c>
      <c r="E92" s="167"/>
      <c r="F92" s="27"/>
    </row>
    <row r="93" spans="1:34" x14ac:dyDescent="0.25">
      <c r="A93" s="67" t="s">
        <v>208</v>
      </c>
      <c r="C93" s="14" t="s">
        <v>252</v>
      </c>
      <c r="D93" s="14" t="s">
        <v>612</v>
      </c>
      <c r="E93" s="174">
        <f>'Func &amp; Classif'!M144</f>
        <v>0</v>
      </c>
      <c r="F93" s="40">
        <f>IF(VLOOKUP($D93,$C$5:$AT$507,3,)=0,0,(VLOOKUP($D93,$C$5:$AT$507,4,)/VLOOKUP($D93,$C$5:$AT$507,3,))*$E93)</f>
        <v>0</v>
      </c>
      <c r="G93" s="40">
        <f>IF(VLOOKUP($D93,$C$5:$AT$507,3,)=0,0,(VLOOKUP($D93,$C$5:$AT$507,5,)/VLOOKUP($D93,$C$5:$AT$507,3,))*$E93)</f>
        <v>0</v>
      </c>
      <c r="H93" s="40">
        <f>IF(VLOOKUP($D93,$C$5:$AT$507,3,)=0,0,(VLOOKUP($D93,$C$5:$AT$507,6,)/VLOOKUP($D93,$C$5:$AT$507,3,))*$E93)</f>
        <v>0</v>
      </c>
      <c r="I93" s="40">
        <f>IF(VLOOKUP($D93,$C$5:$AT$507,3,)=0,0,(VLOOKUP($D93,$C$5:$AT$507,7,)/VLOOKUP($D93,$C$5:$AT$507,3,))*$E93)</f>
        <v>0</v>
      </c>
      <c r="J93" s="40">
        <f>IF(VLOOKUP($D93,$C$5:$AT$507,3,)=0,0,(VLOOKUP($D93,$C$5:$AT$507,8,)/VLOOKUP($D93,$C$5:$AT$507,3,))*$E93)</f>
        <v>0</v>
      </c>
      <c r="K93" s="40">
        <f>IF(VLOOKUP($D93,$C$5:$AT$507,3,)=0,0,(VLOOKUP($D93,$C$5:$AT$507,9,)/VLOOKUP($D93,$C$5:$AT$507,3,))*$E93)</f>
        <v>0</v>
      </c>
      <c r="L93" s="40">
        <f>IF(VLOOKUP($D93,$C$5:$AT$507,3,)=0,0,(VLOOKUP($D93,$C$5:$AT$507,10,)/VLOOKUP($D93,$C$5:$AT$507,3,))*$E93)</f>
        <v>0</v>
      </c>
      <c r="M93" s="40">
        <f>IF(VLOOKUP($D93,$C$5:$AT$507,3,)=0,0,(VLOOKUP($D93,$C$5:$AT$507,11,)/VLOOKUP($D93,$C$5:$AT$507,3,))*$E93)</f>
        <v>0</v>
      </c>
      <c r="N93" s="40">
        <f>IF(VLOOKUP($D93,$C$5:$AT$507,3,)=0,0,(VLOOKUP($D93,$C$5:$AT$507,12,)/VLOOKUP($D93,$C$5:$AT$507,3,))*$E93)</f>
        <v>0</v>
      </c>
      <c r="O93" s="40">
        <f>IF(VLOOKUP($D93,$C$5:$AT$507,3,)=0,0,(VLOOKUP($D93,$C$5:$AT$507,13,)/VLOOKUP($D93,$C$5:$AT$507,3,))*$E93)</f>
        <v>0</v>
      </c>
      <c r="P93" s="40">
        <f>IF(VLOOKUP($D93,$C$5:$AT$507,3,)=0,0,(VLOOKUP($D93,$C$5:$AT$507,14,)/VLOOKUP($D93,$C$5:$AT$507,3,))*$E93)</f>
        <v>0</v>
      </c>
      <c r="Q93" s="40">
        <f>IF(VLOOKUP($D93,$C$5:$AT$507,3,)=0,0,(VLOOKUP($D93,$C$5:$AT$507,15,)/VLOOKUP($D93,$C$5:$AT$507,3,))*$E93)</f>
        <v>0</v>
      </c>
      <c r="R93" s="40">
        <f>IF(VLOOKUP($D93,$C$5:$AT$507,3,)=0,0,(VLOOKUP($D93,$C$5:$AT$507,16,)/VLOOKUP($D93,$C$5:$AT$507,3,))*$E93)</f>
        <v>0</v>
      </c>
      <c r="S93" s="40">
        <f>IF(VLOOKUP($D93,$C$5:$AT$507,3,)=0,0,(VLOOKUP($D93,$C$5:$AT$507,17,)/VLOOKUP($D93,$C$5:$AT$507,3,))*$E93)</f>
        <v>0</v>
      </c>
      <c r="T93" s="40">
        <f>IF(VLOOKUP($D93,$C$5:$AT$507,3,)=0,0,(VLOOKUP($D93,$C$5:$AT$507,18,)/VLOOKUP($D93,$C$5:$AT$507,3,))*$E93)</f>
        <v>0</v>
      </c>
      <c r="U93" s="40">
        <f>IF(VLOOKUP($D93,$C$5:$AT$507,3,)=0,0,(VLOOKUP($D93,$C$5:$AT$507,19,)/VLOOKUP($D93,$C$5:$AT$507,3,))*$E93)</f>
        <v>0</v>
      </c>
      <c r="V93" s="40">
        <f>IF(VLOOKUP($D93,$C$5:$AT$507,3,)=0,0,(VLOOKUP($D93,$C$5:$AT$507,20,)/VLOOKUP($D93,$C$5:$AT$507,3,))*$E93)</f>
        <v>0</v>
      </c>
      <c r="W93" s="40">
        <f>IF(VLOOKUP($D93,$C$5:$AT$507,3,)=0,0,(VLOOKUP($D93,$C$5:$AT$507,21,)/VLOOKUP($D93,$C$5:$AT$507,3,))*$E93)</f>
        <v>0</v>
      </c>
      <c r="X93" s="40">
        <f>IF(VLOOKUP($D93,$C$5:$AT$507,3,)=0,0,(VLOOKUP($D93,$C$5:$AT$507,22,)/VLOOKUP($D93,$C$5:$AT$507,3,))*$E93)</f>
        <v>0</v>
      </c>
      <c r="Y93" s="40">
        <f>IF(VLOOKUP($D93,$C$5:$AT$507,3,)=0,0,(VLOOKUP($D93,$C$5:$AT$507,23,)/VLOOKUP($D93,$C$5:$AT$507,3,))*$E93)</f>
        <v>0</v>
      </c>
      <c r="Z93" s="40">
        <f>IF(VLOOKUP($D93,$C$5:$AT$507,3,)=0,0,(VLOOKUP($D93,$C$5:$AT$507,24,)/VLOOKUP($D93,$C$5:$AT$507,3,))*$E93)</f>
        <v>0</v>
      </c>
      <c r="AA93" s="40">
        <f>IF(VLOOKUP($D93,$C$5:$AT$507,3,)=0,0,(VLOOKUP($D93,$C$5:$AT$507,25,)/VLOOKUP($D93,$C$5:$AT$507,3,))*$E93)</f>
        <v>0</v>
      </c>
      <c r="AB93" s="40">
        <f>IF(VLOOKUP($D93,$C$5:$AT$507,3,)=0,0,(VLOOKUP($D93,$C$5:$AT$507,26,)/VLOOKUP($D93,$C$5:$AT$507,3,))*$E93)</f>
        <v>0</v>
      </c>
      <c r="AC93" s="40">
        <f>IF(VLOOKUP($D93,$C$5:$AT$507,3,)=0,0,(VLOOKUP($D93,$C$5:$AT$507,27,)/VLOOKUP($D93,$C$5:$AT$507,3,))*$E93)</f>
        <v>0</v>
      </c>
      <c r="AD93" s="40">
        <f>IF(VLOOKUP($D93,$C$5:$AT$507,3,)=0,0,(VLOOKUP($D93,$C$5:$AT$507,28,)/VLOOKUP($D93,$C$5:$AT$507,3,))*$E93)</f>
        <v>0</v>
      </c>
      <c r="AE93" s="40">
        <f>IF(VLOOKUP($D93,$C$5:$AT$507,3,)=0,0,(VLOOKUP($D93,$C$5:$AT$507,29,)/VLOOKUP($D93,$C$5:$AT$507,3,))*$E93)</f>
        <v>0</v>
      </c>
      <c r="AF93" s="40">
        <f>IF(VLOOKUP($D93,$C$5:$AT$507,3,)=0,0,(VLOOKUP($D93,$C$5:$AT$507,30,)/VLOOKUP($D93,$C$5:$AT$507,3,))*$E93)</f>
        <v>0</v>
      </c>
      <c r="AG93" s="64">
        <f>SUM(F93:AF93)</f>
        <v>0</v>
      </c>
      <c r="AH93" s="21" t="str">
        <f>IF(ABS(E93-AG93)&lt;0.01,"ok","err")</f>
        <v>ok</v>
      </c>
    </row>
    <row r="94" spans="1:34" x14ac:dyDescent="0.25">
      <c r="E94" s="167"/>
    </row>
    <row r="95" spans="1:34" x14ac:dyDescent="0.25">
      <c r="A95" s="13" t="s">
        <v>2</v>
      </c>
      <c r="E95" s="167"/>
    </row>
    <row r="96" spans="1:34" x14ac:dyDescent="0.25">
      <c r="A96" s="67" t="s">
        <v>208</v>
      </c>
      <c r="C96" s="14" t="s">
        <v>253</v>
      </c>
      <c r="D96" s="14" t="s">
        <v>604</v>
      </c>
      <c r="E96" s="174">
        <f>'Func &amp; Classif'!O144</f>
        <v>26355924.921820596</v>
      </c>
      <c r="F96" s="40">
        <f>IF(VLOOKUP($D96,$C$5:$AT$507,3,)=0,0,(VLOOKUP($D96,$C$5:$AT$507,4,)/VLOOKUP($D96,$C$5:$AT$507,3,))*$E96)</f>
        <v>21693198.739952087</v>
      </c>
      <c r="G96" s="40">
        <f>IF(VLOOKUP($D96,$C$5:$AT$507,3,)=0,0,(VLOOKUP($D96,$C$5:$AT$507,5,)/VLOOKUP($D96,$C$5:$AT$507,3,))*$E96)</f>
        <v>21473.951459015865</v>
      </c>
      <c r="H96" s="40">
        <f>IF(VLOOKUP($D96,$C$5:$AT$507,3,)=0,0,(VLOOKUP($D96,$C$5:$AT$507,6,)/VLOOKUP($D96,$C$5:$AT$507,3,))*$E96)</f>
        <v>1133361.6370879742</v>
      </c>
      <c r="I96" s="40">
        <f>IF(VLOOKUP($D96,$C$5:$AT$507,3,)=0,0,(VLOOKUP($D96,$C$5:$AT$507,7,)/VLOOKUP($D96,$C$5:$AT$507,3,))*$E96)</f>
        <v>2991453.7932745246</v>
      </c>
      <c r="J96" s="40">
        <f>IF(VLOOKUP($D96,$C$5:$AT$507,3,)=0,0,(VLOOKUP($D96,$C$5:$AT$507,8,)/VLOOKUP($D96,$C$5:$AT$507,3,))*$E96)</f>
        <v>516436.80004699057</v>
      </c>
      <c r="K96" s="40">
        <f>IF(VLOOKUP($D96,$C$5:$AT$507,3,)=0,0,(VLOOKUP($D96,$C$5:$AT$507,9,)/VLOOKUP($D96,$C$5:$AT$507,3,))*$E96)</f>
        <v>0</v>
      </c>
      <c r="L96" s="40">
        <f>IF(VLOOKUP($D96,$C$5:$AT$507,3,)=0,0,(VLOOKUP($D96,$C$5:$AT$507,10,)/VLOOKUP($D96,$C$5:$AT$507,3,))*$E96)</f>
        <v>0</v>
      </c>
      <c r="M96" s="40">
        <f>IF(VLOOKUP($D96,$C$5:$AT$507,3,)=0,0,(VLOOKUP($D96,$C$5:$AT$507,11,)/VLOOKUP($D96,$C$5:$AT$507,3,))*$E96)</f>
        <v>0</v>
      </c>
      <c r="N96" s="40">
        <f>IF(VLOOKUP($D96,$C$5:$AT$507,3,)=0,0,(VLOOKUP($D96,$C$5:$AT$507,12,)/VLOOKUP($D96,$C$5:$AT$507,3,))*$E96)</f>
        <v>0</v>
      </c>
      <c r="O96" s="40">
        <f>IF(VLOOKUP($D96,$C$5:$AT$507,3,)=0,0,(VLOOKUP($D96,$C$5:$AT$507,13,)/VLOOKUP($D96,$C$5:$AT$507,3,))*$E96)</f>
        <v>0</v>
      </c>
      <c r="P96" s="40">
        <f>IF(VLOOKUP($D96,$C$5:$AT$507,3,)=0,0,(VLOOKUP($D96,$C$5:$AT$507,14,)/VLOOKUP($D96,$C$5:$AT$507,3,))*$E96)</f>
        <v>0</v>
      </c>
      <c r="Q96" s="40">
        <f>IF(VLOOKUP($D96,$C$5:$AT$507,3,)=0,0,(VLOOKUP($D96,$C$5:$AT$507,15,)/VLOOKUP($D96,$C$5:$AT$507,3,))*$E96)</f>
        <v>0</v>
      </c>
      <c r="R96" s="40">
        <f>IF(VLOOKUP($D96,$C$5:$AT$507,3,)=0,0,(VLOOKUP($D96,$C$5:$AT$507,16,)/VLOOKUP($D96,$C$5:$AT$507,3,))*$E96)</f>
        <v>0</v>
      </c>
      <c r="S96" s="40">
        <f>IF(VLOOKUP($D96,$C$5:$AT$507,3,)=0,0,(VLOOKUP($D96,$C$5:$AT$507,17,)/VLOOKUP($D96,$C$5:$AT$507,3,))*$E96)</f>
        <v>0</v>
      </c>
      <c r="T96" s="40">
        <f>IF(VLOOKUP($D96,$C$5:$AT$507,3,)=0,0,(VLOOKUP($D96,$C$5:$AT$507,18,)/VLOOKUP($D96,$C$5:$AT$507,3,))*$E96)</f>
        <v>0</v>
      </c>
      <c r="U96" s="40">
        <f>IF(VLOOKUP($D96,$C$5:$AT$507,3,)=0,0,(VLOOKUP($D96,$C$5:$AT$507,19,)/VLOOKUP($D96,$C$5:$AT$507,3,))*$E96)</f>
        <v>0</v>
      </c>
      <c r="V96" s="40">
        <f>IF(VLOOKUP($D96,$C$5:$AT$507,3,)=0,0,(VLOOKUP($D96,$C$5:$AT$507,20,)/VLOOKUP($D96,$C$5:$AT$507,3,))*$E96)</f>
        <v>0</v>
      </c>
      <c r="W96" s="40">
        <f>IF(VLOOKUP($D96,$C$5:$AT$507,3,)=0,0,(VLOOKUP($D96,$C$5:$AT$507,21,)/VLOOKUP($D96,$C$5:$AT$507,3,))*$E96)</f>
        <v>0</v>
      </c>
      <c r="X96" s="40">
        <f>IF(VLOOKUP($D96,$C$5:$AT$507,3,)=0,0,(VLOOKUP($D96,$C$5:$AT$507,22,)/VLOOKUP($D96,$C$5:$AT$507,3,))*$E96)</f>
        <v>0</v>
      </c>
      <c r="Y96" s="40">
        <f>IF(VLOOKUP($D96,$C$5:$AT$507,3,)=0,0,(VLOOKUP($D96,$C$5:$AT$507,23,)/VLOOKUP($D96,$C$5:$AT$507,3,))*$E96)</f>
        <v>0</v>
      </c>
      <c r="Z96" s="40">
        <f>IF(VLOOKUP($D96,$C$5:$AT$507,3,)=0,0,(VLOOKUP($D96,$C$5:$AT$507,24,)/VLOOKUP($D96,$C$5:$AT$507,3,))*$E96)</f>
        <v>0</v>
      </c>
      <c r="AA96" s="40">
        <f>IF(VLOOKUP($D96,$C$5:$AT$507,3,)=0,0,(VLOOKUP($D96,$C$5:$AT$507,25,)/VLOOKUP($D96,$C$5:$AT$507,3,))*$E96)</f>
        <v>0</v>
      </c>
      <c r="AB96" s="40">
        <f>IF(VLOOKUP($D96,$C$5:$AT$507,3,)=0,0,(VLOOKUP($D96,$C$5:$AT$507,26,)/VLOOKUP($D96,$C$5:$AT$507,3,))*$E96)</f>
        <v>0</v>
      </c>
      <c r="AC96" s="40">
        <f>IF(VLOOKUP($D96,$C$5:$AT$507,3,)=0,0,(VLOOKUP($D96,$C$5:$AT$507,27,)/VLOOKUP($D96,$C$5:$AT$507,3,))*$E96)</f>
        <v>0</v>
      </c>
      <c r="AD96" s="40">
        <f>IF(VLOOKUP($D96,$C$5:$AT$507,3,)=0,0,(VLOOKUP($D96,$C$5:$AT$507,28,)/VLOOKUP($D96,$C$5:$AT$507,3,))*$E96)</f>
        <v>0</v>
      </c>
      <c r="AE96" s="40">
        <f>IF(VLOOKUP($D96,$C$5:$AT$507,3,)=0,0,(VLOOKUP($D96,$C$5:$AT$507,29,)/VLOOKUP($D96,$C$5:$AT$507,3,))*$E96)</f>
        <v>0</v>
      </c>
      <c r="AF96" s="40">
        <f>IF(VLOOKUP($D96,$C$5:$AT$507,3,)=0,0,(VLOOKUP($D96,$C$5:$AT$507,30,)/VLOOKUP($D96,$C$5:$AT$507,3,))*$E96)</f>
        <v>0</v>
      </c>
      <c r="AG96" s="64">
        <f>SUM(F96:AF96)</f>
        <v>26355924.921820596</v>
      </c>
      <c r="AH96" s="21" t="str">
        <f>IF(ABS(E96-AG96)&lt;0.01,"ok","err")</f>
        <v>ok</v>
      </c>
    </row>
    <row r="97" spans="1:34" x14ac:dyDescent="0.25">
      <c r="A97" s="67" t="s">
        <v>220</v>
      </c>
      <c r="C97" s="14" t="s">
        <v>254</v>
      </c>
      <c r="D97" s="14" t="s">
        <v>222</v>
      </c>
      <c r="E97" s="167">
        <f>'Func &amp; Classif'!P144</f>
        <v>25930676.201698568</v>
      </c>
      <c r="F97" s="40">
        <f>IF(VLOOKUP($D97,$C$5:$AT$507,3,)=0,0,(VLOOKUP($D97,$C$5:$AT$507,4,)/VLOOKUP($D97,$C$5:$AT$507,3,))*$E97)</f>
        <v>22655086.340723328</v>
      </c>
      <c r="G97" s="40">
        <f>IF(VLOOKUP($D97,$C$5:$AT$507,3,)=0,0,(VLOOKUP($D97,$C$5:$AT$507,5,)/VLOOKUP($D97,$C$5:$AT$507,3,))*$E97)</f>
        <v>17047.429210025493</v>
      </c>
      <c r="H97" s="40">
        <f>IF(VLOOKUP($D97,$C$5:$AT$507,3,)=0,0,(VLOOKUP($D97,$C$5:$AT$507,6,)/VLOOKUP($D97,$C$5:$AT$507,3,))*$E97)</f>
        <v>2769260.167228586</v>
      </c>
      <c r="I97" s="40">
        <f>IF(VLOOKUP($D97,$C$5:$AT$507,3,)=0,0,(VLOOKUP($D97,$C$5:$AT$507,7,)/VLOOKUP($D97,$C$5:$AT$507,3,))*$E97)</f>
        <v>333371.94899605413</v>
      </c>
      <c r="J97" s="40">
        <f>IF(VLOOKUP($D97,$C$5:$AT$507,3,)=0,0,(VLOOKUP($D97,$C$5:$AT$507,8,)/VLOOKUP($D97,$C$5:$AT$507,3,))*$E97)</f>
        <v>4735.39700278486</v>
      </c>
      <c r="K97" s="40">
        <f>IF(VLOOKUP($D97,$C$5:$AT$507,3,)=0,0,(VLOOKUP($D97,$C$5:$AT$507,9,)/VLOOKUP($D97,$C$5:$AT$507,3,))*$E97)</f>
        <v>151174.918537794</v>
      </c>
      <c r="L97" s="40">
        <f>IF(VLOOKUP($D97,$C$5:$AT$507,3,)=0,0,(VLOOKUP($D97,$C$5:$AT$507,10,)/VLOOKUP($D97,$C$5:$AT$507,3,))*$E97)</f>
        <v>0</v>
      </c>
      <c r="M97" s="40">
        <f>IF(VLOOKUP($D97,$C$5:$AT$507,3,)=0,0,(VLOOKUP($D97,$C$5:$AT$507,11,)/VLOOKUP($D97,$C$5:$AT$507,3,))*$E97)</f>
        <v>0</v>
      </c>
      <c r="N97" s="40">
        <f>IF(VLOOKUP($D97,$C$5:$AT$507,3,)=0,0,(VLOOKUP($D97,$C$5:$AT$507,12,)/VLOOKUP($D97,$C$5:$AT$507,3,))*$E97)</f>
        <v>0</v>
      </c>
      <c r="O97" s="40">
        <f>IF(VLOOKUP($D97,$C$5:$AT$507,3,)=0,0,(VLOOKUP($D97,$C$5:$AT$507,13,)/VLOOKUP($D97,$C$5:$AT$507,3,))*$E97)</f>
        <v>0</v>
      </c>
      <c r="P97" s="40">
        <f>IF(VLOOKUP($D97,$C$5:$AT$507,3,)=0,0,(VLOOKUP($D97,$C$5:$AT$507,14,)/VLOOKUP($D97,$C$5:$AT$507,3,))*$E97)</f>
        <v>0</v>
      </c>
      <c r="Q97" s="40">
        <f>IF(VLOOKUP($D97,$C$5:$AT$507,3,)=0,0,(VLOOKUP($D97,$C$5:$AT$507,15,)/VLOOKUP($D97,$C$5:$AT$507,3,))*$E97)</f>
        <v>0</v>
      </c>
      <c r="R97" s="40">
        <f>IF(VLOOKUP($D97,$C$5:$AT$507,3,)=0,0,(VLOOKUP($D97,$C$5:$AT$507,16,)/VLOOKUP($D97,$C$5:$AT$507,3,))*$E97)</f>
        <v>0</v>
      </c>
      <c r="S97" s="40">
        <f>IF(VLOOKUP($D97,$C$5:$AT$507,3,)=0,0,(VLOOKUP($D97,$C$5:$AT$507,17,)/VLOOKUP($D97,$C$5:$AT$507,3,))*$E97)</f>
        <v>0</v>
      </c>
      <c r="T97" s="40">
        <f>IF(VLOOKUP($D97,$C$5:$AT$507,3,)=0,0,(VLOOKUP($D97,$C$5:$AT$507,18,)/VLOOKUP($D97,$C$5:$AT$507,3,))*$E97)</f>
        <v>0</v>
      </c>
      <c r="U97" s="40">
        <f>IF(VLOOKUP($D97,$C$5:$AT$507,3,)=0,0,(VLOOKUP($D97,$C$5:$AT$507,19,)/VLOOKUP($D97,$C$5:$AT$507,3,))*$E97)</f>
        <v>0</v>
      </c>
      <c r="V97" s="40">
        <f>IF(VLOOKUP($D97,$C$5:$AT$507,3,)=0,0,(VLOOKUP($D97,$C$5:$AT$507,20,)/VLOOKUP($D97,$C$5:$AT$507,3,))*$E97)</f>
        <v>0</v>
      </c>
      <c r="W97" s="40">
        <f>IF(VLOOKUP($D97,$C$5:$AT$507,3,)=0,0,(VLOOKUP($D97,$C$5:$AT$507,21,)/VLOOKUP($D97,$C$5:$AT$507,3,))*$E97)</f>
        <v>0</v>
      </c>
      <c r="X97" s="40">
        <f>IF(VLOOKUP($D97,$C$5:$AT$507,3,)=0,0,(VLOOKUP($D97,$C$5:$AT$507,22,)/VLOOKUP($D97,$C$5:$AT$507,3,))*$E97)</f>
        <v>0</v>
      </c>
      <c r="Y97" s="40">
        <f>IF(VLOOKUP($D97,$C$5:$AT$507,3,)=0,0,(VLOOKUP($D97,$C$5:$AT$507,23,)/VLOOKUP($D97,$C$5:$AT$507,3,))*$E97)</f>
        <v>0</v>
      </c>
      <c r="Z97" s="40">
        <f>IF(VLOOKUP($D97,$C$5:$AT$507,3,)=0,0,(VLOOKUP($D97,$C$5:$AT$507,24,)/VLOOKUP($D97,$C$5:$AT$507,3,))*$E97)</f>
        <v>0</v>
      </c>
      <c r="AA97" s="40">
        <f>IF(VLOOKUP($D97,$C$5:$AT$507,3,)=0,0,(VLOOKUP($D97,$C$5:$AT$507,25,)/VLOOKUP($D97,$C$5:$AT$507,3,))*$E97)</f>
        <v>0</v>
      </c>
      <c r="AB97" s="40">
        <f>IF(VLOOKUP($D97,$C$5:$AT$507,3,)=0,0,(VLOOKUP($D97,$C$5:$AT$507,26,)/VLOOKUP($D97,$C$5:$AT$507,3,))*$E97)</f>
        <v>0</v>
      </c>
      <c r="AC97" s="40">
        <f>IF(VLOOKUP($D97,$C$5:$AT$507,3,)=0,0,(VLOOKUP($D97,$C$5:$AT$507,27,)/VLOOKUP($D97,$C$5:$AT$507,3,))*$E97)</f>
        <v>0</v>
      </c>
      <c r="AD97" s="40">
        <f>IF(VLOOKUP($D97,$C$5:$AT$507,3,)=0,0,(VLOOKUP($D97,$C$5:$AT$507,28,)/VLOOKUP($D97,$C$5:$AT$507,3,))*$E97)</f>
        <v>0</v>
      </c>
      <c r="AE97" s="40">
        <f>IF(VLOOKUP($D97,$C$5:$AT$507,3,)=0,0,(VLOOKUP($D97,$C$5:$AT$507,29,)/VLOOKUP($D97,$C$5:$AT$507,3,))*$E97)</f>
        <v>0</v>
      </c>
      <c r="AF97" s="40">
        <f>IF(VLOOKUP($D97,$C$5:$AT$507,3,)=0,0,(VLOOKUP($D97,$C$5:$AT$507,30,)/VLOOKUP($D97,$C$5:$AT$507,3,))*$E97)</f>
        <v>0</v>
      </c>
      <c r="AG97" s="64">
        <f>SUM(F97:AF97)</f>
        <v>25930676.201698579</v>
      </c>
      <c r="AH97" s="21" t="str">
        <f>IF(ABS(E97-AG97)&lt;0.01,"ok","err")</f>
        <v>ok</v>
      </c>
    </row>
    <row r="98" spans="1:34" x14ac:dyDescent="0.25">
      <c r="A98" s="14" t="s">
        <v>223</v>
      </c>
      <c r="E98" s="174">
        <f t="shared" ref="E98:T98" si="18">E96+E97</f>
        <v>52286601.123519167</v>
      </c>
      <c r="F98" s="40">
        <f t="shared" si="18"/>
        <v>44348285.080675416</v>
      </c>
      <c r="G98" s="40">
        <f t="shared" si="18"/>
        <v>38521.380669041362</v>
      </c>
      <c r="H98" s="40">
        <f t="shared" si="18"/>
        <v>3902621.8043165603</v>
      </c>
      <c r="I98" s="40">
        <f t="shared" si="18"/>
        <v>3324825.7422705786</v>
      </c>
      <c r="J98" s="40">
        <f t="shared" si="18"/>
        <v>521172.19704977545</v>
      </c>
      <c r="K98" s="40">
        <f t="shared" si="18"/>
        <v>151174.918537794</v>
      </c>
      <c r="L98" s="40">
        <f t="shared" si="18"/>
        <v>0</v>
      </c>
      <c r="M98" s="40">
        <f t="shared" si="18"/>
        <v>0</v>
      </c>
      <c r="N98" s="40">
        <f t="shared" si="18"/>
        <v>0</v>
      </c>
      <c r="O98" s="40">
        <f t="shared" si="18"/>
        <v>0</v>
      </c>
      <c r="P98" s="40">
        <f t="shared" si="18"/>
        <v>0</v>
      </c>
      <c r="Q98" s="40">
        <f t="shared" si="18"/>
        <v>0</v>
      </c>
      <c r="R98" s="40">
        <f t="shared" si="18"/>
        <v>0</v>
      </c>
      <c r="S98" s="40">
        <f t="shared" si="18"/>
        <v>0</v>
      </c>
      <c r="T98" s="40">
        <f t="shared" si="18"/>
        <v>0</v>
      </c>
      <c r="U98" s="40">
        <f t="shared" ref="U98:AF98" si="19">U96+U97</f>
        <v>0</v>
      </c>
      <c r="V98" s="40">
        <f t="shared" si="19"/>
        <v>0</v>
      </c>
      <c r="W98" s="40">
        <f t="shared" si="19"/>
        <v>0</v>
      </c>
      <c r="X98" s="40">
        <f t="shared" si="19"/>
        <v>0</v>
      </c>
      <c r="Y98" s="40">
        <f t="shared" si="19"/>
        <v>0</v>
      </c>
      <c r="Z98" s="40">
        <f t="shared" si="19"/>
        <v>0</v>
      </c>
      <c r="AA98" s="40">
        <f t="shared" si="19"/>
        <v>0</v>
      </c>
      <c r="AB98" s="40">
        <f t="shared" si="19"/>
        <v>0</v>
      </c>
      <c r="AC98" s="40">
        <f t="shared" si="19"/>
        <v>0</v>
      </c>
      <c r="AD98" s="40">
        <f t="shared" si="19"/>
        <v>0</v>
      </c>
      <c r="AE98" s="40">
        <f t="shared" si="19"/>
        <v>0</v>
      </c>
      <c r="AF98" s="40">
        <f t="shared" si="19"/>
        <v>0</v>
      </c>
      <c r="AG98" s="64">
        <f>SUM(F98:AF98)</f>
        <v>52286601.123519167</v>
      </c>
      <c r="AH98" s="21" t="str">
        <f>IF(ABS(E98-AG98)&lt;0.01,"ok","err")</f>
        <v>ok</v>
      </c>
    </row>
    <row r="99" spans="1:34" x14ac:dyDescent="0.25">
      <c r="E99" s="167"/>
    </row>
    <row r="100" spans="1:34" x14ac:dyDescent="0.25">
      <c r="A100" s="13" t="s">
        <v>3</v>
      </c>
      <c r="E100" s="167"/>
    </row>
    <row r="101" spans="1:34" x14ac:dyDescent="0.25">
      <c r="A101" s="67" t="s">
        <v>208</v>
      </c>
      <c r="C101" s="14" t="s">
        <v>255</v>
      </c>
      <c r="D101" s="14" t="s">
        <v>616</v>
      </c>
      <c r="E101" s="174">
        <f>'Func &amp; Classif'!R144</f>
        <v>0</v>
      </c>
      <c r="F101" s="40">
        <f>IF(VLOOKUP($D101,$C$5:$AT$507,3,)=0,0,(VLOOKUP($D101,$C$5:$AT$507,4,)/VLOOKUP($D101,$C$5:$AT$507,3,))*$E101)</f>
        <v>0</v>
      </c>
      <c r="G101" s="40">
        <f>IF(VLOOKUP($D101,$C$5:$AT$507,3,)=0,0,(VLOOKUP($D101,$C$5:$AT$507,5,)/VLOOKUP($D101,$C$5:$AT$507,3,))*$E101)</f>
        <v>0</v>
      </c>
      <c r="H101" s="40">
        <f>IF(VLOOKUP($D101,$C$5:$AT$507,3,)=0,0,(VLOOKUP($D101,$C$5:$AT$507,6,)/VLOOKUP($D101,$C$5:$AT$507,3,))*$E101)</f>
        <v>0</v>
      </c>
      <c r="I101" s="40">
        <f>IF(VLOOKUP($D101,$C$5:$AT$507,3,)=0,0,(VLOOKUP($D101,$C$5:$AT$507,7,)/VLOOKUP($D101,$C$5:$AT$507,3,))*$E101)</f>
        <v>0</v>
      </c>
      <c r="J101" s="40">
        <f>IF(VLOOKUP($D101,$C$5:$AT$507,3,)=0,0,(VLOOKUP($D101,$C$5:$AT$507,8,)/VLOOKUP($D101,$C$5:$AT$507,3,))*$E101)</f>
        <v>0</v>
      </c>
      <c r="K101" s="40">
        <f>IF(VLOOKUP($D101,$C$5:$AT$507,3,)=0,0,(VLOOKUP($D101,$C$5:$AT$507,9,)/VLOOKUP($D101,$C$5:$AT$507,3,))*$E101)</f>
        <v>0</v>
      </c>
      <c r="L101" s="40">
        <f>IF(VLOOKUP($D101,$C$5:$AT$507,3,)=0,0,(VLOOKUP($D101,$C$5:$AT$507,10,)/VLOOKUP($D101,$C$5:$AT$507,3,))*$E101)</f>
        <v>0</v>
      </c>
      <c r="M101" s="40">
        <f>IF(VLOOKUP($D101,$C$5:$AT$507,3,)=0,0,(VLOOKUP($D101,$C$5:$AT$507,11,)/VLOOKUP($D101,$C$5:$AT$507,3,))*$E101)</f>
        <v>0</v>
      </c>
      <c r="N101" s="40">
        <f>IF(VLOOKUP($D101,$C$5:$AT$507,3,)=0,0,(VLOOKUP($D101,$C$5:$AT$507,12,)/VLOOKUP($D101,$C$5:$AT$507,3,))*$E101)</f>
        <v>0</v>
      </c>
      <c r="O101" s="40">
        <f>IF(VLOOKUP($D101,$C$5:$AT$507,3,)=0,0,(VLOOKUP($D101,$C$5:$AT$507,13,)/VLOOKUP($D101,$C$5:$AT$507,3,))*$E101)</f>
        <v>0</v>
      </c>
      <c r="P101" s="40">
        <f>IF(VLOOKUP($D101,$C$5:$AT$507,3,)=0,0,(VLOOKUP($D101,$C$5:$AT$507,14,)/VLOOKUP($D101,$C$5:$AT$507,3,))*$E101)</f>
        <v>0</v>
      </c>
      <c r="Q101" s="40">
        <f>IF(VLOOKUP($D101,$C$5:$AT$507,3,)=0,0,(VLOOKUP($D101,$C$5:$AT$507,15,)/VLOOKUP($D101,$C$5:$AT$507,3,))*$E101)</f>
        <v>0</v>
      </c>
      <c r="R101" s="40">
        <f>IF(VLOOKUP($D101,$C$5:$AT$507,3,)=0,0,(VLOOKUP($D101,$C$5:$AT$507,16,)/VLOOKUP($D101,$C$5:$AT$507,3,))*$E101)</f>
        <v>0</v>
      </c>
      <c r="S101" s="40">
        <f>IF(VLOOKUP($D101,$C$5:$AT$507,3,)=0,0,(VLOOKUP($D101,$C$5:$AT$507,17,)/VLOOKUP($D101,$C$5:$AT$507,3,))*$E101)</f>
        <v>0</v>
      </c>
      <c r="T101" s="40">
        <f>IF(VLOOKUP($D101,$C$5:$AT$507,3,)=0,0,(VLOOKUP($D101,$C$5:$AT$507,18,)/VLOOKUP($D101,$C$5:$AT$507,3,))*$E101)</f>
        <v>0</v>
      </c>
      <c r="U101" s="40">
        <f>IF(VLOOKUP($D101,$C$5:$AT$507,3,)=0,0,(VLOOKUP($D101,$C$5:$AT$507,19,)/VLOOKUP($D101,$C$5:$AT$507,3,))*$E101)</f>
        <v>0</v>
      </c>
      <c r="V101" s="40">
        <f>IF(VLOOKUP($D101,$C$5:$AT$507,3,)=0,0,(VLOOKUP($D101,$C$5:$AT$507,20,)/VLOOKUP($D101,$C$5:$AT$507,3,))*$E101)</f>
        <v>0</v>
      </c>
      <c r="W101" s="40">
        <f>IF(VLOOKUP($D101,$C$5:$AT$507,3,)=0,0,(VLOOKUP($D101,$C$5:$AT$507,21,)/VLOOKUP($D101,$C$5:$AT$507,3,))*$E101)</f>
        <v>0</v>
      </c>
      <c r="X101" s="40">
        <f>IF(VLOOKUP($D101,$C$5:$AT$507,3,)=0,0,(VLOOKUP($D101,$C$5:$AT$507,22,)/VLOOKUP($D101,$C$5:$AT$507,3,))*$E101)</f>
        <v>0</v>
      </c>
      <c r="Y101" s="40">
        <f>IF(VLOOKUP($D101,$C$5:$AT$507,3,)=0,0,(VLOOKUP($D101,$C$5:$AT$507,23,)/VLOOKUP($D101,$C$5:$AT$507,3,))*$E101)</f>
        <v>0</v>
      </c>
      <c r="Z101" s="40">
        <f>IF(VLOOKUP($D101,$C$5:$AT$507,3,)=0,0,(VLOOKUP($D101,$C$5:$AT$507,24,)/VLOOKUP($D101,$C$5:$AT$507,3,))*$E101)</f>
        <v>0</v>
      </c>
      <c r="AA101" s="40">
        <f>IF(VLOOKUP($D101,$C$5:$AT$507,3,)=0,0,(VLOOKUP($D101,$C$5:$AT$507,25,)/VLOOKUP($D101,$C$5:$AT$507,3,))*$E101)</f>
        <v>0</v>
      </c>
      <c r="AB101" s="40">
        <f>IF(VLOOKUP($D101,$C$5:$AT$507,3,)=0,0,(VLOOKUP($D101,$C$5:$AT$507,26,)/VLOOKUP($D101,$C$5:$AT$507,3,))*$E101)</f>
        <v>0</v>
      </c>
      <c r="AC101" s="40">
        <f>IF(VLOOKUP($D101,$C$5:$AT$507,3,)=0,0,(VLOOKUP($D101,$C$5:$AT$507,27,)/VLOOKUP($D101,$C$5:$AT$507,3,))*$E101)</f>
        <v>0</v>
      </c>
      <c r="AD101" s="40">
        <f>IF(VLOOKUP($D101,$C$5:$AT$507,3,)=0,0,(VLOOKUP($D101,$C$5:$AT$507,28,)/VLOOKUP($D101,$C$5:$AT$507,3,))*$E101)</f>
        <v>0</v>
      </c>
      <c r="AE101" s="40">
        <f>IF(VLOOKUP($D101,$C$5:$AT$507,3,)=0,0,(VLOOKUP($D101,$C$5:$AT$507,29,)/VLOOKUP($D101,$C$5:$AT$507,3,))*$E101)</f>
        <v>0</v>
      </c>
      <c r="AF101" s="40">
        <f>IF(VLOOKUP($D101,$C$5:$AT$507,3,)=0,0,(VLOOKUP($D101,$C$5:$AT$507,30,)/VLOOKUP($D101,$C$5:$AT$507,3,))*$E101)</f>
        <v>0</v>
      </c>
      <c r="AG101" s="64">
        <f>SUM(F101:AF101)</f>
        <v>0</v>
      </c>
      <c r="AH101" s="21" t="str">
        <f>IF(ABS(E101-AG101)&lt;0.01,"ok","err")</f>
        <v>ok</v>
      </c>
    </row>
    <row r="102" spans="1:34" x14ac:dyDescent="0.25">
      <c r="A102" s="67" t="s">
        <v>220</v>
      </c>
      <c r="C102" s="14" t="s">
        <v>256</v>
      </c>
      <c r="D102" s="14" t="s">
        <v>698</v>
      </c>
      <c r="E102" s="167">
        <f>'Func &amp; Classif'!S144</f>
        <v>4146897.9600468874</v>
      </c>
      <c r="F102" s="40">
        <f>IF(VLOOKUP($D102,$C$5:$AT$507,3,)=0,0,(VLOOKUP($D102,$C$5:$AT$507,4,)/VLOOKUP($D102,$C$5:$AT$507,3,))*$E102)</f>
        <v>3569005.0509661343</v>
      </c>
      <c r="G102" s="40">
        <f>IF(VLOOKUP($D102,$C$5:$AT$507,3,)=0,0,(VLOOKUP($D102,$C$5:$AT$507,5,)/VLOOKUP($D102,$C$5:$AT$507,3,))*$E102)</f>
        <v>2685.5938680402332</v>
      </c>
      <c r="H102" s="40">
        <f>IF(VLOOKUP($D102,$C$5:$AT$507,3,)=0,0,(VLOOKUP($D102,$C$5:$AT$507,6,)/VLOOKUP($D102,$C$5:$AT$507,3,))*$E102)</f>
        <v>498582.63302537415</v>
      </c>
      <c r="I102" s="40">
        <f>IF(VLOOKUP($D102,$C$5:$AT$507,3,)=0,0,(VLOOKUP($D102,$C$5:$AT$507,7,)/VLOOKUP($D102,$C$5:$AT$507,3,))*$E102)</f>
        <v>75026.114408743029</v>
      </c>
      <c r="J102" s="40">
        <f>IF(VLOOKUP($D102,$C$5:$AT$507,3,)=0,0,(VLOOKUP($D102,$C$5:$AT$507,8,)/VLOOKUP($D102,$C$5:$AT$507,3,))*$E102)</f>
        <v>1598.5677785953771</v>
      </c>
      <c r="K102" s="40">
        <f>IF(VLOOKUP($D102,$C$5:$AT$507,3,)=0,0,(VLOOKUP($D102,$C$5:$AT$507,9,)/VLOOKUP($D102,$C$5:$AT$507,3,))*$E102)</f>
        <v>0</v>
      </c>
      <c r="L102" s="40">
        <f>IF(VLOOKUP($D102,$C$5:$AT$507,3,)=0,0,(VLOOKUP($D102,$C$5:$AT$507,10,)/VLOOKUP($D102,$C$5:$AT$507,3,))*$E102)</f>
        <v>0</v>
      </c>
      <c r="M102" s="40">
        <f>IF(VLOOKUP($D102,$C$5:$AT$507,3,)=0,0,(VLOOKUP($D102,$C$5:$AT$507,11,)/VLOOKUP($D102,$C$5:$AT$507,3,))*$E102)</f>
        <v>0</v>
      </c>
      <c r="N102" s="40">
        <f>IF(VLOOKUP($D102,$C$5:$AT$507,3,)=0,0,(VLOOKUP($D102,$C$5:$AT$507,12,)/VLOOKUP($D102,$C$5:$AT$507,3,))*$E102)</f>
        <v>0</v>
      </c>
      <c r="O102" s="40">
        <f>IF(VLOOKUP($D102,$C$5:$AT$507,3,)=0,0,(VLOOKUP($D102,$C$5:$AT$507,13,)/VLOOKUP($D102,$C$5:$AT$507,3,))*$E102)</f>
        <v>0</v>
      </c>
      <c r="P102" s="40">
        <f>IF(VLOOKUP($D102,$C$5:$AT$507,3,)=0,0,(VLOOKUP($D102,$C$5:$AT$507,14,)/VLOOKUP($D102,$C$5:$AT$507,3,))*$E102)</f>
        <v>0</v>
      </c>
      <c r="Q102" s="40">
        <f>IF(VLOOKUP($D102,$C$5:$AT$507,3,)=0,0,(VLOOKUP($D102,$C$5:$AT$507,15,)/VLOOKUP($D102,$C$5:$AT$507,3,))*$E102)</f>
        <v>0</v>
      </c>
      <c r="R102" s="40">
        <f>IF(VLOOKUP($D102,$C$5:$AT$507,3,)=0,0,(VLOOKUP($D102,$C$5:$AT$507,16,)/VLOOKUP($D102,$C$5:$AT$507,3,))*$E102)</f>
        <v>0</v>
      </c>
      <c r="S102" s="40">
        <f>IF(VLOOKUP($D102,$C$5:$AT$507,3,)=0,0,(VLOOKUP($D102,$C$5:$AT$507,17,)/VLOOKUP($D102,$C$5:$AT$507,3,))*$E102)</f>
        <v>0</v>
      </c>
      <c r="T102" s="40">
        <f>IF(VLOOKUP($D102,$C$5:$AT$507,3,)=0,0,(VLOOKUP($D102,$C$5:$AT$507,18,)/VLOOKUP($D102,$C$5:$AT$507,3,))*$E102)</f>
        <v>0</v>
      </c>
      <c r="U102" s="40">
        <f>IF(VLOOKUP($D102,$C$5:$AT$507,3,)=0,0,(VLOOKUP($D102,$C$5:$AT$507,19,)/VLOOKUP($D102,$C$5:$AT$507,3,))*$E102)</f>
        <v>0</v>
      </c>
      <c r="V102" s="40">
        <f>IF(VLOOKUP($D102,$C$5:$AT$507,3,)=0,0,(VLOOKUP($D102,$C$5:$AT$507,20,)/VLOOKUP($D102,$C$5:$AT$507,3,))*$E102)</f>
        <v>0</v>
      </c>
      <c r="W102" s="40">
        <f>IF(VLOOKUP($D102,$C$5:$AT$507,3,)=0,0,(VLOOKUP($D102,$C$5:$AT$507,21,)/VLOOKUP($D102,$C$5:$AT$507,3,))*$E102)</f>
        <v>0</v>
      </c>
      <c r="X102" s="40">
        <f>IF(VLOOKUP($D102,$C$5:$AT$507,3,)=0,0,(VLOOKUP($D102,$C$5:$AT$507,22,)/VLOOKUP($D102,$C$5:$AT$507,3,))*$E102)</f>
        <v>0</v>
      </c>
      <c r="Y102" s="40">
        <f>IF(VLOOKUP($D102,$C$5:$AT$507,3,)=0,0,(VLOOKUP($D102,$C$5:$AT$507,23,)/VLOOKUP($D102,$C$5:$AT$507,3,))*$E102)</f>
        <v>0</v>
      </c>
      <c r="Z102" s="40">
        <f>IF(VLOOKUP($D102,$C$5:$AT$507,3,)=0,0,(VLOOKUP($D102,$C$5:$AT$507,24,)/VLOOKUP($D102,$C$5:$AT$507,3,))*$E102)</f>
        <v>0</v>
      </c>
      <c r="AA102" s="40">
        <f>IF(VLOOKUP($D102,$C$5:$AT$507,3,)=0,0,(VLOOKUP($D102,$C$5:$AT$507,25,)/VLOOKUP($D102,$C$5:$AT$507,3,))*$E102)</f>
        <v>0</v>
      </c>
      <c r="AB102" s="40">
        <f>IF(VLOOKUP($D102,$C$5:$AT$507,3,)=0,0,(VLOOKUP($D102,$C$5:$AT$507,26,)/VLOOKUP($D102,$C$5:$AT$507,3,))*$E102)</f>
        <v>0</v>
      </c>
      <c r="AC102" s="40">
        <f>IF(VLOOKUP($D102,$C$5:$AT$507,3,)=0,0,(VLOOKUP($D102,$C$5:$AT$507,27,)/VLOOKUP($D102,$C$5:$AT$507,3,))*$E102)</f>
        <v>0</v>
      </c>
      <c r="AD102" s="40">
        <f>IF(VLOOKUP($D102,$C$5:$AT$507,3,)=0,0,(VLOOKUP($D102,$C$5:$AT$507,28,)/VLOOKUP($D102,$C$5:$AT$507,3,))*$E102)</f>
        <v>0</v>
      </c>
      <c r="AE102" s="40">
        <f>IF(VLOOKUP($D102,$C$5:$AT$507,3,)=0,0,(VLOOKUP($D102,$C$5:$AT$507,29,)/VLOOKUP($D102,$C$5:$AT$507,3,))*$E102)</f>
        <v>0</v>
      </c>
      <c r="AF102" s="40">
        <f>IF(VLOOKUP($D102,$C$5:$AT$507,3,)=0,0,(VLOOKUP($D102,$C$5:$AT$507,30,)/VLOOKUP($D102,$C$5:$AT$507,3,))*$E102)</f>
        <v>0</v>
      </c>
      <c r="AG102" s="64">
        <f>SUM(F102:AF102)</f>
        <v>4146897.9600468869</v>
      </c>
      <c r="AH102" s="21" t="str">
        <f>IF(ABS(E102-AG102)&lt;0.01,"ok","err")</f>
        <v>ok</v>
      </c>
    </row>
    <row r="103" spans="1:34" x14ac:dyDescent="0.25">
      <c r="A103" s="14" t="s">
        <v>227</v>
      </c>
      <c r="E103" s="174">
        <f t="shared" ref="E103:T103" si="20">E101+E102</f>
        <v>4146897.9600468874</v>
      </c>
      <c r="F103" s="40">
        <f t="shared" si="20"/>
        <v>3569005.0509661343</v>
      </c>
      <c r="G103" s="40">
        <f t="shared" si="20"/>
        <v>2685.5938680402332</v>
      </c>
      <c r="H103" s="40">
        <f t="shared" si="20"/>
        <v>498582.63302537415</v>
      </c>
      <c r="I103" s="40">
        <f t="shared" si="20"/>
        <v>75026.114408743029</v>
      </c>
      <c r="J103" s="40">
        <f t="shared" si="20"/>
        <v>1598.5677785953771</v>
      </c>
      <c r="K103" s="40">
        <f t="shared" si="20"/>
        <v>0</v>
      </c>
      <c r="L103" s="40">
        <f t="shared" si="20"/>
        <v>0</v>
      </c>
      <c r="M103" s="40">
        <f t="shared" si="20"/>
        <v>0</v>
      </c>
      <c r="N103" s="40">
        <f t="shared" si="20"/>
        <v>0</v>
      </c>
      <c r="O103" s="40">
        <f t="shared" si="20"/>
        <v>0</v>
      </c>
      <c r="P103" s="40">
        <f t="shared" si="20"/>
        <v>0</v>
      </c>
      <c r="Q103" s="40">
        <f t="shared" si="20"/>
        <v>0</v>
      </c>
      <c r="R103" s="40">
        <f t="shared" si="20"/>
        <v>0</v>
      </c>
      <c r="S103" s="40">
        <f t="shared" si="20"/>
        <v>0</v>
      </c>
      <c r="T103" s="40">
        <f t="shared" si="20"/>
        <v>0</v>
      </c>
      <c r="U103" s="40">
        <f t="shared" ref="U103:AF103" si="21">U101+U102</f>
        <v>0</v>
      </c>
      <c r="V103" s="40">
        <f t="shared" si="21"/>
        <v>0</v>
      </c>
      <c r="W103" s="40">
        <f t="shared" si="21"/>
        <v>0</v>
      </c>
      <c r="X103" s="40">
        <f t="shared" si="21"/>
        <v>0</v>
      </c>
      <c r="Y103" s="40">
        <f t="shared" si="21"/>
        <v>0</v>
      </c>
      <c r="Z103" s="40">
        <f t="shared" si="21"/>
        <v>0</v>
      </c>
      <c r="AA103" s="40">
        <f t="shared" si="21"/>
        <v>0</v>
      </c>
      <c r="AB103" s="40">
        <f t="shared" si="21"/>
        <v>0</v>
      </c>
      <c r="AC103" s="40">
        <f t="shared" si="21"/>
        <v>0</v>
      </c>
      <c r="AD103" s="40">
        <f t="shared" si="21"/>
        <v>0</v>
      </c>
      <c r="AE103" s="40">
        <f t="shared" si="21"/>
        <v>0</v>
      </c>
      <c r="AF103" s="40">
        <f t="shared" si="21"/>
        <v>0</v>
      </c>
      <c r="AG103" s="64">
        <f>SUM(F103:AF103)</f>
        <v>4146897.9600468869</v>
      </c>
      <c r="AH103" s="21" t="str">
        <f>IF(ABS(E103-AG103)&lt;0.01,"ok","err")</f>
        <v>ok</v>
      </c>
    </row>
    <row r="104" spans="1:34" x14ac:dyDescent="0.25">
      <c r="E104" s="167"/>
    </row>
    <row r="105" spans="1:34" x14ac:dyDescent="0.25">
      <c r="A105" s="13" t="s">
        <v>4</v>
      </c>
      <c r="E105" s="167"/>
    </row>
    <row r="106" spans="1:34" x14ac:dyDescent="0.25">
      <c r="A106" s="67" t="s">
        <v>220</v>
      </c>
      <c r="C106" s="14" t="s">
        <v>257</v>
      </c>
      <c r="D106" s="14" t="s">
        <v>229</v>
      </c>
      <c r="E106" s="174">
        <f>'Func &amp; Classif'!U144</f>
        <v>4151934.2429220383</v>
      </c>
      <c r="F106" s="40">
        <f>IF(VLOOKUP($D106,$C$5:$AT$507,3,)=0,0,(VLOOKUP($D106,$C$5:$AT$507,4,)/VLOOKUP($D106,$C$5:$AT$507,3,))*$E106)</f>
        <v>3107682.3124921955</v>
      </c>
      <c r="G106" s="40">
        <f>IF(VLOOKUP($D106,$C$5:$AT$507,3,)=0,0,(VLOOKUP($D106,$C$5:$AT$507,5,)/VLOOKUP($D106,$C$5:$AT$507,3,))*$E106)</f>
        <v>2338.4591624455297</v>
      </c>
      <c r="H106" s="40">
        <f>IF(VLOOKUP($D106,$C$5:$AT$507,3,)=0,0,(VLOOKUP($D106,$C$5:$AT$507,6,)/VLOOKUP($D106,$C$5:$AT$507,3,))*$E106)</f>
        <v>759739.39899896993</v>
      </c>
      <c r="I106" s="40">
        <f>IF(VLOOKUP($D106,$C$5:$AT$507,3,)=0,0,(VLOOKUP($D106,$C$5:$AT$507,7,)/VLOOKUP($D106,$C$5:$AT$507,3,))*$E106)</f>
        <v>274379.2083936088</v>
      </c>
      <c r="J106" s="40">
        <f>IF(VLOOKUP($D106,$C$5:$AT$507,3,)=0,0,(VLOOKUP($D106,$C$5:$AT$507,8,)/VLOOKUP($D106,$C$5:$AT$507,3,))*$E106)</f>
        <v>7794.863874818433</v>
      </c>
      <c r="K106" s="40">
        <f>IF(VLOOKUP($D106,$C$5:$AT$507,3,)=0,0,(VLOOKUP($D106,$C$5:$AT$507,9,)/VLOOKUP($D106,$C$5:$AT$507,3,))*$E106)</f>
        <v>0</v>
      </c>
      <c r="L106" s="40">
        <f>IF(VLOOKUP($D106,$C$5:$AT$507,3,)=0,0,(VLOOKUP($D106,$C$5:$AT$507,10,)/VLOOKUP($D106,$C$5:$AT$507,3,))*$E106)</f>
        <v>0</v>
      </c>
      <c r="M106" s="40">
        <f>IF(VLOOKUP($D106,$C$5:$AT$507,3,)=0,0,(VLOOKUP($D106,$C$5:$AT$507,11,)/VLOOKUP($D106,$C$5:$AT$507,3,))*$E106)</f>
        <v>0</v>
      </c>
      <c r="N106" s="40">
        <f>IF(VLOOKUP($D106,$C$5:$AT$507,3,)=0,0,(VLOOKUP($D106,$C$5:$AT$507,12,)/VLOOKUP($D106,$C$5:$AT$507,3,))*$E106)</f>
        <v>0</v>
      </c>
      <c r="O106" s="40">
        <f>IF(VLOOKUP($D106,$C$5:$AT$507,3,)=0,0,(VLOOKUP($D106,$C$5:$AT$507,13,)/VLOOKUP($D106,$C$5:$AT$507,3,))*$E106)</f>
        <v>0</v>
      </c>
      <c r="P106" s="40">
        <f>IF(VLOOKUP($D106,$C$5:$AT$507,3,)=0,0,(VLOOKUP($D106,$C$5:$AT$507,14,)/VLOOKUP($D106,$C$5:$AT$507,3,))*$E106)</f>
        <v>0</v>
      </c>
      <c r="Q106" s="40">
        <f>IF(VLOOKUP($D106,$C$5:$AT$507,3,)=0,0,(VLOOKUP($D106,$C$5:$AT$507,15,)/VLOOKUP($D106,$C$5:$AT$507,3,))*$E106)</f>
        <v>0</v>
      </c>
      <c r="R106" s="40">
        <f>IF(VLOOKUP($D106,$C$5:$AT$507,3,)=0,0,(VLOOKUP($D106,$C$5:$AT$507,16,)/VLOOKUP($D106,$C$5:$AT$507,3,))*$E106)</f>
        <v>0</v>
      </c>
      <c r="S106" s="40">
        <f>IF(VLOOKUP($D106,$C$5:$AT$507,3,)=0,0,(VLOOKUP($D106,$C$5:$AT$507,17,)/VLOOKUP($D106,$C$5:$AT$507,3,))*$E106)</f>
        <v>0</v>
      </c>
      <c r="T106" s="40">
        <f>IF(VLOOKUP($D106,$C$5:$AT$507,3,)=0,0,(VLOOKUP($D106,$C$5:$AT$507,18,)/VLOOKUP($D106,$C$5:$AT$507,3,))*$E106)</f>
        <v>0</v>
      </c>
      <c r="U106" s="40">
        <f>IF(VLOOKUP($D106,$C$5:$AT$507,3,)=0,0,(VLOOKUP($D106,$C$5:$AT$507,19,)/VLOOKUP($D106,$C$5:$AT$507,3,))*$E106)</f>
        <v>0</v>
      </c>
      <c r="V106" s="40">
        <f>IF(VLOOKUP($D106,$C$5:$AT$507,3,)=0,0,(VLOOKUP($D106,$C$5:$AT$507,20,)/VLOOKUP($D106,$C$5:$AT$507,3,))*$E106)</f>
        <v>0</v>
      </c>
      <c r="W106" s="40">
        <f>IF(VLOOKUP($D106,$C$5:$AT$507,3,)=0,0,(VLOOKUP($D106,$C$5:$AT$507,21,)/VLOOKUP($D106,$C$5:$AT$507,3,))*$E106)</f>
        <v>0</v>
      </c>
      <c r="X106" s="40">
        <f>IF(VLOOKUP($D106,$C$5:$AT$507,3,)=0,0,(VLOOKUP($D106,$C$5:$AT$507,22,)/VLOOKUP($D106,$C$5:$AT$507,3,))*$E106)</f>
        <v>0</v>
      </c>
      <c r="Y106" s="40">
        <f>IF(VLOOKUP($D106,$C$5:$AT$507,3,)=0,0,(VLOOKUP($D106,$C$5:$AT$507,23,)/VLOOKUP($D106,$C$5:$AT$507,3,))*$E106)</f>
        <v>0</v>
      </c>
      <c r="Z106" s="40">
        <f>IF(VLOOKUP($D106,$C$5:$AT$507,3,)=0,0,(VLOOKUP($D106,$C$5:$AT$507,24,)/VLOOKUP($D106,$C$5:$AT$507,3,))*$E106)</f>
        <v>0</v>
      </c>
      <c r="AA106" s="40">
        <f>IF(VLOOKUP($D106,$C$5:$AT$507,3,)=0,0,(VLOOKUP($D106,$C$5:$AT$507,25,)/VLOOKUP($D106,$C$5:$AT$507,3,))*$E106)</f>
        <v>0</v>
      </c>
      <c r="AB106" s="40">
        <f>IF(VLOOKUP($D106,$C$5:$AT$507,3,)=0,0,(VLOOKUP($D106,$C$5:$AT$507,26,)/VLOOKUP($D106,$C$5:$AT$507,3,))*$E106)</f>
        <v>0</v>
      </c>
      <c r="AC106" s="40">
        <f>IF(VLOOKUP($D106,$C$5:$AT$507,3,)=0,0,(VLOOKUP($D106,$C$5:$AT$507,27,)/VLOOKUP($D106,$C$5:$AT$507,3,))*$E106)</f>
        <v>0</v>
      </c>
      <c r="AD106" s="40">
        <f>IF(VLOOKUP($D106,$C$5:$AT$507,3,)=0,0,(VLOOKUP($D106,$C$5:$AT$507,28,)/VLOOKUP($D106,$C$5:$AT$507,3,))*$E106)</f>
        <v>0</v>
      </c>
      <c r="AE106" s="40">
        <f>IF(VLOOKUP($D106,$C$5:$AT$507,3,)=0,0,(VLOOKUP($D106,$C$5:$AT$507,29,)/VLOOKUP($D106,$C$5:$AT$507,3,))*$E106)</f>
        <v>0</v>
      </c>
      <c r="AF106" s="40">
        <f>IF(VLOOKUP($D106,$C$5:$AT$507,3,)=0,0,(VLOOKUP($D106,$C$5:$AT$507,30,)/VLOOKUP($D106,$C$5:$AT$507,3,))*$E106)</f>
        <v>0</v>
      </c>
      <c r="AG106" s="64">
        <f>SUM(F106:AF106)</f>
        <v>4151934.2429220388</v>
      </c>
      <c r="AH106" s="21" t="str">
        <f>IF(ABS(E106-AG106)&lt;0.01,"ok","err")</f>
        <v>ok</v>
      </c>
    </row>
    <row r="107" spans="1:34" x14ac:dyDescent="0.25">
      <c r="E107" s="167"/>
    </row>
    <row r="108" spans="1:34" x14ac:dyDescent="0.25">
      <c r="A108" s="13" t="s">
        <v>5</v>
      </c>
      <c r="E108" s="167"/>
    </row>
    <row r="109" spans="1:34" x14ac:dyDescent="0.25">
      <c r="A109" s="67" t="s">
        <v>220</v>
      </c>
      <c r="C109" s="14" t="s">
        <v>258</v>
      </c>
      <c r="D109" s="14" t="s">
        <v>231</v>
      </c>
      <c r="E109" s="174">
        <f>'Func &amp; Classif'!W144</f>
        <v>2273683.5442218939</v>
      </c>
      <c r="F109" s="40">
        <f>IF(VLOOKUP($D109,$C$5:$AT$507,3,)=0,0,(VLOOKUP($D109,$C$5:$AT$507,4,)/VLOOKUP($D109,$C$5:$AT$507,3,))*$E109)</f>
        <v>0</v>
      </c>
      <c r="G109" s="40">
        <f>IF(VLOOKUP($D109,$C$5:$AT$507,3,)=0,0,(VLOOKUP($D109,$C$5:$AT$507,5,)/VLOOKUP($D109,$C$5:$AT$507,3,))*$E109)</f>
        <v>0</v>
      </c>
      <c r="H109" s="40">
        <f>IF(VLOOKUP($D109,$C$5:$AT$507,3,)=0,0,(VLOOKUP($D109,$C$5:$AT$507,6,)/VLOOKUP($D109,$C$5:$AT$507,3,))*$E109)</f>
        <v>0</v>
      </c>
      <c r="I109" s="40">
        <f>IF(VLOOKUP($D109,$C$5:$AT$507,3,)=0,0,(VLOOKUP($D109,$C$5:$AT$507,7,)/VLOOKUP($D109,$C$5:$AT$507,3,))*$E109)</f>
        <v>0</v>
      </c>
      <c r="J109" s="40">
        <f>IF(VLOOKUP($D109,$C$5:$AT$507,3,)=0,0,(VLOOKUP($D109,$C$5:$AT$507,8,)/VLOOKUP($D109,$C$5:$AT$507,3,))*$E109)</f>
        <v>0</v>
      </c>
      <c r="K109" s="40">
        <f>IF(VLOOKUP($D109,$C$5:$AT$507,3,)=0,0,(VLOOKUP($D109,$C$5:$AT$507,9,)/VLOOKUP($D109,$C$5:$AT$507,3,))*$E109)</f>
        <v>2273683.5442218939</v>
      </c>
      <c r="L109" s="40">
        <f>IF(VLOOKUP($D109,$C$5:$AT$507,3,)=0,0,(VLOOKUP($D109,$C$5:$AT$507,10,)/VLOOKUP($D109,$C$5:$AT$507,3,))*$E109)</f>
        <v>0</v>
      </c>
      <c r="M109" s="40">
        <f>IF(VLOOKUP($D109,$C$5:$AT$507,3,)=0,0,(VLOOKUP($D109,$C$5:$AT$507,11,)/VLOOKUP($D109,$C$5:$AT$507,3,))*$E109)</f>
        <v>0</v>
      </c>
      <c r="N109" s="40">
        <f>IF(VLOOKUP($D109,$C$5:$AT$507,3,)=0,0,(VLOOKUP($D109,$C$5:$AT$507,12,)/VLOOKUP($D109,$C$5:$AT$507,3,))*$E109)</f>
        <v>0</v>
      </c>
      <c r="O109" s="40">
        <f>IF(VLOOKUP($D109,$C$5:$AT$507,3,)=0,0,(VLOOKUP($D109,$C$5:$AT$507,13,)/VLOOKUP($D109,$C$5:$AT$507,3,))*$E109)</f>
        <v>0</v>
      </c>
      <c r="P109" s="40">
        <f>IF(VLOOKUP($D109,$C$5:$AT$507,3,)=0,0,(VLOOKUP($D109,$C$5:$AT$507,14,)/VLOOKUP($D109,$C$5:$AT$507,3,))*$E109)</f>
        <v>0</v>
      </c>
      <c r="Q109" s="40">
        <f>IF(VLOOKUP($D109,$C$5:$AT$507,3,)=0,0,(VLOOKUP($D109,$C$5:$AT$507,15,)/VLOOKUP($D109,$C$5:$AT$507,3,))*$E109)</f>
        <v>0</v>
      </c>
      <c r="R109" s="40">
        <f>IF(VLOOKUP($D109,$C$5:$AT$507,3,)=0,0,(VLOOKUP($D109,$C$5:$AT$507,16,)/VLOOKUP($D109,$C$5:$AT$507,3,))*$E109)</f>
        <v>0</v>
      </c>
      <c r="S109" s="40">
        <f>IF(VLOOKUP($D109,$C$5:$AT$507,3,)=0,0,(VLOOKUP($D109,$C$5:$AT$507,17,)/VLOOKUP($D109,$C$5:$AT$507,3,))*$E109)</f>
        <v>0</v>
      </c>
      <c r="T109" s="40">
        <f>IF(VLOOKUP($D109,$C$5:$AT$507,3,)=0,0,(VLOOKUP($D109,$C$5:$AT$507,18,)/VLOOKUP($D109,$C$5:$AT$507,3,))*$E109)</f>
        <v>0</v>
      </c>
      <c r="U109" s="40">
        <f>IF(VLOOKUP($D109,$C$5:$AT$507,3,)=0,0,(VLOOKUP($D109,$C$5:$AT$507,19,)/VLOOKUP($D109,$C$5:$AT$507,3,))*$E109)</f>
        <v>0</v>
      </c>
      <c r="V109" s="40">
        <f>IF(VLOOKUP($D109,$C$5:$AT$507,3,)=0,0,(VLOOKUP($D109,$C$5:$AT$507,20,)/VLOOKUP($D109,$C$5:$AT$507,3,))*$E109)</f>
        <v>0</v>
      </c>
      <c r="W109" s="40">
        <f>IF(VLOOKUP($D109,$C$5:$AT$507,3,)=0,0,(VLOOKUP($D109,$C$5:$AT$507,21,)/VLOOKUP($D109,$C$5:$AT$507,3,))*$E109)</f>
        <v>0</v>
      </c>
      <c r="X109" s="40">
        <f>IF(VLOOKUP($D109,$C$5:$AT$507,3,)=0,0,(VLOOKUP($D109,$C$5:$AT$507,22,)/VLOOKUP($D109,$C$5:$AT$507,3,))*$E109)</f>
        <v>0</v>
      </c>
      <c r="Y109" s="40">
        <f>IF(VLOOKUP($D109,$C$5:$AT$507,3,)=0,0,(VLOOKUP($D109,$C$5:$AT$507,23,)/VLOOKUP($D109,$C$5:$AT$507,3,))*$E109)</f>
        <v>0</v>
      </c>
      <c r="Z109" s="40">
        <f>IF(VLOOKUP($D109,$C$5:$AT$507,3,)=0,0,(VLOOKUP($D109,$C$5:$AT$507,24,)/VLOOKUP($D109,$C$5:$AT$507,3,))*$E109)</f>
        <v>0</v>
      </c>
      <c r="AA109" s="40">
        <f>IF(VLOOKUP($D109,$C$5:$AT$507,3,)=0,0,(VLOOKUP($D109,$C$5:$AT$507,25,)/VLOOKUP($D109,$C$5:$AT$507,3,))*$E109)</f>
        <v>0</v>
      </c>
      <c r="AB109" s="40">
        <f>IF(VLOOKUP($D109,$C$5:$AT$507,3,)=0,0,(VLOOKUP($D109,$C$5:$AT$507,26,)/VLOOKUP($D109,$C$5:$AT$507,3,))*$E109)</f>
        <v>0</v>
      </c>
      <c r="AC109" s="40">
        <f>IF(VLOOKUP($D109,$C$5:$AT$507,3,)=0,0,(VLOOKUP($D109,$C$5:$AT$507,27,)/VLOOKUP($D109,$C$5:$AT$507,3,))*$E109)</f>
        <v>0</v>
      </c>
      <c r="AD109" s="40">
        <f>IF(VLOOKUP($D109,$C$5:$AT$507,3,)=0,0,(VLOOKUP($D109,$C$5:$AT$507,28,)/VLOOKUP($D109,$C$5:$AT$507,3,))*$E109)</f>
        <v>0</v>
      </c>
      <c r="AE109" s="40">
        <f>IF(VLOOKUP($D109,$C$5:$AT$507,3,)=0,0,(VLOOKUP($D109,$C$5:$AT$507,29,)/VLOOKUP($D109,$C$5:$AT$507,3,))*$E109)</f>
        <v>0</v>
      </c>
      <c r="AF109" s="40">
        <f>IF(VLOOKUP($D109,$C$5:$AT$507,3,)=0,0,(VLOOKUP($D109,$C$5:$AT$507,30,)/VLOOKUP($D109,$C$5:$AT$507,3,))*$E109)</f>
        <v>0</v>
      </c>
      <c r="AG109" s="64">
        <f>SUM(F109:AF109)</f>
        <v>2273683.5442218939</v>
      </c>
      <c r="AH109" s="21" t="str">
        <f>IF(ABS(E109-AG109)&lt;0.01,"ok","err")</f>
        <v>ok</v>
      </c>
    </row>
    <row r="110" spans="1:34" x14ac:dyDescent="0.25">
      <c r="E110" s="167"/>
    </row>
    <row r="111" spans="1:34" x14ac:dyDescent="0.25">
      <c r="A111" s="13" t="s">
        <v>544</v>
      </c>
      <c r="E111" s="167"/>
    </row>
    <row r="112" spans="1:34" x14ac:dyDescent="0.25">
      <c r="A112" s="67" t="s">
        <v>220</v>
      </c>
      <c r="C112" s="14" t="s">
        <v>259</v>
      </c>
      <c r="D112" s="14" t="s">
        <v>233</v>
      </c>
      <c r="E112" s="174">
        <f>'Func &amp; Classif'!Y144</f>
        <v>221761.11573233095</v>
      </c>
      <c r="F112" s="40">
        <f>IF(VLOOKUP($D112,$C$5:$AT$507,3,)=0,0,(VLOOKUP($D112,$C$5:$AT$507,4,)/VLOOKUP($D112,$C$5:$AT$507,3,))*$E112)</f>
        <v>193748.02202813368</v>
      </c>
      <c r="G112" s="40">
        <f>IF(VLOOKUP($D112,$C$5:$AT$507,3,)=0,0,(VLOOKUP($D112,$C$5:$AT$507,5,)/VLOOKUP($D112,$C$5:$AT$507,3,))*$E112)</f>
        <v>145.7909116051338</v>
      </c>
      <c r="H112" s="40">
        <f>IF(VLOOKUP($D112,$C$5:$AT$507,3,)=0,0,(VLOOKUP($D112,$C$5:$AT$507,6,)/VLOOKUP($D112,$C$5:$AT$507,3,))*$E112)</f>
        <v>23682.92364074507</v>
      </c>
      <c r="I112" s="40">
        <f>IF(VLOOKUP($D112,$C$5:$AT$507,3,)=0,0,(VLOOKUP($D112,$C$5:$AT$507,7,)/VLOOKUP($D112,$C$5:$AT$507,3,))*$E112)</f>
        <v>2851.0222713892836</v>
      </c>
      <c r="J112" s="40">
        <f>IF(VLOOKUP($D112,$C$5:$AT$507,3,)=0,0,(VLOOKUP($D112,$C$5:$AT$507,8,)/VLOOKUP($D112,$C$5:$AT$507,3,))*$E112)</f>
        <v>40.497475445870499</v>
      </c>
      <c r="K112" s="40">
        <f>IF(VLOOKUP($D112,$C$5:$AT$507,3,)=0,0,(VLOOKUP($D112,$C$5:$AT$507,9,)/VLOOKUP($D112,$C$5:$AT$507,3,))*$E112)</f>
        <v>1292.8594050119461</v>
      </c>
      <c r="L112" s="40">
        <f>IF(VLOOKUP($D112,$C$5:$AT$507,3,)=0,0,(VLOOKUP($D112,$C$5:$AT$507,10,)/VLOOKUP($D112,$C$5:$AT$507,3,))*$E112)</f>
        <v>0</v>
      </c>
      <c r="M112" s="40">
        <f>IF(VLOOKUP($D112,$C$5:$AT$507,3,)=0,0,(VLOOKUP($D112,$C$5:$AT$507,11,)/VLOOKUP($D112,$C$5:$AT$507,3,))*$E112)</f>
        <v>0</v>
      </c>
      <c r="N112" s="40">
        <f>IF(VLOOKUP($D112,$C$5:$AT$507,3,)=0,0,(VLOOKUP($D112,$C$5:$AT$507,12,)/VLOOKUP($D112,$C$5:$AT$507,3,))*$E112)</f>
        <v>0</v>
      </c>
      <c r="O112" s="40">
        <f>IF(VLOOKUP($D112,$C$5:$AT$507,3,)=0,0,(VLOOKUP($D112,$C$5:$AT$507,13,)/VLOOKUP($D112,$C$5:$AT$507,3,))*$E112)</f>
        <v>0</v>
      </c>
      <c r="P112" s="40">
        <f>IF(VLOOKUP($D112,$C$5:$AT$507,3,)=0,0,(VLOOKUP($D112,$C$5:$AT$507,14,)/VLOOKUP($D112,$C$5:$AT$507,3,))*$E112)</f>
        <v>0</v>
      </c>
      <c r="Q112" s="40">
        <f>IF(VLOOKUP($D112,$C$5:$AT$507,3,)=0,0,(VLOOKUP($D112,$C$5:$AT$507,15,)/VLOOKUP($D112,$C$5:$AT$507,3,))*$E112)</f>
        <v>0</v>
      </c>
      <c r="R112" s="40">
        <f>IF(VLOOKUP($D112,$C$5:$AT$507,3,)=0,0,(VLOOKUP($D112,$C$5:$AT$507,16,)/VLOOKUP($D112,$C$5:$AT$507,3,))*$E112)</f>
        <v>0</v>
      </c>
      <c r="S112" s="40">
        <f>IF(VLOOKUP($D112,$C$5:$AT$507,3,)=0,0,(VLOOKUP($D112,$C$5:$AT$507,17,)/VLOOKUP($D112,$C$5:$AT$507,3,))*$E112)</f>
        <v>0</v>
      </c>
      <c r="T112" s="40">
        <f>IF(VLOOKUP($D112,$C$5:$AT$507,3,)=0,0,(VLOOKUP($D112,$C$5:$AT$507,18,)/VLOOKUP($D112,$C$5:$AT$507,3,))*$E112)</f>
        <v>0</v>
      </c>
      <c r="U112" s="40">
        <f>IF(VLOOKUP($D112,$C$5:$AT$507,3,)=0,0,(VLOOKUP($D112,$C$5:$AT$507,19,)/VLOOKUP($D112,$C$5:$AT$507,3,))*$E112)</f>
        <v>0</v>
      </c>
      <c r="V112" s="40">
        <f>IF(VLOOKUP($D112,$C$5:$AT$507,3,)=0,0,(VLOOKUP($D112,$C$5:$AT$507,20,)/VLOOKUP($D112,$C$5:$AT$507,3,))*$E112)</f>
        <v>0</v>
      </c>
      <c r="W112" s="40">
        <f>IF(VLOOKUP($D112,$C$5:$AT$507,3,)=0,0,(VLOOKUP($D112,$C$5:$AT$507,21,)/VLOOKUP($D112,$C$5:$AT$507,3,))*$E112)</f>
        <v>0</v>
      </c>
      <c r="X112" s="40">
        <f>IF(VLOOKUP($D112,$C$5:$AT$507,3,)=0,0,(VLOOKUP($D112,$C$5:$AT$507,22,)/VLOOKUP($D112,$C$5:$AT$507,3,))*$E112)</f>
        <v>0</v>
      </c>
      <c r="Y112" s="40">
        <f>IF(VLOOKUP($D112,$C$5:$AT$507,3,)=0,0,(VLOOKUP($D112,$C$5:$AT$507,23,)/VLOOKUP($D112,$C$5:$AT$507,3,))*$E112)</f>
        <v>0</v>
      </c>
      <c r="Z112" s="40">
        <f>IF(VLOOKUP($D112,$C$5:$AT$507,3,)=0,0,(VLOOKUP($D112,$C$5:$AT$507,24,)/VLOOKUP($D112,$C$5:$AT$507,3,))*$E112)</f>
        <v>0</v>
      </c>
      <c r="AA112" s="40">
        <f>IF(VLOOKUP($D112,$C$5:$AT$507,3,)=0,0,(VLOOKUP($D112,$C$5:$AT$507,25,)/VLOOKUP($D112,$C$5:$AT$507,3,))*$E112)</f>
        <v>0</v>
      </c>
      <c r="AB112" s="40">
        <f>IF(VLOOKUP($D112,$C$5:$AT$507,3,)=0,0,(VLOOKUP($D112,$C$5:$AT$507,26,)/VLOOKUP($D112,$C$5:$AT$507,3,))*$E112)</f>
        <v>0</v>
      </c>
      <c r="AC112" s="40">
        <f>IF(VLOOKUP($D112,$C$5:$AT$507,3,)=0,0,(VLOOKUP($D112,$C$5:$AT$507,27,)/VLOOKUP($D112,$C$5:$AT$507,3,))*$E112)</f>
        <v>0</v>
      </c>
      <c r="AD112" s="40">
        <f>IF(VLOOKUP($D112,$C$5:$AT$507,3,)=0,0,(VLOOKUP($D112,$C$5:$AT$507,28,)/VLOOKUP($D112,$C$5:$AT$507,3,))*$E112)</f>
        <v>0</v>
      </c>
      <c r="AE112" s="40">
        <f>IF(VLOOKUP($D112,$C$5:$AT$507,3,)=0,0,(VLOOKUP($D112,$C$5:$AT$507,29,)/VLOOKUP($D112,$C$5:$AT$507,3,))*$E112)</f>
        <v>0</v>
      </c>
      <c r="AF112" s="40">
        <f>IF(VLOOKUP($D112,$C$5:$AT$507,3,)=0,0,(VLOOKUP($D112,$C$5:$AT$507,30,)/VLOOKUP($D112,$C$5:$AT$507,3,))*$E112)</f>
        <v>0</v>
      </c>
      <c r="AG112" s="64">
        <f>SUM(F112:AF112)</f>
        <v>221761.11573233103</v>
      </c>
      <c r="AH112" s="21" t="str">
        <f>IF(ABS(E112-AG112)&lt;0.01,"ok","err")</f>
        <v>ok</v>
      </c>
    </row>
    <row r="113" spans="1:34" x14ac:dyDescent="0.25">
      <c r="E113" s="167"/>
    </row>
    <row r="114" spans="1:34" x14ac:dyDescent="0.25">
      <c r="A114" s="13" t="s">
        <v>469</v>
      </c>
      <c r="E114" s="167"/>
    </row>
    <row r="115" spans="1:34" x14ac:dyDescent="0.25">
      <c r="A115" s="67" t="s">
        <v>220</v>
      </c>
      <c r="C115" s="14" t="s">
        <v>256</v>
      </c>
      <c r="D115" s="14" t="s">
        <v>234</v>
      </c>
      <c r="E115" s="174">
        <f>'Func &amp; Classif'!AA144</f>
        <v>0</v>
      </c>
      <c r="F115" s="40">
        <f>IF(VLOOKUP($D115,$C$5:$AT$507,3,)=0,0,(VLOOKUP($D115,$C$5:$AT$507,4,)/VLOOKUP($D115,$C$5:$AT$507,3,))*$E115)</f>
        <v>0</v>
      </c>
      <c r="G115" s="40">
        <f>IF(VLOOKUP($D115,$C$5:$AT$507,3,)=0,0,(VLOOKUP($D115,$C$5:$AT$507,5,)/VLOOKUP($D115,$C$5:$AT$507,3,))*$E115)</f>
        <v>0</v>
      </c>
      <c r="H115" s="40">
        <f>IF(VLOOKUP($D115,$C$5:$AT$507,3,)=0,0,(VLOOKUP($D115,$C$5:$AT$507,6,)/VLOOKUP($D115,$C$5:$AT$507,3,))*$E115)</f>
        <v>0</v>
      </c>
      <c r="I115" s="40">
        <f>IF(VLOOKUP($D115,$C$5:$AT$507,3,)=0,0,(VLOOKUP($D115,$C$5:$AT$507,7,)/VLOOKUP($D115,$C$5:$AT$507,3,))*$E115)</f>
        <v>0</v>
      </c>
      <c r="J115" s="40">
        <f>IF(VLOOKUP($D115,$C$5:$AT$507,3,)=0,0,(VLOOKUP($D115,$C$5:$AT$507,8,)/VLOOKUP($D115,$C$5:$AT$507,3,))*$E115)</f>
        <v>0</v>
      </c>
      <c r="K115" s="40">
        <f>IF(VLOOKUP($D115,$C$5:$AT$507,3,)=0,0,(VLOOKUP($D115,$C$5:$AT$507,9,)/VLOOKUP($D115,$C$5:$AT$507,3,))*$E115)</f>
        <v>0</v>
      </c>
      <c r="L115" s="40">
        <f>IF(VLOOKUP($D115,$C$5:$AT$507,3,)=0,0,(VLOOKUP($D115,$C$5:$AT$507,10,)/VLOOKUP($D115,$C$5:$AT$507,3,))*$E115)</f>
        <v>0</v>
      </c>
      <c r="M115" s="40">
        <f>IF(VLOOKUP($D115,$C$5:$AT$507,3,)=0,0,(VLOOKUP($D115,$C$5:$AT$507,11,)/VLOOKUP($D115,$C$5:$AT$507,3,))*$E115)</f>
        <v>0</v>
      </c>
      <c r="N115" s="40">
        <f>IF(VLOOKUP($D115,$C$5:$AT$507,3,)=0,0,(VLOOKUP($D115,$C$5:$AT$507,12,)/VLOOKUP($D115,$C$5:$AT$507,3,))*$E115)</f>
        <v>0</v>
      </c>
      <c r="O115" s="40">
        <f>IF(VLOOKUP($D115,$C$5:$AT$507,3,)=0,0,(VLOOKUP($D115,$C$5:$AT$507,13,)/VLOOKUP($D115,$C$5:$AT$507,3,))*$E115)</f>
        <v>0</v>
      </c>
      <c r="P115" s="40">
        <f>IF(VLOOKUP($D115,$C$5:$AT$507,3,)=0,0,(VLOOKUP($D115,$C$5:$AT$507,14,)/VLOOKUP($D115,$C$5:$AT$507,3,))*$E115)</f>
        <v>0</v>
      </c>
      <c r="Q115" s="40">
        <f>IF(VLOOKUP($D115,$C$5:$AT$507,3,)=0,0,(VLOOKUP($D115,$C$5:$AT$507,15,)/VLOOKUP($D115,$C$5:$AT$507,3,))*$E115)</f>
        <v>0</v>
      </c>
      <c r="R115" s="40">
        <f>IF(VLOOKUP($D115,$C$5:$AT$507,3,)=0,0,(VLOOKUP($D115,$C$5:$AT$507,16,)/VLOOKUP($D115,$C$5:$AT$507,3,))*$E115)</f>
        <v>0</v>
      </c>
      <c r="S115" s="40">
        <f>IF(VLOOKUP($D115,$C$5:$AT$507,3,)=0,0,(VLOOKUP($D115,$C$5:$AT$507,17,)/VLOOKUP($D115,$C$5:$AT$507,3,))*$E115)</f>
        <v>0</v>
      </c>
      <c r="T115" s="40">
        <f>IF(VLOOKUP($D115,$C$5:$AT$507,3,)=0,0,(VLOOKUP($D115,$C$5:$AT$507,18,)/VLOOKUP($D115,$C$5:$AT$507,3,))*$E115)</f>
        <v>0</v>
      </c>
      <c r="U115" s="40">
        <f>IF(VLOOKUP($D115,$C$5:$AT$507,3,)=0,0,(VLOOKUP($D115,$C$5:$AT$507,19,)/VLOOKUP($D115,$C$5:$AT$507,3,))*$E115)</f>
        <v>0</v>
      </c>
      <c r="V115" s="40">
        <f>IF(VLOOKUP($D115,$C$5:$AT$507,3,)=0,0,(VLOOKUP($D115,$C$5:$AT$507,20,)/VLOOKUP($D115,$C$5:$AT$507,3,))*$E115)</f>
        <v>0</v>
      </c>
      <c r="W115" s="40">
        <f>IF(VLOOKUP($D115,$C$5:$AT$507,3,)=0,0,(VLOOKUP($D115,$C$5:$AT$507,21,)/VLOOKUP($D115,$C$5:$AT$507,3,))*$E115)</f>
        <v>0</v>
      </c>
      <c r="X115" s="40">
        <f>IF(VLOOKUP($D115,$C$5:$AT$507,3,)=0,0,(VLOOKUP($D115,$C$5:$AT$507,22,)/VLOOKUP($D115,$C$5:$AT$507,3,))*$E115)</f>
        <v>0</v>
      </c>
      <c r="Y115" s="40">
        <f>IF(VLOOKUP($D115,$C$5:$AT$507,3,)=0,0,(VLOOKUP($D115,$C$5:$AT$507,23,)/VLOOKUP($D115,$C$5:$AT$507,3,))*$E115)</f>
        <v>0</v>
      </c>
      <c r="Z115" s="40">
        <f>IF(VLOOKUP($D115,$C$5:$AT$507,3,)=0,0,(VLOOKUP($D115,$C$5:$AT$507,24,)/VLOOKUP($D115,$C$5:$AT$507,3,))*$E115)</f>
        <v>0</v>
      </c>
      <c r="AA115" s="40">
        <f>IF(VLOOKUP($D115,$C$5:$AT$507,3,)=0,0,(VLOOKUP($D115,$C$5:$AT$507,25,)/VLOOKUP($D115,$C$5:$AT$507,3,))*$E115)</f>
        <v>0</v>
      </c>
      <c r="AB115" s="40">
        <f>IF(VLOOKUP($D115,$C$5:$AT$507,3,)=0,0,(VLOOKUP($D115,$C$5:$AT$507,26,)/VLOOKUP($D115,$C$5:$AT$507,3,))*$E115)</f>
        <v>0</v>
      </c>
      <c r="AC115" s="40">
        <f>IF(VLOOKUP($D115,$C$5:$AT$507,3,)=0,0,(VLOOKUP($D115,$C$5:$AT$507,27,)/VLOOKUP($D115,$C$5:$AT$507,3,))*$E115)</f>
        <v>0</v>
      </c>
      <c r="AD115" s="40">
        <f>IF(VLOOKUP($D115,$C$5:$AT$507,3,)=0,0,(VLOOKUP($D115,$C$5:$AT$507,28,)/VLOOKUP($D115,$C$5:$AT$507,3,))*$E115)</f>
        <v>0</v>
      </c>
      <c r="AE115" s="40">
        <f>IF(VLOOKUP($D115,$C$5:$AT$507,3,)=0,0,(VLOOKUP($D115,$C$5:$AT$507,29,)/VLOOKUP($D115,$C$5:$AT$507,3,))*$E115)</f>
        <v>0</v>
      </c>
      <c r="AF115" s="40">
        <f>IF(VLOOKUP($D115,$C$5:$AT$507,3,)=0,0,(VLOOKUP($D115,$C$5:$AT$507,30,)/VLOOKUP($D115,$C$5:$AT$507,3,))*$E115)</f>
        <v>0</v>
      </c>
      <c r="AG115" s="64">
        <f>SUM(F115:AF115)</f>
        <v>0</v>
      </c>
      <c r="AH115" s="21" t="str">
        <f>IF(ABS(E115-AG115)&lt;0.01,"ok","err")</f>
        <v>ok</v>
      </c>
    </row>
    <row r="116" spans="1:34" x14ac:dyDescent="0.25">
      <c r="E116" s="16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</row>
    <row r="117" spans="1:34" x14ac:dyDescent="0.25">
      <c r="A117" s="14" t="s">
        <v>0</v>
      </c>
      <c r="C117" s="14" t="s">
        <v>260</v>
      </c>
      <c r="E117" s="174">
        <f>E87+E90+E93+E98+E103+E106+E109+E112+E115</f>
        <v>63080877.98644232</v>
      </c>
      <c r="F117" s="40">
        <f t="shared" ref="F117:R117" si="22">F87+F90+F93+F98+F103+F106+F109+F112+F115</f>
        <v>51218720.466161877</v>
      </c>
      <c r="G117" s="40">
        <f t="shared" si="22"/>
        <v>43691.224611132253</v>
      </c>
      <c r="H117" s="40">
        <f t="shared" si="22"/>
        <v>5184626.759981649</v>
      </c>
      <c r="I117" s="40">
        <f t="shared" si="22"/>
        <v>3677082.0873443196</v>
      </c>
      <c r="J117" s="40">
        <f t="shared" si="22"/>
        <v>530606.12617863517</v>
      </c>
      <c r="K117" s="40">
        <f t="shared" si="22"/>
        <v>2426151.3221646999</v>
      </c>
      <c r="L117" s="40">
        <f t="shared" si="22"/>
        <v>0</v>
      </c>
      <c r="M117" s="40">
        <f t="shared" si="22"/>
        <v>0</v>
      </c>
      <c r="N117" s="40">
        <f t="shared" si="22"/>
        <v>0</v>
      </c>
      <c r="O117" s="40">
        <f t="shared" si="22"/>
        <v>0</v>
      </c>
      <c r="P117" s="40">
        <f t="shared" si="22"/>
        <v>0</v>
      </c>
      <c r="Q117" s="40">
        <f t="shared" si="22"/>
        <v>0</v>
      </c>
      <c r="R117" s="40">
        <f t="shared" si="22"/>
        <v>0</v>
      </c>
      <c r="S117" s="40">
        <f t="shared" ref="S117:AF117" si="23">S87+S93+S98+S103+S106+S109+S112+S115</f>
        <v>0</v>
      </c>
      <c r="T117" s="40">
        <f t="shared" si="23"/>
        <v>0</v>
      </c>
      <c r="U117" s="40">
        <f t="shared" si="23"/>
        <v>0</v>
      </c>
      <c r="V117" s="40">
        <f t="shared" si="23"/>
        <v>0</v>
      </c>
      <c r="W117" s="40">
        <f t="shared" si="23"/>
        <v>0</v>
      </c>
      <c r="X117" s="40">
        <f t="shared" si="23"/>
        <v>0</v>
      </c>
      <c r="Y117" s="40">
        <f t="shared" si="23"/>
        <v>0</v>
      </c>
      <c r="Z117" s="40">
        <f t="shared" si="23"/>
        <v>0</v>
      </c>
      <c r="AA117" s="40">
        <f t="shared" si="23"/>
        <v>0</v>
      </c>
      <c r="AB117" s="40">
        <f t="shared" si="23"/>
        <v>0</v>
      </c>
      <c r="AC117" s="40">
        <f t="shared" si="23"/>
        <v>0</v>
      </c>
      <c r="AD117" s="40">
        <f t="shared" si="23"/>
        <v>0</v>
      </c>
      <c r="AE117" s="40">
        <f t="shared" si="23"/>
        <v>0</v>
      </c>
      <c r="AF117" s="40">
        <f t="shared" si="23"/>
        <v>0</v>
      </c>
      <c r="AG117" s="64">
        <f>SUM(F117:AF117)</f>
        <v>63080877.986442313</v>
      </c>
      <c r="AH117" s="21" t="str">
        <f>IF(ABS(E117-AG117)&lt;0.01,"ok","err")</f>
        <v>ok</v>
      </c>
    </row>
    <row r="118" spans="1:34" x14ac:dyDescent="0.25">
      <c r="E118" s="162">
        <f>E117/$E117</f>
        <v>1</v>
      </c>
      <c r="F118" s="25">
        <f>F117/$E117</f>
        <v>0.81195319566049917</v>
      </c>
      <c r="G118" s="25">
        <f t="shared" ref="G118:O118" si="24">G117/$E117</f>
        <v>6.9262232875900369E-4</v>
      </c>
      <c r="H118" s="25">
        <f t="shared" si="24"/>
        <v>8.2190148987716316E-2</v>
      </c>
      <c r="I118" s="25">
        <f t="shared" si="24"/>
        <v>5.8291548956160975E-2</v>
      </c>
      <c r="J118" s="25">
        <f t="shared" si="24"/>
        <v>8.4115209413013533E-3</v>
      </c>
      <c r="K118" s="25">
        <f t="shared" si="24"/>
        <v>3.8460963125563047E-2</v>
      </c>
      <c r="L118" s="25">
        <f t="shared" si="24"/>
        <v>0</v>
      </c>
      <c r="M118" s="25">
        <f t="shared" si="24"/>
        <v>0</v>
      </c>
      <c r="N118" s="25">
        <f t="shared" si="24"/>
        <v>0</v>
      </c>
      <c r="O118" s="25">
        <f t="shared" si="24"/>
        <v>0</v>
      </c>
      <c r="AG118" s="110">
        <f>SUM(F118:AF118)</f>
        <v>0.99999999999999989</v>
      </c>
      <c r="AH118" s="21" t="str">
        <f>IF(ABS(E118-AG118)&lt;0.01,"ok","err")</f>
        <v>ok</v>
      </c>
    </row>
    <row r="119" spans="1:34" x14ac:dyDescent="0.25">
      <c r="E119" s="175"/>
    </row>
    <row r="120" spans="1:34" x14ac:dyDescent="0.25">
      <c r="A120" s="19" t="s">
        <v>86</v>
      </c>
    </row>
    <row r="122" spans="1:34" x14ac:dyDescent="0.25">
      <c r="A122" s="13" t="s">
        <v>885</v>
      </c>
    </row>
    <row r="123" spans="1:34" x14ac:dyDescent="0.25">
      <c r="A123" s="67" t="s">
        <v>208</v>
      </c>
      <c r="C123" s="14" t="s">
        <v>261</v>
      </c>
      <c r="D123" s="14" t="s">
        <v>654</v>
      </c>
      <c r="E123" s="174">
        <f>'Func &amp; Classif'!H285</f>
        <v>9549281.9872807246</v>
      </c>
      <c r="F123" s="40">
        <f>IF(VLOOKUP($D123,$C$5:$AT$507,3,)=0,0,(VLOOKUP($D123,$C$5:$AT$507,4,)/VLOOKUP($D123,$C$5:$AT$507,3,))*$E123)</f>
        <v>5997691.5253664944</v>
      </c>
      <c r="G123" s="40">
        <f>IF(VLOOKUP($D123,$C$5:$AT$507,3,)=0,0,(VLOOKUP($D123,$C$5:$AT$507,5,)/VLOOKUP($D123,$C$5:$AT$507,3,))*$E123)</f>
        <v>0</v>
      </c>
      <c r="H123" s="40">
        <f>IF(VLOOKUP($D123,$C$5:$AT$507,3,)=0,0,(VLOOKUP($D123,$C$5:$AT$507,6,)/VLOOKUP($D123,$C$5:$AT$507,3,))*$E123)</f>
        <v>664498.43453136226</v>
      </c>
      <c r="I123" s="40">
        <f>IF(VLOOKUP($D123,$C$5:$AT$507,3,)=0,0,(VLOOKUP($D123,$C$5:$AT$507,7,)/VLOOKUP($D123,$C$5:$AT$507,3,))*$E123)</f>
        <v>1424675.0216431818</v>
      </c>
      <c r="J123" s="40">
        <f>IF(VLOOKUP($D123,$C$5:$AT$507,3,)=0,0,(VLOOKUP($D123,$C$5:$AT$507,8,)/VLOOKUP($D123,$C$5:$AT$507,3,))*$E123)</f>
        <v>707245</v>
      </c>
      <c r="K123" s="40">
        <f>IF(VLOOKUP($D123,$C$5:$AT$507,3,)=0,0,(VLOOKUP($D123,$C$5:$AT$507,9,)/VLOOKUP($D123,$C$5:$AT$507,3,))*$E123)</f>
        <v>0</v>
      </c>
      <c r="L123" s="40">
        <f>IF(VLOOKUP($D123,$C$5:$AT$507,3,)=0,0,(VLOOKUP($D123,$C$5:$AT$507,10,)/VLOOKUP($D123,$C$5:$AT$507,3,))*$E123)</f>
        <v>755172</v>
      </c>
      <c r="M123" s="40">
        <f>IF(VLOOKUP($D123,$C$5:$AT$507,3,)=0,0,(VLOOKUP($D123,$C$5:$AT$507,11,)/VLOOKUP($D123,$C$5:$AT$507,3,))*$E123)</f>
        <v>0</v>
      </c>
      <c r="N123" s="40">
        <f>IF(VLOOKUP($D123,$C$5:$AT$507,3,)=0,0,(VLOOKUP($D123,$C$5:$AT$507,12,)/VLOOKUP($D123,$C$5:$AT$507,3,))*$E123)</f>
        <v>0</v>
      </c>
      <c r="O123" s="40">
        <f>IF(VLOOKUP($D123,$C$5:$AT$507,3,)=0,0,(VLOOKUP($D123,$C$5:$AT$507,13,)/VLOOKUP($D123,$C$5:$AT$507,3,))*$E123)</f>
        <v>0</v>
      </c>
      <c r="P123" s="40">
        <f>IF(VLOOKUP($D123,$C$5:$AT$507,3,)=0,0,(VLOOKUP($D123,$C$5:$AT$507,14,)/VLOOKUP($D123,$C$5:$AT$507,3,))*$E123)</f>
        <v>0</v>
      </c>
      <c r="Q123" s="40">
        <f>IF(VLOOKUP($D123,$C$5:$AT$507,3,)=0,0,(VLOOKUP($D123,$C$5:$AT$507,15,)/VLOOKUP($D123,$C$5:$AT$507,3,))*$E123)</f>
        <v>0</v>
      </c>
      <c r="R123" s="40">
        <f>IF(VLOOKUP($D123,$C$5:$AT$507,3,)=0,0,(VLOOKUP($D123,$C$5:$AT$507,16,)/VLOOKUP($D123,$C$5:$AT$507,3,))*$E123)</f>
        <v>0</v>
      </c>
      <c r="S123" s="40">
        <f>IF(VLOOKUP($D123,$C$5:$AT$507,3,)=0,0,(VLOOKUP($D123,$C$5:$AT$507,17,)/VLOOKUP($D123,$C$5:$AT$507,3,))*$E123)</f>
        <v>0</v>
      </c>
      <c r="T123" s="40">
        <f>IF(VLOOKUP($D123,$C$5:$AT$507,3,)=0,0,(VLOOKUP($D123,$C$5:$AT$507,18,)/VLOOKUP($D123,$C$5:$AT$507,3,))*$E123)</f>
        <v>0</v>
      </c>
      <c r="U123" s="40">
        <f>IF(VLOOKUP($D123,$C$5:$AT$507,3,)=0,0,(VLOOKUP($D123,$C$5:$AT$507,19,)/VLOOKUP($D123,$C$5:$AT$507,3,))*$E123)</f>
        <v>0</v>
      </c>
      <c r="V123" s="40">
        <f>IF(VLOOKUP($D123,$C$5:$AT$507,3,)=0,0,(VLOOKUP($D123,$C$5:$AT$507,20,)/VLOOKUP($D123,$C$5:$AT$507,3,))*$E123)</f>
        <v>0</v>
      </c>
      <c r="W123" s="40">
        <f>IF(VLOOKUP($D123,$C$5:$AT$507,3,)=0,0,(VLOOKUP($D123,$C$5:$AT$507,21,)/VLOOKUP($D123,$C$5:$AT$507,3,))*$E123)</f>
        <v>0</v>
      </c>
      <c r="X123" s="40">
        <f>IF(VLOOKUP($D123,$C$5:$AT$507,3,)=0,0,(VLOOKUP($D123,$C$5:$AT$507,22,)/VLOOKUP($D123,$C$5:$AT$507,3,))*$E123)</f>
        <v>0</v>
      </c>
      <c r="Y123" s="40">
        <f>IF(VLOOKUP($D123,$C$5:$AT$507,3,)=0,0,(VLOOKUP($D123,$C$5:$AT$507,23,)/VLOOKUP($D123,$C$5:$AT$507,3,))*$E123)</f>
        <v>0</v>
      </c>
      <c r="Z123" s="40">
        <f>IF(VLOOKUP($D123,$C$5:$AT$507,3,)=0,0,(VLOOKUP($D123,$C$5:$AT$507,24,)/VLOOKUP($D123,$C$5:$AT$507,3,))*$E123)</f>
        <v>0</v>
      </c>
      <c r="AA123" s="40">
        <f>IF(VLOOKUP($D123,$C$5:$AT$507,3,)=0,0,(VLOOKUP($D123,$C$5:$AT$507,25,)/VLOOKUP($D123,$C$5:$AT$507,3,))*$E123)</f>
        <v>0</v>
      </c>
      <c r="AB123" s="40">
        <f>IF(VLOOKUP($D123,$C$5:$AT$507,3,)=0,0,(VLOOKUP($D123,$C$5:$AT$507,26,)/VLOOKUP($D123,$C$5:$AT$507,3,))*$E123)</f>
        <v>0</v>
      </c>
      <c r="AC123" s="40">
        <f>IF(VLOOKUP($D123,$C$5:$AT$507,3,)=0,0,(VLOOKUP($D123,$C$5:$AT$507,27,)/VLOOKUP($D123,$C$5:$AT$507,3,))*$E123)</f>
        <v>0</v>
      </c>
      <c r="AD123" s="40">
        <f>IF(VLOOKUP($D123,$C$5:$AT$507,3,)=0,0,(VLOOKUP($D123,$C$5:$AT$507,28,)/VLOOKUP($D123,$C$5:$AT$507,3,))*$E123)</f>
        <v>0</v>
      </c>
      <c r="AE123" s="40">
        <f>IF(VLOOKUP($D123,$C$5:$AT$507,3,)=0,0,(VLOOKUP($D123,$C$5:$AT$507,29,)/VLOOKUP($D123,$C$5:$AT$507,3,))*$E123)</f>
        <v>0</v>
      </c>
      <c r="AF123" s="40">
        <f>IF(VLOOKUP($D123,$C$5:$AT$507,3,)=0,0,(VLOOKUP($D123,$C$5:$AT$507,30,)/VLOOKUP($D123,$C$5:$AT$507,3,))*$E123)</f>
        <v>0</v>
      </c>
      <c r="AG123" s="64">
        <f>SUM(F123:AF123)</f>
        <v>9549281.9815410394</v>
      </c>
      <c r="AH123" s="21" t="str">
        <f>IF(ABS(E123-AG123)&lt;0.01,"ok","err")</f>
        <v>ok</v>
      </c>
    </row>
    <row r="124" spans="1:34" x14ac:dyDescent="0.25">
      <c r="A124" s="67" t="s">
        <v>211</v>
      </c>
      <c r="C124" s="14" t="s">
        <v>262</v>
      </c>
      <c r="D124" s="14" t="s">
        <v>663</v>
      </c>
      <c r="E124" s="167">
        <f>'Func &amp; Classif'!I285</f>
        <v>29250739.012719277</v>
      </c>
      <c r="F124" s="40">
        <f>IF(VLOOKUP($D124,$C$5:$AT$507,3,)=0,0,(VLOOKUP($D124,$C$5:$AT$507,4,)/VLOOKUP($D124,$C$5:$AT$507,3,))*$E124)</f>
        <v>17936122.691295471</v>
      </c>
      <c r="G124" s="40">
        <f>IF(VLOOKUP($D124,$C$5:$AT$507,3,)=0,0,(VLOOKUP($D124,$C$5:$AT$507,5,)/VLOOKUP($D124,$C$5:$AT$507,3,))*$E124)</f>
        <v>17704.039390933129</v>
      </c>
      <c r="H124" s="40">
        <f>IF(VLOOKUP($D124,$C$5:$AT$507,3,)=0,0,(VLOOKUP($D124,$C$5:$AT$507,6,)/VLOOKUP($D124,$C$5:$AT$507,3,))*$E124)</f>
        <v>2340530.7161053857</v>
      </c>
      <c r="I124" s="40">
        <f>IF(VLOOKUP($D124,$C$5:$AT$507,3,)=0,0,(VLOOKUP($D124,$C$5:$AT$507,7,)/VLOOKUP($D124,$C$5:$AT$507,3,))*$E124)</f>
        <v>4800341.5659274869</v>
      </c>
      <c r="J124" s="40">
        <f>IF(VLOOKUP($D124,$C$5:$AT$507,3,)=0,0,(VLOOKUP($D124,$C$5:$AT$507,8,)/VLOOKUP($D124,$C$5:$AT$507,3,))*$E124)</f>
        <v>1058560</v>
      </c>
      <c r="K124" s="40">
        <f>IF(VLOOKUP($D124,$C$5:$AT$507,3,)=0,0,(VLOOKUP($D124,$C$5:$AT$507,9,)/VLOOKUP($D124,$C$5:$AT$507,3,))*$E124)</f>
        <v>0</v>
      </c>
      <c r="L124" s="40">
        <f>IF(VLOOKUP($D124,$C$5:$AT$507,3,)=0,0,(VLOOKUP($D124,$C$5:$AT$507,10,)/VLOOKUP($D124,$C$5:$AT$507,3,))*$E124)</f>
        <v>3097480</v>
      </c>
      <c r="M124" s="40">
        <f>IF(VLOOKUP($D124,$C$5:$AT$507,3,)=0,0,(VLOOKUP($D124,$C$5:$AT$507,11,)/VLOOKUP($D124,$C$5:$AT$507,3,))*$E124)</f>
        <v>0</v>
      </c>
      <c r="N124" s="40">
        <f>IF(VLOOKUP($D124,$C$5:$AT$507,3,)=0,0,(VLOOKUP($D124,$C$5:$AT$507,12,)/VLOOKUP($D124,$C$5:$AT$507,3,))*$E124)</f>
        <v>0</v>
      </c>
      <c r="O124" s="40">
        <f>IF(VLOOKUP($D124,$C$5:$AT$507,3,)=0,0,(VLOOKUP($D124,$C$5:$AT$507,13,)/VLOOKUP($D124,$C$5:$AT$507,3,))*$E124)</f>
        <v>0</v>
      </c>
      <c r="P124" s="40">
        <f>IF(VLOOKUP($D124,$C$5:$AT$507,3,)=0,0,(VLOOKUP($D124,$C$5:$AT$507,14,)/VLOOKUP($D124,$C$5:$AT$507,3,))*$E124)</f>
        <v>0</v>
      </c>
      <c r="Q124" s="40">
        <f>IF(VLOOKUP($D124,$C$5:$AT$507,3,)=0,0,(VLOOKUP($D124,$C$5:$AT$507,15,)/VLOOKUP($D124,$C$5:$AT$507,3,))*$E124)</f>
        <v>0</v>
      </c>
      <c r="R124" s="40">
        <f>IF(VLOOKUP($D124,$C$5:$AT$507,3,)=0,0,(VLOOKUP($D124,$C$5:$AT$507,16,)/VLOOKUP($D124,$C$5:$AT$507,3,))*$E124)</f>
        <v>0</v>
      </c>
      <c r="S124" s="40">
        <f>IF(VLOOKUP($D124,$C$5:$AT$507,3,)=0,0,(VLOOKUP($D124,$C$5:$AT$507,17,)/VLOOKUP($D124,$C$5:$AT$507,3,))*$E124)</f>
        <v>0</v>
      </c>
      <c r="T124" s="40">
        <f>IF(VLOOKUP($D124,$C$5:$AT$507,3,)=0,0,(VLOOKUP($D124,$C$5:$AT$507,18,)/VLOOKUP($D124,$C$5:$AT$507,3,))*$E124)</f>
        <v>0</v>
      </c>
      <c r="U124" s="40">
        <f>IF(VLOOKUP($D124,$C$5:$AT$507,3,)=0,0,(VLOOKUP($D124,$C$5:$AT$507,19,)/VLOOKUP($D124,$C$5:$AT$507,3,))*$E124)</f>
        <v>0</v>
      </c>
      <c r="V124" s="40">
        <f>IF(VLOOKUP($D124,$C$5:$AT$507,3,)=0,0,(VLOOKUP($D124,$C$5:$AT$507,20,)/VLOOKUP($D124,$C$5:$AT$507,3,))*$E124)</f>
        <v>0</v>
      </c>
      <c r="W124" s="40">
        <f>IF(VLOOKUP($D124,$C$5:$AT$507,3,)=0,0,(VLOOKUP($D124,$C$5:$AT$507,21,)/VLOOKUP($D124,$C$5:$AT$507,3,))*$E124)</f>
        <v>0</v>
      </c>
      <c r="X124" s="40">
        <f>IF(VLOOKUP($D124,$C$5:$AT$507,3,)=0,0,(VLOOKUP($D124,$C$5:$AT$507,22,)/VLOOKUP($D124,$C$5:$AT$507,3,))*$E124)</f>
        <v>0</v>
      </c>
      <c r="Y124" s="40">
        <f>IF(VLOOKUP($D124,$C$5:$AT$507,3,)=0,0,(VLOOKUP($D124,$C$5:$AT$507,23,)/VLOOKUP($D124,$C$5:$AT$507,3,))*$E124)</f>
        <v>0</v>
      </c>
      <c r="Z124" s="40">
        <f>IF(VLOOKUP($D124,$C$5:$AT$507,3,)=0,0,(VLOOKUP($D124,$C$5:$AT$507,24,)/VLOOKUP($D124,$C$5:$AT$507,3,))*$E124)</f>
        <v>0</v>
      </c>
      <c r="AA124" s="40">
        <f>IF(VLOOKUP($D124,$C$5:$AT$507,3,)=0,0,(VLOOKUP($D124,$C$5:$AT$507,25,)/VLOOKUP($D124,$C$5:$AT$507,3,))*$E124)</f>
        <v>0</v>
      </c>
      <c r="AB124" s="40">
        <f>IF(VLOOKUP($D124,$C$5:$AT$507,3,)=0,0,(VLOOKUP($D124,$C$5:$AT$507,26,)/VLOOKUP($D124,$C$5:$AT$507,3,))*$E124)</f>
        <v>0</v>
      </c>
      <c r="AC124" s="40">
        <f>IF(VLOOKUP($D124,$C$5:$AT$507,3,)=0,0,(VLOOKUP($D124,$C$5:$AT$507,27,)/VLOOKUP($D124,$C$5:$AT$507,3,))*$E124)</f>
        <v>0</v>
      </c>
      <c r="AD124" s="40">
        <f>IF(VLOOKUP($D124,$C$5:$AT$507,3,)=0,0,(VLOOKUP($D124,$C$5:$AT$507,28,)/VLOOKUP($D124,$C$5:$AT$507,3,))*$E124)</f>
        <v>0</v>
      </c>
      <c r="AE124" s="40">
        <f>IF(VLOOKUP($D124,$C$5:$AT$507,3,)=0,0,(VLOOKUP($D124,$C$5:$AT$507,29,)/VLOOKUP($D124,$C$5:$AT$507,3,))*$E124)</f>
        <v>0</v>
      </c>
      <c r="AF124" s="40">
        <f>IF(VLOOKUP($D124,$C$5:$AT$507,3,)=0,0,(VLOOKUP($D124,$C$5:$AT$507,30,)/VLOOKUP($D124,$C$5:$AT$507,3,))*$E124)</f>
        <v>0</v>
      </c>
      <c r="AG124" s="64">
        <f>SUM(F124:AF124)</f>
        <v>29250739.012719277</v>
      </c>
      <c r="AH124" s="21" t="str">
        <f>IF(ABS(E124-AG124)&lt;0.01,"ok","err")</f>
        <v>ok</v>
      </c>
    </row>
    <row r="125" spans="1:34" x14ac:dyDescent="0.25">
      <c r="A125" s="14" t="s">
        <v>214</v>
      </c>
      <c r="C125" s="14" t="s">
        <v>263</v>
      </c>
      <c r="E125" s="184">
        <f t="shared" ref="E125:T125" si="25">E123+E124</f>
        <v>38800021</v>
      </c>
      <c r="F125" s="73">
        <f t="shared" si="25"/>
        <v>23933814.216661967</v>
      </c>
      <c r="G125" s="73">
        <f t="shared" si="25"/>
        <v>17704.039390933129</v>
      </c>
      <c r="H125" s="73">
        <f t="shared" si="25"/>
        <v>3005029.1506367479</v>
      </c>
      <c r="I125" s="73">
        <f t="shared" si="25"/>
        <v>6225016.5875706691</v>
      </c>
      <c r="J125" s="73">
        <f t="shared" si="25"/>
        <v>1765805</v>
      </c>
      <c r="K125" s="73">
        <f t="shared" si="25"/>
        <v>0</v>
      </c>
      <c r="L125" s="73">
        <f t="shared" si="25"/>
        <v>3852652</v>
      </c>
      <c r="M125" s="73">
        <f t="shared" si="25"/>
        <v>0</v>
      </c>
      <c r="N125" s="73">
        <f t="shared" si="25"/>
        <v>0</v>
      </c>
      <c r="O125" s="73">
        <f t="shared" si="25"/>
        <v>0</v>
      </c>
      <c r="P125" s="73">
        <f t="shared" si="25"/>
        <v>0</v>
      </c>
      <c r="Q125" s="73">
        <f t="shared" si="25"/>
        <v>0</v>
      </c>
      <c r="R125" s="73">
        <f t="shared" si="25"/>
        <v>0</v>
      </c>
      <c r="S125" s="73">
        <f t="shared" si="25"/>
        <v>0</v>
      </c>
      <c r="T125" s="73">
        <f t="shared" si="25"/>
        <v>0</v>
      </c>
      <c r="U125" s="73">
        <f t="shared" ref="U125:AF125" si="26">U123+U124</f>
        <v>0</v>
      </c>
      <c r="V125" s="73">
        <f t="shared" si="26"/>
        <v>0</v>
      </c>
      <c r="W125" s="73">
        <f t="shared" si="26"/>
        <v>0</v>
      </c>
      <c r="X125" s="73">
        <f t="shared" si="26"/>
        <v>0</v>
      </c>
      <c r="Y125" s="73">
        <f t="shared" si="26"/>
        <v>0</v>
      </c>
      <c r="Z125" s="73">
        <f t="shared" si="26"/>
        <v>0</v>
      </c>
      <c r="AA125" s="73">
        <f t="shared" si="26"/>
        <v>0</v>
      </c>
      <c r="AB125" s="73">
        <f t="shared" si="26"/>
        <v>0</v>
      </c>
      <c r="AC125" s="73">
        <f t="shared" si="26"/>
        <v>0</v>
      </c>
      <c r="AD125" s="73">
        <f t="shared" si="26"/>
        <v>0</v>
      </c>
      <c r="AE125" s="73">
        <f t="shared" si="26"/>
        <v>0</v>
      </c>
      <c r="AF125" s="73">
        <f t="shared" si="26"/>
        <v>0</v>
      </c>
      <c r="AG125" s="75">
        <f>SUM(F125:AF125)</f>
        <v>38800020.994260319</v>
      </c>
      <c r="AH125" s="21" t="str">
        <f>IF(ABS(E125-AG125)&lt;0.01,"ok","err")</f>
        <v>ok</v>
      </c>
    </row>
    <row r="126" spans="1:34" x14ac:dyDescent="0.25">
      <c r="E126" s="167"/>
      <c r="F126" s="27"/>
      <c r="K126" s="64"/>
      <c r="L126" s="64"/>
      <c r="M126" s="64"/>
    </row>
    <row r="127" spans="1:34" x14ac:dyDescent="0.25">
      <c r="A127" s="13" t="s">
        <v>349</v>
      </c>
      <c r="E127" s="167"/>
      <c r="F127" s="27"/>
    </row>
    <row r="128" spans="1:34" x14ac:dyDescent="0.25">
      <c r="A128" s="67" t="s">
        <v>208</v>
      </c>
      <c r="C128" s="14" t="s">
        <v>877</v>
      </c>
      <c r="D128" s="14" t="s">
        <v>622</v>
      </c>
      <c r="E128" s="174">
        <f>'Func &amp; Classif'!K285</f>
        <v>0</v>
      </c>
      <c r="F128" s="40">
        <f>IF(VLOOKUP($D128,$C$5:$AT$507,3,)=0,0,(VLOOKUP($D128,$C$5:$AT$507,4,)/VLOOKUP($D128,$C$5:$AT$507,3,))*$E128)</f>
        <v>0</v>
      </c>
      <c r="G128" s="40">
        <f>IF(VLOOKUP($D128,$C$5:$AT$507,3,)=0,0,(VLOOKUP($D128,$C$5:$AT$507,5,)/VLOOKUP($D128,$C$5:$AT$507,3,))*$E128)</f>
        <v>0</v>
      </c>
      <c r="H128" s="40">
        <f>IF(VLOOKUP($D128,$C$5:$AT$507,3,)=0,0,(VLOOKUP($D128,$C$5:$AT$507,6,)/VLOOKUP($D128,$C$5:$AT$507,3,))*$E128)</f>
        <v>0</v>
      </c>
      <c r="I128" s="40">
        <f>IF(VLOOKUP($D128,$C$5:$AT$507,3,)=0,0,(VLOOKUP($D128,$C$5:$AT$507,7,)/VLOOKUP($D128,$C$5:$AT$507,3,))*$E128)</f>
        <v>0</v>
      </c>
      <c r="J128" s="40">
        <f>IF(VLOOKUP($D128,$C$5:$AT$507,3,)=0,0,(VLOOKUP($D128,$C$5:$AT$507,8,)/VLOOKUP($D128,$C$5:$AT$507,3,))*$E128)</f>
        <v>0</v>
      </c>
      <c r="K128" s="40">
        <f>IF(VLOOKUP($D128,$C$5:$AT$507,3,)=0,0,(VLOOKUP($D128,$C$5:$AT$507,9,)/VLOOKUP($D128,$C$5:$AT$507,3,))*$E128)</f>
        <v>0</v>
      </c>
      <c r="L128" s="40">
        <f>IF(VLOOKUP($D128,$C$5:$AT$507,3,)=0,0,(VLOOKUP($D128,$C$5:$AT$507,10,)/VLOOKUP($D128,$C$5:$AT$507,3,))*$E128)</f>
        <v>0</v>
      </c>
      <c r="M128" s="40">
        <f>IF(VLOOKUP($D128,$C$5:$AT$507,3,)=0,0,(VLOOKUP($D128,$C$5:$AT$507,11,)/VLOOKUP($D128,$C$5:$AT$507,3,))*$E128)</f>
        <v>0</v>
      </c>
      <c r="N128" s="40">
        <f>IF(VLOOKUP($D128,$C$5:$AT$507,3,)=0,0,(VLOOKUP($D128,$C$5:$AT$507,12,)/VLOOKUP($D128,$C$5:$AT$507,3,))*$E128)</f>
        <v>0</v>
      </c>
      <c r="O128" s="40">
        <f>IF(VLOOKUP($D128,$C$5:$AT$507,3,)=0,0,(VLOOKUP($D128,$C$5:$AT$507,13,)/VLOOKUP($D128,$C$5:$AT$507,3,))*$E128)</f>
        <v>0</v>
      </c>
      <c r="P128" s="40">
        <f>IF(VLOOKUP($D128,$C$5:$AT$507,3,)=0,0,(VLOOKUP($D128,$C$5:$AT$507,14,)/VLOOKUP($D128,$C$5:$AT$507,3,))*$E128)</f>
        <v>0</v>
      </c>
      <c r="Q128" s="40">
        <f>IF(VLOOKUP($D128,$C$5:$AT$507,3,)=0,0,(VLOOKUP($D128,$C$5:$AT$507,15,)/VLOOKUP($D128,$C$5:$AT$507,3,))*$E128)</f>
        <v>0</v>
      </c>
      <c r="R128" s="40">
        <f>IF(VLOOKUP($D128,$C$5:$AT$507,3,)=0,0,(VLOOKUP($D128,$C$5:$AT$507,16,)/VLOOKUP($D128,$C$5:$AT$507,3,))*$E128)</f>
        <v>0</v>
      </c>
      <c r="S128" s="40">
        <f>IF(VLOOKUP($D128,$C$5:$AT$507,3,)=0,0,(VLOOKUP($D128,$C$5:$AT$507,17,)/VLOOKUP($D128,$C$5:$AT$507,3,))*$E128)</f>
        <v>0</v>
      </c>
      <c r="T128" s="40">
        <f>IF(VLOOKUP($D128,$C$5:$AT$507,3,)=0,0,(VLOOKUP($D128,$C$5:$AT$507,18,)/VLOOKUP($D128,$C$5:$AT$507,3,))*$E128)</f>
        <v>0</v>
      </c>
      <c r="U128" s="40">
        <f>IF(VLOOKUP($D128,$C$5:$AT$507,3,)=0,0,(VLOOKUP($D128,$C$5:$AT$507,19,)/VLOOKUP($D128,$C$5:$AT$507,3,))*$E128)</f>
        <v>0</v>
      </c>
      <c r="V128" s="40">
        <f>IF(VLOOKUP($D128,$C$5:$AT$507,3,)=0,0,(VLOOKUP($D128,$C$5:$AT$507,20,)/VLOOKUP($D128,$C$5:$AT$507,3,))*$E128)</f>
        <v>0</v>
      </c>
      <c r="W128" s="40">
        <f>IF(VLOOKUP($D128,$C$5:$AT$507,3,)=0,0,(VLOOKUP($D128,$C$5:$AT$507,21,)/VLOOKUP($D128,$C$5:$AT$507,3,))*$E128)</f>
        <v>0</v>
      </c>
      <c r="X128" s="40">
        <f>IF(VLOOKUP($D128,$C$5:$AT$507,3,)=0,0,(VLOOKUP($D128,$C$5:$AT$507,22,)/VLOOKUP($D128,$C$5:$AT$507,3,))*$E128)</f>
        <v>0</v>
      </c>
      <c r="Y128" s="40">
        <f>IF(VLOOKUP($D128,$C$5:$AT$507,3,)=0,0,(VLOOKUP($D128,$C$5:$AT$507,23,)/VLOOKUP($D128,$C$5:$AT$507,3,))*$E128)</f>
        <v>0</v>
      </c>
      <c r="Z128" s="40">
        <f>IF(VLOOKUP($D128,$C$5:$AT$507,3,)=0,0,(VLOOKUP($D128,$C$5:$AT$507,24,)/VLOOKUP($D128,$C$5:$AT$507,3,))*$E128)</f>
        <v>0</v>
      </c>
      <c r="AA128" s="40">
        <f>IF(VLOOKUP($D128,$C$5:$AT$507,3,)=0,0,(VLOOKUP($D128,$C$5:$AT$507,25,)/VLOOKUP($D128,$C$5:$AT$507,3,))*$E128)</f>
        <v>0</v>
      </c>
      <c r="AB128" s="40">
        <f>IF(VLOOKUP($D128,$C$5:$AT$507,3,)=0,0,(VLOOKUP($D128,$C$5:$AT$507,26,)/VLOOKUP($D128,$C$5:$AT$507,3,))*$E128)</f>
        <v>0</v>
      </c>
      <c r="AC128" s="40">
        <f>IF(VLOOKUP($D128,$C$5:$AT$507,3,)=0,0,(VLOOKUP($D128,$C$5:$AT$507,27,)/VLOOKUP($D128,$C$5:$AT$507,3,))*$E128)</f>
        <v>0</v>
      </c>
      <c r="AD128" s="40">
        <f>IF(VLOOKUP($D128,$C$5:$AT$507,3,)=0,0,(VLOOKUP($D128,$C$5:$AT$507,28,)/VLOOKUP($D128,$C$5:$AT$507,3,))*$E128)</f>
        <v>0</v>
      </c>
      <c r="AE128" s="40">
        <f>IF(VLOOKUP($D128,$C$5:$AT$507,3,)=0,0,(VLOOKUP($D128,$C$5:$AT$507,29,)/VLOOKUP($D128,$C$5:$AT$507,3,))*$E128)</f>
        <v>0</v>
      </c>
      <c r="AF128" s="40">
        <f>IF(VLOOKUP($D128,$C$5:$AT$507,3,)=0,0,(VLOOKUP($D128,$C$5:$AT$507,30,)/VLOOKUP($D128,$C$5:$AT$507,3,))*$E128)</f>
        <v>0</v>
      </c>
      <c r="AG128" s="64">
        <f>SUM(F128:AF128)</f>
        <v>0</v>
      </c>
      <c r="AH128" s="21" t="str">
        <f>IF(ABS(E128-AG128)&lt;0.01,"ok","err")</f>
        <v>ok</v>
      </c>
    </row>
    <row r="129" spans="1:34" x14ac:dyDescent="0.25">
      <c r="E129" s="167"/>
    </row>
    <row r="130" spans="1:34" x14ac:dyDescent="0.25">
      <c r="A130" s="13" t="s">
        <v>1</v>
      </c>
      <c r="E130" s="167"/>
      <c r="F130" s="27"/>
    </row>
    <row r="131" spans="1:34" x14ac:dyDescent="0.25">
      <c r="A131" s="67" t="s">
        <v>208</v>
      </c>
      <c r="C131" s="14" t="s">
        <v>264</v>
      </c>
      <c r="D131" s="14" t="s">
        <v>629</v>
      </c>
      <c r="E131" s="174">
        <f>'Func &amp; Classif'!M285</f>
        <v>0</v>
      </c>
      <c r="F131" s="40">
        <f>IF(VLOOKUP($D131,$C$5:$AT$507,3,)=0,0,(VLOOKUP($D131,$C$5:$AT$507,4,)/VLOOKUP($D131,$C$5:$AT$507,3,))*$E131)</f>
        <v>0</v>
      </c>
      <c r="G131" s="40">
        <f>IF(VLOOKUP($D131,$C$5:$AT$507,3,)=0,0,(VLOOKUP($D131,$C$5:$AT$507,5,)/VLOOKUP($D131,$C$5:$AT$507,3,))*$E131)</f>
        <v>0</v>
      </c>
      <c r="H131" s="40">
        <f>IF(VLOOKUP($D131,$C$5:$AT$507,3,)=0,0,(VLOOKUP($D131,$C$5:$AT$507,6,)/VLOOKUP($D131,$C$5:$AT$507,3,))*$E131)</f>
        <v>0</v>
      </c>
      <c r="I131" s="40">
        <f>IF(VLOOKUP($D131,$C$5:$AT$507,3,)=0,0,(VLOOKUP($D131,$C$5:$AT$507,7,)/VLOOKUP($D131,$C$5:$AT$507,3,))*$E131)</f>
        <v>0</v>
      </c>
      <c r="J131" s="40">
        <f>IF(VLOOKUP($D131,$C$5:$AT$507,3,)=0,0,(VLOOKUP($D131,$C$5:$AT$507,8,)/VLOOKUP($D131,$C$5:$AT$507,3,))*$E131)</f>
        <v>0</v>
      </c>
      <c r="K131" s="40">
        <f>IF(VLOOKUP($D131,$C$5:$AT$507,3,)=0,0,(VLOOKUP($D131,$C$5:$AT$507,9,)/VLOOKUP($D131,$C$5:$AT$507,3,))*$E131)</f>
        <v>0</v>
      </c>
      <c r="L131" s="40">
        <f>IF(VLOOKUP($D131,$C$5:$AT$507,3,)=0,0,(VLOOKUP($D131,$C$5:$AT$507,10,)/VLOOKUP($D131,$C$5:$AT$507,3,))*$E131)</f>
        <v>0</v>
      </c>
      <c r="M131" s="40">
        <f>IF(VLOOKUP($D131,$C$5:$AT$507,3,)=0,0,(VLOOKUP($D131,$C$5:$AT$507,11,)/VLOOKUP($D131,$C$5:$AT$507,3,))*$E131)</f>
        <v>0</v>
      </c>
      <c r="N131" s="40">
        <f>IF(VLOOKUP($D131,$C$5:$AT$507,3,)=0,0,(VLOOKUP($D131,$C$5:$AT$507,12,)/VLOOKUP($D131,$C$5:$AT$507,3,))*$E131)</f>
        <v>0</v>
      </c>
      <c r="O131" s="40">
        <f>IF(VLOOKUP($D131,$C$5:$AT$507,3,)=0,0,(VLOOKUP($D131,$C$5:$AT$507,13,)/VLOOKUP($D131,$C$5:$AT$507,3,))*$E131)</f>
        <v>0</v>
      </c>
      <c r="P131" s="40">
        <f>IF(VLOOKUP($D131,$C$5:$AT$507,3,)=0,0,(VLOOKUP($D131,$C$5:$AT$507,14,)/VLOOKUP($D131,$C$5:$AT$507,3,))*$E131)</f>
        <v>0</v>
      </c>
      <c r="Q131" s="40">
        <f>IF(VLOOKUP($D131,$C$5:$AT$507,3,)=0,0,(VLOOKUP($D131,$C$5:$AT$507,15,)/VLOOKUP($D131,$C$5:$AT$507,3,))*$E131)</f>
        <v>0</v>
      </c>
      <c r="R131" s="40">
        <f>IF(VLOOKUP($D131,$C$5:$AT$507,3,)=0,0,(VLOOKUP($D131,$C$5:$AT$507,16,)/VLOOKUP($D131,$C$5:$AT$507,3,))*$E131)</f>
        <v>0</v>
      </c>
      <c r="S131" s="40">
        <f>IF(VLOOKUP($D131,$C$5:$AT$507,3,)=0,0,(VLOOKUP($D131,$C$5:$AT$507,17,)/VLOOKUP($D131,$C$5:$AT$507,3,))*$E131)</f>
        <v>0</v>
      </c>
      <c r="T131" s="40">
        <f>IF(VLOOKUP($D131,$C$5:$AT$507,3,)=0,0,(VLOOKUP($D131,$C$5:$AT$507,18,)/VLOOKUP($D131,$C$5:$AT$507,3,))*$E131)</f>
        <v>0</v>
      </c>
      <c r="U131" s="40">
        <f>IF(VLOOKUP($D131,$C$5:$AT$507,3,)=0,0,(VLOOKUP($D131,$C$5:$AT$507,19,)/VLOOKUP($D131,$C$5:$AT$507,3,))*$E131)</f>
        <v>0</v>
      </c>
      <c r="V131" s="40">
        <f>IF(VLOOKUP($D131,$C$5:$AT$507,3,)=0,0,(VLOOKUP($D131,$C$5:$AT$507,20,)/VLOOKUP($D131,$C$5:$AT$507,3,))*$E131)</f>
        <v>0</v>
      </c>
      <c r="W131" s="40">
        <f>IF(VLOOKUP($D131,$C$5:$AT$507,3,)=0,0,(VLOOKUP($D131,$C$5:$AT$507,21,)/VLOOKUP($D131,$C$5:$AT$507,3,))*$E131)</f>
        <v>0</v>
      </c>
      <c r="X131" s="40">
        <f>IF(VLOOKUP($D131,$C$5:$AT$507,3,)=0,0,(VLOOKUP($D131,$C$5:$AT$507,22,)/VLOOKUP($D131,$C$5:$AT$507,3,))*$E131)</f>
        <v>0</v>
      </c>
      <c r="Y131" s="40">
        <f>IF(VLOOKUP($D131,$C$5:$AT$507,3,)=0,0,(VLOOKUP($D131,$C$5:$AT$507,23,)/VLOOKUP($D131,$C$5:$AT$507,3,))*$E131)</f>
        <v>0</v>
      </c>
      <c r="Z131" s="40">
        <f>IF(VLOOKUP($D131,$C$5:$AT$507,3,)=0,0,(VLOOKUP($D131,$C$5:$AT$507,24,)/VLOOKUP($D131,$C$5:$AT$507,3,))*$E131)</f>
        <v>0</v>
      </c>
      <c r="AA131" s="40">
        <f>IF(VLOOKUP($D131,$C$5:$AT$507,3,)=0,0,(VLOOKUP($D131,$C$5:$AT$507,25,)/VLOOKUP($D131,$C$5:$AT$507,3,))*$E131)</f>
        <v>0</v>
      </c>
      <c r="AB131" s="40">
        <f>IF(VLOOKUP($D131,$C$5:$AT$507,3,)=0,0,(VLOOKUP($D131,$C$5:$AT$507,26,)/VLOOKUP($D131,$C$5:$AT$507,3,))*$E131)</f>
        <v>0</v>
      </c>
      <c r="AC131" s="40">
        <f>IF(VLOOKUP($D131,$C$5:$AT$507,3,)=0,0,(VLOOKUP($D131,$C$5:$AT$507,27,)/VLOOKUP($D131,$C$5:$AT$507,3,))*$E131)</f>
        <v>0</v>
      </c>
      <c r="AD131" s="40">
        <f>IF(VLOOKUP($D131,$C$5:$AT$507,3,)=0,0,(VLOOKUP($D131,$C$5:$AT$507,28,)/VLOOKUP($D131,$C$5:$AT$507,3,))*$E131)</f>
        <v>0</v>
      </c>
      <c r="AE131" s="40">
        <f>IF(VLOOKUP($D131,$C$5:$AT$507,3,)=0,0,(VLOOKUP($D131,$C$5:$AT$507,29,)/VLOOKUP($D131,$C$5:$AT$507,3,))*$E131)</f>
        <v>0</v>
      </c>
      <c r="AF131" s="40">
        <f>IF(VLOOKUP($D131,$C$5:$AT$507,3,)=0,0,(VLOOKUP($D131,$C$5:$AT$507,30,)/VLOOKUP($D131,$C$5:$AT$507,3,))*$E131)</f>
        <v>0</v>
      </c>
      <c r="AG131" s="64">
        <f>SUM(F131:AF131)</f>
        <v>0</v>
      </c>
      <c r="AH131" s="21" t="str">
        <f>IF(ABS(E131-AG131)&lt;0.01,"ok","err")</f>
        <v>ok</v>
      </c>
    </row>
    <row r="132" spans="1:34" x14ac:dyDescent="0.25">
      <c r="E132" s="167"/>
    </row>
    <row r="133" spans="1:34" x14ac:dyDescent="0.25">
      <c r="A133" s="13" t="s">
        <v>2</v>
      </c>
      <c r="E133" s="167"/>
    </row>
    <row r="134" spans="1:34" x14ac:dyDescent="0.25">
      <c r="A134" s="67" t="s">
        <v>208</v>
      </c>
      <c r="C134" s="14" t="s">
        <v>265</v>
      </c>
      <c r="D134" s="14" t="s">
        <v>626</v>
      </c>
      <c r="E134" s="174">
        <f>'Func &amp; Classif'!O285</f>
        <v>3123100.4641505126</v>
      </c>
      <c r="F134" s="40">
        <f>IF(VLOOKUP($D134,$C$5:$AT$507,3,)=0,0,(VLOOKUP($D134,$C$5:$AT$507,4,)/VLOOKUP($D134,$C$5:$AT$507,3,))*$E134)</f>
        <v>2570580.9701090045</v>
      </c>
      <c r="G134" s="40">
        <f>IF(VLOOKUP($D134,$C$5:$AT$507,3,)=0,0,(VLOOKUP($D134,$C$5:$AT$507,5,)/VLOOKUP($D134,$C$5:$AT$507,3,))*$E134)</f>
        <v>2544.6008048563426</v>
      </c>
      <c r="H134" s="40">
        <f>IF(VLOOKUP($D134,$C$5:$AT$507,3,)=0,0,(VLOOKUP($D134,$C$5:$AT$507,6,)/VLOOKUP($D134,$C$5:$AT$507,3,))*$E134)</f>
        <v>134300.05834890393</v>
      </c>
      <c r="I134" s="40">
        <f>IF(VLOOKUP($D134,$C$5:$AT$507,3,)=0,0,(VLOOKUP($D134,$C$5:$AT$507,7,)/VLOOKUP($D134,$C$5:$AT$507,3,))*$E134)</f>
        <v>354478.57580310322</v>
      </c>
      <c r="J134" s="40">
        <f>IF(VLOOKUP($D134,$C$5:$AT$507,3,)=0,0,(VLOOKUP($D134,$C$5:$AT$507,8,)/VLOOKUP($D134,$C$5:$AT$507,3,))*$E134)</f>
        <v>61196.259084644109</v>
      </c>
      <c r="K134" s="40">
        <f>IF(VLOOKUP($D134,$C$5:$AT$507,3,)=0,0,(VLOOKUP($D134,$C$5:$AT$507,9,)/VLOOKUP($D134,$C$5:$AT$507,3,))*$E134)</f>
        <v>0</v>
      </c>
      <c r="L134" s="40">
        <f>IF(VLOOKUP($D134,$C$5:$AT$507,3,)=0,0,(VLOOKUP($D134,$C$5:$AT$507,10,)/VLOOKUP($D134,$C$5:$AT$507,3,))*$E134)</f>
        <v>0</v>
      </c>
      <c r="M134" s="40">
        <f>IF(VLOOKUP($D134,$C$5:$AT$507,3,)=0,0,(VLOOKUP($D134,$C$5:$AT$507,11,)/VLOOKUP($D134,$C$5:$AT$507,3,))*$E134)</f>
        <v>0</v>
      </c>
      <c r="N134" s="40">
        <f>IF(VLOOKUP($D134,$C$5:$AT$507,3,)=0,0,(VLOOKUP($D134,$C$5:$AT$507,12,)/VLOOKUP($D134,$C$5:$AT$507,3,))*$E134)</f>
        <v>0</v>
      </c>
      <c r="O134" s="40">
        <f>IF(VLOOKUP($D134,$C$5:$AT$507,3,)=0,0,(VLOOKUP($D134,$C$5:$AT$507,13,)/VLOOKUP($D134,$C$5:$AT$507,3,))*$E134)</f>
        <v>0</v>
      </c>
      <c r="P134" s="40">
        <f>IF(VLOOKUP($D134,$C$5:$AT$507,3,)=0,0,(VLOOKUP($D134,$C$5:$AT$507,14,)/VLOOKUP($D134,$C$5:$AT$507,3,))*$E134)</f>
        <v>0</v>
      </c>
      <c r="Q134" s="40">
        <f>IF(VLOOKUP($D134,$C$5:$AT$507,3,)=0,0,(VLOOKUP($D134,$C$5:$AT$507,15,)/VLOOKUP($D134,$C$5:$AT$507,3,))*$E134)</f>
        <v>0</v>
      </c>
      <c r="R134" s="40">
        <f>IF(VLOOKUP($D134,$C$5:$AT$507,3,)=0,0,(VLOOKUP($D134,$C$5:$AT$507,16,)/VLOOKUP($D134,$C$5:$AT$507,3,))*$E134)</f>
        <v>0</v>
      </c>
      <c r="S134" s="40">
        <f>IF(VLOOKUP($D134,$C$5:$AT$507,3,)=0,0,(VLOOKUP($D134,$C$5:$AT$507,17,)/VLOOKUP($D134,$C$5:$AT$507,3,))*$E134)</f>
        <v>0</v>
      </c>
      <c r="T134" s="40">
        <f>IF(VLOOKUP($D134,$C$5:$AT$507,3,)=0,0,(VLOOKUP($D134,$C$5:$AT$507,18,)/VLOOKUP($D134,$C$5:$AT$507,3,))*$E134)</f>
        <v>0</v>
      </c>
      <c r="U134" s="40">
        <f>IF(VLOOKUP($D134,$C$5:$AT$507,3,)=0,0,(VLOOKUP($D134,$C$5:$AT$507,19,)/VLOOKUP($D134,$C$5:$AT$507,3,))*$E134)</f>
        <v>0</v>
      </c>
      <c r="V134" s="40">
        <f>IF(VLOOKUP($D134,$C$5:$AT$507,3,)=0,0,(VLOOKUP($D134,$C$5:$AT$507,20,)/VLOOKUP($D134,$C$5:$AT$507,3,))*$E134)</f>
        <v>0</v>
      </c>
      <c r="W134" s="40">
        <f>IF(VLOOKUP($D134,$C$5:$AT$507,3,)=0,0,(VLOOKUP($D134,$C$5:$AT$507,21,)/VLOOKUP($D134,$C$5:$AT$507,3,))*$E134)</f>
        <v>0</v>
      </c>
      <c r="X134" s="40">
        <f>IF(VLOOKUP($D134,$C$5:$AT$507,3,)=0,0,(VLOOKUP($D134,$C$5:$AT$507,22,)/VLOOKUP($D134,$C$5:$AT$507,3,))*$E134)</f>
        <v>0</v>
      </c>
      <c r="Y134" s="40">
        <f>IF(VLOOKUP($D134,$C$5:$AT$507,3,)=0,0,(VLOOKUP($D134,$C$5:$AT$507,23,)/VLOOKUP($D134,$C$5:$AT$507,3,))*$E134)</f>
        <v>0</v>
      </c>
      <c r="Z134" s="40">
        <f>IF(VLOOKUP($D134,$C$5:$AT$507,3,)=0,0,(VLOOKUP($D134,$C$5:$AT$507,24,)/VLOOKUP($D134,$C$5:$AT$507,3,))*$E134)</f>
        <v>0</v>
      </c>
      <c r="AA134" s="40">
        <f>IF(VLOOKUP($D134,$C$5:$AT$507,3,)=0,0,(VLOOKUP($D134,$C$5:$AT$507,25,)/VLOOKUP($D134,$C$5:$AT$507,3,))*$E134)</f>
        <v>0</v>
      </c>
      <c r="AB134" s="40">
        <f>IF(VLOOKUP($D134,$C$5:$AT$507,3,)=0,0,(VLOOKUP($D134,$C$5:$AT$507,26,)/VLOOKUP($D134,$C$5:$AT$507,3,))*$E134)</f>
        <v>0</v>
      </c>
      <c r="AC134" s="40">
        <f>IF(VLOOKUP($D134,$C$5:$AT$507,3,)=0,0,(VLOOKUP($D134,$C$5:$AT$507,27,)/VLOOKUP($D134,$C$5:$AT$507,3,))*$E134)</f>
        <v>0</v>
      </c>
      <c r="AD134" s="40">
        <f>IF(VLOOKUP($D134,$C$5:$AT$507,3,)=0,0,(VLOOKUP($D134,$C$5:$AT$507,28,)/VLOOKUP($D134,$C$5:$AT$507,3,))*$E134)</f>
        <v>0</v>
      </c>
      <c r="AE134" s="40">
        <f>IF(VLOOKUP($D134,$C$5:$AT$507,3,)=0,0,(VLOOKUP($D134,$C$5:$AT$507,29,)/VLOOKUP($D134,$C$5:$AT$507,3,))*$E134)</f>
        <v>0</v>
      </c>
      <c r="AF134" s="40">
        <f>IF(VLOOKUP($D134,$C$5:$AT$507,3,)=0,0,(VLOOKUP($D134,$C$5:$AT$507,30,)/VLOOKUP($D134,$C$5:$AT$507,3,))*$E134)</f>
        <v>0</v>
      </c>
      <c r="AG134" s="64">
        <f>SUM(F134:AF134)</f>
        <v>3123100.4641505126</v>
      </c>
      <c r="AH134" s="21" t="str">
        <f>IF(ABS(E134-AG134)&lt;0.01,"ok","err")</f>
        <v>ok</v>
      </c>
    </row>
    <row r="135" spans="1:34" x14ac:dyDescent="0.25">
      <c r="A135" s="67" t="s">
        <v>220</v>
      </c>
      <c r="C135" s="14" t="s">
        <v>266</v>
      </c>
      <c r="D135" s="14" t="s">
        <v>222</v>
      </c>
      <c r="E135" s="167">
        <f>'Func &amp; Classif'!P285</f>
        <v>2318325.164155304</v>
      </c>
      <c r="F135" s="40">
        <f>IF(VLOOKUP($D135,$C$5:$AT$507,3,)=0,0,(VLOOKUP($D135,$C$5:$AT$507,4,)/VLOOKUP($D135,$C$5:$AT$507,3,))*$E135)</f>
        <v>2025471.9295121811</v>
      </c>
      <c r="G135" s="40">
        <f>IF(VLOOKUP($D135,$C$5:$AT$507,3,)=0,0,(VLOOKUP($D135,$C$5:$AT$507,5,)/VLOOKUP($D135,$C$5:$AT$507,3,))*$E135)</f>
        <v>1524.1208449153153</v>
      </c>
      <c r="H135" s="40">
        <f>IF(VLOOKUP($D135,$C$5:$AT$507,3,)=0,0,(VLOOKUP($D135,$C$5:$AT$507,6,)/VLOOKUP($D135,$C$5:$AT$507,3,))*$E135)</f>
        <v>247584.96391846566</v>
      </c>
      <c r="I135" s="40">
        <f>IF(VLOOKUP($D135,$C$5:$AT$507,3,)=0,0,(VLOOKUP($D135,$C$5:$AT$507,7,)/VLOOKUP($D135,$C$5:$AT$507,3,))*$E135)</f>
        <v>29805.029856121721</v>
      </c>
      <c r="J135" s="40">
        <f>IF(VLOOKUP($D135,$C$5:$AT$507,3,)=0,0,(VLOOKUP($D135,$C$5:$AT$507,8,)/VLOOKUP($D135,$C$5:$AT$507,3,))*$E135)</f>
        <v>423.36690136536532</v>
      </c>
      <c r="K135" s="40">
        <f>IF(VLOOKUP($D135,$C$5:$AT$507,3,)=0,0,(VLOOKUP($D135,$C$5:$AT$507,9,)/VLOOKUP($D135,$C$5:$AT$507,3,))*$E135)</f>
        <v>13515.753122255199</v>
      </c>
      <c r="L135" s="40">
        <f>IF(VLOOKUP($D135,$C$5:$AT$507,3,)=0,0,(VLOOKUP($D135,$C$5:$AT$507,10,)/VLOOKUP($D135,$C$5:$AT$507,3,))*$E135)</f>
        <v>0</v>
      </c>
      <c r="M135" s="40">
        <f>IF(VLOOKUP($D135,$C$5:$AT$507,3,)=0,0,(VLOOKUP($D135,$C$5:$AT$507,11,)/VLOOKUP($D135,$C$5:$AT$507,3,))*$E135)</f>
        <v>0</v>
      </c>
      <c r="N135" s="40">
        <f>IF(VLOOKUP($D135,$C$5:$AT$507,3,)=0,0,(VLOOKUP($D135,$C$5:$AT$507,12,)/VLOOKUP($D135,$C$5:$AT$507,3,))*$E135)</f>
        <v>0</v>
      </c>
      <c r="O135" s="40">
        <f>IF(VLOOKUP($D135,$C$5:$AT$507,3,)=0,0,(VLOOKUP($D135,$C$5:$AT$507,13,)/VLOOKUP($D135,$C$5:$AT$507,3,))*$E135)</f>
        <v>0</v>
      </c>
      <c r="P135" s="40">
        <f>IF(VLOOKUP($D135,$C$5:$AT$507,3,)=0,0,(VLOOKUP($D135,$C$5:$AT$507,14,)/VLOOKUP($D135,$C$5:$AT$507,3,))*$E135)</f>
        <v>0</v>
      </c>
      <c r="Q135" s="40">
        <f>IF(VLOOKUP($D135,$C$5:$AT$507,3,)=0,0,(VLOOKUP($D135,$C$5:$AT$507,15,)/VLOOKUP($D135,$C$5:$AT$507,3,))*$E135)</f>
        <v>0</v>
      </c>
      <c r="R135" s="40">
        <f>IF(VLOOKUP($D135,$C$5:$AT$507,3,)=0,0,(VLOOKUP($D135,$C$5:$AT$507,16,)/VLOOKUP($D135,$C$5:$AT$507,3,))*$E135)</f>
        <v>0</v>
      </c>
      <c r="S135" s="40">
        <f>IF(VLOOKUP($D135,$C$5:$AT$507,3,)=0,0,(VLOOKUP($D135,$C$5:$AT$507,17,)/VLOOKUP($D135,$C$5:$AT$507,3,))*$E135)</f>
        <v>0</v>
      </c>
      <c r="T135" s="40">
        <f>IF(VLOOKUP($D135,$C$5:$AT$507,3,)=0,0,(VLOOKUP($D135,$C$5:$AT$507,18,)/VLOOKUP($D135,$C$5:$AT$507,3,))*$E135)</f>
        <v>0</v>
      </c>
      <c r="U135" s="40">
        <f>IF(VLOOKUP($D135,$C$5:$AT$507,3,)=0,0,(VLOOKUP($D135,$C$5:$AT$507,19,)/VLOOKUP($D135,$C$5:$AT$507,3,))*$E135)</f>
        <v>0</v>
      </c>
      <c r="V135" s="40">
        <f>IF(VLOOKUP($D135,$C$5:$AT$507,3,)=0,0,(VLOOKUP($D135,$C$5:$AT$507,20,)/VLOOKUP($D135,$C$5:$AT$507,3,))*$E135)</f>
        <v>0</v>
      </c>
      <c r="W135" s="40">
        <f>IF(VLOOKUP($D135,$C$5:$AT$507,3,)=0,0,(VLOOKUP($D135,$C$5:$AT$507,21,)/VLOOKUP($D135,$C$5:$AT$507,3,))*$E135)</f>
        <v>0</v>
      </c>
      <c r="X135" s="40">
        <f>IF(VLOOKUP($D135,$C$5:$AT$507,3,)=0,0,(VLOOKUP($D135,$C$5:$AT$507,22,)/VLOOKUP($D135,$C$5:$AT$507,3,))*$E135)</f>
        <v>0</v>
      </c>
      <c r="Y135" s="40">
        <f>IF(VLOOKUP($D135,$C$5:$AT$507,3,)=0,0,(VLOOKUP($D135,$C$5:$AT$507,23,)/VLOOKUP($D135,$C$5:$AT$507,3,))*$E135)</f>
        <v>0</v>
      </c>
      <c r="Z135" s="40">
        <f>IF(VLOOKUP($D135,$C$5:$AT$507,3,)=0,0,(VLOOKUP($D135,$C$5:$AT$507,24,)/VLOOKUP($D135,$C$5:$AT$507,3,))*$E135)</f>
        <v>0</v>
      </c>
      <c r="AA135" s="40">
        <f>IF(VLOOKUP($D135,$C$5:$AT$507,3,)=0,0,(VLOOKUP($D135,$C$5:$AT$507,25,)/VLOOKUP($D135,$C$5:$AT$507,3,))*$E135)</f>
        <v>0</v>
      </c>
      <c r="AB135" s="40">
        <f>IF(VLOOKUP($D135,$C$5:$AT$507,3,)=0,0,(VLOOKUP($D135,$C$5:$AT$507,26,)/VLOOKUP($D135,$C$5:$AT$507,3,))*$E135)</f>
        <v>0</v>
      </c>
      <c r="AC135" s="40">
        <f>IF(VLOOKUP($D135,$C$5:$AT$507,3,)=0,0,(VLOOKUP($D135,$C$5:$AT$507,27,)/VLOOKUP($D135,$C$5:$AT$507,3,))*$E135)</f>
        <v>0</v>
      </c>
      <c r="AD135" s="40">
        <f>IF(VLOOKUP($D135,$C$5:$AT$507,3,)=0,0,(VLOOKUP($D135,$C$5:$AT$507,28,)/VLOOKUP($D135,$C$5:$AT$507,3,))*$E135)</f>
        <v>0</v>
      </c>
      <c r="AE135" s="40">
        <f>IF(VLOOKUP($D135,$C$5:$AT$507,3,)=0,0,(VLOOKUP($D135,$C$5:$AT$507,29,)/VLOOKUP($D135,$C$5:$AT$507,3,))*$E135)</f>
        <v>0</v>
      </c>
      <c r="AF135" s="40">
        <f>IF(VLOOKUP($D135,$C$5:$AT$507,3,)=0,0,(VLOOKUP($D135,$C$5:$AT$507,30,)/VLOOKUP($D135,$C$5:$AT$507,3,))*$E135)</f>
        <v>0</v>
      </c>
      <c r="AG135" s="64">
        <f>SUM(F135:AF135)</f>
        <v>2318325.1641553044</v>
      </c>
      <c r="AH135" s="21" t="str">
        <f>IF(ABS(E135-AG135)&lt;0.01,"ok","err")</f>
        <v>ok</v>
      </c>
    </row>
    <row r="136" spans="1:34" x14ac:dyDescent="0.25">
      <c r="A136" s="14" t="s">
        <v>223</v>
      </c>
      <c r="E136" s="174">
        <f t="shared" ref="E136:T136" si="27">E134+E135</f>
        <v>5441425.628305817</v>
      </c>
      <c r="F136" s="40">
        <f t="shared" si="27"/>
        <v>4596052.8996211858</v>
      </c>
      <c r="G136" s="40">
        <f t="shared" si="27"/>
        <v>4068.7216497716581</v>
      </c>
      <c r="H136" s="40">
        <f t="shared" si="27"/>
        <v>381885.02226736955</v>
      </c>
      <c r="I136" s="40">
        <f t="shared" si="27"/>
        <v>384283.60565922491</v>
      </c>
      <c r="J136" s="40">
        <f t="shared" si="27"/>
        <v>61619.625986009472</v>
      </c>
      <c r="K136" s="40">
        <f t="shared" si="27"/>
        <v>13515.753122255199</v>
      </c>
      <c r="L136" s="40">
        <f t="shared" si="27"/>
        <v>0</v>
      </c>
      <c r="M136" s="40">
        <f t="shared" si="27"/>
        <v>0</v>
      </c>
      <c r="N136" s="40">
        <f t="shared" si="27"/>
        <v>0</v>
      </c>
      <c r="O136" s="40">
        <f t="shared" si="27"/>
        <v>0</v>
      </c>
      <c r="P136" s="40">
        <f t="shared" si="27"/>
        <v>0</v>
      </c>
      <c r="Q136" s="40">
        <f t="shared" si="27"/>
        <v>0</v>
      </c>
      <c r="R136" s="40">
        <f t="shared" si="27"/>
        <v>0</v>
      </c>
      <c r="S136" s="40">
        <f t="shared" si="27"/>
        <v>0</v>
      </c>
      <c r="T136" s="40">
        <f t="shared" si="27"/>
        <v>0</v>
      </c>
      <c r="U136" s="40">
        <f t="shared" ref="U136:AF136" si="28">U134+U135</f>
        <v>0</v>
      </c>
      <c r="V136" s="40">
        <f t="shared" si="28"/>
        <v>0</v>
      </c>
      <c r="W136" s="40">
        <f t="shared" si="28"/>
        <v>0</v>
      </c>
      <c r="X136" s="40">
        <f t="shared" si="28"/>
        <v>0</v>
      </c>
      <c r="Y136" s="40">
        <f t="shared" si="28"/>
        <v>0</v>
      </c>
      <c r="Z136" s="40">
        <f t="shared" si="28"/>
        <v>0</v>
      </c>
      <c r="AA136" s="40">
        <f t="shared" si="28"/>
        <v>0</v>
      </c>
      <c r="AB136" s="40">
        <f t="shared" si="28"/>
        <v>0</v>
      </c>
      <c r="AC136" s="40">
        <f t="shared" si="28"/>
        <v>0</v>
      </c>
      <c r="AD136" s="40">
        <f t="shared" si="28"/>
        <v>0</v>
      </c>
      <c r="AE136" s="40">
        <f t="shared" si="28"/>
        <v>0</v>
      </c>
      <c r="AF136" s="40">
        <f t="shared" si="28"/>
        <v>0</v>
      </c>
      <c r="AG136" s="64">
        <f>SUM(F136:AF136)</f>
        <v>5441425.628305817</v>
      </c>
      <c r="AH136" s="21" t="str">
        <f>IF(ABS(E136-AG136)&lt;0.01,"ok","err")</f>
        <v>ok</v>
      </c>
    </row>
    <row r="137" spans="1:34" x14ac:dyDescent="0.25">
      <c r="E137" s="167"/>
    </row>
    <row r="138" spans="1:34" x14ac:dyDescent="0.25">
      <c r="A138" s="13" t="s">
        <v>3</v>
      </c>
      <c r="E138" s="167"/>
    </row>
    <row r="139" spans="1:34" x14ac:dyDescent="0.25">
      <c r="A139" s="67" t="s">
        <v>208</v>
      </c>
      <c r="C139" s="14" t="s">
        <v>267</v>
      </c>
      <c r="D139" s="14" t="s">
        <v>698</v>
      </c>
      <c r="E139" s="174">
        <f>'Func &amp; Classif'!R285</f>
        <v>0</v>
      </c>
      <c r="F139" s="40">
        <f>IF(VLOOKUP($D139,$C$5:$AT$507,3,)=0,0,(VLOOKUP($D139,$C$5:$AT$507,4,)/VLOOKUP($D139,$C$5:$AT$507,3,))*$E139)</f>
        <v>0</v>
      </c>
      <c r="G139" s="40">
        <f>IF(VLOOKUP($D139,$C$5:$AT$507,3,)=0,0,(VLOOKUP($D139,$C$5:$AT$507,5,)/VLOOKUP($D139,$C$5:$AT$507,3,))*$E139)</f>
        <v>0</v>
      </c>
      <c r="H139" s="40">
        <f>IF(VLOOKUP($D139,$C$5:$AT$507,3,)=0,0,(VLOOKUP($D139,$C$5:$AT$507,6,)/VLOOKUP($D139,$C$5:$AT$507,3,))*$E139)</f>
        <v>0</v>
      </c>
      <c r="I139" s="40">
        <f>IF(VLOOKUP($D139,$C$5:$AT$507,3,)=0,0,(VLOOKUP($D139,$C$5:$AT$507,7,)/VLOOKUP($D139,$C$5:$AT$507,3,))*$E139)</f>
        <v>0</v>
      </c>
      <c r="J139" s="40">
        <f>IF(VLOOKUP($D139,$C$5:$AT$507,3,)=0,0,(VLOOKUP($D139,$C$5:$AT$507,8,)/VLOOKUP($D139,$C$5:$AT$507,3,))*$E139)</f>
        <v>0</v>
      </c>
      <c r="K139" s="40">
        <f>IF(VLOOKUP($D139,$C$5:$AT$507,3,)=0,0,(VLOOKUP($D139,$C$5:$AT$507,9,)/VLOOKUP($D139,$C$5:$AT$507,3,))*$E139)</f>
        <v>0</v>
      </c>
      <c r="L139" s="40">
        <f>IF(VLOOKUP($D139,$C$5:$AT$507,3,)=0,0,(VLOOKUP($D139,$C$5:$AT$507,10,)/VLOOKUP($D139,$C$5:$AT$507,3,))*$E139)</f>
        <v>0</v>
      </c>
      <c r="M139" s="40">
        <f>IF(VLOOKUP($D139,$C$5:$AT$507,3,)=0,0,(VLOOKUP($D139,$C$5:$AT$507,11,)/VLOOKUP($D139,$C$5:$AT$507,3,))*$E139)</f>
        <v>0</v>
      </c>
      <c r="N139" s="40">
        <f>IF(VLOOKUP($D139,$C$5:$AT$507,3,)=0,0,(VLOOKUP($D139,$C$5:$AT$507,12,)/VLOOKUP($D139,$C$5:$AT$507,3,))*$E139)</f>
        <v>0</v>
      </c>
      <c r="O139" s="40">
        <f>IF(VLOOKUP($D139,$C$5:$AT$507,3,)=0,0,(VLOOKUP($D139,$C$5:$AT$507,13,)/VLOOKUP($D139,$C$5:$AT$507,3,))*$E139)</f>
        <v>0</v>
      </c>
      <c r="P139" s="40">
        <f>IF(VLOOKUP($D139,$C$5:$AT$507,3,)=0,0,(VLOOKUP($D139,$C$5:$AT$507,14,)/VLOOKUP($D139,$C$5:$AT$507,3,))*$E139)</f>
        <v>0</v>
      </c>
      <c r="Q139" s="40">
        <f>IF(VLOOKUP($D139,$C$5:$AT$507,3,)=0,0,(VLOOKUP($D139,$C$5:$AT$507,15,)/VLOOKUP($D139,$C$5:$AT$507,3,))*$E139)</f>
        <v>0</v>
      </c>
      <c r="R139" s="40">
        <f>IF(VLOOKUP($D139,$C$5:$AT$507,3,)=0,0,(VLOOKUP($D139,$C$5:$AT$507,16,)/VLOOKUP($D139,$C$5:$AT$507,3,))*$E139)</f>
        <v>0</v>
      </c>
      <c r="S139" s="40">
        <f>IF(VLOOKUP($D139,$C$5:$AT$507,3,)=0,0,(VLOOKUP($D139,$C$5:$AT$507,17,)/VLOOKUP($D139,$C$5:$AT$507,3,))*$E139)</f>
        <v>0</v>
      </c>
      <c r="T139" s="40">
        <f>IF(VLOOKUP($D139,$C$5:$AT$507,3,)=0,0,(VLOOKUP($D139,$C$5:$AT$507,18,)/VLOOKUP($D139,$C$5:$AT$507,3,))*$E139)</f>
        <v>0</v>
      </c>
      <c r="U139" s="40">
        <f>IF(VLOOKUP($D139,$C$5:$AT$507,3,)=0,0,(VLOOKUP($D139,$C$5:$AT$507,19,)/VLOOKUP($D139,$C$5:$AT$507,3,))*$E139)</f>
        <v>0</v>
      </c>
      <c r="V139" s="40">
        <f>IF(VLOOKUP($D139,$C$5:$AT$507,3,)=0,0,(VLOOKUP($D139,$C$5:$AT$507,20,)/VLOOKUP($D139,$C$5:$AT$507,3,))*$E139)</f>
        <v>0</v>
      </c>
      <c r="W139" s="40">
        <f>IF(VLOOKUP($D139,$C$5:$AT$507,3,)=0,0,(VLOOKUP($D139,$C$5:$AT$507,21,)/VLOOKUP($D139,$C$5:$AT$507,3,))*$E139)</f>
        <v>0</v>
      </c>
      <c r="X139" s="40">
        <f>IF(VLOOKUP($D139,$C$5:$AT$507,3,)=0,0,(VLOOKUP($D139,$C$5:$AT$507,22,)/VLOOKUP($D139,$C$5:$AT$507,3,))*$E139)</f>
        <v>0</v>
      </c>
      <c r="Y139" s="40">
        <f>IF(VLOOKUP($D139,$C$5:$AT$507,3,)=0,0,(VLOOKUP($D139,$C$5:$AT$507,23,)/VLOOKUP($D139,$C$5:$AT$507,3,))*$E139)</f>
        <v>0</v>
      </c>
      <c r="Z139" s="40">
        <f>IF(VLOOKUP($D139,$C$5:$AT$507,3,)=0,0,(VLOOKUP($D139,$C$5:$AT$507,24,)/VLOOKUP($D139,$C$5:$AT$507,3,))*$E139)</f>
        <v>0</v>
      </c>
      <c r="AA139" s="40">
        <f>IF(VLOOKUP($D139,$C$5:$AT$507,3,)=0,0,(VLOOKUP($D139,$C$5:$AT$507,25,)/VLOOKUP($D139,$C$5:$AT$507,3,))*$E139)</f>
        <v>0</v>
      </c>
      <c r="AB139" s="40">
        <f>IF(VLOOKUP($D139,$C$5:$AT$507,3,)=0,0,(VLOOKUP($D139,$C$5:$AT$507,26,)/VLOOKUP($D139,$C$5:$AT$507,3,))*$E139)</f>
        <v>0</v>
      </c>
      <c r="AC139" s="40">
        <f>IF(VLOOKUP($D139,$C$5:$AT$507,3,)=0,0,(VLOOKUP($D139,$C$5:$AT$507,27,)/VLOOKUP($D139,$C$5:$AT$507,3,))*$E139)</f>
        <v>0</v>
      </c>
      <c r="AD139" s="40">
        <f>IF(VLOOKUP($D139,$C$5:$AT$507,3,)=0,0,(VLOOKUP($D139,$C$5:$AT$507,28,)/VLOOKUP($D139,$C$5:$AT$507,3,))*$E139)</f>
        <v>0</v>
      </c>
      <c r="AE139" s="40">
        <f>IF(VLOOKUP($D139,$C$5:$AT$507,3,)=0,0,(VLOOKUP($D139,$C$5:$AT$507,29,)/VLOOKUP($D139,$C$5:$AT$507,3,))*$E139)</f>
        <v>0</v>
      </c>
      <c r="AF139" s="40">
        <f>IF(VLOOKUP($D139,$C$5:$AT$507,3,)=0,0,(VLOOKUP($D139,$C$5:$AT$507,30,)/VLOOKUP($D139,$C$5:$AT$507,3,))*$E139)</f>
        <v>0</v>
      </c>
      <c r="AG139" s="64">
        <f>SUM(F139:AF139)</f>
        <v>0</v>
      </c>
      <c r="AH139" s="21" t="str">
        <f>IF(ABS(E139-AG139)&lt;0.01,"ok","err")</f>
        <v>ok</v>
      </c>
    </row>
    <row r="140" spans="1:34" x14ac:dyDescent="0.25">
      <c r="A140" s="67" t="s">
        <v>220</v>
      </c>
      <c r="C140" s="14" t="s">
        <v>268</v>
      </c>
      <c r="D140" s="14" t="s">
        <v>698</v>
      </c>
      <c r="E140" s="167">
        <f>'Func &amp; Classif'!S285</f>
        <v>89351.308399080648</v>
      </c>
      <c r="F140" s="40">
        <f>IF(VLOOKUP($D140,$C$5:$AT$507,3,)=0,0,(VLOOKUP($D140,$C$5:$AT$507,4,)/VLOOKUP($D140,$C$5:$AT$507,3,))*$E140)</f>
        <v>76899.714933700947</v>
      </c>
      <c r="G140" s="40">
        <f>IF(VLOOKUP($D140,$C$5:$AT$507,3,)=0,0,(VLOOKUP($D140,$C$5:$AT$507,5,)/VLOOKUP($D140,$C$5:$AT$507,3,))*$E140)</f>
        <v>57.865259345621716</v>
      </c>
      <c r="H140" s="40">
        <f>IF(VLOOKUP($D140,$C$5:$AT$507,3,)=0,0,(VLOOKUP($D140,$C$5:$AT$507,6,)/VLOOKUP($D140,$C$5:$AT$507,3,))*$E140)</f>
        <v>10742.731322323678</v>
      </c>
      <c r="I140" s="40">
        <f>IF(VLOOKUP($D140,$C$5:$AT$507,3,)=0,0,(VLOOKUP($D140,$C$5:$AT$507,7,)/VLOOKUP($D140,$C$5:$AT$507,3,))*$E140)</f>
        <v>1616.5532769570514</v>
      </c>
      <c r="J140" s="40">
        <f>IF(VLOOKUP($D140,$C$5:$AT$507,3,)=0,0,(VLOOKUP($D140,$C$5:$AT$507,8,)/VLOOKUP($D140,$C$5:$AT$507,3,))*$E140)</f>
        <v>34.443606753346259</v>
      </c>
      <c r="K140" s="40">
        <f>IF(VLOOKUP($D140,$C$5:$AT$507,3,)=0,0,(VLOOKUP($D140,$C$5:$AT$507,9,)/VLOOKUP($D140,$C$5:$AT$507,3,))*$E140)</f>
        <v>0</v>
      </c>
      <c r="L140" s="40">
        <f>IF(VLOOKUP($D140,$C$5:$AT$507,3,)=0,0,(VLOOKUP($D140,$C$5:$AT$507,10,)/VLOOKUP($D140,$C$5:$AT$507,3,))*$E140)</f>
        <v>0</v>
      </c>
      <c r="M140" s="40">
        <f>IF(VLOOKUP($D140,$C$5:$AT$507,3,)=0,0,(VLOOKUP($D140,$C$5:$AT$507,11,)/VLOOKUP($D140,$C$5:$AT$507,3,))*$E140)</f>
        <v>0</v>
      </c>
      <c r="N140" s="40">
        <f>IF(VLOOKUP($D140,$C$5:$AT$507,3,)=0,0,(VLOOKUP($D140,$C$5:$AT$507,12,)/VLOOKUP($D140,$C$5:$AT$507,3,))*$E140)</f>
        <v>0</v>
      </c>
      <c r="O140" s="40">
        <f>IF(VLOOKUP($D140,$C$5:$AT$507,3,)=0,0,(VLOOKUP($D140,$C$5:$AT$507,13,)/VLOOKUP($D140,$C$5:$AT$507,3,))*$E140)</f>
        <v>0</v>
      </c>
      <c r="P140" s="40">
        <f>IF(VLOOKUP($D140,$C$5:$AT$507,3,)=0,0,(VLOOKUP($D140,$C$5:$AT$507,14,)/VLOOKUP($D140,$C$5:$AT$507,3,))*$E140)</f>
        <v>0</v>
      </c>
      <c r="Q140" s="40">
        <f>IF(VLOOKUP($D140,$C$5:$AT$507,3,)=0,0,(VLOOKUP($D140,$C$5:$AT$507,15,)/VLOOKUP($D140,$C$5:$AT$507,3,))*$E140)</f>
        <v>0</v>
      </c>
      <c r="R140" s="40">
        <f>IF(VLOOKUP($D140,$C$5:$AT$507,3,)=0,0,(VLOOKUP($D140,$C$5:$AT$507,16,)/VLOOKUP($D140,$C$5:$AT$507,3,))*$E140)</f>
        <v>0</v>
      </c>
      <c r="S140" s="40">
        <f>IF(VLOOKUP($D140,$C$5:$AT$507,3,)=0,0,(VLOOKUP($D140,$C$5:$AT$507,17,)/VLOOKUP($D140,$C$5:$AT$507,3,))*$E140)</f>
        <v>0</v>
      </c>
      <c r="T140" s="40">
        <f>IF(VLOOKUP($D140,$C$5:$AT$507,3,)=0,0,(VLOOKUP($D140,$C$5:$AT$507,18,)/VLOOKUP($D140,$C$5:$AT$507,3,))*$E140)</f>
        <v>0</v>
      </c>
      <c r="U140" s="40">
        <f>IF(VLOOKUP($D140,$C$5:$AT$507,3,)=0,0,(VLOOKUP($D140,$C$5:$AT$507,19,)/VLOOKUP($D140,$C$5:$AT$507,3,))*$E140)</f>
        <v>0</v>
      </c>
      <c r="V140" s="40">
        <f>IF(VLOOKUP($D140,$C$5:$AT$507,3,)=0,0,(VLOOKUP($D140,$C$5:$AT$507,20,)/VLOOKUP($D140,$C$5:$AT$507,3,))*$E140)</f>
        <v>0</v>
      </c>
      <c r="W140" s="40">
        <f>IF(VLOOKUP($D140,$C$5:$AT$507,3,)=0,0,(VLOOKUP($D140,$C$5:$AT$507,21,)/VLOOKUP($D140,$C$5:$AT$507,3,))*$E140)</f>
        <v>0</v>
      </c>
      <c r="X140" s="40">
        <f>IF(VLOOKUP($D140,$C$5:$AT$507,3,)=0,0,(VLOOKUP($D140,$C$5:$AT$507,22,)/VLOOKUP($D140,$C$5:$AT$507,3,))*$E140)</f>
        <v>0</v>
      </c>
      <c r="Y140" s="40">
        <f>IF(VLOOKUP($D140,$C$5:$AT$507,3,)=0,0,(VLOOKUP($D140,$C$5:$AT$507,23,)/VLOOKUP($D140,$C$5:$AT$507,3,))*$E140)</f>
        <v>0</v>
      </c>
      <c r="Z140" s="40">
        <f>IF(VLOOKUP($D140,$C$5:$AT$507,3,)=0,0,(VLOOKUP($D140,$C$5:$AT$507,24,)/VLOOKUP($D140,$C$5:$AT$507,3,))*$E140)</f>
        <v>0</v>
      </c>
      <c r="AA140" s="40">
        <f>IF(VLOOKUP($D140,$C$5:$AT$507,3,)=0,0,(VLOOKUP($D140,$C$5:$AT$507,25,)/VLOOKUP($D140,$C$5:$AT$507,3,))*$E140)</f>
        <v>0</v>
      </c>
      <c r="AB140" s="40">
        <f>IF(VLOOKUP($D140,$C$5:$AT$507,3,)=0,0,(VLOOKUP($D140,$C$5:$AT$507,26,)/VLOOKUP($D140,$C$5:$AT$507,3,))*$E140)</f>
        <v>0</v>
      </c>
      <c r="AC140" s="40">
        <f>IF(VLOOKUP($D140,$C$5:$AT$507,3,)=0,0,(VLOOKUP($D140,$C$5:$AT$507,27,)/VLOOKUP($D140,$C$5:$AT$507,3,))*$E140)</f>
        <v>0</v>
      </c>
      <c r="AD140" s="40">
        <f>IF(VLOOKUP($D140,$C$5:$AT$507,3,)=0,0,(VLOOKUP($D140,$C$5:$AT$507,28,)/VLOOKUP($D140,$C$5:$AT$507,3,))*$E140)</f>
        <v>0</v>
      </c>
      <c r="AE140" s="40">
        <f>IF(VLOOKUP($D140,$C$5:$AT$507,3,)=0,0,(VLOOKUP($D140,$C$5:$AT$507,29,)/VLOOKUP($D140,$C$5:$AT$507,3,))*$E140)</f>
        <v>0</v>
      </c>
      <c r="AF140" s="40">
        <f>IF(VLOOKUP($D140,$C$5:$AT$507,3,)=0,0,(VLOOKUP($D140,$C$5:$AT$507,30,)/VLOOKUP($D140,$C$5:$AT$507,3,))*$E140)</f>
        <v>0</v>
      </c>
      <c r="AG140" s="64">
        <f>SUM(F140:AF140)</f>
        <v>89351.308399080648</v>
      </c>
      <c r="AH140" s="21" t="str">
        <f>IF(ABS(E140-AG140)&lt;0.01,"ok","err")</f>
        <v>ok</v>
      </c>
    </row>
    <row r="141" spans="1:34" x14ac:dyDescent="0.25">
      <c r="A141" s="14" t="s">
        <v>227</v>
      </c>
      <c r="E141" s="174">
        <f t="shared" ref="E141:T141" si="29">E139+E140</f>
        <v>89351.308399080648</v>
      </c>
      <c r="F141" s="40">
        <f t="shared" si="29"/>
        <v>76899.714933700947</v>
      </c>
      <c r="G141" s="40">
        <f t="shared" si="29"/>
        <v>57.865259345621716</v>
      </c>
      <c r="H141" s="40">
        <f t="shared" si="29"/>
        <v>10742.731322323678</v>
      </c>
      <c r="I141" s="40">
        <f t="shared" si="29"/>
        <v>1616.5532769570514</v>
      </c>
      <c r="J141" s="40">
        <f t="shared" si="29"/>
        <v>34.443606753346259</v>
      </c>
      <c r="K141" s="40">
        <f t="shared" si="29"/>
        <v>0</v>
      </c>
      <c r="L141" s="40">
        <f t="shared" si="29"/>
        <v>0</v>
      </c>
      <c r="M141" s="40">
        <f t="shared" si="29"/>
        <v>0</v>
      </c>
      <c r="N141" s="40">
        <f t="shared" si="29"/>
        <v>0</v>
      </c>
      <c r="O141" s="40">
        <f t="shared" si="29"/>
        <v>0</v>
      </c>
      <c r="P141" s="40">
        <f t="shared" si="29"/>
        <v>0</v>
      </c>
      <c r="Q141" s="40">
        <f t="shared" si="29"/>
        <v>0</v>
      </c>
      <c r="R141" s="40">
        <f t="shared" si="29"/>
        <v>0</v>
      </c>
      <c r="S141" s="40">
        <f t="shared" si="29"/>
        <v>0</v>
      </c>
      <c r="T141" s="40">
        <f t="shared" si="29"/>
        <v>0</v>
      </c>
      <c r="U141" s="40">
        <f t="shared" ref="U141:AF141" si="30">U139+U140</f>
        <v>0</v>
      </c>
      <c r="V141" s="40">
        <f t="shared" si="30"/>
        <v>0</v>
      </c>
      <c r="W141" s="40">
        <f t="shared" si="30"/>
        <v>0</v>
      </c>
      <c r="X141" s="40">
        <f t="shared" si="30"/>
        <v>0</v>
      </c>
      <c r="Y141" s="40">
        <f t="shared" si="30"/>
        <v>0</v>
      </c>
      <c r="Z141" s="40">
        <f t="shared" si="30"/>
        <v>0</v>
      </c>
      <c r="AA141" s="40">
        <f t="shared" si="30"/>
        <v>0</v>
      </c>
      <c r="AB141" s="40">
        <f t="shared" si="30"/>
        <v>0</v>
      </c>
      <c r="AC141" s="40">
        <f t="shared" si="30"/>
        <v>0</v>
      </c>
      <c r="AD141" s="40">
        <f t="shared" si="30"/>
        <v>0</v>
      </c>
      <c r="AE141" s="40">
        <f t="shared" si="30"/>
        <v>0</v>
      </c>
      <c r="AF141" s="40">
        <f t="shared" si="30"/>
        <v>0</v>
      </c>
      <c r="AG141" s="64">
        <f>SUM(F141:AF141)</f>
        <v>89351.308399080648</v>
      </c>
      <c r="AH141" s="21" t="str">
        <f>IF(ABS(E141-AG141)&lt;0.01,"ok","err")</f>
        <v>ok</v>
      </c>
    </row>
    <row r="142" spans="1:34" x14ac:dyDescent="0.25">
      <c r="E142" s="167"/>
    </row>
    <row r="143" spans="1:34" x14ac:dyDescent="0.25">
      <c r="A143" s="13" t="s">
        <v>4</v>
      </c>
      <c r="E143" s="167"/>
    </row>
    <row r="144" spans="1:34" x14ac:dyDescent="0.25">
      <c r="A144" s="67" t="s">
        <v>220</v>
      </c>
      <c r="C144" s="14" t="s">
        <v>269</v>
      </c>
      <c r="D144" s="14" t="s">
        <v>229</v>
      </c>
      <c r="E144" s="174">
        <f>'Func &amp; Classif'!U285</f>
        <v>642451.86307630548</v>
      </c>
      <c r="F144" s="40">
        <f>IF(VLOOKUP($D144,$C$5:$AT$507,3,)=0,0,(VLOOKUP($D144,$C$5:$AT$507,4,)/VLOOKUP($D144,$C$5:$AT$507,3,))*$E144)</f>
        <v>480868.95762221294</v>
      </c>
      <c r="G144" s="40">
        <f>IF(VLOOKUP($D144,$C$5:$AT$507,3,)=0,0,(VLOOKUP($D144,$C$5:$AT$507,5,)/VLOOKUP($D144,$C$5:$AT$507,3,))*$E144)</f>
        <v>361.84278404748267</v>
      </c>
      <c r="H144" s="40">
        <f>IF(VLOOKUP($D144,$C$5:$AT$507,3,)=0,0,(VLOOKUP($D144,$C$5:$AT$507,6,)/VLOOKUP($D144,$C$5:$AT$507,3,))*$E144)</f>
        <v>117558.70006164881</v>
      </c>
      <c r="I144" s="40">
        <f>IF(VLOOKUP($D144,$C$5:$AT$507,3,)=0,0,(VLOOKUP($D144,$C$5:$AT$507,7,)/VLOOKUP($D144,$C$5:$AT$507,3,))*$E144)</f>
        <v>42456.219994904626</v>
      </c>
      <c r="J144" s="40">
        <f>IF(VLOOKUP($D144,$C$5:$AT$507,3,)=0,0,(VLOOKUP($D144,$C$5:$AT$507,8,)/VLOOKUP($D144,$C$5:$AT$507,3,))*$E144)</f>
        <v>1206.1426134916089</v>
      </c>
      <c r="K144" s="40">
        <f>IF(VLOOKUP($D144,$C$5:$AT$507,3,)=0,0,(VLOOKUP($D144,$C$5:$AT$507,9,)/VLOOKUP($D144,$C$5:$AT$507,3,))*$E144)</f>
        <v>0</v>
      </c>
      <c r="L144" s="40">
        <f>IF(VLOOKUP($D144,$C$5:$AT$507,3,)=0,0,(VLOOKUP($D144,$C$5:$AT$507,10,)/VLOOKUP($D144,$C$5:$AT$507,3,))*$E144)</f>
        <v>0</v>
      </c>
      <c r="M144" s="40">
        <f>IF(VLOOKUP($D144,$C$5:$AT$507,3,)=0,0,(VLOOKUP($D144,$C$5:$AT$507,11,)/VLOOKUP($D144,$C$5:$AT$507,3,))*$E144)</f>
        <v>0</v>
      </c>
      <c r="N144" s="40">
        <f>IF(VLOOKUP($D144,$C$5:$AT$507,3,)=0,0,(VLOOKUP($D144,$C$5:$AT$507,12,)/VLOOKUP($D144,$C$5:$AT$507,3,))*$E144)</f>
        <v>0</v>
      </c>
      <c r="O144" s="40">
        <f>IF(VLOOKUP($D144,$C$5:$AT$507,3,)=0,0,(VLOOKUP($D144,$C$5:$AT$507,13,)/VLOOKUP($D144,$C$5:$AT$507,3,))*$E144)</f>
        <v>0</v>
      </c>
      <c r="P144" s="40">
        <f>IF(VLOOKUP($D144,$C$5:$AT$507,3,)=0,0,(VLOOKUP($D144,$C$5:$AT$507,14,)/VLOOKUP($D144,$C$5:$AT$507,3,))*$E144)</f>
        <v>0</v>
      </c>
      <c r="Q144" s="40">
        <f>IF(VLOOKUP($D144,$C$5:$AT$507,3,)=0,0,(VLOOKUP($D144,$C$5:$AT$507,15,)/VLOOKUP($D144,$C$5:$AT$507,3,))*$E144)</f>
        <v>0</v>
      </c>
      <c r="R144" s="40">
        <f>IF(VLOOKUP($D144,$C$5:$AT$507,3,)=0,0,(VLOOKUP($D144,$C$5:$AT$507,16,)/VLOOKUP($D144,$C$5:$AT$507,3,))*$E144)</f>
        <v>0</v>
      </c>
      <c r="S144" s="40">
        <f>IF(VLOOKUP($D144,$C$5:$AT$507,3,)=0,0,(VLOOKUP($D144,$C$5:$AT$507,17,)/VLOOKUP($D144,$C$5:$AT$507,3,))*$E144)</f>
        <v>0</v>
      </c>
      <c r="T144" s="40">
        <f>IF(VLOOKUP($D144,$C$5:$AT$507,3,)=0,0,(VLOOKUP($D144,$C$5:$AT$507,18,)/VLOOKUP($D144,$C$5:$AT$507,3,))*$E144)</f>
        <v>0</v>
      </c>
      <c r="U144" s="40">
        <f>IF(VLOOKUP($D144,$C$5:$AT$507,3,)=0,0,(VLOOKUP($D144,$C$5:$AT$507,19,)/VLOOKUP($D144,$C$5:$AT$507,3,))*$E144)</f>
        <v>0</v>
      </c>
      <c r="V144" s="40">
        <f>IF(VLOOKUP($D144,$C$5:$AT$507,3,)=0,0,(VLOOKUP($D144,$C$5:$AT$507,20,)/VLOOKUP($D144,$C$5:$AT$507,3,))*$E144)</f>
        <v>0</v>
      </c>
      <c r="W144" s="40">
        <f>IF(VLOOKUP($D144,$C$5:$AT$507,3,)=0,0,(VLOOKUP($D144,$C$5:$AT$507,21,)/VLOOKUP($D144,$C$5:$AT$507,3,))*$E144)</f>
        <v>0</v>
      </c>
      <c r="X144" s="40">
        <f>IF(VLOOKUP($D144,$C$5:$AT$507,3,)=0,0,(VLOOKUP($D144,$C$5:$AT$507,22,)/VLOOKUP($D144,$C$5:$AT$507,3,))*$E144)</f>
        <v>0</v>
      </c>
      <c r="Y144" s="40">
        <f>IF(VLOOKUP($D144,$C$5:$AT$507,3,)=0,0,(VLOOKUP($D144,$C$5:$AT$507,23,)/VLOOKUP($D144,$C$5:$AT$507,3,))*$E144)</f>
        <v>0</v>
      </c>
      <c r="Z144" s="40">
        <f>IF(VLOOKUP($D144,$C$5:$AT$507,3,)=0,0,(VLOOKUP($D144,$C$5:$AT$507,24,)/VLOOKUP($D144,$C$5:$AT$507,3,))*$E144)</f>
        <v>0</v>
      </c>
      <c r="AA144" s="40">
        <f>IF(VLOOKUP($D144,$C$5:$AT$507,3,)=0,0,(VLOOKUP($D144,$C$5:$AT$507,25,)/VLOOKUP($D144,$C$5:$AT$507,3,))*$E144)</f>
        <v>0</v>
      </c>
      <c r="AB144" s="40">
        <f>IF(VLOOKUP($D144,$C$5:$AT$507,3,)=0,0,(VLOOKUP($D144,$C$5:$AT$507,26,)/VLOOKUP($D144,$C$5:$AT$507,3,))*$E144)</f>
        <v>0</v>
      </c>
      <c r="AC144" s="40">
        <f>IF(VLOOKUP($D144,$C$5:$AT$507,3,)=0,0,(VLOOKUP($D144,$C$5:$AT$507,27,)/VLOOKUP($D144,$C$5:$AT$507,3,))*$E144)</f>
        <v>0</v>
      </c>
      <c r="AD144" s="40">
        <f>IF(VLOOKUP($D144,$C$5:$AT$507,3,)=0,0,(VLOOKUP($D144,$C$5:$AT$507,28,)/VLOOKUP($D144,$C$5:$AT$507,3,))*$E144)</f>
        <v>0</v>
      </c>
      <c r="AE144" s="40">
        <f>IF(VLOOKUP($D144,$C$5:$AT$507,3,)=0,0,(VLOOKUP($D144,$C$5:$AT$507,29,)/VLOOKUP($D144,$C$5:$AT$507,3,))*$E144)</f>
        <v>0</v>
      </c>
      <c r="AF144" s="40">
        <f>IF(VLOOKUP($D144,$C$5:$AT$507,3,)=0,0,(VLOOKUP($D144,$C$5:$AT$507,30,)/VLOOKUP($D144,$C$5:$AT$507,3,))*$E144)</f>
        <v>0</v>
      </c>
      <c r="AG144" s="64">
        <f>SUM(F144:AF144)</f>
        <v>642451.86307630548</v>
      </c>
      <c r="AH144" s="21" t="str">
        <f>IF(ABS(E144-AG144)&lt;0.01,"ok","err")</f>
        <v>ok</v>
      </c>
    </row>
    <row r="145" spans="1:34" x14ac:dyDescent="0.25">
      <c r="E145" s="167"/>
    </row>
    <row r="146" spans="1:34" x14ac:dyDescent="0.25">
      <c r="A146" s="13" t="s">
        <v>5</v>
      </c>
      <c r="E146" s="167"/>
    </row>
    <row r="147" spans="1:34" x14ac:dyDescent="0.25">
      <c r="A147" s="67" t="s">
        <v>220</v>
      </c>
      <c r="C147" s="14" t="s">
        <v>270</v>
      </c>
      <c r="D147" s="14" t="s">
        <v>231</v>
      </c>
      <c r="E147" s="174">
        <f>'Func &amp; Classif'!W285</f>
        <v>77484.744360150682</v>
      </c>
      <c r="F147" s="40">
        <f>IF(VLOOKUP($D147,$C$5:$AT$507,3,)=0,0,(VLOOKUP($D147,$C$5:$AT$507,4,)/VLOOKUP($D147,$C$5:$AT$507,3,))*$E147)</f>
        <v>0</v>
      </c>
      <c r="G147" s="40">
        <f>IF(VLOOKUP($D147,$C$5:$AT$507,3,)=0,0,(VLOOKUP($D147,$C$5:$AT$507,5,)/VLOOKUP($D147,$C$5:$AT$507,3,))*$E147)</f>
        <v>0</v>
      </c>
      <c r="H147" s="40">
        <f>IF(VLOOKUP($D147,$C$5:$AT$507,3,)=0,0,(VLOOKUP($D147,$C$5:$AT$507,6,)/VLOOKUP($D147,$C$5:$AT$507,3,))*$E147)</f>
        <v>0</v>
      </c>
      <c r="I147" s="40">
        <f>IF(VLOOKUP($D147,$C$5:$AT$507,3,)=0,0,(VLOOKUP($D147,$C$5:$AT$507,7,)/VLOOKUP($D147,$C$5:$AT$507,3,))*$E147)</f>
        <v>0</v>
      </c>
      <c r="J147" s="40">
        <f>IF(VLOOKUP($D147,$C$5:$AT$507,3,)=0,0,(VLOOKUP($D147,$C$5:$AT$507,8,)/VLOOKUP($D147,$C$5:$AT$507,3,))*$E147)</f>
        <v>0</v>
      </c>
      <c r="K147" s="40">
        <f>IF(VLOOKUP($D147,$C$5:$AT$507,3,)=0,0,(VLOOKUP($D147,$C$5:$AT$507,9,)/VLOOKUP($D147,$C$5:$AT$507,3,))*$E147)</f>
        <v>77484.744360150682</v>
      </c>
      <c r="L147" s="40">
        <f>IF(VLOOKUP($D147,$C$5:$AT$507,3,)=0,0,(VLOOKUP($D147,$C$5:$AT$507,10,)/VLOOKUP($D147,$C$5:$AT$507,3,))*$E147)</f>
        <v>0</v>
      </c>
      <c r="M147" s="40">
        <f>IF(VLOOKUP($D147,$C$5:$AT$507,3,)=0,0,(VLOOKUP($D147,$C$5:$AT$507,11,)/VLOOKUP($D147,$C$5:$AT$507,3,))*$E147)</f>
        <v>0</v>
      </c>
      <c r="N147" s="40">
        <f>IF(VLOOKUP($D147,$C$5:$AT$507,3,)=0,0,(VLOOKUP($D147,$C$5:$AT$507,12,)/VLOOKUP($D147,$C$5:$AT$507,3,))*$E147)</f>
        <v>0</v>
      </c>
      <c r="O147" s="40">
        <f>IF(VLOOKUP($D147,$C$5:$AT$507,3,)=0,0,(VLOOKUP($D147,$C$5:$AT$507,13,)/VLOOKUP($D147,$C$5:$AT$507,3,))*$E147)</f>
        <v>0</v>
      </c>
      <c r="P147" s="40">
        <f>IF(VLOOKUP($D147,$C$5:$AT$507,3,)=0,0,(VLOOKUP($D147,$C$5:$AT$507,14,)/VLOOKUP($D147,$C$5:$AT$507,3,))*$E147)</f>
        <v>0</v>
      </c>
      <c r="Q147" s="40">
        <f>IF(VLOOKUP($D147,$C$5:$AT$507,3,)=0,0,(VLOOKUP($D147,$C$5:$AT$507,15,)/VLOOKUP($D147,$C$5:$AT$507,3,))*$E147)</f>
        <v>0</v>
      </c>
      <c r="R147" s="40">
        <f>IF(VLOOKUP($D147,$C$5:$AT$507,3,)=0,0,(VLOOKUP($D147,$C$5:$AT$507,16,)/VLOOKUP($D147,$C$5:$AT$507,3,))*$E147)</f>
        <v>0</v>
      </c>
      <c r="S147" s="40">
        <f>IF(VLOOKUP($D147,$C$5:$AT$507,3,)=0,0,(VLOOKUP($D147,$C$5:$AT$507,17,)/VLOOKUP($D147,$C$5:$AT$507,3,))*$E147)</f>
        <v>0</v>
      </c>
      <c r="T147" s="40">
        <f>IF(VLOOKUP($D147,$C$5:$AT$507,3,)=0,0,(VLOOKUP($D147,$C$5:$AT$507,18,)/VLOOKUP($D147,$C$5:$AT$507,3,))*$E147)</f>
        <v>0</v>
      </c>
      <c r="U147" s="40">
        <f>IF(VLOOKUP($D147,$C$5:$AT$507,3,)=0,0,(VLOOKUP($D147,$C$5:$AT$507,19,)/VLOOKUP($D147,$C$5:$AT$507,3,))*$E147)</f>
        <v>0</v>
      </c>
      <c r="V147" s="40">
        <f>IF(VLOOKUP($D147,$C$5:$AT$507,3,)=0,0,(VLOOKUP($D147,$C$5:$AT$507,20,)/VLOOKUP($D147,$C$5:$AT$507,3,))*$E147)</f>
        <v>0</v>
      </c>
      <c r="W147" s="40">
        <f>IF(VLOOKUP($D147,$C$5:$AT$507,3,)=0,0,(VLOOKUP($D147,$C$5:$AT$507,21,)/VLOOKUP($D147,$C$5:$AT$507,3,))*$E147)</f>
        <v>0</v>
      </c>
      <c r="X147" s="40">
        <f>IF(VLOOKUP($D147,$C$5:$AT$507,3,)=0,0,(VLOOKUP($D147,$C$5:$AT$507,22,)/VLOOKUP($D147,$C$5:$AT$507,3,))*$E147)</f>
        <v>0</v>
      </c>
      <c r="Y147" s="40">
        <f>IF(VLOOKUP($D147,$C$5:$AT$507,3,)=0,0,(VLOOKUP($D147,$C$5:$AT$507,23,)/VLOOKUP($D147,$C$5:$AT$507,3,))*$E147)</f>
        <v>0</v>
      </c>
      <c r="Z147" s="40">
        <f>IF(VLOOKUP($D147,$C$5:$AT$507,3,)=0,0,(VLOOKUP($D147,$C$5:$AT$507,24,)/VLOOKUP($D147,$C$5:$AT$507,3,))*$E147)</f>
        <v>0</v>
      </c>
      <c r="AA147" s="40">
        <f>IF(VLOOKUP($D147,$C$5:$AT$507,3,)=0,0,(VLOOKUP($D147,$C$5:$AT$507,25,)/VLOOKUP($D147,$C$5:$AT$507,3,))*$E147)</f>
        <v>0</v>
      </c>
      <c r="AB147" s="40">
        <f>IF(VLOOKUP($D147,$C$5:$AT$507,3,)=0,0,(VLOOKUP($D147,$C$5:$AT$507,26,)/VLOOKUP($D147,$C$5:$AT$507,3,))*$E147)</f>
        <v>0</v>
      </c>
      <c r="AC147" s="40">
        <f>IF(VLOOKUP($D147,$C$5:$AT$507,3,)=0,0,(VLOOKUP($D147,$C$5:$AT$507,27,)/VLOOKUP($D147,$C$5:$AT$507,3,))*$E147)</f>
        <v>0</v>
      </c>
      <c r="AD147" s="40">
        <f>IF(VLOOKUP($D147,$C$5:$AT$507,3,)=0,0,(VLOOKUP($D147,$C$5:$AT$507,28,)/VLOOKUP($D147,$C$5:$AT$507,3,))*$E147)</f>
        <v>0</v>
      </c>
      <c r="AE147" s="40">
        <f>IF(VLOOKUP($D147,$C$5:$AT$507,3,)=0,0,(VLOOKUP($D147,$C$5:$AT$507,29,)/VLOOKUP($D147,$C$5:$AT$507,3,))*$E147)</f>
        <v>0</v>
      </c>
      <c r="AF147" s="40">
        <f>IF(VLOOKUP($D147,$C$5:$AT$507,3,)=0,0,(VLOOKUP($D147,$C$5:$AT$507,30,)/VLOOKUP($D147,$C$5:$AT$507,3,))*$E147)</f>
        <v>0</v>
      </c>
      <c r="AG147" s="64">
        <f>SUM(F147:AF147)</f>
        <v>77484.744360150682</v>
      </c>
      <c r="AH147" s="21" t="str">
        <f>IF(ABS(E147-AG147)&lt;0.01,"ok","err")</f>
        <v>ok</v>
      </c>
    </row>
    <row r="148" spans="1:34" x14ac:dyDescent="0.25">
      <c r="E148" s="167"/>
    </row>
    <row r="149" spans="1:34" x14ac:dyDescent="0.25">
      <c r="A149" s="13" t="s">
        <v>544</v>
      </c>
      <c r="E149" s="167"/>
    </row>
    <row r="150" spans="1:34" x14ac:dyDescent="0.25">
      <c r="A150" s="67" t="s">
        <v>220</v>
      </c>
      <c r="C150" s="14" t="s">
        <v>271</v>
      </c>
      <c r="D150" s="14" t="s">
        <v>233</v>
      </c>
      <c r="E150" s="174">
        <f>'Func &amp; Classif'!Y285</f>
        <v>1774088.9258586476</v>
      </c>
      <c r="F150" s="40">
        <f>IF(VLOOKUP($D150,$C$5:$AT$507,3,)=0,0,(VLOOKUP($D150,$C$5:$AT$507,4,)/VLOOKUP($D150,$C$5:$AT$507,3,))*$E150)</f>
        <v>1549984.1762250694</v>
      </c>
      <c r="G150" s="40">
        <f>IF(VLOOKUP($D150,$C$5:$AT$507,3,)=0,0,(VLOOKUP($D150,$C$5:$AT$507,5,)/VLOOKUP($D150,$C$5:$AT$507,3,))*$E150)</f>
        <v>1166.3272928410704</v>
      </c>
      <c r="H150" s="40">
        <f>IF(VLOOKUP($D150,$C$5:$AT$507,3,)=0,0,(VLOOKUP($D150,$C$5:$AT$507,6,)/VLOOKUP($D150,$C$5:$AT$507,3,))*$E150)</f>
        <v>189463.38912596056</v>
      </c>
      <c r="I150" s="40">
        <f>IF(VLOOKUP($D150,$C$5:$AT$507,3,)=0,0,(VLOOKUP($D150,$C$5:$AT$507,7,)/VLOOKUP($D150,$C$5:$AT$507,3,))*$E150)</f>
        <v>22808.178171114268</v>
      </c>
      <c r="J150" s="40">
        <f>IF(VLOOKUP($D150,$C$5:$AT$507,3,)=0,0,(VLOOKUP($D150,$C$5:$AT$507,8,)/VLOOKUP($D150,$C$5:$AT$507,3,))*$E150)</f>
        <v>323.97980356696399</v>
      </c>
      <c r="K150" s="40">
        <f>IF(VLOOKUP($D150,$C$5:$AT$507,3,)=0,0,(VLOOKUP($D150,$C$5:$AT$507,9,)/VLOOKUP($D150,$C$5:$AT$507,3,))*$E150)</f>
        <v>10342.875240095569</v>
      </c>
      <c r="L150" s="40">
        <f>IF(VLOOKUP($D150,$C$5:$AT$507,3,)=0,0,(VLOOKUP($D150,$C$5:$AT$507,10,)/VLOOKUP($D150,$C$5:$AT$507,3,))*$E150)</f>
        <v>0</v>
      </c>
      <c r="M150" s="40">
        <f>IF(VLOOKUP($D150,$C$5:$AT$507,3,)=0,0,(VLOOKUP($D150,$C$5:$AT$507,11,)/VLOOKUP($D150,$C$5:$AT$507,3,))*$E150)</f>
        <v>0</v>
      </c>
      <c r="N150" s="40">
        <f>IF(VLOOKUP($D150,$C$5:$AT$507,3,)=0,0,(VLOOKUP($D150,$C$5:$AT$507,12,)/VLOOKUP($D150,$C$5:$AT$507,3,))*$E150)</f>
        <v>0</v>
      </c>
      <c r="O150" s="40">
        <f>IF(VLOOKUP($D150,$C$5:$AT$507,3,)=0,0,(VLOOKUP($D150,$C$5:$AT$507,13,)/VLOOKUP($D150,$C$5:$AT$507,3,))*$E150)</f>
        <v>0</v>
      </c>
      <c r="P150" s="40">
        <f>IF(VLOOKUP($D150,$C$5:$AT$507,3,)=0,0,(VLOOKUP($D150,$C$5:$AT$507,14,)/VLOOKUP($D150,$C$5:$AT$507,3,))*$E150)</f>
        <v>0</v>
      </c>
      <c r="Q150" s="40">
        <f>IF(VLOOKUP($D150,$C$5:$AT$507,3,)=0,0,(VLOOKUP($D150,$C$5:$AT$507,15,)/VLOOKUP($D150,$C$5:$AT$507,3,))*$E150)</f>
        <v>0</v>
      </c>
      <c r="R150" s="40">
        <f>IF(VLOOKUP($D150,$C$5:$AT$507,3,)=0,0,(VLOOKUP($D150,$C$5:$AT$507,16,)/VLOOKUP($D150,$C$5:$AT$507,3,))*$E150)</f>
        <v>0</v>
      </c>
      <c r="S150" s="40">
        <f>IF(VLOOKUP($D150,$C$5:$AT$507,3,)=0,0,(VLOOKUP($D150,$C$5:$AT$507,17,)/VLOOKUP($D150,$C$5:$AT$507,3,))*$E150)</f>
        <v>0</v>
      </c>
      <c r="T150" s="40">
        <f>IF(VLOOKUP($D150,$C$5:$AT$507,3,)=0,0,(VLOOKUP($D150,$C$5:$AT$507,18,)/VLOOKUP($D150,$C$5:$AT$507,3,))*$E150)</f>
        <v>0</v>
      </c>
      <c r="U150" s="40">
        <f>IF(VLOOKUP($D150,$C$5:$AT$507,3,)=0,0,(VLOOKUP($D150,$C$5:$AT$507,19,)/VLOOKUP($D150,$C$5:$AT$507,3,))*$E150)</f>
        <v>0</v>
      </c>
      <c r="V150" s="40">
        <f>IF(VLOOKUP($D150,$C$5:$AT$507,3,)=0,0,(VLOOKUP($D150,$C$5:$AT$507,20,)/VLOOKUP($D150,$C$5:$AT$507,3,))*$E150)</f>
        <v>0</v>
      </c>
      <c r="W150" s="40">
        <f>IF(VLOOKUP($D150,$C$5:$AT$507,3,)=0,0,(VLOOKUP($D150,$C$5:$AT$507,21,)/VLOOKUP($D150,$C$5:$AT$507,3,))*$E150)</f>
        <v>0</v>
      </c>
      <c r="X150" s="40">
        <f>IF(VLOOKUP($D150,$C$5:$AT$507,3,)=0,0,(VLOOKUP($D150,$C$5:$AT$507,22,)/VLOOKUP($D150,$C$5:$AT$507,3,))*$E150)</f>
        <v>0</v>
      </c>
      <c r="Y150" s="40">
        <f>IF(VLOOKUP($D150,$C$5:$AT$507,3,)=0,0,(VLOOKUP($D150,$C$5:$AT$507,23,)/VLOOKUP($D150,$C$5:$AT$507,3,))*$E150)</f>
        <v>0</v>
      </c>
      <c r="Z150" s="40">
        <f>IF(VLOOKUP($D150,$C$5:$AT$507,3,)=0,0,(VLOOKUP($D150,$C$5:$AT$507,24,)/VLOOKUP($D150,$C$5:$AT$507,3,))*$E150)</f>
        <v>0</v>
      </c>
      <c r="AA150" s="40">
        <f>IF(VLOOKUP($D150,$C$5:$AT$507,3,)=0,0,(VLOOKUP($D150,$C$5:$AT$507,25,)/VLOOKUP($D150,$C$5:$AT$507,3,))*$E150)</f>
        <v>0</v>
      </c>
      <c r="AB150" s="40">
        <f>IF(VLOOKUP($D150,$C$5:$AT$507,3,)=0,0,(VLOOKUP($D150,$C$5:$AT$507,26,)/VLOOKUP($D150,$C$5:$AT$507,3,))*$E150)</f>
        <v>0</v>
      </c>
      <c r="AC150" s="40">
        <f>IF(VLOOKUP($D150,$C$5:$AT$507,3,)=0,0,(VLOOKUP($D150,$C$5:$AT$507,27,)/VLOOKUP($D150,$C$5:$AT$507,3,))*$E150)</f>
        <v>0</v>
      </c>
      <c r="AD150" s="40">
        <f>IF(VLOOKUP($D150,$C$5:$AT$507,3,)=0,0,(VLOOKUP($D150,$C$5:$AT$507,28,)/VLOOKUP($D150,$C$5:$AT$507,3,))*$E150)</f>
        <v>0</v>
      </c>
      <c r="AE150" s="40">
        <f>IF(VLOOKUP($D150,$C$5:$AT$507,3,)=0,0,(VLOOKUP($D150,$C$5:$AT$507,29,)/VLOOKUP($D150,$C$5:$AT$507,3,))*$E150)</f>
        <v>0</v>
      </c>
      <c r="AF150" s="40">
        <f>IF(VLOOKUP($D150,$C$5:$AT$507,3,)=0,0,(VLOOKUP($D150,$C$5:$AT$507,30,)/VLOOKUP($D150,$C$5:$AT$507,3,))*$E150)</f>
        <v>0</v>
      </c>
      <c r="AG150" s="64">
        <f>SUM(F150:AF150)</f>
        <v>1774088.9258586483</v>
      </c>
      <c r="AH150" s="21" t="str">
        <f>IF(ABS(E150-AG150)&lt;0.01,"ok","err")</f>
        <v>ok</v>
      </c>
    </row>
    <row r="151" spans="1:34" x14ac:dyDescent="0.25">
      <c r="E151" s="167"/>
    </row>
    <row r="152" spans="1:34" x14ac:dyDescent="0.25">
      <c r="A152" s="13" t="s">
        <v>469</v>
      </c>
      <c r="E152" s="167"/>
    </row>
    <row r="153" spans="1:34" x14ac:dyDescent="0.25">
      <c r="A153" s="67" t="s">
        <v>220</v>
      </c>
      <c r="C153" s="14" t="s">
        <v>268</v>
      </c>
      <c r="D153" s="14" t="s">
        <v>234</v>
      </c>
      <c r="E153" s="174">
        <f>'Func &amp; Classif'!AA285</f>
        <v>0</v>
      </c>
      <c r="F153" s="40">
        <f>IF(VLOOKUP($D153,$C$5:$AT$507,3,)=0,0,(VLOOKUP($D153,$C$5:$AT$507,4,)/VLOOKUP($D153,$C$5:$AT$507,3,))*$E153)</f>
        <v>0</v>
      </c>
      <c r="G153" s="40">
        <f>IF(VLOOKUP($D153,$C$5:$AT$507,3,)=0,0,(VLOOKUP($D153,$C$5:$AT$507,5,)/VLOOKUP($D153,$C$5:$AT$507,3,))*$E153)</f>
        <v>0</v>
      </c>
      <c r="H153" s="40">
        <f>IF(VLOOKUP($D153,$C$5:$AT$507,3,)=0,0,(VLOOKUP($D153,$C$5:$AT$507,6,)/VLOOKUP($D153,$C$5:$AT$507,3,))*$E153)</f>
        <v>0</v>
      </c>
      <c r="I153" s="40">
        <f>IF(VLOOKUP($D153,$C$5:$AT$507,3,)=0,0,(VLOOKUP($D153,$C$5:$AT$507,7,)/VLOOKUP($D153,$C$5:$AT$507,3,))*$E153)</f>
        <v>0</v>
      </c>
      <c r="J153" s="40">
        <f>IF(VLOOKUP($D153,$C$5:$AT$507,3,)=0,0,(VLOOKUP($D153,$C$5:$AT$507,8,)/VLOOKUP($D153,$C$5:$AT$507,3,))*$E153)</f>
        <v>0</v>
      </c>
      <c r="K153" s="40">
        <f>IF(VLOOKUP($D153,$C$5:$AT$507,3,)=0,0,(VLOOKUP($D153,$C$5:$AT$507,9,)/VLOOKUP($D153,$C$5:$AT$507,3,))*$E153)</f>
        <v>0</v>
      </c>
      <c r="L153" s="40">
        <f>IF(VLOOKUP($D153,$C$5:$AT$507,3,)=0,0,(VLOOKUP($D153,$C$5:$AT$507,10,)/VLOOKUP($D153,$C$5:$AT$507,3,))*$E153)</f>
        <v>0</v>
      </c>
      <c r="M153" s="40">
        <f>IF(VLOOKUP($D153,$C$5:$AT$507,3,)=0,0,(VLOOKUP($D153,$C$5:$AT$507,11,)/VLOOKUP($D153,$C$5:$AT$507,3,))*$E153)</f>
        <v>0</v>
      </c>
      <c r="N153" s="40">
        <f>IF(VLOOKUP($D153,$C$5:$AT$507,3,)=0,0,(VLOOKUP($D153,$C$5:$AT$507,12,)/VLOOKUP($D153,$C$5:$AT$507,3,))*$E153)</f>
        <v>0</v>
      </c>
      <c r="O153" s="40">
        <f>IF(VLOOKUP($D153,$C$5:$AT$507,3,)=0,0,(VLOOKUP($D153,$C$5:$AT$507,13,)/VLOOKUP($D153,$C$5:$AT$507,3,))*$E153)</f>
        <v>0</v>
      </c>
      <c r="P153" s="40">
        <f>IF(VLOOKUP($D153,$C$5:$AT$507,3,)=0,0,(VLOOKUP($D153,$C$5:$AT$507,14,)/VLOOKUP($D153,$C$5:$AT$507,3,))*$E153)</f>
        <v>0</v>
      </c>
      <c r="Q153" s="40">
        <f>IF(VLOOKUP($D153,$C$5:$AT$507,3,)=0,0,(VLOOKUP($D153,$C$5:$AT$507,15,)/VLOOKUP($D153,$C$5:$AT$507,3,))*$E153)</f>
        <v>0</v>
      </c>
      <c r="R153" s="40">
        <f>IF(VLOOKUP($D153,$C$5:$AT$507,3,)=0,0,(VLOOKUP($D153,$C$5:$AT$507,16,)/VLOOKUP($D153,$C$5:$AT$507,3,))*$E153)</f>
        <v>0</v>
      </c>
      <c r="S153" s="40">
        <f>IF(VLOOKUP($D153,$C$5:$AT$507,3,)=0,0,(VLOOKUP($D153,$C$5:$AT$507,17,)/VLOOKUP($D153,$C$5:$AT$507,3,))*$E153)</f>
        <v>0</v>
      </c>
      <c r="T153" s="40">
        <f>IF(VLOOKUP($D153,$C$5:$AT$507,3,)=0,0,(VLOOKUP($D153,$C$5:$AT$507,18,)/VLOOKUP($D153,$C$5:$AT$507,3,))*$E153)</f>
        <v>0</v>
      </c>
      <c r="U153" s="40">
        <f>IF(VLOOKUP($D153,$C$5:$AT$507,3,)=0,0,(VLOOKUP($D153,$C$5:$AT$507,19,)/VLOOKUP($D153,$C$5:$AT$507,3,))*$E153)</f>
        <v>0</v>
      </c>
      <c r="V153" s="40">
        <f>IF(VLOOKUP($D153,$C$5:$AT$507,3,)=0,0,(VLOOKUP($D153,$C$5:$AT$507,20,)/VLOOKUP($D153,$C$5:$AT$507,3,))*$E153)</f>
        <v>0</v>
      </c>
      <c r="W153" s="40">
        <f>IF(VLOOKUP($D153,$C$5:$AT$507,3,)=0,0,(VLOOKUP($D153,$C$5:$AT$507,21,)/VLOOKUP($D153,$C$5:$AT$507,3,))*$E153)</f>
        <v>0</v>
      </c>
      <c r="X153" s="40">
        <f>IF(VLOOKUP($D153,$C$5:$AT$507,3,)=0,0,(VLOOKUP($D153,$C$5:$AT$507,22,)/VLOOKUP($D153,$C$5:$AT$507,3,))*$E153)</f>
        <v>0</v>
      </c>
      <c r="Y153" s="40">
        <f>IF(VLOOKUP($D153,$C$5:$AT$507,3,)=0,0,(VLOOKUP($D153,$C$5:$AT$507,23,)/VLOOKUP($D153,$C$5:$AT$507,3,))*$E153)</f>
        <v>0</v>
      </c>
      <c r="Z153" s="40">
        <f>IF(VLOOKUP($D153,$C$5:$AT$507,3,)=0,0,(VLOOKUP($D153,$C$5:$AT$507,24,)/VLOOKUP($D153,$C$5:$AT$507,3,))*$E153)</f>
        <v>0</v>
      </c>
      <c r="AA153" s="40">
        <f>IF(VLOOKUP($D153,$C$5:$AT$507,3,)=0,0,(VLOOKUP($D153,$C$5:$AT$507,25,)/VLOOKUP($D153,$C$5:$AT$507,3,))*$E153)</f>
        <v>0</v>
      </c>
      <c r="AB153" s="40">
        <f>IF(VLOOKUP($D153,$C$5:$AT$507,3,)=0,0,(VLOOKUP($D153,$C$5:$AT$507,26,)/VLOOKUP($D153,$C$5:$AT$507,3,))*$E153)</f>
        <v>0</v>
      </c>
      <c r="AC153" s="40">
        <f>IF(VLOOKUP($D153,$C$5:$AT$507,3,)=0,0,(VLOOKUP($D153,$C$5:$AT$507,27,)/VLOOKUP($D153,$C$5:$AT$507,3,))*$E153)</f>
        <v>0</v>
      </c>
      <c r="AD153" s="40">
        <f>IF(VLOOKUP($D153,$C$5:$AT$507,3,)=0,0,(VLOOKUP($D153,$C$5:$AT$507,28,)/VLOOKUP($D153,$C$5:$AT$507,3,))*$E153)</f>
        <v>0</v>
      </c>
      <c r="AE153" s="40">
        <f>IF(VLOOKUP($D153,$C$5:$AT$507,3,)=0,0,(VLOOKUP($D153,$C$5:$AT$507,29,)/VLOOKUP($D153,$C$5:$AT$507,3,))*$E153)</f>
        <v>0</v>
      </c>
      <c r="AF153" s="40">
        <f>IF(VLOOKUP($D153,$C$5:$AT$507,3,)=0,0,(VLOOKUP($D153,$C$5:$AT$507,30,)/VLOOKUP($D153,$C$5:$AT$507,3,))*$E153)</f>
        <v>0</v>
      </c>
      <c r="AG153" s="64">
        <f>SUM(F153:AF153)</f>
        <v>0</v>
      </c>
      <c r="AH153" s="21" t="str">
        <f>IF(ABS(E153-AG153)&lt;0.01,"ok","err")</f>
        <v>ok</v>
      </c>
    </row>
    <row r="154" spans="1:34" x14ac:dyDescent="0.25">
      <c r="E154" s="167"/>
    </row>
    <row r="155" spans="1:34" x14ac:dyDescent="0.25">
      <c r="A155" s="14" t="s">
        <v>0</v>
      </c>
      <c r="C155" s="14" t="s">
        <v>272</v>
      </c>
      <c r="E155" s="174">
        <f>E125+E128+E131+E136+E141+E144+E147+E150+E153</f>
        <v>46824823.469999999</v>
      </c>
      <c r="F155" s="40">
        <f t="shared" ref="F155:R155" si="31">F125+F128+F131+F136+F141+F144+F147+F150+F153</f>
        <v>30637619.965064134</v>
      </c>
      <c r="G155" s="40">
        <f t="shared" si="31"/>
        <v>23358.796376938961</v>
      </c>
      <c r="H155" s="40">
        <f t="shared" si="31"/>
        <v>3704678.9934140504</v>
      </c>
      <c r="I155" s="40">
        <f t="shared" si="31"/>
        <v>6676181.1446728697</v>
      </c>
      <c r="J155" s="40">
        <f t="shared" si="31"/>
        <v>1828989.1920098213</v>
      </c>
      <c r="K155" s="40">
        <f t="shared" si="31"/>
        <v>101343.37272250146</v>
      </c>
      <c r="L155" s="40">
        <f t="shared" si="31"/>
        <v>3852652</v>
      </c>
      <c r="M155" s="40">
        <f t="shared" si="31"/>
        <v>0</v>
      </c>
      <c r="N155" s="40">
        <f t="shared" si="31"/>
        <v>0</v>
      </c>
      <c r="O155" s="40">
        <f t="shared" si="31"/>
        <v>0</v>
      </c>
      <c r="P155" s="40">
        <f t="shared" si="31"/>
        <v>0</v>
      </c>
      <c r="Q155" s="40">
        <f t="shared" si="31"/>
        <v>0</v>
      </c>
      <c r="R155" s="40">
        <f t="shared" si="31"/>
        <v>0</v>
      </c>
      <c r="S155" s="40">
        <f t="shared" ref="S155:AF155" si="32">S125+S131+S136+S141+S144+S147+S150+S153</f>
        <v>0</v>
      </c>
      <c r="T155" s="40">
        <f t="shared" si="32"/>
        <v>0</v>
      </c>
      <c r="U155" s="40">
        <f t="shared" si="32"/>
        <v>0</v>
      </c>
      <c r="V155" s="40">
        <f t="shared" si="32"/>
        <v>0</v>
      </c>
      <c r="W155" s="40">
        <f t="shared" si="32"/>
        <v>0</v>
      </c>
      <c r="X155" s="40">
        <f t="shared" si="32"/>
        <v>0</v>
      </c>
      <c r="Y155" s="40">
        <f t="shared" si="32"/>
        <v>0</v>
      </c>
      <c r="Z155" s="40">
        <f t="shared" si="32"/>
        <v>0</v>
      </c>
      <c r="AA155" s="40">
        <f t="shared" si="32"/>
        <v>0</v>
      </c>
      <c r="AB155" s="40">
        <f t="shared" si="32"/>
        <v>0</v>
      </c>
      <c r="AC155" s="40">
        <f t="shared" si="32"/>
        <v>0</v>
      </c>
      <c r="AD155" s="40">
        <f t="shared" si="32"/>
        <v>0</v>
      </c>
      <c r="AE155" s="40">
        <f t="shared" si="32"/>
        <v>0</v>
      </c>
      <c r="AF155" s="40">
        <f t="shared" si="32"/>
        <v>0</v>
      </c>
      <c r="AG155" s="64">
        <f>SUM(F155:AF155)</f>
        <v>46824823.464260317</v>
      </c>
      <c r="AH155" s="21" t="str">
        <f>IF(ABS(E155-AG155)&lt;0.01,"ok","err")</f>
        <v>ok</v>
      </c>
    </row>
    <row r="158" spans="1:34" x14ac:dyDescent="0.25">
      <c r="A158" s="19" t="s">
        <v>184</v>
      </c>
    </row>
    <row r="160" spans="1:34" x14ac:dyDescent="0.25">
      <c r="A160" s="13" t="s">
        <v>885</v>
      </c>
    </row>
    <row r="161" spans="1:34" x14ac:dyDescent="0.25">
      <c r="A161" s="67" t="s">
        <v>208</v>
      </c>
      <c r="C161" s="14" t="s">
        <v>285</v>
      </c>
      <c r="D161" s="14" t="s">
        <v>654</v>
      </c>
      <c r="E161" s="174">
        <f>'Func &amp; Classif'!H312</f>
        <v>0</v>
      </c>
      <c r="F161" s="40">
        <f>IF(VLOOKUP($D161,$C$5:$AT$507,3,)=0,0,(VLOOKUP($D161,$C$5:$AT$507,4,)/VLOOKUP($D161,$C$5:$AT$507,3,))*$E161)</f>
        <v>0</v>
      </c>
      <c r="G161" s="40">
        <f>IF(VLOOKUP($D161,$C$5:$AT$507,3,)=0,0,(VLOOKUP($D161,$C$5:$AT$507,5,)/VLOOKUP($D161,$C$5:$AT$507,3,))*$E161)</f>
        <v>0</v>
      </c>
      <c r="H161" s="40">
        <f>IF(VLOOKUP($D161,$C$5:$AT$507,3,)=0,0,(VLOOKUP($D161,$C$5:$AT$507,6,)/VLOOKUP($D161,$C$5:$AT$507,3,))*$E161)</f>
        <v>0</v>
      </c>
      <c r="I161" s="40">
        <f>IF(VLOOKUP($D161,$C$5:$AT$507,3,)=0,0,(VLOOKUP($D161,$C$5:$AT$507,7,)/VLOOKUP($D161,$C$5:$AT$507,3,))*$E161)</f>
        <v>0</v>
      </c>
      <c r="J161" s="40">
        <f>IF(VLOOKUP($D161,$C$5:$AT$507,3,)=0,0,(VLOOKUP($D161,$C$5:$AT$507,8,)/VLOOKUP($D161,$C$5:$AT$507,3,))*$E161)</f>
        <v>0</v>
      </c>
      <c r="K161" s="40">
        <f>IF(VLOOKUP($D161,$C$5:$AT$507,3,)=0,0,(VLOOKUP($D161,$C$5:$AT$507,9,)/VLOOKUP($D161,$C$5:$AT$507,3,))*$E161)</f>
        <v>0</v>
      </c>
      <c r="L161" s="40">
        <f>IF(VLOOKUP($D161,$C$5:$AT$507,3,)=0,0,(VLOOKUP($D161,$C$5:$AT$507,10,)/VLOOKUP($D161,$C$5:$AT$507,3,))*$E161)</f>
        <v>0</v>
      </c>
      <c r="M161" s="40">
        <f>IF(VLOOKUP($D161,$C$5:$AT$507,3,)=0,0,(VLOOKUP($D161,$C$5:$AT$507,11,)/VLOOKUP($D161,$C$5:$AT$507,3,))*$E161)</f>
        <v>0</v>
      </c>
      <c r="N161" s="40">
        <f>IF(VLOOKUP($D161,$C$5:$AT$507,3,)=0,0,(VLOOKUP($D161,$C$5:$AT$507,12,)/VLOOKUP($D161,$C$5:$AT$507,3,))*$E161)</f>
        <v>0</v>
      </c>
      <c r="O161" s="40">
        <f>IF(VLOOKUP($D161,$C$5:$AT$507,3,)=0,0,(VLOOKUP($D161,$C$5:$AT$507,13,)/VLOOKUP($D161,$C$5:$AT$507,3,))*$E161)</f>
        <v>0</v>
      </c>
      <c r="P161" s="40">
        <f>IF(VLOOKUP($D161,$C$5:$AT$507,3,)=0,0,(VLOOKUP($D161,$C$5:$AT$507,14,)/VLOOKUP($D161,$C$5:$AT$507,3,))*$E161)</f>
        <v>0</v>
      </c>
      <c r="Q161" s="40">
        <f>IF(VLOOKUP($D161,$C$5:$AT$507,3,)=0,0,(VLOOKUP($D161,$C$5:$AT$507,15,)/VLOOKUP($D161,$C$5:$AT$507,3,))*$E161)</f>
        <v>0</v>
      </c>
      <c r="R161" s="40">
        <f>IF(VLOOKUP($D161,$C$5:$AT$507,3,)=0,0,(VLOOKUP($D161,$C$5:$AT$507,16,)/VLOOKUP($D161,$C$5:$AT$507,3,))*$E161)</f>
        <v>0</v>
      </c>
      <c r="S161" s="40">
        <f>IF(VLOOKUP($D161,$C$5:$AT$507,3,)=0,0,(VLOOKUP($D161,$C$5:$AT$507,17,)/VLOOKUP($D161,$C$5:$AT$507,3,))*$E161)</f>
        <v>0</v>
      </c>
      <c r="T161" s="40">
        <f>IF(VLOOKUP($D161,$C$5:$AT$507,3,)=0,0,(VLOOKUP($D161,$C$5:$AT$507,18,)/VLOOKUP($D161,$C$5:$AT$507,3,))*$E161)</f>
        <v>0</v>
      </c>
      <c r="U161" s="40">
        <f>IF(VLOOKUP($D161,$C$5:$AT$507,3,)=0,0,(VLOOKUP($D161,$C$5:$AT$507,19,)/VLOOKUP($D161,$C$5:$AT$507,3,))*$E161)</f>
        <v>0</v>
      </c>
      <c r="V161" s="40">
        <f>IF(VLOOKUP($D161,$C$5:$AT$507,3,)=0,0,(VLOOKUP($D161,$C$5:$AT$507,20,)/VLOOKUP($D161,$C$5:$AT$507,3,))*$E161)</f>
        <v>0</v>
      </c>
      <c r="W161" s="40">
        <f>IF(VLOOKUP($D161,$C$5:$AT$507,3,)=0,0,(VLOOKUP($D161,$C$5:$AT$507,21,)/VLOOKUP($D161,$C$5:$AT$507,3,))*$E161)</f>
        <v>0</v>
      </c>
      <c r="X161" s="40">
        <f>IF(VLOOKUP($D161,$C$5:$AT$507,3,)=0,0,(VLOOKUP($D161,$C$5:$AT$507,22,)/VLOOKUP($D161,$C$5:$AT$507,3,))*$E161)</f>
        <v>0</v>
      </c>
      <c r="Y161" s="40">
        <f>IF(VLOOKUP($D161,$C$5:$AT$507,3,)=0,0,(VLOOKUP($D161,$C$5:$AT$507,23,)/VLOOKUP($D161,$C$5:$AT$507,3,))*$E161)</f>
        <v>0</v>
      </c>
      <c r="Z161" s="40">
        <f>IF(VLOOKUP($D161,$C$5:$AT$507,3,)=0,0,(VLOOKUP($D161,$C$5:$AT$507,24,)/VLOOKUP($D161,$C$5:$AT$507,3,))*$E161)</f>
        <v>0</v>
      </c>
      <c r="AA161" s="40">
        <f>IF(VLOOKUP($D161,$C$5:$AT$507,3,)=0,0,(VLOOKUP($D161,$C$5:$AT$507,25,)/VLOOKUP($D161,$C$5:$AT$507,3,))*$E161)</f>
        <v>0</v>
      </c>
      <c r="AB161" s="40">
        <f>IF(VLOOKUP($D161,$C$5:$AT$507,3,)=0,0,(VLOOKUP($D161,$C$5:$AT$507,26,)/VLOOKUP($D161,$C$5:$AT$507,3,))*$E161)</f>
        <v>0</v>
      </c>
      <c r="AC161" s="40">
        <f>IF(VLOOKUP($D161,$C$5:$AT$507,3,)=0,0,(VLOOKUP($D161,$C$5:$AT$507,27,)/VLOOKUP($D161,$C$5:$AT$507,3,))*$E161)</f>
        <v>0</v>
      </c>
      <c r="AD161" s="40">
        <f>IF(VLOOKUP($D161,$C$5:$AT$507,3,)=0,0,(VLOOKUP($D161,$C$5:$AT$507,28,)/VLOOKUP($D161,$C$5:$AT$507,3,))*$E161)</f>
        <v>0</v>
      </c>
      <c r="AE161" s="40">
        <f>IF(VLOOKUP($D161,$C$5:$AT$507,3,)=0,0,(VLOOKUP($D161,$C$5:$AT$507,29,)/VLOOKUP($D161,$C$5:$AT$507,3,))*$E161)</f>
        <v>0</v>
      </c>
      <c r="AF161" s="40">
        <f>IF(VLOOKUP($D161,$C$5:$AT$507,3,)=0,0,(VLOOKUP($D161,$C$5:$AT$507,30,)/VLOOKUP($D161,$C$5:$AT$507,3,))*$E161)</f>
        <v>0</v>
      </c>
      <c r="AG161" s="64">
        <f>SUM(F161:AF161)</f>
        <v>0</v>
      </c>
      <c r="AH161" s="21" t="str">
        <f>IF(ABS(E161-AG161)&lt;0.01,"ok","err")</f>
        <v>ok</v>
      </c>
    </row>
    <row r="162" spans="1:34" x14ac:dyDescent="0.25">
      <c r="A162" s="67" t="s">
        <v>211</v>
      </c>
      <c r="C162" s="14" t="s">
        <v>286</v>
      </c>
      <c r="D162" s="14" t="s">
        <v>663</v>
      </c>
      <c r="E162" s="167">
        <f>'Func &amp; Classif'!I312</f>
        <v>0</v>
      </c>
      <c r="F162" s="40">
        <f>IF(VLOOKUP($D162,$C$5:$AT$507,3,)=0,0,(VLOOKUP($D162,$C$5:$AT$507,4,)/VLOOKUP($D162,$C$5:$AT$507,3,))*$E162)</f>
        <v>0</v>
      </c>
      <c r="G162" s="40">
        <f>IF(VLOOKUP($D162,$C$5:$AT$507,3,)=0,0,(VLOOKUP($D162,$C$5:$AT$507,5,)/VLOOKUP($D162,$C$5:$AT$507,3,))*$E162)</f>
        <v>0</v>
      </c>
      <c r="H162" s="40">
        <f>IF(VLOOKUP($D162,$C$5:$AT$507,3,)=0,0,(VLOOKUP($D162,$C$5:$AT$507,6,)/VLOOKUP($D162,$C$5:$AT$507,3,))*$E162)</f>
        <v>0</v>
      </c>
      <c r="I162" s="40">
        <f>IF(VLOOKUP($D162,$C$5:$AT$507,3,)=0,0,(VLOOKUP($D162,$C$5:$AT$507,7,)/VLOOKUP($D162,$C$5:$AT$507,3,))*$E162)</f>
        <v>0</v>
      </c>
      <c r="J162" s="40">
        <f>IF(VLOOKUP($D162,$C$5:$AT$507,3,)=0,0,(VLOOKUP($D162,$C$5:$AT$507,8,)/VLOOKUP($D162,$C$5:$AT$507,3,))*$E162)</f>
        <v>0</v>
      </c>
      <c r="K162" s="40">
        <f>IF(VLOOKUP($D162,$C$5:$AT$507,3,)=0,0,(VLOOKUP($D162,$C$5:$AT$507,9,)/VLOOKUP($D162,$C$5:$AT$507,3,))*$E162)</f>
        <v>0</v>
      </c>
      <c r="L162" s="40">
        <f>IF(VLOOKUP($D162,$C$5:$AT$507,3,)=0,0,(VLOOKUP($D162,$C$5:$AT$507,10,)/VLOOKUP($D162,$C$5:$AT$507,3,))*$E162)</f>
        <v>0</v>
      </c>
      <c r="M162" s="40">
        <f>IF(VLOOKUP($D162,$C$5:$AT$507,3,)=0,0,(VLOOKUP($D162,$C$5:$AT$507,11,)/VLOOKUP($D162,$C$5:$AT$507,3,))*$E162)</f>
        <v>0</v>
      </c>
      <c r="N162" s="40">
        <f>IF(VLOOKUP($D162,$C$5:$AT$507,3,)=0,0,(VLOOKUP($D162,$C$5:$AT$507,12,)/VLOOKUP($D162,$C$5:$AT$507,3,))*$E162)</f>
        <v>0</v>
      </c>
      <c r="O162" s="40">
        <f>IF(VLOOKUP($D162,$C$5:$AT$507,3,)=0,0,(VLOOKUP($D162,$C$5:$AT$507,13,)/VLOOKUP($D162,$C$5:$AT$507,3,))*$E162)</f>
        <v>0</v>
      </c>
      <c r="P162" s="40">
        <f>IF(VLOOKUP($D162,$C$5:$AT$507,3,)=0,0,(VLOOKUP($D162,$C$5:$AT$507,14,)/VLOOKUP($D162,$C$5:$AT$507,3,))*$E162)</f>
        <v>0</v>
      </c>
      <c r="Q162" s="40">
        <f>IF(VLOOKUP($D162,$C$5:$AT$507,3,)=0,0,(VLOOKUP($D162,$C$5:$AT$507,15,)/VLOOKUP($D162,$C$5:$AT$507,3,))*$E162)</f>
        <v>0</v>
      </c>
      <c r="R162" s="40">
        <f>IF(VLOOKUP($D162,$C$5:$AT$507,3,)=0,0,(VLOOKUP($D162,$C$5:$AT$507,16,)/VLOOKUP($D162,$C$5:$AT$507,3,))*$E162)</f>
        <v>0</v>
      </c>
      <c r="S162" s="40">
        <f>IF(VLOOKUP($D162,$C$5:$AT$507,3,)=0,0,(VLOOKUP($D162,$C$5:$AT$507,17,)/VLOOKUP($D162,$C$5:$AT$507,3,))*$E162)</f>
        <v>0</v>
      </c>
      <c r="T162" s="40">
        <f>IF(VLOOKUP($D162,$C$5:$AT$507,3,)=0,0,(VLOOKUP($D162,$C$5:$AT$507,18,)/VLOOKUP($D162,$C$5:$AT$507,3,))*$E162)</f>
        <v>0</v>
      </c>
      <c r="U162" s="40">
        <f>IF(VLOOKUP($D162,$C$5:$AT$507,3,)=0,0,(VLOOKUP($D162,$C$5:$AT$507,19,)/VLOOKUP($D162,$C$5:$AT$507,3,))*$E162)</f>
        <v>0</v>
      </c>
      <c r="V162" s="40">
        <f>IF(VLOOKUP($D162,$C$5:$AT$507,3,)=0,0,(VLOOKUP($D162,$C$5:$AT$507,20,)/VLOOKUP($D162,$C$5:$AT$507,3,))*$E162)</f>
        <v>0</v>
      </c>
      <c r="W162" s="40">
        <f>IF(VLOOKUP($D162,$C$5:$AT$507,3,)=0,0,(VLOOKUP($D162,$C$5:$AT$507,21,)/VLOOKUP($D162,$C$5:$AT$507,3,))*$E162)</f>
        <v>0</v>
      </c>
      <c r="X162" s="40">
        <f>IF(VLOOKUP($D162,$C$5:$AT$507,3,)=0,0,(VLOOKUP($D162,$C$5:$AT$507,22,)/VLOOKUP($D162,$C$5:$AT$507,3,))*$E162)</f>
        <v>0</v>
      </c>
      <c r="Y162" s="40">
        <f>IF(VLOOKUP($D162,$C$5:$AT$507,3,)=0,0,(VLOOKUP($D162,$C$5:$AT$507,23,)/VLOOKUP($D162,$C$5:$AT$507,3,))*$E162)</f>
        <v>0</v>
      </c>
      <c r="Z162" s="40">
        <f>IF(VLOOKUP($D162,$C$5:$AT$507,3,)=0,0,(VLOOKUP($D162,$C$5:$AT$507,24,)/VLOOKUP($D162,$C$5:$AT$507,3,))*$E162)</f>
        <v>0</v>
      </c>
      <c r="AA162" s="40">
        <f>IF(VLOOKUP($D162,$C$5:$AT$507,3,)=0,0,(VLOOKUP($D162,$C$5:$AT$507,25,)/VLOOKUP($D162,$C$5:$AT$507,3,))*$E162)</f>
        <v>0</v>
      </c>
      <c r="AB162" s="40">
        <f>IF(VLOOKUP($D162,$C$5:$AT$507,3,)=0,0,(VLOOKUP($D162,$C$5:$AT$507,26,)/VLOOKUP($D162,$C$5:$AT$507,3,))*$E162)</f>
        <v>0</v>
      </c>
      <c r="AC162" s="40">
        <f>IF(VLOOKUP($D162,$C$5:$AT$507,3,)=0,0,(VLOOKUP($D162,$C$5:$AT$507,27,)/VLOOKUP($D162,$C$5:$AT$507,3,))*$E162)</f>
        <v>0</v>
      </c>
      <c r="AD162" s="40">
        <f>IF(VLOOKUP($D162,$C$5:$AT$507,3,)=0,0,(VLOOKUP($D162,$C$5:$AT$507,28,)/VLOOKUP($D162,$C$5:$AT$507,3,))*$E162)</f>
        <v>0</v>
      </c>
      <c r="AE162" s="40">
        <f>IF(VLOOKUP($D162,$C$5:$AT$507,3,)=0,0,(VLOOKUP($D162,$C$5:$AT$507,29,)/VLOOKUP($D162,$C$5:$AT$507,3,))*$E162)</f>
        <v>0</v>
      </c>
      <c r="AF162" s="40">
        <f>IF(VLOOKUP($D162,$C$5:$AT$507,3,)=0,0,(VLOOKUP($D162,$C$5:$AT$507,30,)/VLOOKUP($D162,$C$5:$AT$507,3,))*$E162)</f>
        <v>0</v>
      </c>
      <c r="AG162" s="64">
        <f>SUM(F162:AF162)</f>
        <v>0</v>
      </c>
      <c r="AH162" s="21" t="str">
        <f>IF(ABS(E162-AG162)&lt;0.01,"ok","err")</f>
        <v>ok</v>
      </c>
    </row>
    <row r="163" spans="1:34" x14ac:dyDescent="0.25">
      <c r="A163" s="14" t="s">
        <v>214</v>
      </c>
      <c r="C163" s="14" t="s">
        <v>287</v>
      </c>
      <c r="E163" s="167">
        <f t="shared" ref="E163:T163" si="33">E161+E162</f>
        <v>0</v>
      </c>
      <c r="F163" s="40">
        <f t="shared" si="33"/>
        <v>0</v>
      </c>
      <c r="G163" s="40">
        <f t="shared" si="33"/>
        <v>0</v>
      </c>
      <c r="H163" s="40">
        <f t="shared" si="33"/>
        <v>0</v>
      </c>
      <c r="I163" s="40">
        <f t="shared" si="33"/>
        <v>0</v>
      </c>
      <c r="J163" s="40">
        <f t="shared" si="33"/>
        <v>0</v>
      </c>
      <c r="K163" s="40">
        <f t="shared" si="33"/>
        <v>0</v>
      </c>
      <c r="L163" s="40">
        <f t="shared" si="33"/>
        <v>0</v>
      </c>
      <c r="M163" s="40">
        <f t="shared" si="33"/>
        <v>0</v>
      </c>
      <c r="N163" s="40">
        <f t="shared" si="33"/>
        <v>0</v>
      </c>
      <c r="O163" s="40">
        <f t="shared" si="33"/>
        <v>0</v>
      </c>
      <c r="P163" s="40">
        <f t="shared" si="33"/>
        <v>0</v>
      </c>
      <c r="Q163" s="40">
        <f t="shared" si="33"/>
        <v>0</v>
      </c>
      <c r="R163" s="40">
        <f t="shared" si="33"/>
        <v>0</v>
      </c>
      <c r="S163" s="40">
        <f t="shared" si="33"/>
        <v>0</v>
      </c>
      <c r="T163" s="40">
        <f t="shared" si="33"/>
        <v>0</v>
      </c>
      <c r="U163" s="40">
        <f t="shared" ref="U163:AF163" si="34">U161+U162</f>
        <v>0</v>
      </c>
      <c r="V163" s="40">
        <f t="shared" si="34"/>
        <v>0</v>
      </c>
      <c r="W163" s="40">
        <f t="shared" si="34"/>
        <v>0</v>
      </c>
      <c r="X163" s="40">
        <f t="shared" si="34"/>
        <v>0</v>
      </c>
      <c r="Y163" s="40">
        <f t="shared" si="34"/>
        <v>0</v>
      </c>
      <c r="Z163" s="40">
        <f t="shared" si="34"/>
        <v>0</v>
      </c>
      <c r="AA163" s="40">
        <f t="shared" si="34"/>
        <v>0</v>
      </c>
      <c r="AB163" s="40">
        <f t="shared" si="34"/>
        <v>0</v>
      </c>
      <c r="AC163" s="40">
        <f t="shared" si="34"/>
        <v>0</v>
      </c>
      <c r="AD163" s="40">
        <f t="shared" si="34"/>
        <v>0</v>
      </c>
      <c r="AE163" s="40">
        <f t="shared" si="34"/>
        <v>0</v>
      </c>
      <c r="AF163" s="40">
        <f t="shared" si="34"/>
        <v>0</v>
      </c>
      <c r="AG163" s="64">
        <f>SUM(F163:AF163)</f>
        <v>0</v>
      </c>
      <c r="AH163" s="21" t="str">
        <f>IF(ABS(E163-AG163)&lt;0.01,"ok","err")</f>
        <v>ok</v>
      </c>
    </row>
    <row r="164" spans="1:34" x14ac:dyDescent="0.25">
      <c r="E164" s="167"/>
      <c r="F164" s="27"/>
    </row>
    <row r="165" spans="1:34" x14ac:dyDescent="0.25">
      <c r="A165" s="13" t="s">
        <v>349</v>
      </c>
      <c r="E165" s="167"/>
      <c r="F165" s="27"/>
    </row>
    <row r="166" spans="1:34" x14ac:dyDescent="0.25">
      <c r="A166" s="67" t="s">
        <v>208</v>
      </c>
      <c r="C166" s="14" t="s">
        <v>879</v>
      </c>
      <c r="D166" s="14" t="s">
        <v>596</v>
      </c>
      <c r="E166" s="174">
        <f>'Func &amp; Classif'!K312</f>
        <v>0</v>
      </c>
      <c r="F166" s="40">
        <f>IF(VLOOKUP($D166,$C$5:$AT$507,3,)=0,0,(VLOOKUP($D166,$C$5:$AT$507,4,)/VLOOKUP($D166,$C$5:$AT$507,3,))*$E166)</f>
        <v>0</v>
      </c>
      <c r="G166" s="40">
        <f>IF(VLOOKUP($D166,$C$5:$AT$507,3,)=0,0,(VLOOKUP($D166,$C$5:$AT$507,5,)/VLOOKUP($D166,$C$5:$AT$507,3,))*$E166)</f>
        <v>0</v>
      </c>
      <c r="H166" s="40">
        <f>IF(VLOOKUP($D166,$C$5:$AT$507,3,)=0,0,(VLOOKUP($D166,$C$5:$AT$507,6,)/VLOOKUP($D166,$C$5:$AT$507,3,))*$E166)</f>
        <v>0</v>
      </c>
      <c r="I166" s="40">
        <f>IF(VLOOKUP($D166,$C$5:$AT$507,3,)=0,0,(VLOOKUP($D166,$C$5:$AT$507,7,)/VLOOKUP($D166,$C$5:$AT$507,3,))*$E166)</f>
        <v>0</v>
      </c>
      <c r="J166" s="40">
        <f>IF(VLOOKUP($D166,$C$5:$AT$507,3,)=0,0,(VLOOKUP($D166,$C$5:$AT$507,8,)/VLOOKUP($D166,$C$5:$AT$507,3,))*$E166)</f>
        <v>0</v>
      </c>
      <c r="K166" s="40">
        <f>IF(VLOOKUP($D166,$C$5:$AT$507,3,)=0,0,(VLOOKUP($D166,$C$5:$AT$507,9,)/VLOOKUP($D166,$C$5:$AT$507,3,))*$E166)</f>
        <v>0</v>
      </c>
      <c r="L166" s="40">
        <f>IF(VLOOKUP($D166,$C$5:$AT$507,3,)=0,0,(VLOOKUP($D166,$C$5:$AT$507,10,)/VLOOKUP($D166,$C$5:$AT$507,3,))*$E166)</f>
        <v>0</v>
      </c>
      <c r="M166" s="40">
        <f>IF(VLOOKUP($D166,$C$5:$AT$507,3,)=0,0,(VLOOKUP($D166,$C$5:$AT$507,11,)/VLOOKUP($D166,$C$5:$AT$507,3,))*$E166)</f>
        <v>0</v>
      </c>
      <c r="N166" s="40">
        <f>IF(VLOOKUP($D166,$C$5:$AT$507,3,)=0,0,(VLOOKUP($D166,$C$5:$AT$507,12,)/VLOOKUP($D166,$C$5:$AT$507,3,))*$E166)</f>
        <v>0</v>
      </c>
      <c r="O166" s="40">
        <f>IF(VLOOKUP($D166,$C$5:$AT$507,3,)=0,0,(VLOOKUP($D166,$C$5:$AT$507,13,)/VLOOKUP($D166,$C$5:$AT$507,3,))*$E166)</f>
        <v>0</v>
      </c>
      <c r="P166" s="40">
        <f>IF(VLOOKUP($D166,$C$5:$AT$507,3,)=0,0,(VLOOKUP($D166,$C$5:$AT$507,14,)/VLOOKUP($D166,$C$5:$AT$507,3,))*$E166)</f>
        <v>0</v>
      </c>
      <c r="Q166" s="40">
        <f>IF(VLOOKUP($D166,$C$5:$AT$507,3,)=0,0,(VLOOKUP($D166,$C$5:$AT$507,15,)/VLOOKUP($D166,$C$5:$AT$507,3,))*$E166)</f>
        <v>0</v>
      </c>
      <c r="R166" s="40">
        <f>IF(VLOOKUP($D166,$C$5:$AT$507,3,)=0,0,(VLOOKUP($D166,$C$5:$AT$507,16,)/VLOOKUP($D166,$C$5:$AT$507,3,))*$E166)</f>
        <v>0</v>
      </c>
      <c r="S166" s="40">
        <f>IF(VLOOKUP($D166,$C$5:$AT$507,3,)=0,0,(VLOOKUP($D166,$C$5:$AT$507,17,)/VLOOKUP($D166,$C$5:$AT$507,3,))*$E166)</f>
        <v>0</v>
      </c>
      <c r="T166" s="40">
        <f>IF(VLOOKUP($D166,$C$5:$AT$507,3,)=0,0,(VLOOKUP($D166,$C$5:$AT$507,18,)/VLOOKUP($D166,$C$5:$AT$507,3,))*$E166)</f>
        <v>0</v>
      </c>
      <c r="U166" s="40">
        <f>IF(VLOOKUP($D166,$C$5:$AT$507,3,)=0,0,(VLOOKUP($D166,$C$5:$AT$507,19,)/VLOOKUP($D166,$C$5:$AT$507,3,))*$E166)</f>
        <v>0</v>
      </c>
      <c r="V166" s="40">
        <f>IF(VLOOKUP($D166,$C$5:$AT$507,3,)=0,0,(VLOOKUP($D166,$C$5:$AT$507,20,)/VLOOKUP($D166,$C$5:$AT$507,3,))*$E166)</f>
        <v>0</v>
      </c>
      <c r="W166" s="40">
        <f>IF(VLOOKUP($D166,$C$5:$AT$507,3,)=0,0,(VLOOKUP($D166,$C$5:$AT$507,21,)/VLOOKUP($D166,$C$5:$AT$507,3,))*$E166)</f>
        <v>0</v>
      </c>
      <c r="X166" s="40">
        <f>IF(VLOOKUP($D166,$C$5:$AT$507,3,)=0,0,(VLOOKUP($D166,$C$5:$AT$507,22,)/VLOOKUP($D166,$C$5:$AT$507,3,))*$E166)</f>
        <v>0</v>
      </c>
      <c r="Y166" s="40">
        <f>IF(VLOOKUP($D166,$C$5:$AT$507,3,)=0,0,(VLOOKUP($D166,$C$5:$AT$507,23,)/VLOOKUP($D166,$C$5:$AT$507,3,))*$E166)</f>
        <v>0</v>
      </c>
      <c r="Z166" s="40">
        <f>IF(VLOOKUP($D166,$C$5:$AT$507,3,)=0,0,(VLOOKUP($D166,$C$5:$AT$507,24,)/VLOOKUP($D166,$C$5:$AT$507,3,))*$E166)</f>
        <v>0</v>
      </c>
      <c r="AA166" s="40">
        <f>IF(VLOOKUP($D166,$C$5:$AT$507,3,)=0,0,(VLOOKUP($D166,$C$5:$AT$507,25,)/VLOOKUP($D166,$C$5:$AT$507,3,))*$E166)</f>
        <v>0</v>
      </c>
      <c r="AB166" s="40">
        <f>IF(VLOOKUP($D166,$C$5:$AT$507,3,)=0,0,(VLOOKUP($D166,$C$5:$AT$507,26,)/VLOOKUP($D166,$C$5:$AT$507,3,))*$E166)</f>
        <v>0</v>
      </c>
      <c r="AC166" s="40">
        <f>IF(VLOOKUP($D166,$C$5:$AT$507,3,)=0,0,(VLOOKUP($D166,$C$5:$AT$507,27,)/VLOOKUP($D166,$C$5:$AT$507,3,))*$E166)</f>
        <v>0</v>
      </c>
      <c r="AD166" s="40">
        <f>IF(VLOOKUP($D166,$C$5:$AT$507,3,)=0,0,(VLOOKUP($D166,$C$5:$AT$507,28,)/VLOOKUP($D166,$C$5:$AT$507,3,))*$E166)</f>
        <v>0</v>
      </c>
      <c r="AE166" s="40">
        <f>IF(VLOOKUP($D166,$C$5:$AT$507,3,)=0,0,(VLOOKUP($D166,$C$5:$AT$507,29,)/VLOOKUP($D166,$C$5:$AT$507,3,))*$E166)</f>
        <v>0</v>
      </c>
      <c r="AF166" s="40">
        <f>IF(VLOOKUP($D166,$C$5:$AT$507,3,)=0,0,(VLOOKUP($D166,$C$5:$AT$507,30,)/VLOOKUP($D166,$C$5:$AT$507,3,))*$E166)</f>
        <v>0</v>
      </c>
      <c r="AG166" s="64">
        <f>SUM(F166:AF166)</f>
        <v>0</v>
      </c>
      <c r="AH166" s="21" t="str">
        <f>IF(ABS(E166-AG166)&lt;0.01,"ok","err")</f>
        <v>ok</v>
      </c>
    </row>
    <row r="167" spans="1:34" x14ac:dyDescent="0.25">
      <c r="E167" s="167"/>
    </row>
    <row r="168" spans="1:34" x14ac:dyDescent="0.25">
      <c r="A168" s="13" t="s">
        <v>1</v>
      </c>
      <c r="E168" s="167"/>
      <c r="F168" s="27"/>
    </row>
    <row r="169" spans="1:34" x14ac:dyDescent="0.25">
      <c r="A169" s="67" t="s">
        <v>208</v>
      </c>
      <c r="C169" s="14" t="s">
        <v>288</v>
      </c>
      <c r="D169" s="14" t="s">
        <v>612</v>
      </c>
      <c r="E169" s="174">
        <f>'Func &amp; Classif'!M312</f>
        <v>0</v>
      </c>
      <c r="F169" s="40">
        <f>IF(VLOOKUP($D169,$C$5:$AT$507,3,)=0,0,(VLOOKUP($D169,$C$5:$AT$507,4,)/VLOOKUP($D169,$C$5:$AT$507,3,))*$E169)</f>
        <v>0</v>
      </c>
      <c r="G169" s="40">
        <f>IF(VLOOKUP($D169,$C$5:$AT$507,3,)=0,0,(VLOOKUP($D169,$C$5:$AT$507,5,)/VLOOKUP($D169,$C$5:$AT$507,3,))*$E169)</f>
        <v>0</v>
      </c>
      <c r="H169" s="40">
        <f>IF(VLOOKUP($D169,$C$5:$AT$507,3,)=0,0,(VLOOKUP($D169,$C$5:$AT$507,6,)/VLOOKUP($D169,$C$5:$AT$507,3,))*$E169)</f>
        <v>0</v>
      </c>
      <c r="I169" s="40">
        <f>IF(VLOOKUP($D169,$C$5:$AT$507,3,)=0,0,(VLOOKUP($D169,$C$5:$AT$507,7,)/VLOOKUP($D169,$C$5:$AT$507,3,))*$E169)</f>
        <v>0</v>
      </c>
      <c r="J169" s="40">
        <f>IF(VLOOKUP($D169,$C$5:$AT$507,3,)=0,0,(VLOOKUP($D169,$C$5:$AT$507,8,)/VLOOKUP($D169,$C$5:$AT$507,3,))*$E169)</f>
        <v>0</v>
      </c>
      <c r="K169" s="40">
        <f>IF(VLOOKUP($D169,$C$5:$AT$507,3,)=0,0,(VLOOKUP($D169,$C$5:$AT$507,9,)/VLOOKUP($D169,$C$5:$AT$507,3,))*$E169)</f>
        <v>0</v>
      </c>
      <c r="L169" s="40">
        <f>IF(VLOOKUP($D169,$C$5:$AT$507,3,)=0,0,(VLOOKUP($D169,$C$5:$AT$507,10,)/VLOOKUP($D169,$C$5:$AT$507,3,))*$E169)</f>
        <v>0</v>
      </c>
      <c r="M169" s="40">
        <f>IF(VLOOKUP($D169,$C$5:$AT$507,3,)=0,0,(VLOOKUP($D169,$C$5:$AT$507,11,)/VLOOKUP($D169,$C$5:$AT$507,3,))*$E169)</f>
        <v>0</v>
      </c>
      <c r="N169" s="40">
        <f>IF(VLOOKUP($D169,$C$5:$AT$507,3,)=0,0,(VLOOKUP($D169,$C$5:$AT$507,12,)/VLOOKUP($D169,$C$5:$AT$507,3,))*$E169)</f>
        <v>0</v>
      </c>
      <c r="O169" s="40">
        <f>IF(VLOOKUP($D169,$C$5:$AT$507,3,)=0,0,(VLOOKUP($D169,$C$5:$AT$507,13,)/VLOOKUP($D169,$C$5:$AT$507,3,))*$E169)</f>
        <v>0</v>
      </c>
      <c r="P169" s="40">
        <f>IF(VLOOKUP($D169,$C$5:$AT$507,3,)=0,0,(VLOOKUP($D169,$C$5:$AT$507,14,)/VLOOKUP($D169,$C$5:$AT$507,3,))*$E169)</f>
        <v>0</v>
      </c>
      <c r="Q169" s="40">
        <f>IF(VLOOKUP($D169,$C$5:$AT$507,3,)=0,0,(VLOOKUP($D169,$C$5:$AT$507,15,)/VLOOKUP($D169,$C$5:$AT$507,3,))*$E169)</f>
        <v>0</v>
      </c>
      <c r="R169" s="40">
        <f>IF(VLOOKUP($D169,$C$5:$AT$507,3,)=0,0,(VLOOKUP($D169,$C$5:$AT$507,16,)/VLOOKUP($D169,$C$5:$AT$507,3,))*$E169)</f>
        <v>0</v>
      </c>
      <c r="S169" s="40">
        <f>IF(VLOOKUP($D169,$C$5:$AT$507,3,)=0,0,(VLOOKUP($D169,$C$5:$AT$507,17,)/VLOOKUP($D169,$C$5:$AT$507,3,))*$E169)</f>
        <v>0</v>
      </c>
      <c r="T169" s="40">
        <f>IF(VLOOKUP($D169,$C$5:$AT$507,3,)=0,0,(VLOOKUP($D169,$C$5:$AT$507,18,)/VLOOKUP($D169,$C$5:$AT$507,3,))*$E169)</f>
        <v>0</v>
      </c>
      <c r="U169" s="40">
        <f>IF(VLOOKUP($D169,$C$5:$AT$507,3,)=0,0,(VLOOKUP($D169,$C$5:$AT$507,19,)/VLOOKUP($D169,$C$5:$AT$507,3,))*$E169)</f>
        <v>0</v>
      </c>
      <c r="V169" s="40">
        <f>IF(VLOOKUP($D169,$C$5:$AT$507,3,)=0,0,(VLOOKUP($D169,$C$5:$AT$507,20,)/VLOOKUP($D169,$C$5:$AT$507,3,))*$E169)</f>
        <v>0</v>
      </c>
      <c r="W169" s="40">
        <f>IF(VLOOKUP($D169,$C$5:$AT$507,3,)=0,0,(VLOOKUP($D169,$C$5:$AT$507,21,)/VLOOKUP($D169,$C$5:$AT$507,3,))*$E169)</f>
        <v>0</v>
      </c>
      <c r="X169" s="40">
        <f>IF(VLOOKUP($D169,$C$5:$AT$507,3,)=0,0,(VLOOKUP($D169,$C$5:$AT$507,22,)/VLOOKUP($D169,$C$5:$AT$507,3,))*$E169)</f>
        <v>0</v>
      </c>
      <c r="Y169" s="40">
        <f>IF(VLOOKUP($D169,$C$5:$AT$507,3,)=0,0,(VLOOKUP($D169,$C$5:$AT$507,23,)/VLOOKUP($D169,$C$5:$AT$507,3,))*$E169)</f>
        <v>0</v>
      </c>
      <c r="Z169" s="40">
        <f>IF(VLOOKUP($D169,$C$5:$AT$507,3,)=0,0,(VLOOKUP($D169,$C$5:$AT$507,24,)/VLOOKUP($D169,$C$5:$AT$507,3,))*$E169)</f>
        <v>0</v>
      </c>
      <c r="AA169" s="40">
        <f>IF(VLOOKUP($D169,$C$5:$AT$507,3,)=0,0,(VLOOKUP($D169,$C$5:$AT$507,25,)/VLOOKUP($D169,$C$5:$AT$507,3,))*$E169)</f>
        <v>0</v>
      </c>
      <c r="AB169" s="40">
        <f>IF(VLOOKUP($D169,$C$5:$AT$507,3,)=0,0,(VLOOKUP($D169,$C$5:$AT$507,26,)/VLOOKUP($D169,$C$5:$AT$507,3,))*$E169)</f>
        <v>0</v>
      </c>
      <c r="AC169" s="40">
        <f>IF(VLOOKUP($D169,$C$5:$AT$507,3,)=0,0,(VLOOKUP($D169,$C$5:$AT$507,27,)/VLOOKUP($D169,$C$5:$AT$507,3,))*$E169)</f>
        <v>0</v>
      </c>
      <c r="AD169" s="40">
        <f>IF(VLOOKUP($D169,$C$5:$AT$507,3,)=0,0,(VLOOKUP($D169,$C$5:$AT$507,28,)/VLOOKUP($D169,$C$5:$AT$507,3,))*$E169)</f>
        <v>0</v>
      </c>
      <c r="AE169" s="40">
        <f>IF(VLOOKUP($D169,$C$5:$AT$507,3,)=0,0,(VLOOKUP($D169,$C$5:$AT$507,29,)/VLOOKUP($D169,$C$5:$AT$507,3,))*$E169)</f>
        <v>0</v>
      </c>
      <c r="AF169" s="40">
        <f>IF(VLOOKUP($D169,$C$5:$AT$507,3,)=0,0,(VLOOKUP($D169,$C$5:$AT$507,30,)/VLOOKUP($D169,$C$5:$AT$507,3,))*$E169)</f>
        <v>0</v>
      </c>
      <c r="AG169" s="64">
        <f>SUM(F169:AF169)</f>
        <v>0</v>
      </c>
      <c r="AH169" s="21" t="str">
        <f>IF(ABS(E169-AG169)&lt;0.01,"ok","err")</f>
        <v>ok</v>
      </c>
    </row>
    <row r="170" spans="1:34" x14ac:dyDescent="0.25">
      <c r="E170" s="167"/>
    </row>
    <row r="171" spans="1:34" x14ac:dyDescent="0.25">
      <c r="A171" s="13" t="s">
        <v>2</v>
      </c>
      <c r="E171" s="167"/>
    </row>
    <row r="172" spans="1:34" x14ac:dyDescent="0.25">
      <c r="A172" s="67" t="s">
        <v>208</v>
      </c>
      <c r="C172" s="14" t="s">
        <v>289</v>
      </c>
      <c r="D172" s="14" t="s">
        <v>604</v>
      </c>
      <c r="E172" s="174">
        <f>'Func &amp; Classif'!O312</f>
        <v>1235761.3656410403</v>
      </c>
      <c r="F172" s="40">
        <f>IF(VLOOKUP($D172,$C$5:$AT$507,3,)=0,0,(VLOOKUP($D172,$C$5:$AT$507,4,)/VLOOKUP($D172,$C$5:$AT$507,3,))*$E172)</f>
        <v>1017138.1569618573</v>
      </c>
      <c r="G172" s="40">
        <f>IF(VLOOKUP($D172,$C$5:$AT$507,3,)=0,0,(VLOOKUP($D172,$C$5:$AT$507,5,)/VLOOKUP($D172,$C$5:$AT$507,3,))*$E172)</f>
        <v>1006.8582172478648</v>
      </c>
      <c r="H172" s="40">
        <f>IF(VLOOKUP($D172,$C$5:$AT$507,3,)=0,0,(VLOOKUP($D172,$C$5:$AT$507,6,)/VLOOKUP($D172,$C$5:$AT$507,3,))*$E172)</f>
        <v>53140.404996883444</v>
      </c>
      <c r="I172" s="40">
        <f>IF(VLOOKUP($D172,$C$5:$AT$507,3,)=0,0,(VLOOKUP($D172,$C$5:$AT$507,7,)/VLOOKUP($D172,$C$5:$AT$507,3,))*$E172)</f>
        <v>140261.55544890044</v>
      </c>
      <c r="J172" s="40">
        <f>IF(VLOOKUP($D172,$C$5:$AT$507,3,)=0,0,(VLOOKUP($D172,$C$5:$AT$507,8,)/VLOOKUP($D172,$C$5:$AT$507,3,))*$E172)</f>
        <v>24214.390016150999</v>
      </c>
      <c r="K172" s="40">
        <f>IF(VLOOKUP($D172,$C$5:$AT$507,3,)=0,0,(VLOOKUP($D172,$C$5:$AT$507,9,)/VLOOKUP($D172,$C$5:$AT$507,3,))*$E172)</f>
        <v>0</v>
      </c>
      <c r="L172" s="40">
        <f>IF(VLOOKUP($D172,$C$5:$AT$507,3,)=0,0,(VLOOKUP($D172,$C$5:$AT$507,10,)/VLOOKUP($D172,$C$5:$AT$507,3,))*$E172)</f>
        <v>0</v>
      </c>
      <c r="M172" s="40">
        <f>IF(VLOOKUP($D172,$C$5:$AT$507,3,)=0,0,(VLOOKUP($D172,$C$5:$AT$507,11,)/VLOOKUP($D172,$C$5:$AT$507,3,))*$E172)</f>
        <v>0</v>
      </c>
      <c r="N172" s="40">
        <f>IF(VLOOKUP($D172,$C$5:$AT$507,3,)=0,0,(VLOOKUP($D172,$C$5:$AT$507,12,)/VLOOKUP($D172,$C$5:$AT$507,3,))*$E172)</f>
        <v>0</v>
      </c>
      <c r="O172" s="40">
        <f>IF(VLOOKUP($D172,$C$5:$AT$507,3,)=0,0,(VLOOKUP($D172,$C$5:$AT$507,13,)/VLOOKUP($D172,$C$5:$AT$507,3,))*$E172)</f>
        <v>0</v>
      </c>
      <c r="P172" s="40">
        <f>IF(VLOOKUP($D172,$C$5:$AT$507,3,)=0,0,(VLOOKUP($D172,$C$5:$AT$507,14,)/VLOOKUP($D172,$C$5:$AT$507,3,))*$E172)</f>
        <v>0</v>
      </c>
      <c r="Q172" s="40">
        <f>IF(VLOOKUP($D172,$C$5:$AT$507,3,)=0,0,(VLOOKUP($D172,$C$5:$AT$507,15,)/VLOOKUP($D172,$C$5:$AT$507,3,))*$E172)</f>
        <v>0</v>
      </c>
      <c r="R172" s="40">
        <f>IF(VLOOKUP($D172,$C$5:$AT$507,3,)=0,0,(VLOOKUP($D172,$C$5:$AT$507,16,)/VLOOKUP($D172,$C$5:$AT$507,3,))*$E172)</f>
        <v>0</v>
      </c>
      <c r="S172" s="40">
        <f>IF(VLOOKUP($D172,$C$5:$AT$507,3,)=0,0,(VLOOKUP($D172,$C$5:$AT$507,17,)/VLOOKUP($D172,$C$5:$AT$507,3,))*$E172)</f>
        <v>0</v>
      </c>
      <c r="T172" s="40">
        <f>IF(VLOOKUP($D172,$C$5:$AT$507,3,)=0,0,(VLOOKUP($D172,$C$5:$AT$507,18,)/VLOOKUP($D172,$C$5:$AT$507,3,))*$E172)</f>
        <v>0</v>
      </c>
      <c r="U172" s="40">
        <f>IF(VLOOKUP($D172,$C$5:$AT$507,3,)=0,0,(VLOOKUP($D172,$C$5:$AT$507,19,)/VLOOKUP($D172,$C$5:$AT$507,3,))*$E172)</f>
        <v>0</v>
      </c>
      <c r="V172" s="40">
        <f>IF(VLOOKUP($D172,$C$5:$AT$507,3,)=0,0,(VLOOKUP($D172,$C$5:$AT$507,20,)/VLOOKUP($D172,$C$5:$AT$507,3,))*$E172)</f>
        <v>0</v>
      </c>
      <c r="W172" s="40">
        <f>IF(VLOOKUP($D172,$C$5:$AT$507,3,)=0,0,(VLOOKUP($D172,$C$5:$AT$507,21,)/VLOOKUP($D172,$C$5:$AT$507,3,))*$E172)</f>
        <v>0</v>
      </c>
      <c r="X172" s="40">
        <f>IF(VLOOKUP($D172,$C$5:$AT$507,3,)=0,0,(VLOOKUP($D172,$C$5:$AT$507,22,)/VLOOKUP($D172,$C$5:$AT$507,3,))*$E172)</f>
        <v>0</v>
      </c>
      <c r="Y172" s="40">
        <f>IF(VLOOKUP($D172,$C$5:$AT$507,3,)=0,0,(VLOOKUP($D172,$C$5:$AT$507,23,)/VLOOKUP($D172,$C$5:$AT$507,3,))*$E172)</f>
        <v>0</v>
      </c>
      <c r="Z172" s="40">
        <f>IF(VLOOKUP($D172,$C$5:$AT$507,3,)=0,0,(VLOOKUP($D172,$C$5:$AT$507,24,)/VLOOKUP($D172,$C$5:$AT$507,3,))*$E172)</f>
        <v>0</v>
      </c>
      <c r="AA172" s="40">
        <f>IF(VLOOKUP($D172,$C$5:$AT$507,3,)=0,0,(VLOOKUP($D172,$C$5:$AT$507,25,)/VLOOKUP($D172,$C$5:$AT$507,3,))*$E172)</f>
        <v>0</v>
      </c>
      <c r="AB172" s="40">
        <f>IF(VLOOKUP($D172,$C$5:$AT$507,3,)=0,0,(VLOOKUP($D172,$C$5:$AT$507,26,)/VLOOKUP($D172,$C$5:$AT$507,3,))*$E172)</f>
        <v>0</v>
      </c>
      <c r="AC172" s="40">
        <f>IF(VLOOKUP($D172,$C$5:$AT$507,3,)=0,0,(VLOOKUP($D172,$C$5:$AT$507,27,)/VLOOKUP($D172,$C$5:$AT$507,3,))*$E172)</f>
        <v>0</v>
      </c>
      <c r="AD172" s="40">
        <f>IF(VLOOKUP($D172,$C$5:$AT$507,3,)=0,0,(VLOOKUP($D172,$C$5:$AT$507,28,)/VLOOKUP($D172,$C$5:$AT$507,3,))*$E172)</f>
        <v>0</v>
      </c>
      <c r="AE172" s="40">
        <f>IF(VLOOKUP($D172,$C$5:$AT$507,3,)=0,0,(VLOOKUP($D172,$C$5:$AT$507,29,)/VLOOKUP($D172,$C$5:$AT$507,3,))*$E172)</f>
        <v>0</v>
      </c>
      <c r="AF172" s="40">
        <f>IF(VLOOKUP($D172,$C$5:$AT$507,3,)=0,0,(VLOOKUP($D172,$C$5:$AT$507,30,)/VLOOKUP($D172,$C$5:$AT$507,3,))*$E172)</f>
        <v>0</v>
      </c>
      <c r="AG172" s="64">
        <f>SUM(F172:AF172)</f>
        <v>1235761.36564104</v>
      </c>
      <c r="AH172" s="21" t="str">
        <f>IF(ABS(E172-AG172)&lt;0.01,"ok","err")</f>
        <v>ok</v>
      </c>
    </row>
    <row r="173" spans="1:34" x14ac:dyDescent="0.25">
      <c r="A173" s="67" t="s">
        <v>220</v>
      </c>
      <c r="C173" s="14" t="s">
        <v>290</v>
      </c>
      <c r="D173" s="14" t="s">
        <v>222</v>
      </c>
      <c r="E173" s="167">
        <f>'Func &amp; Classif'!P312</f>
        <v>1204714.9481591638</v>
      </c>
      <c r="F173" s="40">
        <f>IF(VLOOKUP($D173,$C$5:$AT$507,3,)=0,0,(VLOOKUP($D173,$C$5:$AT$507,4,)/VLOOKUP($D173,$C$5:$AT$507,3,))*$E173)</f>
        <v>1052534.1087988319</v>
      </c>
      <c r="G173" s="40">
        <f>IF(VLOOKUP($D173,$C$5:$AT$507,3,)=0,0,(VLOOKUP($D173,$C$5:$AT$507,5,)/VLOOKUP($D173,$C$5:$AT$507,3,))*$E173)</f>
        <v>792.00760663763947</v>
      </c>
      <c r="H173" s="40">
        <f>IF(VLOOKUP($D173,$C$5:$AT$507,3,)=0,0,(VLOOKUP($D173,$C$5:$AT$507,6,)/VLOOKUP($D173,$C$5:$AT$507,3,))*$E173)</f>
        <v>128657.23565602543</v>
      </c>
      <c r="I173" s="40">
        <f>IF(VLOOKUP($D173,$C$5:$AT$507,3,)=0,0,(VLOOKUP($D173,$C$5:$AT$507,7,)/VLOOKUP($D173,$C$5:$AT$507,3,))*$E173)</f>
        <v>15488.14875202495</v>
      </c>
      <c r="J173" s="40">
        <f>IF(VLOOKUP($D173,$C$5:$AT$507,3,)=0,0,(VLOOKUP($D173,$C$5:$AT$507,8,)/VLOOKUP($D173,$C$5:$AT$507,3,))*$E173)</f>
        <v>220.00211295489984</v>
      </c>
      <c r="K173" s="40">
        <f>IF(VLOOKUP($D173,$C$5:$AT$507,3,)=0,0,(VLOOKUP($D173,$C$5:$AT$507,9,)/VLOOKUP($D173,$C$5:$AT$507,3,))*$E173)</f>
        <v>7023.4452326890923</v>
      </c>
      <c r="L173" s="40">
        <f>IF(VLOOKUP($D173,$C$5:$AT$507,3,)=0,0,(VLOOKUP($D173,$C$5:$AT$507,10,)/VLOOKUP($D173,$C$5:$AT$507,3,))*$E173)</f>
        <v>0</v>
      </c>
      <c r="M173" s="40">
        <f>IF(VLOOKUP($D173,$C$5:$AT$507,3,)=0,0,(VLOOKUP($D173,$C$5:$AT$507,11,)/VLOOKUP($D173,$C$5:$AT$507,3,))*$E173)</f>
        <v>0</v>
      </c>
      <c r="N173" s="40">
        <f>IF(VLOOKUP($D173,$C$5:$AT$507,3,)=0,0,(VLOOKUP($D173,$C$5:$AT$507,12,)/VLOOKUP($D173,$C$5:$AT$507,3,))*$E173)</f>
        <v>0</v>
      </c>
      <c r="O173" s="40">
        <f>IF(VLOOKUP($D173,$C$5:$AT$507,3,)=0,0,(VLOOKUP($D173,$C$5:$AT$507,13,)/VLOOKUP($D173,$C$5:$AT$507,3,))*$E173)</f>
        <v>0</v>
      </c>
      <c r="P173" s="40">
        <f>IF(VLOOKUP($D173,$C$5:$AT$507,3,)=0,0,(VLOOKUP($D173,$C$5:$AT$507,14,)/VLOOKUP($D173,$C$5:$AT$507,3,))*$E173)</f>
        <v>0</v>
      </c>
      <c r="Q173" s="40">
        <f>IF(VLOOKUP($D173,$C$5:$AT$507,3,)=0,0,(VLOOKUP($D173,$C$5:$AT$507,15,)/VLOOKUP($D173,$C$5:$AT$507,3,))*$E173)</f>
        <v>0</v>
      </c>
      <c r="R173" s="40">
        <f>IF(VLOOKUP($D173,$C$5:$AT$507,3,)=0,0,(VLOOKUP($D173,$C$5:$AT$507,16,)/VLOOKUP($D173,$C$5:$AT$507,3,))*$E173)</f>
        <v>0</v>
      </c>
      <c r="S173" s="40">
        <f>IF(VLOOKUP($D173,$C$5:$AT$507,3,)=0,0,(VLOOKUP($D173,$C$5:$AT$507,17,)/VLOOKUP($D173,$C$5:$AT$507,3,))*$E173)</f>
        <v>0</v>
      </c>
      <c r="T173" s="40">
        <f>IF(VLOOKUP($D173,$C$5:$AT$507,3,)=0,0,(VLOOKUP($D173,$C$5:$AT$507,18,)/VLOOKUP($D173,$C$5:$AT$507,3,))*$E173)</f>
        <v>0</v>
      </c>
      <c r="U173" s="40">
        <f>IF(VLOOKUP($D173,$C$5:$AT$507,3,)=0,0,(VLOOKUP($D173,$C$5:$AT$507,19,)/VLOOKUP($D173,$C$5:$AT$507,3,))*$E173)</f>
        <v>0</v>
      </c>
      <c r="V173" s="40">
        <f>IF(VLOOKUP($D173,$C$5:$AT$507,3,)=0,0,(VLOOKUP($D173,$C$5:$AT$507,20,)/VLOOKUP($D173,$C$5:$AT$507,3,))*$E173)</f>
        <v>0</v>
      </c>
      <c r="W173" s="40">
        <f>IF(VLOOKUP($D173,$C$5:$AT$507,3,)=0,0,(VLOOKUP($D173,$C$5:$AT$507,21,)/VLOOKUP($D173,$C$5:$AT$507,3,))*$E173)</f>
        <v>0</v>
      </c>
      <c r="X173" s="40">
        <f>IF(VLOOKUP($D173,$C$5:$AT$507,3,)=0,0,(VLOOKUP($D173,$C$5:$AT$507,22,)/VLOOKUP($D173,$C$5:$AT$507,3,))*$E173)</f>
        <v>0</v>
      </c>
      <c r="Y173" s="40">
        <f>IF(VLOOKUP($D173,$C$5:$AT$507,3,)=0,0,(VLOOKUP($D173,$C$5:$AT$507,23,)/VLOOKUP($D173,$C$5:$AT$507,3,))*$E173)</f>
        <v>0</v>
      </c>
      <c r="Z173" s="40">
        <f>IF(VLOOKUP($D173,$C$5:$AT$507,3,)=0,0,(VLOOKUP($D173,$C$5:$AT$507,24,)/VLOOKUP($D173,$C$5:$AT$507,3,))*$E173)</f>
        <v>0</v>
      </c>
      <c r="AA173" s="40">
        <f>IF(VLOOKUP($D173,$C$5:$AT$507,3,)=0,0,(VLOOKUP($D173,$C$5:$AT$507,25,)/VLOOKUP($D173,$C$5:$AT$507,3,))*$E173)</f>
        <v>0</v>
      </c>
      <c r="AB173" s="40">
        <f>IF(VLOOKUP($D173,$C$5:$AT$507,3,)=0,0,(VLOOKUP($D173,$C$5:$AT$507,26,)/VLOOKUP($D173,$C$5:$AT$507,3,))*$E173)</f>
        <v>0</v>
      </c>
      <c r="AC173" s="40">
        <f>IF(VLOOKUP($D173,$C$5:$AT$507,3,)=0,0,(VLOOKUP($D173,$C$5:$AT$507,27,)/VLOOKUP($D173,$C$5:$AT$507,3,))*$E173)</f>
        <v>0</v>
      </c>
      <c r="AD173" s="40">
        <f>IF(VLOOKUP($D173,$C$5:$AT$507,3,)=0,0,(VLOOKUP($D173,$C$5:$AT$507,28,)/VLOOKUP($D173,$C$5:$AT$507,3,))*$E173)</f>
        <v>0</v>
      </c>
      <c r="AE173" s="40">
        <f>IF(VLOOKUP($D173,$C$5:$AT$507,3,)=0,0,(VLOOKUP($D173,$C$5:$AT$507,29,)/VLOOKUP($D173,$C$5:$AT$507,3,))*$E173)</f>
        <v>0</v>
      </c>
      <c r="AF173" s="40">
        <f>IF(VLOOKUP($D173,$C$5:$AT$507,3,)=0,0,(VLOOKUP($D173,$C$5:$AT$507,30,)/VLOOKUP($D173,$C$5:$AT$507,3,))*$E173)</f>
        <v>0</v>
      </c>
      <c r="AG173" s="64">
        <f>SUM(F173:AF173)</f>
        <v>1204714.9481591638</v>
      </c>
      <c r="AH173" s="21" t="str">
        <f>IF(ABS(E173-AG173)&lt;0.01,"ok","err")</f>
        <v>ok</v>
      </c>
    </row>
    <row r="174" spans="1:34" x14ac:dyDescent="0.25">
      <c r="A174" s="14" t="s">
        <v>223</v>
      </c>
      <c r="E174" s="174">
        <f t="shared" ref="E174:T174" si="35">E172+E173</f>
        <v>2440476.3138002041</v>
      </c>
      <c r="F174" s="40">
        <f t="shared" si="35"/>
        <v>2069672.2657606893</v>
      </c>
      <c r="G174" s="40">
        <f t="shared" si="35"/>
        <v>1798.8658238855041</v>
      </c>
      <c r="H174" s="40">
        <f t="shared" si="35"/>
        <v>181797.64065290889</v>
      </c>
      <c r="I174" s="40">
        <f t="shared" si="35"/>
        <v>155749.70420092539</v>
      </c>
      <c r="J174" s="40">
        <f t="shared" si="35"/>
        <v>24434.392129105898</v>
      </c>
      <c r="K174" s="40">
        <f t="shared" si="35"/>
        <v>7023.4452326890923</v>
      </c>
      <c r="L174" s="40">
        <f t="shared" si="35"/>
        <v>0</v>
      </c>
      <c r="M174" s="40">
        <f t="shared" si="35"/>
        <v>0</v>
      </c>
      <c r="N174" s="40">
        <f t="shared" si="35"/>
        <v>0</v>
      </c>
      <c r="O174" s="40">
        <f t="shared" si="35"/>
        <v>0</v>
      </c>
      <c r="P174" s="40">
        <f t="shared" si="35"/>
        <v>0</v>
      </c>
      <c r="Q174" s="40">
        <f t="shared" si="35"/>
        <v>0</v>
      </c>
      <c r="R174" s="40">
        <f t="shared" si="35"/>
        <v>0</v>
      </c>
      <c r="S174" s="40">
        <f t="shared" si="35"/>
        <v>0</v>
      </c>
      <c r="T174" s="40">
        <f t="shared" si="35"/>
        <v>0</v>
      </c>
      <c r="U174" s="40">
        <f t="shared" ref="U174:AF174" si="36">U172+U173</f>
        <v>0</v>
      </c>
      <c r="V174" s="40">
        <f t="shared" si="36"/>
        <v>0</v>
      </c>
      <c r="W174" s="40">
        <f t="shared" si="36"/>
        <v>0</v>
      </c>
      <c r="X174" s="40">
        <f t="shared" si="36"/>
        <v>0</v>
      </c>
      <c r="Y174" s="40">
        <f t="shared" si="36"/>
        <v>0</v>
      </c>
      <c r="Z174" s="40">
        <f t="shared" si="36"/>
        <v>0</v>
      </c>
      <c r="AA174" s="40">
        <f t="shared" si="36"/>
        <v>0</v>
      </c>
      <c r="AB174" s="40">
        <f t="shared" si="36"/>
        <v>0</v>
      </c>
      <c r="AC174" s="40">
        <f t="shared" si="36"/>
        <v>0</v>
      </c>
      <c r="AD174" s="40">
        <f t="shared" si="36"/>
        <v>0</v>
      </c>
      <c r="AE174" s="40">
        <f t="shared" si="36"/>
        <v>0</v>
      </c>
      <c r="AF174" s="40">
        <f t="shared" si="36"/>
        <v>0</v>
      </c>
      <c r="AG174" s="64">
        <f>SUM(F174:AF174)</f>
        <v>2440476.3138002036</v>
      </c>
      <c r="AH174" s="21" t="str">
        <f>IF(ABS(E174-AG174)&lt;0.01,"ok","err")</f>
        <v>ok</v>
      </c>
    </row>
    <row r="175" spans="1:34" x14ac:dyDescent="0.25">
      <c r="E175" s="167"/>
    </row>
    <row r="176" spans="1:34" x14ac:dyDescent="0.25">
      <c r="A176" s="13" t="s">
        <v>3</v>
      </c>
      <c r="E176" s="167"/>
    </row>
    <row r="177" spans="1:34" x14ac:dyDescent="0.25">
      <c r="A177" s="67" t="s">
        <v>208</v>
      </c>
      <c r="C177" s="14" t="s">
        <v>291</v>
      </c>
      <c r="D177" s="14" t="s">
        <v>698</v>
      </c>
      <c r="E177" s="174">
        <f>'Func &amp; Classif'!R312</f>
        <v>0</v>
      </c>
      <c r="F177" s="40">
        <f>IF(VLOOKUP($D177,$C$5:$AT$507,3,)=0,0,(VLOOKUP($D177,$C$5:$AT$507,4,)/VLOOKUP($D177,$C$5:$AT$507,3,))*$E177)</f>
        <v>0</v>
      </c>
      <c r="G177" s="40">
        <f>IF(VLOOKUP($D177,$C$5:$AT$507,3,)=0,0,(VLOOKUP($D177,$C$5:$AT$507,5,)/VLOOKUP($D177,$C$5:$AT$507,3,))*$E177)</f>
        <v>0</v>
      </c>
      <c r="H177" s="40">
        <f>IF(VLOOKUP($D177,$C$5:$AT$507,3,)=0,0,(VLOOKUP($D177,$C$5:$AT$507,6,)/VLOOKUP($D177,$C$5:$AT$507,3,))*$E177)</f>
        <v>0</v>
      </c>
      <c r="I177" s="40">
        <f>IF(VLOOKUP($D177,$C$5:$AT$507,3,)=0,0,(VLOOKUP($D177,$C$5:$AT$507,7,)/VLOOKUP($D177,$C$5:$AT$507,3,))*$E177)</f>
        <v>0</v>
      </c>
      <c r="J177" s="40">
        <f>IF(VLOOKUP($D177,$C$5:$AT$507,3,)=0,0,(VLOOKUP($D177,$C$5:$AT$507,8,)/VLOOKUP($D177,$C$5:$AT$507,3,))*$E177)</f>
        <v>0</v>
      </c>
      <c r="K177" s="40">
        <f>IF(VLOOKUP($D177,$C$5:$AT$507,3,)=0,0,(VLOOKUP($D177,$C$5:$AT$507,9,)/VLOOKUP($D177,$C$5:$AT$507,3,))*$E177)</f>
        <v>0</v>
      </c>
      <c r="L177" s="40">
        <f>IF(VLOOKUP($D177,$C$5:$AT$507,3,)=0,0,(VLOOKUP($D177,$C$5:$AT$507,10,)/VLOOKUP($D177,$C$5:$AT$507,3,))*$E177)</f>
        <v>0</v>
      </c>
      <c r="M177" s="40">
        <f>IF(VLOOKUP($D177,$C$5:$AT$507,3,)=0,0,(VLOOKUP($D177,$C$5:$AT$507,11,)/VLOOKUP($D177,$C$5:$AT$507,3,))*$E177)</f>
        <v>0</v>
      </c>
      <c r="N177" s="40">
        <f>IF(VLOOKUP($D177,$C$5:$AT$507,3,)=0,0,(VLOOKUP($D177,$C$5:$AT$507,12,)/VLOOKUP($D177,$C$5:$AT$507,3,))*$E177)</f>
        <v>0</v>
      </c>
      <c r="O177" s="40">
        <f>IF(VLOOKUP($D177,$C$5:$AT$507,3,)=0,0,(VLOOKUP($D177,$C$5:$AT$507,13,)/VLOOKUP($D177,$C$5:$AT$507,3,))*$E177)</f>
        <v>0</v>
      </c>
      <c r="P177" s="40">
        <f>IF(VLOOKUP($D177,$C$5:$AT$507,3,)=0,0,(VLOOKUP($D177,$C$5:$AT$507,14,)/VLOOKUP($D177,$C$5:$AT$507,3,))*$E177)</f>
        <v>0</v>
      </c>
      <c r="Q177" s="40">
        <f>IF(VLOOKUP($D177,$C$5:$AT$507,3,)=0,0,(VLOOKUP($D177,$C$5:$AT$507,15,)/VLOOKUP($D177,$C$5:$AT$507,3,))*$E177)</f>
        <v>0</v>
      </c>
      <c r="R177" s="40">
        <f>IF(VLOOKUP($D177,$C$5:$AT$507,3,)=0,0,(VLOOKUP($D177,$C$5:$AT$507,16,)/VLOOKUP($D177,$C$5:$AT$507,3,))*$E177)</f>
        <v>0</v>
      </c>
      <c r="S177" s="40">
        <f>IF(VLOOKUP($D177,$C$5:$AT$507,3,)=0,0,(VLOOKUP($D177,$C$5:$AT$507,17,)/VLOOKUP($D177,$C$5:$AT$507,3,))*$E177)</f>
        <v>0</v>
      </c>
      <c r="T177" s="40">
        <f>IF(VLOOKUP($D177,$C$5:$AT$507,3,)=0,0,(VLOOKUP($D177,$C$5:$AT$507,18,)/VLOOKUP($D177,$C$5:$AT$507,3,))*$E177)</f>
        <v>0</v>
      </c>
      <c r="U177" s="40">
        <f>IF(VLOOKUP($D177,$C$5:$AT$507,3,)=0,0,(VLOOKUP($D177,$C$5:$AT$507,19,)/VLOOKUP($D177,$C$5:$AT$507,3,))*$E177)</f>
        <v>0</v>
      </c>
      <c r="V177" s="40">
        <f>IF(VLOOKUP($D177,$C$5:$AT$507,3,)=0,0,(VLOOKUP($D177,$C$5:$AT$507,20,)/VLOOKUP($D177,$C$5:$AT$507,3,))*$E177)</f>
        <v>0</v>
      </c>
      <c r="W177" s="40">
        <f>IF(VLOOKUP($D177,$C$5:$AT$507,3,)=0,0,(VLOOKUP($D177,$C$5:$AT$507,21,)/VLOOKUP($D177,$C$5:$AT$507,3,))*$E177)</f>
        <v>0</v>
      </c>
      <c r="X177" s="40">
        <f>IF(VLOOKUP($D177,$C$5:$AT$507,3,)=0,0,(VLOOKUP($D177,$C$5:$AT$507,22,)/VLOOKUP($D177,$C$5:$AT$507,3,))*$E177)</f>
        <v>0</v>
      </c>
      <c r="Y177" s="40">
        <f>IF(VLOOKUP($D177,$C$5:$AT$507,3,)=0,0,(VLOOKUP($D177,$C$5:$AT$507,23,)/VLOOKUP($D177,$C$5:$AT$507,3,))*$E177)</f>
        <v>0</v>
      </c>
      <c r="Z177" s="40">
        <f>IF(VLOOKUP($D177,$C$5:$AT$507,3,)=0,0,(VLOOKUP($D177,$C$5:$AT$507,24,)/VLOOKUP($D177,$C$5:$AT$507,3,))*$E177)</f>
        <v>0</v>
      </c>
      <c r="AA177" s="40">
        <f>IF(VLOOKUP($D177,$C$5:$AT$507,3,)=0,0,(VLOOKUP($D177,$C$5:$AT$507,25,)/VLOOKUP($D177,$C$5:$AT$507,3,))*$E177)</f>
        <v>0</v>
      </c>
      <c r="AB177" s="40">
        <f>IF(VLOOKUP($D177,$C$5:$AT$507,3,)=0,0,(VLOOKUP($D177,$C$5:$AT$507,26,)/VLOOKUP($D177,$C$5:$AT$507,3,))*$E177)</f>
        <v>0</v>
      </c>
      <c r="AC177" s="40">
        <f>IF(VLOOKUP($D177,$C$5:$AT$507,3,)=0,0,(VLOOKUP($D177,$C$5:$AT$507,27,)/VLOOKUP($D177,$C$5:$AT$507,3,))*$E177)</f>
        <v>0</v>
      </c>
      <c r="AD177" s="40">
        <f>IF(VLOOKUP($D177,$C$5:$AT$507,3,)=0,0,(VLOOKUP($D177,$C$5:$AT$507,28,)/VLOOKUP($D177,$C$5:$AT$507,3,))*$E177)</f>
        <v>0</v>
      </c>
      <c r="AE177" s="40">
        <f>IF(VLOOKUP($D177,$C$5:$AT$507,3,)=0,0,(VLOOKUP($D177,$C$5:$AT$507,29,)/VLOOKUP($D177,$C$5:$AT$507,3,))*$E177)</f>
        <v>0</v>
      </c>
      <c r="AF177" s="40">
        <f>IF(VLOOKUP($D177,$C$5:$AT$507,3,)=0,0,(VLOOKUP($D177,$C$5:$AT$507,30,)/VLOOKUP($D177,$C$5:$AT$507,3,))*$E177)</f>
        <v>0</v>
      </c>
      <c r="AG177" s="64">
        <f>SUM(F177:AF177)</f>
        <v>0</v>
      </c>
      <c r="AH177" s="21" t="str">
        <f>IF(ABS(E177-AG177)&lt;0.01,"ok","err")</f>
        <v>ok</v>
      </c>
    </row>
    <row r="178" spans="1:34" x14ac:dyDescent="0.25">
      <c r="A178" s="67" t="s">
        <v>220</v>
      </c>
      <c r="C178" s="14" t="s">
        <v>292</v>
      </c>
      <c r="D178" s="14" t="s">
        <v>698</v>
      </c>
      <c r="E178" s="167">
        <f>'Func &amp; Classif'!S312</f>
        <v>235970.57085120279</v>
      </c>
      <c r="F178" s="40">
        <f>IF(VLOOKUP($D178,$C$5:$AT$507,3,)=0,0,(VLOOKUP($D178,$C$5:$AT$507,4,)/VLOOKUP($D178,$C$5:$AT$507,3,))*$E178)</f>
        <v>203086.78133902833</v>
      </c>
      <c r="G178" s="40">
        <f>IF(VLOOKUP($D178,$C$5:$AT$507,3,)=0,0,(VLOOKUP($D178,$C$5:$AT$507,5,)/VLOOKUP($D178,$C$5:$AT$507,3,))*$E178)</f>
        <v>152.818112290561</v>
      </c>
      <c r="H178" s="40">
        <f>IF(VLOOKUP($D178,$C$5:$AT$507,3,)=0,0,(VLOOKUP($D178,$C$5:$AT$507,6,)/VLOOKUP($D178,$C$5:$AT$507,3,))*$E178)</f>
        <v>28370.803830958757</v>
      </c>
      <c r="I178" s="40">
        <f>IF(VLOOKUP($D178,$C$5:$AT$507,3,)=0,0,(VLOOKUP($D178,$C$5:$AT$507,7,)/VLOOKUP($D178,$C$5:$AT$507,3,))*$E178)</f>
        <v>4269.2044068474188</v>
      </c>
      <c r="J178" s="40">
        <f>IF(VLOOKUP($D178,$C$5:$AT$507,3,)=0,0,(VLOOKUP($D178,$C$5:$AT$507,8,)/VLOOKUP($D178,$C$5:$AT$507,3,))*$E178)</f>
        <v>90.963162077714898</v>
      </c>
      <c r="K178" s="40">
        <f>IF(VLOOKUP($D178,$C$5:$AT$507,3,)=0,0,(VLOOKUP($D178,$C$5:$AT$507,9,)/VLOOKUP($D178,$C$5:$AT$507,3,))*$E178)</f>
        <v>0</v>
      </c>
      <c r="L178" s="40">
        <f>IF(VLOOKUP($D178,$C$5:$AT$507,3,)=0,0,(VLOOKUP($D178,$C$5:$AT$507,10,)/VLOOKUP($D178,$C$5:$AT$507,3,))*$E178)</f>
        <v>0</v>
      </c>
      <c r="M178" s="40">
        <f>IF(VLOOKUP($D178,$C$5:$AT$507,3,)=0,0,(VLOOKUP($D178,$C$5:$AT$507,11,)/VLOOKUP($D178,$C$5:$AT$507,3,))*$E178)</f>
        <v>0</v>
      </c>
      <c r="N178" s="40">
        <f>IF(VLOOKUP($D178,$C$5:$AT$507,3,)=0,0,(VLOOKUP($D178,$C$5:$AT$507,12,)/VLOOKUP($D178,$C$5:$AT$507,3,))*$E178)</f>
        <v>0</v>
      </c>
      <c r="O178" s="40">
        <f>IF(VLOOKUP($D178,$C$5:$AT$507,3,)=0,0,(VLOOKUP($D178,$C$5:$AT$507,13,)/VLOOKUP($D178,$C$5:$AT$507,3,))*$E178)</f>
        <v>0</v>
      </c>
      <c r="P178" s="40">
        <f>IF(VLOOKUP($D178,$C$5:$AT$507,3,)=0,0,(VLOOKUP($D178,$C$5:$AT$507,14,)/VLOOKUP($D178,$C$5:$AT$507,3,))*$E178)</f>
        <v>0</v>
      </c>
      <c r="Q178" s="40">
        <f>IF(VLOOKUP($D178,$C$5:$AT$507,3,)=0,0,(VLOOKUP($D178,$C$5:$AT$507,15,)/VLOOKUP($D178,$C$5:$AT$507,3,))*$E178)</f>
        <v>0</v>
      </c>
      <c r="R178" s="40">
        <f>IF(VLOOKUP($D178,$C$5:$AT$507,3,)=0,0,(VLOOKUP($D178,$C$5:$AT$507,16,)/VLOOKUP($D178,$C$5:$AT$507,3,))*$E178)</f>
        <v>0</v>
      </c>
      <c r="S178" s="40">
        <f>IF(VLOOKUP($D178,$C$5:$AT$507,3,)=0,0,(VLOOKUP($D178,$C$5:$AT$507,17,)/VLOOKUP($D178,$C$5:$AT$507,3,))*$E178)</f>
        <v>0</v>
      </c>
      <c r="T178" s="40">
        <f>IF(VLOOKUP($D178,$C$5:$AT$507,3,)=0,0,(VLOOKUP($D178,$C$5:$AT$507,18,)/VLOOKUP($D178,$C$5:$AT$507,3,))*$E178)</f>
        <v>0</v>
      </c>
      <c r="U178" s="40">
        <f>IF(VLOOKUP($D178,$C$5:$AT$507,3,)=0,0,(VLOOKUP($D178,$C$5:$AT$507,19,)/VLOOKUP($D178,$C$5:$AT$507,3,))*$E178)</f>
        <v>0</v>
      </c>
      <c r="V178" s="40">
        <f>IF(VLOOKUP($D178,$C$5:$AT$507,3,)=0,0,(VLOOKUP($D178,$C$5:$AT$507,20,)/VLOOKUP($D178,$C$5:$AT$507,3,))*$E178)</f>
        <v>0</v>
      </c>
      <c r="W178" s="40">
        <f>IF(VLOOKUP($D178,$C$5:$AT$507,3,)=0,0,(VLOOKUP($D178,$C$5:$AT$507,21,)/VLOOKUP($D178,$C$5:$AT$507,3,))*$E178)</f>
        <v>0</v>
      </c>
      <c r="X178" s="40">
        <f>IF(VLOOKUP($D178,$C$5:$AT$507,3,)=0,0,(VLOOKUP($D178,$C$5:$AT$507,22,)/VLOOKUP($D178,$C$5:$AT$507,3,))*$E178)</f>
        <v>0</v>
      </c>
      <c r="Y178" s="40">
        <f>IF(VLOOKUP($D178,$C$5:$AT$507,3,)=0,0,(VLOOKUP($D178,$C$5:$AT$507,23,)/VLOOKUP($D178,$C$5:$AT$507,3,))*$E178)</f>
        <v>0</v>
      </c>
      <c r="Z178" s="40">
        <f>IF(VLOOKUP($D178,$C$5:$AT$507,3,)=0,0,(VLOOKUP($D178,$C$5:$AT$507,24,)/VLOOKUP($D178,$C$5:$AT$507,3,))*$E178)</f>
        <v>0</v>
      </c>
      <c r="AA178" s="40">
        <f>IF(VLOOKUP($D178,$C$5:$AT$507,3,)=0,0,(VLOOKUP($D178,$C$5:$AT$507,25,)/VLOOKUP($D178,$C$5:$AT$507,3,))*$E178)</f>
        <v>0</v>
      </c>
      <c r="AB178" s="40">
        <f>IF(VLOOKUP($D178,$C$5:$AT$507,3,)=0,0,(VLOOKUP($D178,$C$5:$AT$507,26,)/VLOOKUP($D178,$C$5:$AT$507,3,))*$E178)</f>
        <v>0</v>
      </c>
      <c r="AC178" s="40">
        <f>IF(VLOOKUP($D178,$C$5:$AT$507,3,)=0,0,(VLOOKUP($D178,$C$5:$AT$507,27,)/VLOOKUP($D178,$C$5:$AT$507,3,))*$E178)</f>
        <v>0</v>
      </c>
      <c r="AD178" s="40">
        <f>IF(VLOOKUP($D178,$C$5:$AT$507,3,)=0,0,(VLOOKUP($D178,$C$5:$AT$507,28,)/VLOOKUP($D178,$C$5:$AT$507,3,))*$E178)</f>
        <v>0</v>
      </c>
      <c r="AE178" s="40">
        <f>IF(VLOOKUP($D178,$C$5:$AT$507,3,)=0,0,(VLOOKUP($D178,$C$5:$AT$507,29,)/VLOOKUP($D178,$C$5:$AT$507,3,))*$E178)</f>
        <v>0</v>
      </c>
      <c r="AF178" s="40">
        <f>IF(VLOOKUP($D178,$C$5:$AT$507,3,)=0,0,(VLOOKUP($D178,$C$5:$AT$507,30,)/VLOOKUP($D178,$C$5:$AT$507,3,))*$E178)</f>
        <v>0</v>
      </c>
      <c r="AG178" s="64">
        <f>SUM(F178:AF178)</f>
        <v>235970.57085120276</v>
      </c>
      <c r="AH178" s="21" t="str">
        <f>IF(ABS(E178-AG178)&lt;0.01,"ok","err")</f>
        <v>ok</v>
      </c>
    </row>
    <row r="179" spans="1:34" x14ac:dyDescent="0.25">
      <c r="A179" s="14" t="s">
        <v>227</v>
      </c>
      <c r="E179" s="174">
        <f t="shared" ref="E179:T179" si="37">E177+E178</f>
        <v>235970.57085120279</v>
      </c>
      <c r="F179" s="40">
        <f t="shared" si="37"/>
        <v>203086.78133902833</v>
      </c>
      <c r="G179" s="40">
        <f t="shared" si="37"/>
        <v>152.818112290561</v>
      </c>
      <c r="H179" s="40">
        <f t="shared" si="37"/>
        <v>28370.803830958757</v>
      </c>
      <c r="I179" s="40">
        <f t="shared" si="37"/>
        <v>4269.2044068474188</v>
      </c>
      <c r="J179" s="40">
        <f t="shared" si="37"/>
        <v>90.963162077714898</v>
      </c>
      <c r="K179" s="40">
        <f t="shared" si="37"/>
        <v>0</v>
      </c>
      <c r="L179" s="40">
        <f t="shared" si="37"/>
        <v>0</v>
      </c>
      <c r="M179" s="40">
        <f t="shared" si="37"/>
        <v>0</v>
      </c>
      <c r="N179" s="40">
        <f t="shared" si="37"/>
        <v>0</v>
      </c>
      <c r="O179" s="40">
        <f t="shared" si="37"/>
        <v>0</v>
      </c>
      <c r="P179" s="40">
        <f t="shared" si="37"/>
        <v>0</v>
      </c>
      <c r="Q179" s="40">
        <f t="shared" si="37"/>
        <v>0</v>
      </c>
      <c r="R179" s="40">
        <f t="shared" si="37"/>
        <v>0</v>
      </c>
      <c r="S179" s="40">
        <f t="shared" si="37"/>
        <v>0</v>
      </c>
      <c r="T179" s="40">
        <f t="shared" si="37"/>
        <v>0</v>
      </c>
      <c r="U179" s="40">
        <f t="shared" ref="U179:AF179" si="38">U177+U178</f>
        <v>0</v>
      </c>
      <c r="V179" s="40">
        <f t="shared" si="38"/>
        <v>0</v>
      </c>
      <c r="W179" s="40">
        <f t="shared" si="38"/>
        <v>0</v>
      </c>
      <c r="X179" s="40">
        <f t="shared" si="38"/>
        <v>0</v>
      </c>
      <c r="Y179" s="40">
        <f t="shared" si="38"/>
        <v>0</v>
      </c>
      <c r="Z179" s="40">
        <f t="shared" si="38"/>
        <v>0</v>
      </c>
      <c r="AA179" s="40">
        <f t="shared" si="38"/>
        <v>0</v>
      </c>
      <c r="AB179" s="40">
        <f t="shared" si="38"/>
        <v>0</v>
      </c>
      <c r="AC179" s="40">
        <f t="shared" si="38"/>
        <v>0</v>
      </c>
      <c r="AD179" s="40">
        <f t="shared" si="38"/>
        <v>0</v>
      </c>
      <c r="AE179" s="40">
        <f t="shared" si="38"/>
        <v>0</v>
      </c>
      <c r="AF179" s="40">
        <f t="shared" si="38"/>
        <v>0</v>
      </c>
      <c r="AG179" s="64">
        <f>SUM(F179:AF179)</f>
        <v>235970.57085120276</v>
      </c>
      <c r="AH179" s="21" t="str">
        <f>IF(ABS(E179-AG179)&lt;0.01,"ok","err")</f>
        <v>ok</v>
      </c>
    </row>
    <row r="180" spans="1:34" x14ac:dyDescent="0.25">
      <c r="E180" s="167"/>
    </row>
    <row r="181" spans="1:34" x14ac:dyDescent="0.25">
      <c r="A181" s="13" t="s">
        <v>4</v>
      </c>
      <c r="E181" s="167"/>
    </row>
    <row r="182" spans="1:34" x14ac:dyDescent="0.25">
      <c r="A182" s="67" t="s">
        <v>220</v>
      </c>
      <c r="C182" s="14" t="s">
        <v>293</v>
      </c>
      <c r="D182" s="14" t="s">
        <v>229</v>
      </c>
      <c r="E182" s="174">
        <f>'Func &amp; Classif'!U312</f>
        <v>431283.13044074812</v>
      </c>
      <c r="F182" s="40">
        <f>IF(VLOOKUP($D182,$C$5:$AT$507,3,)=0,0,(VLOOKUP($D182,$C$5:$AT$507,4,)/VLOOKUP($D182,$C$5:$AT$507,3,))*$E182)</f>
        <v>322811.21947724069</v>
      </c>
      <c r="G182" s="40">
        <f>IF(VLOOKUP($D182,$C$5:$AT$507,3,)=0,0,(VLOOKUP($D182,$C$5:$AT$507,5,)/VLOOKUP($D182,$C$5:$AT$507,3,))*$E182)</f>
        <v>242.90798673091979</v>
      </c>
      <c r="H182" s="40">
        <f>IF(VLOOKUP($D182,$C$5:$AT$507,3,)=0,0,(VLOOKUP($D182,$C$5:$AT$507,6,)/VLOOKUP($D182,$C$5:$AT$507,3,))*$E182)</f>
        <v>78918.105911245497</v>
      </c>
      <c r="I182" s="40">
        <f>IF(VLOOKUP($D182,$C$5:$AT$507,3,)=0,0,(VLOOKUP($D182,$C$5:$AT$507,7,)/VLOOKUP($D182,$C$5:$AT$507,3,))*$E182)</f>
        <v>28501.203776427923</v>
      </c>
      <c r="J182" s="40">
        <f>IF(VLOOKUP($D182,$C$5:$AT$507,3,)=0,0,(VLOOKUP($D182,$C$5:$AT$507,8,)/VLOOKUP($D182,$C$5:$AT$507,3,))*$E182)</f>
        <v>809.69328910306604</v>
      </c>
      <c r="K182" s="40">
        <f>IF(VLOOKUP($D182,$C$5:$AT$507,3,)=0,0,(VLOOKUP($D182,$C$5:$AT$507,9,)/VLOOKUP($D182,$C$5:$AT$507,3,))*$E182)</f>
        <v>0</v>
      </c>
      <c r="L182" s="40">
        <f>IF(VLOOKUP($D182,$C$5:$AT$507,3,)=0,0,(VLOOKUP($D182,$C$5:$AT$507,10,)/VLOOKUP($D182,$C$5:$AT$507,3,))*$E182)</f>
        <v>0</v>
      </c>
      <c r="M182" s="40">
        <f>IF(VLOOKUP($D182,$C$5:$AT$507,3,)=0,0,(VLOOKUP($D182,$C$5:$AT$507,11,)/VLOOKUP($D182,$C$5:$AT$507,3,))*$E182)</f>
        <v>0</v>
      </c>
      <c r="N182" s="40">
        <f>IF(VLOOKUP($D182,$C$5:$AT$507,3,)=0,0,(VLOOKUP($D182,$C$5:$AT$507,12,)/VLOOKUP($D182,$C$5:$AT$507,3,))*$E182)</f>
        <v>0</v>
      </c>
      <c r="O182" s="40">
        <f>IF(VLOOKUP($D182,$C$5:$AT$507,3,)=0,0,(VLOOKUP($D182,$C$5:$AT$507,13,)/VLOOKUP($D182,$C$5:$AT$507,3,))*$E182)</f>
        <v>0</v>
      </c>
      <c r="P182" s="40">
        <f>IF(VLOOKUP($D182,$C$5:$AT$507,3,)=0,0,(VLOOKUP($D182,$C$5:$AT$507,14,)/VLOOKUP($D182,$C$5:$AT$507,3,))*$E182)</f>
        <v>0</v>
      </c>
      <c r="Q182" s="40">
        <f>IF(VLOOKUP($D182,$C$5:$AT$507,3,)=0,0,(VLOOKUP($D182,$C$5:$AT$507,15,)/VLOOKUP($D182,$C$5:$AT$507,3,))*$E182)</f>
        <v>0</v>
      </c>
      <c r="R182" s="40">
        <f>IF(VLOOKUP($D182,$C$5:$AT$507,3,)=0,0,(VLOOKUP($D182,$C$5:$AT$507,16,)/VLOOKUP($D182,$C$5:$AT$507,3,))*$E182)</f>
        <v>0</v>
      </c>
      <c r="S182" s="40">
        <f>IF(VLOOKUP($D182,$C$5:$AT$507,3,)=0,0,(VLOOKUP($D182,$C$5:$AT$507,17,)/VLOOKUP($D182,$C$5:$AT$507,3,))*$E182)</f>
        <v>0</v>
      </c>
      <c r="T182" s="40">
        <f>IF(VLOOKUP($D182,$C$5:$AT$507,3,)=0,0,(VLOOKUP($D182,$C$5:$AT$507,18,)/VLOOKUP($D182,$C$5:$AT$507,3,))*$E182)</f>
        <v>0</v>
      </c>
      <c r="U182" s="40">
        <f>IF(VLOOKUP($D182,$C$5:$AT$507,3,)=0,0,(VLOOKUP($D182,$C$5:$AT$507,19,)/VLOOKUP($D182,$C$5:$AT$507,3,))*$E182)</f>
        <v>0</v>
      </c>
      <c r="V182" s="40">
        <f>IF(VLOOKUP($D182,$C$5:$AT$507,3,)=0,0,(VLOOKUP($D182,$C$5:$AT$507,20,)/VLOOKUP($D182,$C$5:$AT$507,3,))*$E182)</f>
        <v>0</v>
      </c>
      <c r="W182" s="40">
        <f>IF(VLOOKUP($D182,$C$5:$AT$507,3,)=0,0,(VLOOKUP($D182,$C$5:$AT$507,21,)/VLOOKUP($D182,$C$5:$AT$507,3,))*$E182)</f>
        <v>0</v>
      </c>
      <c r="X182" s="40">
        <f>IF(VLOOKUP($D182,$C$5:$AT$507,3,)=0,0,(VLOOKUP($D182,$C$5:$AT$507,22,)/VLOOKUP($D182,$C$5:$AT$507,3,))*$E182)</f>
        <v>0</v>
      </c>
      <c r="Y182" s="40">
        <f>IF(VLOOKUP($D182,$C$5:$AT$507,3,)=0,0,(VLOOKUP($D182,$C$5:$AT$507,23,)/VLOOKUP($D182,$C$5:$AT$507,3,))*$E182)</f>
        <v>0</v>
      </c>
      <c r="Z182" s="40">
        <f>IF(VLOOKUP($D182,$C$5:$AT$507,3,)=0,0,(VLOOKUP($D182,$C$5:$AT$507,24,)/VLOOKUP($D182,$C$5:$AT$507,3,))*$E182)</f>
        <v>0</v>
      </c>
      <c r="AA182" s="40">
        <f>IF(VLOOKUP($D182,$C$5:$AT$507,3,)=0,0,(VLOOKUP($D182,$C$5:$AT$507,25,)/VLOOKUP($D182,$C$5:$AT$507,3,))*$E182)</f>
        <v>0</v>
      </c>
      <c r="AB182" s="40">
        <f>IF(VLOOKUP($D182,$C$5:$AT$507,3,)=0,0,(VLOOKUP($D182,$C$5:$AT$507,26,)/VLOOKUP($D182,$C$5:$AT$507,3,))*$E182)</f>
        <v>0</v>
      </c>
      <c r="AC182" s="40">
        <f>IF(VLOOKUP($D182,$C$5:$AT$507,3,)=0,0,(VLOOKUP($D182,$C$5:$AT$507,27,)/VLOOKUP($D182,$C$5:$AT$507,3,))*$E182)</f>
        <v>0</v>
      </c>
      <c r="AD182" s="40">
        <f>IF(VLOOKUP($D182,$C$5:$AT$507,3,)=0,0,(VLOOKUP($D182,$C$5:$AT$507,28,)/VLOOKUP($D182,$C$5:$AT$507,3,))*$E182)</f>
        <v>0</v>
      </c>
      <c r="AE182" s="40">
        <f>IF(VLOOKUP($D182,$C$5:$AT$507,3,)=0,0,(VLOOKUP($D182,$C$5:$AT$507,29,)/VLOOKUP($D182,$C$5:$AT$507,3,))*$E182)</f>
        <v>0</v>
      </c>
      <c r="AF182" s="40">
        <f>IF(VLOOKUP($D182,$C$5:$AT$507,3,)=0,0,(VLOOKUP($D182,$C$5:$AT$507,30,)/VLOOKUP($D182,$C$5:$AT$507,3,))*$E182)</f>
        <v>0</v>
      </c>
      <c r="AG182" s="64">
        <f>SUM(F182:AF182)</f>
        <v>431283.13044074812</v>
      </c>
      <c r="AH182" s="21" t="str">
        <f>IF(ABS(E182-AG182)&lt;0.01,"ok","err")</f>
        <v>ok</v>
      </c>
    </row>
    <row r="183" spans="1:34" x14ac:dyDescent="0.25">
      <c r="E183" s="167"/>
    </row>
    <row r="184" spans="1:34" x14ac:dyDescent="0.25">
      <c r="A184" s="13" t="s">
        <v>5</v>
      </c>
      <c r="E184" s="167"/>
    </row>
    <row r="185" spans="1:34" x14ac:dyDescent="0.25">
      <c r="A185" s="67" t="s">
        <v>220</v>
      </c>
      <c r="C185" s="14" t="s">
        <v>294</v>
      </c>
      <c r="D185" s="14" t="s">
        <v>231</v>
      </c>
      <c r="E185" s="174">
        <f>'Func &amp; Classif'!W312</f>
        <v>152140.42490784492</v>
      </c>
      <c r="F185" s="40">
        <f>IF(VLOOKUP($D185,$C$5:$AT$507,3,)=0,0,(VLOOKUP($D185,$C$5:$AT$507,4,)/VLOOKUP($D185,$C$5:$AT$507,3,))*$E185)</f>
        <v>0</v>
      </c>
      <c r="G185" s="40">
        <f>IF(VLOOKUP($D185,$C$5:$AT$507,3,)=0,0,(VLOOKUP($D185,$C$5:$AT$507,5,)/VLOOKUP($D185,$C$5:$AT$507,3,))*$E185)</f>
        <v>0</v>
      </c>
      <c r="H185" s="40">
        <f>IF(VLOOKUP($D185,$C$5:$AT$507,3,)=0,0,(VLOOKUP($D185,$C$5:$AT$507,6,)/VLOOKUP($D185,$C$5:$AT$507,3,))*$E185)</f>
        <v>0</v>
      </c>
      <c r="I185" s="40">
        <f>IF(VLOOKUP($D185,$C$5:$AT$507,3,)=0,0,(VLOOKUP($D185,$C$5:$AT$507,7,)/VLOOKUP($D185,$C$5:$AT$507,3,))*$E185)</f>
        <v>0</v>
      </c>
      <c r="J185" s="40">
        <f>IF(VLOOKUP($D185,$C$5:$AT$507,3,)=0,0,(VLOOKUP($D185,$C$5:$AT$507,8,)/VLOOKUP($D185,$C$5:$AT$507,3,))*$E185)</f>
        <v>0</v>
      </c>
      <c r="K185" s="40">
        <f>IF(VLOOKUP($D185,$C$5:$AT$507,3,)=0,0,(VLOOKUP($D185,$C$5:$AT$507,9,)/VLOOKUP($D185,$C$5:$AT$507,3,))*$E185)</f>
        <v>152140.42490784492</v>
      </c>
      <c r="L185" s="40">
        <f>IF(VLOOKUP($D185,$C$5:$AT$507,3,)=0,0,(VLOOKUP($D185,$C$5:$AT$507,10,)/VLOOKUP($D185,$C$5:$AT$507,3,))*$E185)</f>
        <v>0</v>
      </c>
      <c r="M185" s="40">
        <f>IF(VLOOKUP($D185,$C$5:$AT$507,3,)=0,0,(VLOOKUP($D185,$C$5:$AT$507,11,)/VLOOKUP($D185,$C$5:$AT$507,3,))*$E185)</f>
        <v>0</v>
      </c>
      <c r="N185" s="40">
        <f>IF(VLOOKUP($D185,$C$5:$AT$507,3,)=0,0,(VLOOKUP($D185,$C$5:$AT$507,12,)/VLOOKUP($D185,$C$5:$AT$507,3,))*$E185)</f>
        <v>0</v>
      </c>
      <c r="O185" s="40">
        <f>IF(VLOOKUP($D185,$C$5:$AT$507,3,)=0,0,(VLOOKUP($D185,$C$5:$AT$507,13,)/VLOOKUP($D185,$C$5:$AT$507,3,))*$E185)</f>
        <v>0</v>
      </c>
      <c r="P185" s="40">
        <f>IF(VLOOKUP($D185,$C$5:$AT$507,3,)=0,0,(VLOOKUP($D185,$C$5:$AT$507,14,)/VLOOKUP($D185,$C$5:$AT$507,3,))*$E185)</f>
        <v>0</v>
      </c>
      <c r="Q185" s="40">
        <f>IF(VLOOKUP($D185,$C$5:$AT$507,3,)=0,0,(VLOOKUP($D185,$C$5:$AT$507,15,)/VLOOKUP($D185,$C$5:$AT$507,3,))*$E185)</f>
        <v>0</v>
      </c>
      <c r="R185" s="40">
        <f>IF(VLOOKUP($D185,$C$5:$AT$507,3,)=0,0,(VLOOKUP($D185,$C$5:$AT$507,16,)/VLOOKUP($D185,$C$5:$AT$507,3,))*$E185)</f>
        <v>0</v>
      </c>
      <c r="S185" s="40">
        <f>IF(VLOOKUP($D185,$C$5:$AT$507,3,)=0,0,(VLOOKUP($D185,$C$5:$AT$507,17,)/VLOOKUP($D185,$C$5:$AT$507,3,))*$E185)</f>
        <v>0</v>
      </c>
      <c r="T185" s="40">
        <f>IF(VLOOKUP($D185,$C$5:$AT$507,3,)=0,0,(VLOOKUP($D185,$C$5:$AT$507,18,)/VLOOKUP($D185,$C$5:$AT$507,3,))*$E185)</f>
        <v>0</v>
      </c>
      <c r="U185" s="40">
        <f>IF(VLOOKUP($D185,$C$5:$AT$507,3,)=0,0,(VLOOKUP($D185,$C$5:$AT$507,19,)/VLOOKUP($D185,$C$5:$AT$507,3,))*$E185)</f>
        <v>0</v>
      </c>
      <c r="V185" s="40">
        <f>IF(VLOOKUP($D185,$C$5:$AT$507,3,)=0,0,(VLOOKUP($D185,$C$5:$AT$507,20,)/VLOOKUP($D185,$C$5:$AT$507,3,))*$E185)</f>
        <v>0</v>
      </c>
      <c r="W185" s="40">
        <f>IF(VLOOKUP($D185,$C$5:$AT$507,3,)=0,0,(VLOOKUP($D185,$C$5:$AT$507,21,)/VLOOKUP($D185,$C$5:$AT$507,3,))*$E185)</f>
        <v>0</v>
      </c>
      <c r="X185" s="40">
        <f>IF(VLOOKUP($D185,$C$5:$AT$507,3,)=0,0,(VLOOKUP($D185,$C$5:$AT$507,22,)/VLOOKUP($D185,$C$5:$AT$507,3,))*$E185)</f>
        <v>0</v>
      </c>
      <c r="Y185" s="40">
        <f>IF(VLOOKUP($D185,$C$5:$AT$507,3,)=0,0,(VLOOKUP($D185,$C$5:$AT$507,23,)/VLOOKUP($D185,$C$5:$AT$507,3,))*$E185)</f>
        <v>0</v>
      </c>
      <c r="Z185" s="40">
        <f>IF(VLOOKUP($D185,$C$5:$AT$507,3,)=0,0,(VLOOKUP($D185,$C$5:$AT$507,24,)/VLOOKUP($D185,$C$5:$AT$507,3,))*$E185)</f>
        <v>0</v>
      </c>
      <c r="AA185" s="40">
        <f>IF(VLOOKUP($D185,$C$5:$AT$507,3,)=0,0,(VLOOKUP($D185,$C$5:$AT$507,25,)/VLOOKUP($D185,$C$5:$AT$507,3,))*$E185)</f>
        <v>0</v>
      </c>
      <c r="AB185" s="40">
        <f>IF(VLOOKUP($D185,$C$5:$AT$507,3,)=0,0,(VLOOKUP($D185,$C$5:$AT$507,26,)/VLOOKUP($D185,$C$5:$AT$507,3,))*$E185)</f>
        <v>0</v>
      </c>
      <c r="AC185" s="40">
        <f>IF(VLOOKUP($D185,$C$5:$AT$507,3,)=0,0,(VLOOKUP($D185,$C$5:$AT$507,27,)/VLOOKUP($D185,$C$5:$AT$507,3,))*$E185)</f>
        <v>0</v>
      </c>
      <c r="AD185" s="40">
        <f>IF(VLOOKUP($D185,$C$5:$AT$507,3,)=0,0,(VLOOKUP($D185,$C$5:$AT$507,28,)/VLOOKUP($D185,$C$5:$AT$507,3,))*$E185)</f>
        <v>0</v>
      </c>
      <c r="AE185" s="40">
        <f>IF(VLOOKUP($D185,$C$5:$AT$507,3,)=0,0,(VLOOKUP($D185,$C$5:$AT$507,29,)/VLOOKUP($D185,$C$5:$AT$507,3,))*$E185)</f>
        <v>0</v>
      </c>
      <c r="AF185" s="40">
        <f>IF(VLOOKUP($D185,$C$5:$AT$507,3,)=0,0,(VLOOKUP($D185,$C$5:$AT$507,30,)/VLOOKUP($D185,$C$5:$AT$507,3,))*$E185)</f>
        <v>0</v>
      </c>
      <c r="AG185" s="64">
        <f>SUM(F185:AF185)</f>
        <v>152140.42490784492</v>
      </c>
      <c r="AH185" s="21" t="str">
        <f>IF(ABS(E185-AG185)&lt;0.01,"ok","err")</f>
        <v>ok</v>
      </c>
    </row>
    <row r="186" spans="1:34" x14ac:dyDescent="0.25">
      <c r="E186" s="167"/>
    </row>
    <row r="187" spans="1:34" x14ac:dyDescent="0.25">
      <c r="A187" s="13" t="s">
        <v>544</v>
      </c>
      <c r="E187" s="167"/>
    </row>
    <row r="188" spans="1:34" x14ac:dyDescent="0.25">
      <c r="A188" s="67" t="s">
        <v>220</v>
      </c>
      <c r="C188" s="14" t="s">
        <v>295</v>
      </c>
      <c r="D188" s="14" t="s">
        <v>233</v>
      </c>
      <c r="E188" s="174">
        <f>'Func &amp; Classif'!Y312</f>
        <v>0</v>
      </c>
      <c r="F188" s="40">
        <f>IF(VLOOKUP($D188,$C$5:$AT$507,3,)=0,0,(VLOOKUP($D188,$C$5:$AT$507,4,)/VLOOKUP($D188,$C$5:$AT$507,3,))*$E188)</f>
        <v>0</v>
      </c>
      <c r="G188" s="40">
        <f>IF(VLOOKUP($D188,$C$5:$AT$507,3,)=0,0,(VLOOKUP($D188,$C$5:$AT$507,5,)/VLOOKUP($D188,$C$5:$AT$507,3,))*$E188)</f>
        <v>0</v>
      </c>
      <c r="H188" s="40">
        <f>IF(VLOOKUP($D188,$C$5:$AT$507,3,)=0,0,(VLOOKUP($D188,$C$5:$AT$507,6,)/VLOOKUP($D188,$C$5:$AT$507,3,))*$E188)</f>
        <v>0</v>
      </c>
      <c r="I188" s="40">
        <f>IF(VLOOKUP($D188,$C$5:$AT$507,3,)=0,0,(VLOOKUP($D188,$C$5:$AT$507,7,)/VLOOKUP($D188,$C$5:$AT$507,3,))*$E188)</f>
        <v>0</v>
      </c>
      <c r="J188" s="40">
        <f>IF(VLOOKUP($D188,$C$5:$AT$507,3,)=0,0,(VLOOKUP($D188,$C$5:$AT$507,8,)/VLOOKUP($D188,$C$5:$AT$507,3,))*$E188)</f>
        <v>0</v>
      </c>
      <c r="K188" s="40">
        <f>IF(VLOOKUP($D188,$C$5:$AT$507,3,)=0,0,(VLOOKUP($D188,$C$5:$AT$507,9,)/VLOOKUP($D188,$C$5:$AT$507,3,))*$E188)</f>
        <v>0</v>
      </c>
      <c r="L188" s="40">
        <f>IF(VLOOKUP($D188,$C$5:$AT$507,3,)=0,0,(VLOOKUP($D188,$C$5:$AT$507,10,)/VLOOKUP($D188,$C$5:$AT$507,3,))*$E188)</f>
        <v>0</v>
      </c>
      <c r="M188" s="40">
        <f>IF(VLOOKUP($D188,$C$5:$AT$507,3,)=0,0,(VLOOKUP($D188,$C$5:$AT$507,11,)/VLOOKUP($D188,$C$5:$AT$507,3,))*$E188)</f>
        <v>0</v>
      </c>
      <c r="N188" s="40">
        <f>IF(VLOOKUP($D188,$C$5:$AT$507,3,)=0,0,(VLOOKUP($D188,$C$5:$AT$507,12,)/VLOOKUP($D188,$C$5:$AT$507,3,))*$E188)</f>
        <v>0</v>
      </c>
      <c r="O188" s="40">
        <f>IF(VLOOKUP($D188,$C$5:$AT$507,3,)=0,0,(VLOOKUP($D188,$C$5:$AT$507,13,)/VLOOKUP($D188,$C$5:$AT$507,3,))*$E188)</f>
        <v>0</v>
      </c>
      <c r="P188" s="40">
        <f>IF(VLOOKUP($D188,$C$5:$AT$507,3,)=0,0,(VLOOKUP($D188,$C$5:$AT$507,14,)/VLOOKUP($D188,$C$5:$AT$507,3,))*$E188)</f>
        <v>0</v>
      </c>
      <c r="Q188" s="40">
        <f>IF(VLOOKUP($D188,$C$5:$AT$507,3,)=0,0,(VLOOKUP($D188,$C$5:$AT$507,15,)/VLOOKUP($D188,$C$5:$AT$507,3,))*$E188)</f>
        <v>0</v>
      </c>
      <c r="R188" s="40">
        <f>IF(VLOOKUP($D188,$C$5:$AT$507,3,)=0,0,(VLOOKUP($D188,$C$5:$AT$507,16,)/VLOOKUP($D188,$C$5:$AT$507,3,))*$E188)</f>
        <v>0</v>
      </c>
      <c r="S188" s="40">
        <f>IF(VLOOKUP($D188,$C$5:$AT$507,3,)=0,0,(VLOOKUP($D188,$C$5:$AT$507,17,)/VLOOKUP($D188,$C$5:$AT$507,3,))*$E188)</f>
        <v>0</v>
      </c>
      <c r="T188" s="40">
        <f>IF(VLOOKUP($D188,$C$5:$AT$507,3,)=0,0,(VLOOKUP($D188,$C$5:$AT$507,18,)/VLOOKUP($D188,$C$5:$AT$507,3,))*$E188)</f>
        <v>0</v>
      </c>
      <c r="U188" s="40">
        <f>IF(VLOOKUP($D188,$C$5:$AT$507,3,)=0,0,(VLOOKUP($D188,$C$5:$AT$507,19,)/VLOOKUP($D188,$C$5:$AT$507,3,))*$E188)</f>
        <v>0</v>
      </c>
      <c r="V188" s="40">
        <f>IF(VLOOKUP($D188,$C$5:$AT$507,3,)=0,0,(VLOOKUP($D188,$C$5:$AT$507,20,)/VLOOKUP($D188,$C$5:$AT$507,3,))*$E188)</f>
        <v>0</v>
      </c>
      <c r="W188" s="40">
        <f>IF(VLOOKUP($D188,$C$5:$AT$507,3,)=0,0,(VLOOKUP($D188,$C$5:$AT$507,21,)/VLOOKUP($D188,$C$5:$AT$507,3,))*$E188)</f>
        <v>0</v>
      </c>
      <c r="X188" s="40">
        <f>IF(VLOOKUP($D188,$C$5:$AT$507,3,)=0,0,(VLOOKUP($D188,$C$5:$AT$507,22,)/VLOOKUP($D188,$C$5:$AT$507,3,))*$E188)</f>
        <v>0</v>
      </c>
      <c r="Y188" s="40">
        <f>IF(VLOOKUP($D188,$C$5:$AT$507,3,)=0,0,(VLOOKUP($D188,$C$5:$AT$507,23,)/VLOOKUP($D188,$C$5:$AT$507,3,))*$E188)</f>
        <v>0</v>
      </c>
      <c r="Z188" s="40">
        <f>IF(VLOOKUP($D188,$C$5:$AT$507,3,)=0,0,(VLOOKUP($D188,$C$5:$AT$507,24,)/VLOOKUP($D188,$C$5:$AT$507,3,))*$E188)</f>
        <v>0</v>
      </c>
      <c r="AA188" s="40">
        <f>IF(VLOOKUP($D188,$C$5:$AT$507,3,)=0,0,(VLOOKUP($D188,$C$5:$AT$507,25,)/VLOOKUP($D188,$C$5:$AT$507,3,))*$E188)</f>
        <v>0</v>
      </c>
      <c r="AB188" s="40">
        <f>IF(VLOOKUP($D188,$C$5:$AT$507,3,)=0,0,(VLOOKUP($D188,$C$5:$AT$507,26,)/VLOOKUP($D188,$C$5:$AT$507,3,))*$E188)</f>
        <v>0</v>
      </c>
      <c r="AC188" s="40">
        <f>IF(VLOOKUP($D188,$C$5:$AT$507,3,)=0,0,(VLOOKUP($D188,$C$5:$AT$507,27,)/VLOOKUP($D188,$C$5:$AT$507,3,))*$E188)</f>
        <v>0</v>
      </c>
      <c r="AD188" s="40">
        <f>IF(VLOOKUP($D188,$C$5:$AT$507,3,)=0,0,(VLOOKUP($D188,$C$5:$AT$507,28,)/VLOOKUP($D188,$C$5:$AT$507,3,))*$E188)</f>
        <v>0</v>
      </c>
      <c r="AE188" s="40">
        <f>IF(VLOOKUP($D188,$C$5:$AT$507,3,)=0,0,(VLOOKUP($D188,$C$5:$AT$507,29,)/VLOOKUP($D188,$C$5:$AT$507,3,))*$E188)</f>
        <v>0</v>
      </c>
      <c r="AF188" s="40">
        <f>IF(VLOOKUP($D188,$C$5:$AT$507,3,)=0,0,(VLOOKUP($D188,$C$5:$AT$507,30,)/VLOOKUP($D188,$C$5:$AT$507,3,))*$E188)</f>
        <v>0</v>
      </c>
      <c r="AG188" s="64">
        <f>SUM(F188:AF188)</f>
        <v>0</v>
      </c>
      <c r="AH188" s="21" t="str">
        <f>IF(ABS(E188-AG188)&lt;0.01,"ok","err")</f>
        <v>ok</v>
      </c>
    </row>
    <row r="189" spans="1:34" x14ac:dyDescent="0.25">
      <c r="E189" s="167"/>
    </row>
    <row r="190" spans="1:34" x14ac:dyDescent="0.25">
      <c r="A190" s="13" t="s">
        <v>469</v>
      </c>
      <c r="E190" s="167"/>
    </row>
    <row r="191" spans="1:34" x14ac:dyDescent="0.25">
      <c r="A191" s="67" t="s">
        <v>220</v>
      </c>
      <c r="C191" s="14" t="s">
        <v>292</v>
      </c>
      <c r="D191" s="14" t="s">
        <v>234</v>
      </c>
      <c r="E191" s="174">
        <f>'Func &amp; Classif'!AA312</f>
        <v>0</v>
      </c>
      <c r="F191" s="40">
        <f>IF(VLOOKUP($D191,$C$5:$AT$507,3,)=0,0,(VLOOKUP($D191,$C$5:$AT$507,4,)/VLOOKUP($D191,$C$5:$AT$507,3,))*$E191)</f>
        <v>0</v>
      </c>
      <c r="G191" s="40">
        <f>IF(VLOOKUP($D191,$C$5:$AT$507,3,)=0,0,(VLOOKUP($D191,$C$5:$AT$507,5,)/VLOOKUP($D191,$C$5:$AT$507,3,))*$E191)</f>
        <v>0</v>
      </c>
      <c r="H191" s="40">
        <f>IF(VLOOKUP($D191,$C$5:$AT$507,3,)=0,0,(VLOOKUP($D191,$C$5:$AT$507,6,)/VLOOKUP($D191,$C$5:$AT$507,3,))*$E191)</f>
        <v>0</v>
      </c>
      <c r="I191" s="40">
        <f>IF(VLOOKUP($D191,$C$5:$AT$507,3,)=0,0,(VLOOKUP($D191,$C$5:$AT$507,7,)/VLOOKUP($D191,$C$5:$AT$507,3,))*$E191)</f>
        <v>0</v>
      </c>
      <c r="J191" s="40">
        <f>IF(VLOOKUP($D191,$C$5:$AT$507,3,)=0,0,(VLOOKUP($D191,$C$5:$AT$507,8,)/VLOOKUP($D191,$C$5:$AT$507,3,))*$E191)</f>
        <v>0</v>
      </c>
      <c r="K191" s="40">
        <f>IF(VLOOKUP($D191,$C$5:$AT$507,3,)=0,0,(VLOOKUP($D191,$C$5:$AT$507,9,)/VLOOKUP($D191,$C$5:$AT$507,3,))*$E191)</f>
        <v>0</v>
      </c>
      <c r="L191" s="40">
        <f>IF(VLOOKUP($D191,$C$5:$AT$507,3,)=0,0,(VLOOKUP($D191,$C$5:$AT$507,10,)/VLOOKUP($D191,$C$5:$AT$507,3,))*$E191)</f>
        <v>0</v>
      </c>
      <c r="M191" s="40">
        <f>IF(VLOOKUP($D191,$C$5:$AT$507,3,)=0,0,(VLOOKUP($D191,$C$5:$AT$507,11,)/VLOOKUP($D191,$C$5:$AT$507,3,))*$E191)</f>
        <v>0</v>
      </c>
      <c r="N191" s="40">
        <f>IF(VLOOKUP($D191,$C$5:$AT$507,3,)=0,0,(VLOOKUP($D191,$C$5:$AT$507,12,)/VLOOKUP($D191,$C$5:$AT$507,3,))*$E191)</f>
        <v>0</v>
      </c>
      <c r="O191" s="40">
        <f>IF(VLOOKUP($D191,$C$5:$AT$507,3,)=0,0,(VLOOKUP($D191,$C$5:$AT$507,13,)/VLOOKUP($D191,$C$5:$AT$507,3,))*$E191)</f>
        <v>0</v>
      </c>
      <c r="P191" s="40">
        <f>IF(VLOOKUP($D191,$C$5:$AT$507,3,)=0,0,(VLOOKUP($D191,$C$5:$AT$507,14,)/VLOOKUP($D191,$C$5:$AT$507,3,))*$E191)</f>
        <v>0</v>
      </c>
      <c r="Q191" s="40">
        <f>IF(VLOOKUP($D191,$C$5:$AT$507,3,)=0,0,(VLOOKUP($D191,$C$5:$AT$507,15,)/VLOOKUP($D191,$C$5:$AT$507,3,))*$E191)</f>
        <v>0</v>
      </c>
      <c r="R191" s="40">
        <f>IF(VLOOKUP($D191,$C$5:$AT$507,3,)=0,0,(VLOOKUP($D191,$C$5:$AT$507,16,)/VLOOKUP($D191,$C$5:$AT$507,3,))*$E191)</f>
        <v>0</v>
      </c>
      <c r="S191" s="40">
        <f>IF(VLOOKUP($D191,$C$5:$AT$507,3,)=0,0,(VLOOKUP($D191,$C$5:$AT$507,17,)/VLOOKUP($D191,$C$5:$AT$507,3,))*$E191)</f>
        <v>0</v>
      </c>
      <c r="T191" s="40">
        <f>IF(VLOOKUP($D191,$C$5:$AT$507,3,)=0,0,(VLOOKUP($D191,$C$5:$AT$507,18,)/VLOOKUP($D191,$C$5:$AT$507,3,))*$E191)</f>
        <v>0</v>
      </c>
      <c r="U191" s="40">
        <f>IF(VLOOKUP($D191,$C$5:$AT$507,3,)=0,0,(VLOOKUP($D191,$C$5:$AT$507,19,)/VLOOKUP($D191,$C$5:$AT$507,3,))*$E191)</f>
        <v>0</v>
      </c>
      <c r="V191" s="40">
        <f>IF(VLOOKUP($D191,$C$5:$AT$507,3,)=0,0,(VLOOKUP($D191,$C$5:$AT$507,20,)/VLOOKUP($D191,$C$5:$AT$507,3,))*$E191)</f>
        <v>0</v>
      </c>
      <c r="W191" s="40">
        <f>IF(VLOOKUP($D191,$C$5:$AT$507,3,)=0,0,(VLOOKUP($D191,$C$5:$AT$507,21,)/VLOOKUP($D191,$C$5:$AT$507,3,))*$E191)</f>
        <v>0</v>
      </c>
      <c r="X191" s="40">
        <f>IF(VLOOKUP($D191,$C$5:$AT$507,3,)=0,0,(VLOOKUP($D191,$C$5:$AT$507,22,)/VLOOKUP($D191,$C$5:$AT$507,3,))*$E191)</f>
        <v>0</v>
      </c>
      <c r="Y191" s="40">
        <f>IF(VLOOKUP($D191,$C$5:$AT$507,3,)=0,0,(VLOOKUP($D191,$C$5:$AT$507,23,)/VLOOKUP($D191,$C$5:$AT$507,3,))*$E191)</f>
        <v>0</v>
      </c>
      <c r="Z191" s="40">
        <f>IF(VLOOKUP($D191,$C$5:$AT$507,3,)=0,0,(VLOOKUP($D191,$C$5:$AT$507,24,)/VLOOKUP($D191,$C$5:$AT$507,3,))*$E191)</f>
        <v>0</v>
      </c>
      <c r="AA191" s="40">
        <f>IF(VLOOKUP($D191,$C$5:$AT$507,3,)=0,0,(VLOOKUP($D191,$C$5:$AT$507,25,)/VLOOKUP($D191,$C$5:$AT$507,3,))*$E191)</f>
        <v>0</v>
      </c>
      <c r="AB191" s="40">
        <f>IF(VLOOKUP($D191,$C$5:$AT$507,3,)=0,0,(VLOOKUP($D191,$C$5:$AT$507,26,)/VLOOKUP($D191,$C$5:$AT$507,3,))*$E191)</f>
        <v>0</v>
      </c>
      <c r="AC191" s="40">
        <f>IF(VLOOKUP($D191,$C$5:$AT$507,3,)=0,0,(VLOOKUP($D191,$C$5:$AT$507,27,)/VLOOKUP($D191,$C$5:$AT$507,3,))*$E191)</f>
        <v>0</v>
      </c>
      <c r="AD191" s="40">
        <f>IF(VLOOKUP($D191,$C$5:$AT$507,3,)=0,0,(VLOOKUP($D191,$C$5:$AT$507,28,)/VLOOKUP($D191,$C$5:$AT$507,3,))*$E191)</f>
        <v>0</v>
      </c>
      <c r="AE191" s="40">
        <f>IF(VLOOKUP($D191,$C$5:$AT$507,3,)=0,0,(VLOOKUP($D191,$C$5:$AT$507,29,)/VLOOKUP($D191,$C$5:$AT$507,3,))*$E191)</f>
        <v>0</v>
      </c>
      <c r="AF191" s="40">
        <f>IF(VLOOKUP($D191,$C$5:$AT$507,3,)=0,0,(VLOOKUP($D191,$C$5:$AT$507,30,)/VLOOKUP($D191,$C$5:$AT$507,3,))*$E191)</f>
        <v>0</v>
      </c>
      <c r="AG191" s="64">
        <f>SUM(F191:AF191)</f>
        <v>0</v>
      </c>
      <c r="AH191" s="21" t="str">
        <f>IF(ABS(E191-AG191)&lt;0.01,"ok","err")</f>
        <v>ok</v>
      </c>
    </row>
    <row r="192" spans="1:34" x14ac:dyDescent="0.25">
      <c r="E192" s="167"/>
    </row>
    <row r="193" spans="1:34" x14ac:dyDescent="0.25">
      <c r="A193" s="14" t="s">
        <v>0</v>
      </c>
      <c r="C193" s="14" t="s">
        <v>296</v>
      </c>
      <c r="E193" s="174">
        <f>E163+E166+E169+E174+E179+E182+E185+E188+E191</f>
        <v>3259870.44</v>
      </c>
      <c r="F193" s="40">
        <f t="shared" ref="F193:R193" si="39">F163+F166+F169+F174+F179+F182+F185+F188+F191</f>
        <v>2595570.2665769579</v>
      </c>
      <c r="G193" s="40">
        <f t="shared" si="39"/>
        <v>2194.591922906985</v>
      </c>
      <c r="H193" s="40">
        <f t="shared" si="39"/>
        <v>289086.55039511312</v>
      </c>
      <c r="I193" s="40">
        <f t="shared" si="39"/>
        <v>188520.11238420074</v>
      </c>
      <c r="J193" s="40">
        <f t="shared" si="39"/>
        <v>25335.048580286679</v>
      </c>
      <c r="K193" s="40">
        <f t="shared" si="39"/>
        <v>159163.87014053401</v>
      </c>
      <c r="L193" s="40">
        <f t="shared" si="39"/>
        <v>0</v>
      </c>
      <c r="M193" s="40">
        <f t="shared" si="39"/>
        <v>0</v>
      </c>
      <c r="N193" s="40">
        <f t="shared" si="39"/>
        <v>0</v>
      </c>
      <c r="O193" s="40">
        <f t="shared" si="39"/>
        <v>0</v>
      </c>
      <c r="P193" s="40">
        <f t="shared" si="39"/>
        <v>0</v>
      </c>
      <c r="Q193" s="40">
        <f t="shared" si="39"/>
        <v>0</v>
      </c>
      <c r="R193" s="40">
        <f t="shared" si="39"/>
        <v>0</v>
      </c>
      <c r="S193" s="40">
        <f t="shared" ref="S193:AF193" si="40">S163+S169+S174+S179+S182+S185+S188+S191</f>
        <v>0</v>
      </c>
      <c r="T193" s="40">
        <f t="shared" si="40"/>
        <v>0</v>
      </c>
      <c r="U193" s="40">
        <f t="shared" si="40"/>
        <v>0</v>
      </c>
      <c r="V193" s="40">
        <f t="shared" si="40"/>
        <v>0</v>
      </c>
      <c r="W193" s="40">
        <f t="shared" si="40"/>
        <v>0</v>
      </c>
      <c r="X193" s="40">
        <f t="shared" si="40"/>
        <v>0</v>
      </c>
      <c r="Y193" s="40">
        <f t="shared" si="40"/>
        <v>0</v>
      </c>
      <c r="Z193" s="40">
        <f t="shared" si="40"/>
        <v>0</v>
      </c>
      <c r="AA193" s="40">
        <f t="shared" si="40"/>
        <v>0</v>
      </c>
      <c r="AB193" s="40">
        <f t="shared" si="40"/>
        <v>0</v>
      </c>
      <c r="AC193" s="40">
        <f t="shared" si="40"/>
        <v>0</v>
      </c>
      <c r="AD193" s="40">
        <f t="shared" si="40"/>
        <v>0</v>
      </c>
      <c r="AE193" s="40">
        <f t="shared" si="40"/>
        <v>0</v>
      </c>
      <c r="AF193" s="40">
        <f t="shared" si="40"/>
        <v>0</v>
      </c>
      <c r="AG193" s="64">
        <f>SUM(F193:AF193)</f>
        <v>3259870.439999999</v>
      </c>
      <c r="AH193" s="21" t="str">
        <f>IF(ABS(E193-AG193)&lt;0.01,"ok","err")</f>
        <v>ok</v>
      </c>
    </row>
    <row r="196" spans="1:34" x14ac:dyDescent="0.25">
      <c r="A196" s="19" t="s">
        <v>187</v>
      </c>
    </row>
    <row r="198" spans="1:34" x14ac:dyDescent="0.25">
      <c r="A198" s="13" t="s">
        <v>885</v>
      </c>
    </row>
    <row r="199" spans="1:34" x14ac:dyDescent="0.25">
      <c r="A199" s="67" t="s">
        <v>208</v>
      </c>
      <c r="C199" s="14" t="s">
        <v>297</v>
      </c>
      <c r="D199" s="14" t="s">
        <v>654</v>
      </c>
      <c r="E199" s="174">
        <f>'Func &amp; Classif'!H314</f>
        <v>0</v>
      </c>
      <c r="F199" s="40">
        <f>IF(VLOOKUP($D199,$C$5:$AT$507,3,)=0,0,(VLOOKUP($D199,$C$5:$AT$507,4,)/VLOOKUP($D199,$C$5:$AT$507,3,))*$E199)</f>
        <v>0</v>
      </c>
      <c r="G199" s="40">
        <f>IF(VLOOKUP($D199,$C$5:$AT$507,3,)=0,0,(VLOOKUP($D199,$C$5:$AT$507,5,)/VLOOKUP($D199,$C$5:$AT$507,3,))*$E199)</f>
        <v>0</v>
      </c>
      <c r="H199" s="40">
        <f>IF(VLOOKUP($D199,$C$5:$AT$507,3,)=0,0,(VLOOKUP($D199,$C$5:$AT$507,6,)/VLOOKUP($D199,$C$5:$AT$507,3,))*$E199)</f>
        <v>0</v>
      </c>
      <c r="I199" s="40">
        <f>IF(VLOOKUP($D199,$C$5:$AT$507,3,)=0,0,(VLOOKUP($D199,$C$5:$AT$507,7,)/VLOOKUP($D199,$C$5:$AT$507,3,))*$E199)</f>
        <v>0</v>
      </c>
      <c r="J199" s="40">
        <f>IF(VLOOKUP($D199,$C$5:$AT$507,3,)=0,0,(VLOOKUP($D199,$C$5:$AT$507,8,)/VLOOKUP($D199,$C$5:$AT$507,3,))*$E199)</f>
        <v>0</v>
      </c>
      <c r="K199" s="40">
        <f>IF(VLOOKUP($D199,$C$5:$AT$507,3,)=0,0,(VLOOKUP($D199,$C$5:$AT$507,9,)/VLOOKUP($D199,$C$5:$AT$507,3,))*$E199)</f>
        <v>0</v>
      </c>
      <c r="L199" s="40">
        <f>IF(VLOOKUP($D199,$C$5:$AT$507,3,)=0,0,(VLOOKUP($D199,$C$5:$AT$507,10,)/VLOOKUP($D199,$C$5:$AT$507,3,))*$E199)</f>
        <v>0</v>
      </c>
      <c r="M199" s="40">
        <f>IF(VLOOKUP($D199,$C$5:$AT$507,3,)=0,0,(VLOOKUP($D199,$C$5:$AT$507,11,)/VLOOKUP($D199,$C$5:$AT$507,3,))*$E199)</f>
        <v>0</v>
      </c>
      <c r="N199" s="40">
        <f>IF(VLOOKUP($D199,$C$5:$AT$507,3,)=0,0,(VLOOKUP($D199,$C$5:$AT$507,12,)/VLOOKUP($D199,$C$5:$AT$507,3,))*$E199)</f>
        <v>0</v>
      </c>
      <c r="O199" s="40">
        <f>IF(VLOOKUP($D199,$C$5:$AT$507,3,)=0,0,(VLOOKUP($D199,$C$5:$AT$507,13,)/VLOOKUP($D199,$C$5:$AT$507,3,))*$E199)</f>
        <v>0</v>
      </c>
      <c r="P199" s="40">
        <f>IF(VLOOKUP($D199,$C$5:$AT$507,3,)=0,0,(VLOOKUP($D199,$C$5:$AT$507,14,)/VLOOKUP($D199,$C$5:$AT$507,3,))*$E199)</f>
        <v>0</v>
      </c>
      <c r="Q199" s="40">
        <f>IF(VLOOKUP($D199,$C$5:$AT$507,3,)=0,0,(VLOOKUP($D199,$C$5:$AT$507,15,)/VLOOKUP($D199,$C$5:$AT$507,3,))*$E199)</f>
        <v>0</v>
      </c>
      <c r="R199" s="40">
        <f>IF(VLOOKUP($D199,$C$5:$AT$507,3,)=0,0,(VLOOKUP($D199,$C$5:$AT$507,16,)/VLOOKUP($D199,$C$5:$AT$507,3,))*$E199)</f>
        <v>0</v>
      </c>
      <c r="S199" s="40">
        <f>IF(VLOOKUP($D199,$C$5:$AT$507,3,)=0,0,(VLOOKUP($D199,$C$5:$AT$507,17,)/VLOOKUP($D199,$C$5:$AT$507,3,))*$E199)</f>
        <v>0</v>
      </c>
      <c r="T199" s="40">
        <f>IF(VLOOKUP($D199,$C$5:$AT$507,3,)=0,0,(VLOOKUP($D199,$C$5:$AT$507,18,)/VLOOKUP($D199,$C$5:$AT$507,3,))*$E199)</f>
        <v>0</v>
      </c>
      <c r="U199" s="40">
        <f>IF(VLOOKUP($D199,$C$5:$AT$507,3,)=0,0,(VLOOKUP($D199,$C$5:$AT$507,19,)/VLOOKUP($D199,$C$5:$AT$507,3,))*$E199)</f>
        <v>0</v>
      </c>
      <c r="V199" s="40">
        <f>IF(VLOOKUP($D199,$C$5:$AT$507,3,)=0,0,(VLOOKUP($D199,$C$5:$AT$507,20,)/VLOOKUP($D199,$C$5:$AT$507,3,))*$E199)</f>
        <v>0</v>
      </c>
      <c r="W199" s="40">
        <f>IF(VLOOKUP($D199,$C$5:$AT$507,3,)=0,0,(VLOOKUP($D199,$C$5:$AT$507,21,)/VLOOKUP($D199,$C$5:$AT$507,3,))*$E199)</f>
        <v>0</v>
      </c>
      <c r="X199" s="40">
        <f>IF(VLOOKUP($D199,$C$5:$AT$507,3,)=0,0,(VLOOKUP($D199,$C$5:$AT$507,22,)/VLOOKUP($D199,$C$5:$AT$507,3,))*$E199)</f>
        <v>0</v>
      </c>
      <c r="Y199" s="40">
        <f>IF(VLOOKUP($D199,$C$5:$AT$507,3,)=0,0,(VLOOKUP($D199,$C$5:$AT$507,23,)/VLOOKUP($D199,$C$5:$AT$507,3,))*$E199)</f>
        <v>0</v>
      </c>
      <c r="Z199" s="40">
        <f>IF(VLOOKUP($D199,$C$5:$AT$507,3,)=0,0,(VLOOKUP($D199,$C$5:$AT$507,24,)/VLOOKUP($D199,$C$5:$AT$507,3,))*$E199)</f>
        <v>0</v>
      </c>
      <c r="AA199" s="40">
        <f>IF(VLOOKUP($D199,$C$5:$AT$507,3,)=0,0,(VLOOKUP($D199,$C$5:$AT$507,25,)/VLOOKUP($D199,$C$5:$AT$507,3,))*$E199)</f>
        <v>0</v>
      </c>
      <c r="AB199" s="40">
        <f>IF(VLOOKUP($D199,$C$5:$AT$507,3,)=0,0,(VLOOKUP($D199,$C$5:$AT$507,26,)/VLOOKUP($D199,$C$5:$AT$507,3,))*$E199)</f>
        <v>0</v>
      </c>
      <c r="AC199" s="40">
        <f>IF(VLOOKUP($D199,$C$5:$AT$507,3,)=0,0,(VLOOKUP($D199,$C$5:$AT$507,27,)/VLOOKUP($D199,$C$5:$AT$507,3,))*$E199)</f>
        <v>0</v>
      </c>
      <c r="AD199" s="40">
        <f>IF(VLOOKUP($D199,$C$5:$AT$507,3,)=0,0,(VLOOKUP($D199,$C$5:$AT$507,28,)/VLOOKUP($D199,$C$5:$AT$507,3,))*$E199)</f>
        <v>0</v>
      </c>
      <c r="AE199" s="40">
        <f>IF(VLOOKUP($D199,$C$5:$AT$507,3,)=0,0,(VLOOKUP($D199,$C$5:$AT$507,29,)/VLOOKUP($D199,$C$5:$AT$507,3,))*$E199)</f>
        <v>0</v>
      </c>
      <c r="AF199" s="40">
        <f>IF(VLOOKUP($D199,$C$5:$AT$507,3,)=0,0,(VLOOKUP($D199,$C$5:$AT$507,30,)/VLOOKUP($D199,$C$5:$AT$507,3,))*$E199)</f>
        <v>0</v>
      </c>
      <c r="AG199" s="64">
        <f>SUM(F199:AF199)</f>
        <v>0</v>
      </c>
      <c r="AH199" s="21" t="str">
        <f>IF(ABS(E199-AG199)&lt;0.01,"ok","err")</f>
        <v>ok</v>
      </c>
    </row>
    <row r="200" spans="1:34" x14ac:dyDescent="0.25">
      <c r="A200" s="67" t="s">
        <v>211</v>
      </c>
      <c r="C200" s="14" t="s">
        <v>298</v>
      </c>
      <c r="D200" s="14" t="s">
        <v>663</v>
      </c>
      <c r="E200" s="167">
        <f>'Func &amp; Classif'!I314</f>
        <v>0</v>
      </c>
      <c r="F200" s="40">
        <f>IF(VLOOKUP($D200,$C$5:$AT$507,3,)=0,0,(VLOOKUP($D200,$C$5:$AT$507,4,)/VLOOKUP($D200,$C$5:$AT$507,3,))*$E200)</f>
        <v>0</v>
      </c>
      <c r="G200" s="40">
        <f>IF(VLOOKUP($D200,$C$5:$AT$507,3,)=0,0,(VLOOKUP($D200,$C$5:$AT$507,5,)/VLOOKUP($D200,$C$5:$AT$507,3,))*$E200)</f>
        <v>0</v>
      </c>
      <c r="H200" s="40">
        <f>IF(VLOOKUP($D200,$C$5:$AT$507,3,)=0,0,(VLOOKUP($D200,$C$5:$AT$507,6,)/VLOOKUP($D200,$C$5:$AT$507,3,))*$E200)</f>
        <v>0</v>
      </c>
      <c r="I200" s="40">
        <f>IF(VLOOKUP($D200,$C$5:$AT$507,3,)=0,0,(VLOOKUP($D200,$C$5:$AT$507,7,)/VLOOKUP($D200,$C$5:$AT$507,3,))*$E200)</f>
        <v>0</v>
      </c>
      <c r="J200" s="40">
        <f>IF(VLOOKUP($D200,$C$5:$AT$507,3,)=0,0,(VLOOKUP($D200,$C$5:$AT$507,8,)/VLOOKUP($D200,$C$5:$AT$507,3,))*$E200)</f>
        <v>0</v>
      </c>
      <c r="K200" s="40">
        <f>IF(VLOOKUP($D200,$C$5:$AT$507,3,)=0,0,(VLOOKUP($D200,$C$5:$AT$507,9,)/VLOOKUP($D200,$C$5:$AT$507,3,))*$E200)</f>
        <v>0</v>
      </c>
      <c r="L200" s="40">
        <f>IF(VLOOKUP($D200,$C$5:$AT$507,3,)=0,0,(VLOOKUP($D200,$C$5:$AT$507,10,)/VLOOKUP($D200,$C$5:$AT$507,3,))*$E200)</f>
        <v>0</v>
      </c>
      <c r="M200" s="40">
        <f>IF(VLOOKUP($D200,$C$5:$AT$507,3,)=0,0,(VLOOKUP($D200,$C$5:$AT$507,11,)/VLOOKUP($D200,$C$5:$AT$507,3,))*$E200)</f>
        <v>0</v>
      </c>
      <c r="N200" s="40">
        <f>IF(VLOOKUP($D200,$C$5:$AT$507,3,)=0,0,(VLOOKUP($D200,$C$5:$AT$507,12,)/VLOOKUP($D200,$C$5:$AT$507,3,))*$E200)</f>
        <v>0</v>
      </c>
      <c r="O200" s="40">
        <f>IF(VLOOKUP($D200,$C$5:$AT$507,3,)=0,0,(VLOOKUP($D200,$C$5:$AT$507,13,)/VLOOKUP($D200,$C$5:$AT$507,3,))*$E200)</f>
        <v>0</v>
      </c>
      <c r="P200" s="40">
        <f>IF(VLOOKUP($D200,$C$5:$AT$507,3,)=0,0,(VLOOKUP($D200,$C$5:$AT$507,14,)/VLOOKUP($D200,$C$5:$AT$507,3,))*$E200)</f>
        <v>0</v>
      </c>
      <c r="Q200" s="40">
        <f>IF(VLOOKUP($D200,$C$5:$AT$507,3,)=0,0,(VLOOKUP($D200,$C$5:$AT$507,15,)/VLOOKUP($D200,$C$5:$AT$507,3,))*$E200)</f>
        <v>0</v>
      </c>
      <c r="R200" s="40">
        <f>IF(VLOOKUP($D200,$C$5:$AT$507,3,)=0,0,(VLOOKUP($D200,$C$5:$AT$507,16,)/VLOOKUP($D200,$C$5:$AT$507,3,))*$E200)</f>
        <v>0</v>
      </c>
      <c r="S200" s="40">
        <f>IF(VLOOKUP($D200,$C$5:$AT$507,3,)=0,0,(VLOOKUP($D200,$C$5:$AT$507,17,)/VLOOKUP($D200,$C$5:$AT$507,3,))*$E200)</f>
        <v>0</v>
      </c>
      <c r="T200" s="40">
        <f>IF(VLOOKUP($D200,$C$5:$AT$507,3,)=0,0,(VLOOKUP($D200,$C$5:$AT$507,18,)/VLOOKUP($D200,$C$5:$AT$507,3,))*$E200)</f>
        <v>0</v>
      </c>
      <c r="U200" s="40">
        <f>IF(VLOOKUP($D200,$C$5:$AT$507,3,)=0,0,(VLOOKUP($D200,$C$5:$AT$507,19,)/VLOOKUP($D200,$C$5:$AT$507,3,))*$E200)</f>
        <v>0</v>
      </c>
      <c r="V200" s="40">
        <f>IF(VLOOKUP($D200,$C$5:$AT$507,3,)=0,0,(VLOOKUP($D200,$C$5:$AT$507,20,)/VLOOKUP($D200,$C$5:$AT$507,3,))*$E200)</f>
        <v>0</v>
      </c>
      <c r="W200" s="40">
        <f>IF(VLOOKUP($D200,$C$5:$AT$507,3,)=0,0,(VLOOKUP($D200,$C$5:$AT$507,21,)/VLOOKUP($D200,$C$5:$AT$507,3,))*$E200)</f>
        <v>0</v>
      </c>
      <c r="X200" s="40">
        <f>IF(VLOOKUP($D200,$C$5:$AT$507,3,)=0,0,(VLOOKUP($D200,$C$5:$AT$507,22,)/VLOOKUP($D200,$C$5:$AT$507,3,))*$E200)</f>
        <v>0</v>
      </c>
      <c r="Y200" s="40">
        <f>IF(VLOOKUP($D200,$C$5:$AT$507,3,)=0,0,(VLOOKUP($D200,$C$5:$AT$507,23,)/VLOOKUP($D200,$C$5:$AT$507,3,))*$E200)</f>
        <v>0</v>
      </c>
      <c r="Z200" s="40">
        <f>IF(VLOOKUP($D200,$C$5:$AT$507,3,)=0,0,(VLOOKUP($D200,$C$5:$AT$507,24,)/VLOOKUP($D200,$C$5:$AT$507,3,))*$E200)</f>
        <v>0</v>
      </c>
      <c r="AA200" s="40">
        <f>IF(VLOOKUP($D200,$C$5:$AT$507,3,)=0,0,(VLOOKUP($D200,$C$5:$AT$507,25,)/VLOOKUP($D200,$C$5:$AT$507,3,))*$E200)</f>
        <v>0</v>
      </c>
      <c r="AB200" s="40">
        <f>IF(VLOOKUP($D200,$C$5:$AT$507,3,)=0,0,(VLOOKUP($D200,$C$5:$AT$507,26,)/VLOOKUP($D200,$C$5:$AT$507,3,))*$E200)</f>
        <v>0</v>
      </c>
      <c r="AC200" s="40">
        <f>IF(VLOOKUP($D200,$C$5:$AT$507,3,)=0,0,(VLOOKUP($D200,$C$5:$AT$507,27,)/VLOOKUP($D200,$C$5:$AT$507,3,))*$E200)</f>
        <v>0</v>
      </c>
      <c r="AD200" s="40">
        <f>IF(VLOOKUP($D200,$C$5:$AT$507,3,)=0,0,(VLOOKUP($D200,$C$5:$AT$507,28,)/VLOOKUP($D200,$C$5:$AT$507,3,))*$E200)</f>
        <v>0</v>
      </c>
      <c r="AE200" s="40">
        <f>IF(VLOOKUP($D200,$C$5:$AT$507,3,)=0,0,(VLOOKUP($D200,$C$5:$AT$507,29,)/VLOOKUP($D200,$C$5:$AT$507,3,))*$E200)</f>
        <v>0</v>
      </c>
      <c r="AF200" s="40">
        <f>IF(VLOOKUP($D200,$C$5:$AT$507,3,)=0,0,(VLOOKUP($D200,$C$5:$AT$507,30,)/VLOOKUP($D200,$C$5:$AT$507,3,))*$E200)</f>
        <v>0</v>
      </c>
      <c r="AG200" s="64">
        <f>SUM(F200:AF200)</f>
        <v>0</v>
      </c>
      <c r="AH200" s="21" t="str">
        <f>IF(ABS(E200-AG200)&lt;0.01,"ok","err")</f>
        <v>ok</v>
      </c>
    </row>
    <row r="201" spans="1:34" x14ac:dyDescent="0.25">
      <c r="A201" s="14" t="s">
        <v>214</v>
      </c>
      <c r="C201" s="14" t="s">
        <v>299</v>
      </c>
      <c r="E201" s="167">
        <f t="shared" ref="E201:T201" si="41">E199+E200</f>
        <v>0</v>
      </c>
      <c r="F201" s="40">
        <f t="shared" si="41"/>
        <v>0</v>
      </c>
      <c r="G201" s="40">
        <f t="shared" si="41"/>
        <v>0</v>
      </c>
      <c r="H201" s="40">
        <f t="shared" si="41"/>
        <v>0</v>
      </c>
      <c r="I201" s="40">
        <f t="shared" si="41"/>
        <v>0</v>
      </c>
      <c r="J201" s="40">
        <f t="shared" si="41"/>
        <v>0</v>
      </c>
      <c r="K201" s="40">
        <f t="shared" si="41"/>
        <v>0</v>
      </c>
      <c r="L201" s="40">
        <f t="shared" si="41"/>
        <v>0</v>
      </c>
      <c r="M201" s="40">
        <f t="shared" si="41"/>
        <v>0</v>
      </c>
      <c r="N201" s="40">
        <f t="shared" si="41"/>
        <v>0</v>
      </c>
      <c r="O201" s="40">
        <f t="shared" si="41"/>
        <v>0</v>
      </c>
      <c r="P201" s="40">
        <f t="shared" si="41"/>
        <v>0</v>
      </c>
      <c r="Q201" s="40">
        <f t="shared" si="41"/>
        <v>0</v>
      </c>
      <c r="R201" s="40">
        <f t="shared" si="41"/>
        <v>0</v>
      </c>
      <c r="S201" s="40">
        <f t="shared" si="41"/>
        <v>0</v>
      </c>
      <c r="T201" s="40">
        <f t="shared" si="41"/>
        <v>0</v>
      </c>
      <c r="U201" s="40">
        <f t="shared" ref="U201:AF201" si="42">U199+U200</f>
        <v>0</v>
      </c>
      <c r="V201" s="40">
        <f t="shared" si="42"/>
        <v>0</v>
      </c>
      <c r="W201" s="40">
        <f t="shared" si="42"/>
        <v>0</v>
      </c>
      <c r="X201" s="40">
        <f t="shared" si="42"/>
        <v>0</v>
      </c>
      <c r="Y201" s="40">
        <f t="shared" si="42"/>
        <v>0</v>
      </c>
      <c r="Z201" s="40">
        <f t="shared" si="42"/>
        <v>0</v>
      </c>
      <c r="AA201" s="40">
        <f t="shared" si="42"/>
        <v>0</v>
      </c>
      <c r="AB201" s="40">
        <f t="shared" si="42"/>
        <v>0</v>
      </c>
      <c r="AC201" s="40">
        <f t="shared" si="42"/>
        <v>0</v>
      </c>
      <c r="AD201" s="40">
        <f t="shared" si="42"/>
        <v>0</v>
      </c>
      <c r="AE201" s="40">
        <f t="shared" si="42"/>
        <v>0</v>
      </c>
      <c r="AF201" s="40">
        <f t="shared" si="42"/>
        <v>0</v>
      </c>
      <c r="AG201" s="64">
        <f>SUM(F201:AF201)</f>
        <v>0</v>
      </c>
      <c r="AH201" s="21" t="str">
        <f>IF(ABS(E201-AG201)&lt;0.01,"ok","err")</f>
        <v>ok</v>
      </c>
    </row>
    <row r="202" spans="1:34" x14ac:dyDescent="0.25">
      <c r="E202" s="167"/>
      <c r="F202" s="27"/>
    </row>
    <row r="203" spans="1:34" x14ac:dyDescent="0.25">
      <c r="A203" s="13" t="s">
        <v>349</v>
      </c>
      <c r="E203" s="167"/>
      <c r="F203" s="27"/>
    </row>
    <row r="204" spans="1:34" x14ac:dyDescent="0.25">
      <c r="A204" s="67" t="s">
        <v>208</v>
      </c>
      <c r="C204" s="14" t="s">
        <v>880</v>
      </c>
      <c r="D204" s="14" t="s">
        <v>622</v>
      </c>
      <c r="E204" s="174">
        <f>'Func &amp; Classif'!K314</f>
        <v>0</v>
      </c>
      <c r="F204" s="40">
        <f>IF(VLOOKUP($D204,$C$5:$AT$507,3,)=0,0,(VLOOKUP($D204,$C$5:$AT$507,4,)/VLOOKUP($D204,$C$5:$AT$507,3,))*$E204)</f>
        <v>0</v>
      </c>
      <c r="G204" s="40">
        <f>IF(VLOOKUP($D204,$C$5:$AT$507,3,)=0,0,(VLOOKUP($D204,$C$5:$AT$507,5,)/VLOOKUP($D204,$C$5:$AT$507,3,))*$E204)</f>
        <v>0</v>
      </c>
      <c r="H204" s="40">
        <f>IF(VLOOKUP($D204,$C$5:$AT$507,3,)=0,0,(VLOOKUP($D204,$C$5:$AT$507,6,)/VLOOKUP($D204,$C$5:$AT$507,3,))*$E204)</f>
        <v>0</v>
      </c>
      <c r="I204" s="40">
        <f>IF(VLOOKUP($D204,$C$5:$AT$507,3,)=0,0,(VLOOKUP($D204,$C$5:$AT$507,7,)/VLOOKUP($D204,$C$5:$AT$507,3,))*$E204)</f>
        <v>0</v>
      </c>
      <c r="J204" s="40">
        <f>IF(VLOOKUP($D204,$C$5:$AT$507,3,)=0,0,(VLOOKUP($D204,$C$5:$AT$507,8,)/VLOOKUP($D204,$C$5:$AT$507,3,))*$E204)</f>
        <v>0</v>
      </c>
      <c r="K204" s="40">
        <f>IF(VLOOKUP($D204,$C$5:$AT$507,3,)=0,0,(VLOOKUP($D204,$C$5:$AT$507,9,)/VLOOKUP($D204,$C$5:$AT$507,3,))*$E204)</f>
        <v>0</v>
      </c>
      <c r="L204" s="40">
        <f>IF(VLOOKUP($D204,$C$5:$AT$507,3,)=0,0,(VLOOKUP($D204,$C$5:$AT$507,10,)/VLOOKUP($D204,$C$5:$AT$507,3,))*$E204)</f>
        <v>0</v>
      </c>
      <c r="M204" s="40">
        <f>IF(VLOOKUP($D204,$C$5:$AT$507,3,)=0,0,(VLOOKUP($D204,$C$5:$AT$507,11,)/VLOOKUP($D204,$C$5:$AT$507,3,))*$E204)</f>
        <v>0</v>
      </c>
      <c r="N204" s="40">
        <f>IF(VLOOKUP($D204,$C$5:$AT$507,3,)=0,0,(VLOOKUP($D204,$C$5:$AT$507,12,)/VLOOKUP($D204,$C$5:$AT$507,3,))*$E204)</f>
        <v>0</v>
      </c>
      <c r="O204" s="40">
        <f>IF(VLOOKUP($D204,$C$5:$AT$507,3,)=0,0,(VLOOKUP($D204,$C$5:$AT$507,13,)/VLOOKUP($D204,$C$5:$AT$507,3,))*$E204)</f>
        <v>0</v>
      </c>
      <c r="P204" s="40">
        <f>IF(VLOOKUP($D204,$C$5:$AT$507,3,)=0,0,(VLOOKUP($D204,$C$5:$AT$507,14,)/VLOOKUP($D204,$C$5:$AT$507,3,))*$E204)</f>
        <v>0</v>
      </c>
      <c r="Q204" s="40">
        <f>IF(VLOOKUP($D204,$C$5:$AT$507,3,)=0,0,(VLOOKUP($D204,$C$5:$AT$507,15,)/VLOOKUP($D204,$C$5:$AT$507,3,))*$E204)</f>
        <v>0</v>
      </c>
      <c r="R204" s="40">
        <f>IF(VLOOKUP($D204,$C$5:$AT$507,3,)=0,0,(VLOOKUP($D204,$C$5:$AT$507,16,)/VLOOKUP($D204,$C$5:$AT$507,3,))*$E204)</f>
        <v>0</v>
      </c>
      <c r="S204" s="40">
        <f>IF(VLOOKUP($D204,$C$5:$AT$507,3,)=0,0,(VLOOKUP($D204,$C$5:$AT$507,17,)/VLOOKUP($D204,$C$5:$AT$507,3,))*$E204)</f>
        <v>0</v>
      </c>
      <c r="T204" s="40">
        <f>IF(VLOOKUP($D204,$C$5:$AT$507,3,)=0,0,(VLOOKUP($D204,$C$5:$AT$507,18,)/VLOOKUP($D204,$C$5:$AT$507,3,))*$E204)</f>
        <v>0</v>
      </c>
      <c r="U204" s="40">
        <f>IF(VLOOKUP($D204,$C$5:$AT$507,3,)=0,0,(VLOOKUP($D204,$C$5:$AT$507,19,)/VLOOKUP($D204,$C$5:$AT$507,3,))*$E204)</f>
        <v>0</v>
      </c>
      <c r="V204" s="40">
        <f>IF(VLOOKUP($D204,$C$5:$AT$507,3,)=0,0,(VLOOKUP($D204,$C$5:$AT$507,20,)/VLOOKUP($D204,$C$5:$AT$507,3,))*$E204)</f>
        <v>0</v>
      </c>
      <c r="W204" s="40">
        <f>IF(VLOOKUP($D204,$C$5:$AT$507,3,)=0,0,(VLOOKUP($D204,$C$5:$AT$507,21,)/VLOOKUP($D204,$C$5:$AT$507,3,))*$E204)</f>
        <v>0</v>
      </c>
      <c r="X204" s="40">
        <f>IF(VLOOKUP($D204,$C$5:$AT$507,3,)=0,0,(VLOOKUP($D204,$C$5:$AT$507,22,)/VLOOKUP($D204,$C$5:$AT$507,3,))*$E204)</f>
        <v>0</v>
      </c>
      <c r="Y204" s="40">
        <f>IF(VLOOKUP($D204,$C$5:$AT$507,3,)=0,0,(VLOOKUP($D204,$C$5:$AT$507,23,)/VLOOKUP($D204,$C$5:$AT$507,3,))*$E204)</f>
        <v>0</v>
      </c>
      <c r="Z204" s="40">
        <f>IF(VLOOKUP($D204,$C$5:$AT$507,3,)=0,0,(VLOOKUP($D204,$C$5:$AT$507,24,)/VLOOKUP($D204,$C$5:$AT$507,3,))*$E204)</f>
        <v>0</v>
      </c>
      <c r="AA204" s="40">
        <f>IF(VLOOKUP($D204,$C$5:$AT$507,3,)=0,0,(VLOOKUP($D204,$C$5:$AT$507,25,)/VLOOKUP($D204,$C$5:$AT$507,3,))*$E204)</f>
        <v>0</v>
      </c>
      <c r="AB204" s="40">
        <f>IF(VLOOKUP($D204,$C$5:$AT$507,3,)=0,0,(VLOOKUP($D204,$C$5:$AT$507,26,)/VLOOKUP($D204,$C$5:$AT$507,3,))*$E204)</f>
        <v>0</v>
      </c>
      <c r="AC204" s="40">
        <f>IF(VLOOKUP($D204,$C$5:$AT$507,3,)=0,0,(VLOOKUP($D204,$C$5:$AT$507,27,)/VLOOKUP($D204,$C$5:$AT$507,3,))*$E204)</f>
        <v>0</v>
      </c>
      <c r="AD204" s="40">
        <f>IF(VLOOKUP($D204,$C$5:$AT$507,3,)=0,0,(VLOOKUP($D204,$C$5:$AT$507,28,)/VLOOKUP($D204,$C$5:$AT$507,3,))*$E204)</f>
        <v>0</v>
      </c>
      <c r="AE204" s="40">
        <f>IF(VLOOKUP($D204,$C$5:$AT$507,3,)=0,0,(VLOOKUP($D204,$C$5:$AT$507,29,)/VLOOKUP($D204,$C$5:$AT$507,3,))*$E204)</f>
        <v>0</v>
      </c>
      <c r="AF204" s="40">
        <f>IF(VLOOKUP($D204,$C$5:$AT$507,3,)=0,0,(VLOOKUP($D204,$C$5:$AT$507,30,)/VLOOKUP($D204,$C$5:$AT$507,3,))*$E204)</f>
        <v>0</v>
      </c>
      <c r="AG204" s="64">
        <f>SUM(F204:AF204)</f>
        <v>0</v>
      </c>
      <c r="AH204" s="21" t="str">
        <f>IF(ABS(E204-AG204)&lt;0.01,"ok","err")</f>
        <v>ok</v>
      </c>
    </row>
    <row r="205" spans="1:34" x14ac:dyDescent="0.25">
      <c r="E205" s="167"/>
    </row>
    <row r="206" spans="1:34" x14ac:dyDescent="0.25">
      <c r="A206" s="13" t="s">
        <v>1</v>
      </c>
      <c r="E206" s="167"/>
      <c r="F206" s="27"/>
    </row>
    <row r="207" spans="1:34" x14ac:dyDescent="0.25">
      <c r="A207" s="67" t="s">
        <v>208</v>
      </c>
      <c r="C207" s="14" t="s">
        <v>300</v>
      </c>
      <c r="D207" s="14" t="s">
        <v>629</v>
      </c>
      <c r="E207" s="174">
        <f>'Func &amp; Classif'!M314</f>
        <v>0</v>
      </c>
      <c r="F207" s="40">
        <f>IF(VLOOKUP($D207,$C$5:$AT$507,3,)=0,0,(VLOOKUP($D207,$C$5:$AT$507,4,)/VLOOKUP($D207,$C$5:$AT$507,3,))*$E207)</f>
        <v>0</v>
      </c>
      <c r="G207" s="40">
        <f>IF(VLOOKUP($D207,$C$5:$AT$507,3,)=0,0,(VLOOKUP($D207,$C$5:$AT$507,5,)/VLOOKUP($D207,$C$5:$AT$507,3,))*$E207)</f>
        <v>0</v>
      </c>
      <c r="H207" s="40">
        <f>IF(VLOOKUP($D207,$C$5:$AT$507,3,)=0,0,(VLOOKUP($D207,$C$5:$AT$507,6,)/VLOOKUP($D207,$C$5:$AT$507,3,))*$E207)</f>
        <v>0</v>
      </c>
      <c r="I207" s="40">
        <f>IF(VLOOKUP($D207,$C$5:$AT$507,3,)=0,0,(VLOOKUP($D207,$C$5:$AT$507,7,)/VLOOKUP($D207,$C$5:$AT$507,3,))*$E207)</f>
        <v>0</v>
      </c>
      <c r="J207" s="40">
        <f>IF(VLOOKUP($D207,$C$5:$AT$507,3,)=0,0,(VLOOKUP($D207,$C$5:$AT$507,8,)/VLOOKUP($D207,$C$5:$AT$507,3,))*$E207)</f>
        <v>0</v>
      </c>
      <c r="K207" s="40">
        <f>IF(VLOOKUP($D207,$C$5:$AT$507,3,)=0,0,(VLOOKUP($D207,$C$5:$AT$507,9,)/VLOOKUP($D207,$C$5:$AT$507,3,))*$E207)</f>
        <v>0</v>
      </c>
      <c r="L207" s="40">
        <f>IF(VLOOKUP($D207,$C$5:$AT$507,3,)=0,0,(VLOOKUP($D207,$C$5:$AT$507,10,)/VLOOKUP($D207,$C$5:$AT$507,3,))*$E207)</f>
        <v>0</v>
      </c>
      <c r="M207" s="40">
        <f>IF(VLOOKUP($D207,$C$5:$AT$507,3,)=0,0,(VLOOKUP($D207,$C$5:$AT$507,11,)/VLOOKUP($D207,$C$5:$AT$507,3,))*$E207)</f>
        <v>0</v>
      </c>
      <c r="N207" s="40">
        <f>IF(VLOOKUP($D207,$C$5:$AT$507,3,)=0,0,(VLOOKUP($D207,$C$5:$AT$507,12,)/VLOOKUP($D207,$C$5:$AT$507,3,))*$E207)</f>
        <v>0</v>
      </c>
      <c r="O207" s="40">
        <f>IF(VLOOKUP($D207,$C$5:$AT$507,3,)=0,0,(VLOOKUP($D207,$C$5:$AT$507,13,)/VLOOKUP($D207,$C$5:$AT$507,3,))*$E207)</f>
        <v>0</v>
      </c>
      <c r="P207" s="40">
        <f>IF(VLOOKUP($D207,$C$5:$AT$507,3,)=0,0,(VLOOKUP($D207,$C$5:$AT$507,14,)/VLOOKUP($D207,$C$5:$AT$507,3,))*$E207)</f>
        <v>0</v>
      </c>
      <c r="Q207" s="40">
        <f>IF(VLOOKUP($D207,$C$5:$AT$507,3,)=0,0,(VLOOKUP($D207,$C$5:$AT$507,15,)/VLOOKUP($D207,$C$5:$AT$507,3,))*$E207)</f>
        <v>0</v>
      </c>
      <c r="R207" s="40">
        <f>IF(VLOOKUP($D207,$C$5:$AT$507,3,)=0,0,(VLOOKUP($D207,$C$5:$AT$507,16,)/VLOOKUP($D207,$C$5:$AT$507,3,))*$E207)</f>
        <v>0</v>
      </c>
      <c r="S207" s="40">
        <f>IF(VLOOKUP($D207,$C$5:$AT$507,3,)=0,0,(VLOOKUP($D207,$C$5:$AT$507,17,)/VLOOKUP($D207,$C$5:$AT$507,3,))*$E207)</f>
        <v>0</v>
      </c>
      <c r="T207" s="40">
        <f>IF(VLOOKUP($D207,$C$5:$AT$507,3,)=0,0,(VLOOKUP($D207,$C$5:$AT$507,18,)/VLOOKUP($D207,$C$5:$AT$507,3,))*$E207)</f>
        <v>0</v>
      </c>
      <c r="U207" s="40">
        <f>IF(VLOOKUP($D207,$C$5:$AT$507,3,)=0,0,(VLOOKUP($D207,$C$5:$AT$507,19,)/VLOOKUP($D207,$C$5:$AT$507,3,))*$E207)</f>
        <v>0</v>
      </c>
      <c r="V207" s="40">
        <f>IF(VLOOKUP($D207,$C$5:$AT$507,3,)=0,0,(VLOOKUP($D207,$C$5:$AT$507,20,)/VLOOKUP($D207,$C$5:$AT$507,3,))*$E207)</f>
        <v>0</v>
      </c>
      <c r="W207" s="40">
        <f>IF(VLOOKUP($D207,$C$5:$AT$507,3,)=0,0,(VLOOKUP($D207,$C$5:$AT$507,21,)/VLOOKUP($D207,$C$5:$AT$507,3,))*$E207)</f>
        <v>0</v>
      </c>
      <c r="X207" s="40">
        <f>IF(VLOOKUP($D207,$C$5:$AT$507,3,)=0,0,(VLOOKUP($D207,$C$5:$AT$507,22,)/VLOOKUP($D207,$C$5:$AT$507,3,))*$E207)</f>
        <v>0</v>
      </c>
      <c r="Y207" s="40">
        <f>IF(VLOOKUP($D207,$C$5:$AT$507,3,)=0,0,(VLOOKUP($D207,$C$5:$AT$507,23,)/VLOOKUP($D207,$C$5:$AT$507,3,))*$E207)</f>
        <v>0</v>
      </c>
      <c r="Z207" s="40">
        <f>IF(VLOOKUP($D207,$C$5:$AT$507,3,)=0,0,(VLOOKUP($D207,$C$5:$AT$507,24,)/VLOOKUP($D207,$C$5:$AT$507,3,))*$E207)</f>
        <v>0</v>
      </c>
      <c r="AA207" s="40">
        <f>IF(VLOOKUP($D207,$C$5:$AT$507,3,)=0,0,(VLOOKUP($D207,$C$5:$AT$507,25,)/VLOOKUP($D207,$C$5:$AT$507,3,))*$E207)</f>
        <v>0</v>
      </c>
      <c r="AB207" s="40">
        <f>IF(VLOOKUP($D207,$C$5:$AT$507,3,)=0,0,(VLOOKUP($D207,$C$5:$AT$507,26,)/VLOOKUP($D207,$C$5:$AT$507,3,))*$E207)</f>
        <v>0</v>
      </c>
      <c r="AC207" s="40">
        <f>IF(VLOOKUP($D207,$C$5:$AT$507,3,)=0,0,(VLOOKUP($D207,$C$5:$AT$507,27,)/VLOOKUP($D207,$C$5:$AT$507,3,))*$E207)</f>
        <v>0</v>
      </c>
      <c r="AD207" s="40">
        <f>IF(VLOOKUP($D207,$C$5:$AT$507,3,)=0,0,(VLOOKUP($D207,$C$5:$AT$507,28,)/VLOOKUP($D207,$C$5:$AT$507,3,))*$E207)</f>
        <v>0</v>
      </c>
      <c r="AE207" s="40">
        <f>IF(VLOOKUP($D207,$C$5:$AT$507,3,)=0,0,(VLOOKUP($D207,$C$5:$AT$507,29,)/VLOOKUP($D207,$C$5:$AT$507,3,))*$E207)</f>
        <v>0</v>
      </c>
      <c r="AF207" s="40">
        <f>IF(VLOOKUP($D207,$C$5:$AT$507,3,)=0,0,(VLOOKUP($D207,$C$5:$AT$507,30,)/VLOOKUP($D207,$C$5:$AT$507,3,))*$E207)</f>
        <v>0</v>
      </c>
      <c r="AG207" s="64">
        <f>SUM(F207:AF207)</f>
        <v>0</v>
      </c>
      <c r="AH207" s="21" t="str">
        <f>IF(ABS(E207-AG207)&lt;0.01,"ok","err")</f>
        <v>ok</v>
      </c>
    </row>
    <row r="208" spans="1:34" x14ac:dyDescent="0.25">
      <c r="E208" s="167"/>
    </row>
    <row r="209" spans="1:34" x14ac:dyDescent="0.25">
      <c r="A209" s="13" t="s">
        <v>2</v>
      </c>
      <c r="E209" s="167"/>
    </row>
    <row r="210" spans="1:34" x14ac:dyDescent="0.25">
      <c r="A210" s="67" t="s">
        <v>208</v>
      </c>
      <c r="C210" s="14" t="s">
        <v>301</v>
      </c>
      <c r="D210" s="14" t="s">
        <v>626</v>
      </c>
      <c r="E210" s="174">
        <f>'Func &amp; Classif'!O314</f>
        <v>0</v>
      </c>
      <c r="F210" s="40">
        <f>IF(VLOOKUP($D210,$C$5:$AT$507,3,)=0,0,(VLOOKUP($D210,$C$5:$AT$507,4,)/VLOOKUP($D210,$C$5:$AT$507,3,))*$E210)</f>
        <v>0</v>
      </c>
      <c r="G210" s="40">
        <f>IF(VLOOKUP($D210,$C$5:$AT$507,3,)=0,0,(VLOOKUP($D210,$C$5:$AT$507,5,)/VLOOKUP($D210,$C$5:$AT$507,3,))*$E210)</f>
        <v>0</v>
      </c>
      <c r="H210" s="40">
        <f>IF(VLOOKUP($D210,$C$5:$AT$507,3,)=0,0,(VLOOKUP($D210,$C$5:$AT$507,6,)/VLOOKUP($D210,$C$5:$AT$507,3,))*$E210)</f>
        <v>0</v>
      </c>
      <c r="I210" s="40">
        <f>IF(VLOOKUP($D210,$C$5:$AT$507,3,)=0,0,(VLOOKUP($D210,$C$5:$AT$507,7,)/VLOOKUP($D210,$C$5:$AT$507,3,))*$E210)</f>
        <v>0</v>
      </c>
      <c r="J210" s="40">
        <f>IF(VLOOKUP($D210,$C$5:$AT$507,3,)=0,0,(VLOOKUP($D210,$C$5:$AT$507,8,)/VLOOKUP($D210,$C$5:$AT$507,3,))*$E210)</f>
        <v>0</v>
      </c>
      <c r="K210" s="40">
        <f>IF(VLOOKUP($D210,$C$5:$AT$507,3,)=0,0,(VLOOKUP($D210,$C$5:$AT$507,9,)/VLOOKUP($D210,$C$5:$AT$507,3,))*$E210)</f>
        <v>0</v>
      </c>
      <c r="L210" s="40">
        <f>IF(VLOOKUP($D210,$C$5:$AT$507,3,)=0,0,(VLOOKUP($D210,$C$5:$AT$507,10,)/VLOOKUP($D210,$C$5:$AT$507,3,))*$E210)</f>
        <v>0</v>
      </c>
      <c r="M210" s="40">
        <f>IF(VLOOKUP($D210,$C$5:$AT$507,3,)=0,0,(VLOOKUP($D210,$C$5:$AT$507,11,)/VLOOKUP($D210,$C$5:$AT$507,3,))*$E210)</f>
        <v>0</v>
      </c>
      <c r="N210" s="40">
        <f>IF(VLOOKUP($D210,$C$5:$AT$507,3,)=0,0,(VLOOKUP($D210,$C$5:$AT$507,12,)/VLOOKUP($D210,$C$5:$AT$507,3,))*$E210)</f>
        <v>0</v>
      </c>
      <c r="O210" s="40">
        <f>IF(VLOOKUP($D210,$C$5:$AT$507,3,)=0,0,(VLOOKUP($D210,$C$5:$AT$507,13,)/VLOOKUP($D210,$C$5:$AT$507,3,))*$E210)</f>
        <v>0</v>
      </c>
      <c r="P210" s="40">
        <f>IF(VLOOKUP($D210,$C$5:$AT$507,3,)=0,0,(VLOOKUP($D210,$C$5:$AT$507,14,)/VLOOKUP($D210,$C$5:$AT$507,3,))*$E210)</f>
        <v>0</v>
      </c>
      <c r="Q210" s="40">
        <f>IF(VLOOKUP($D210,$C$5:$AT$507,3,)=0,0,(VLOOKUP($D210,$C$5:$AT$507,15,)/VLOOKUP($D210,$C$5:$AT$507,3,))*$E210)</f>
        <v>0</v>
      </c>
      <c r="R210" s="40">
        <f>IF(VLOOKUP($D210,$C$5:$AT$507,3,)=0,0,(VLOOKUP($D210,$C$5:$AT$507,16,)/VLOOKUP($D210,$C$5:$AT$507,3,))*$E210)</f>
        <v>0</v>
      </c>
      <c r="S210" s="40">
        <f>IF(VLOOKUP($D210,$C$5:$AT$507,3,)=0,0,(VLOOKUP($D210,$C$5:$AT$507,17,)/VLOOKUP($D210,$C$5:$AT$507,3,))*$E210)</f>
        <v>0</v>
      </c>
      <c r="T210" s="40">
        <f>IF(VLOOKUP($D210,$C$5:$AT$507,3,)=0,0,(VLOOKUP($D210,$C$5:$AT$507,18,)/VLOOKUP($D210,$C$5:$AT$507,3,))*$E210)</f>
        <v>0</v>
      </c>
      <c r="U210" s="40">
        <f>IF(VLOOKUP($D210,$C$5:$AT$507,3,)=0,0,(VLOOKUP($D210,$C$5:$AT$507,19,)/VLOOKUP($D210,$C$5:$AT$507,3,))*$E210)</f>
        <v>0</v>
      </c>
      <c r="V210" s="40">
        <f>IF(VLOOKUP($D210,$C$5:$AT$507,3,)=0,0,(VLOOKUP($D210,$C$5:$AT$507,20,)/VLOOKUP($D210,$C$5:$AT$507,3,))*$E210)</f>
        <v>0</v>
      </c>
      <c r="W210" s="40">
        <f>IF(VLOOKUP($D210,$C$5:$AT$507,3,)=0,0,(VLOOKUP($D210,$C$5:$AT$507,21,)/VLOOKUP($D210,$C$5:$AT$507,3,))*$E210)</f>
        <v>0</v>
      </c>
      <c r="X210" s="40">
        <f>IF(VLOOKUP($D210,$C$5:$AT$507,3,)=0,0,(VLOOKUP($D210,$C$5:$AT$507,22,)/VLOOKUP($D210,$C$5:$AT$507,3,))*$E210)</f>
        <v>0</v>
      </c>
      <c r="Y210" s="40">
        <f>IF(VLOOKUP($D210,$C$5:$AT$507,3,)=0,0,(VLOOKUP($D210,$C$5:$AT$507,23,)/VLOOKUP($D210,$C$5:$AT$507,3,))*$E210)</f>
        <v>0</v>
      </c>
      <c r="Z210" s="40">
        <f>IF(VLOOKUP($D210,$C$5:$AT$507,3,)=0,0,(VLOOKUP($D210,$C$5:$AT$507,24,)/VLOOKUP($D210,$C$5:$AT$507,3,))*$E210)</f>
        <v>0</v>
      </c>
      <c r="AA210" s="40">
        <f>IF(VLOOKUP($D210,$C$5:$AT$507,3,)=0,0,(VLOOKUP($D210,$C$5:$AT$507,25,)/VLOOKUP($D210,$C$5:$AT$507,3,))*$E210)</f>
        <v>0</v>
      </c>
      <c r="AB210" s="40">
        <f>IF(VLOOKUP($D210,$C$5:$AT$507,3,)=0,0,(VLOOKUP($D210,$C$5:$AT$507,26,)/VLOOKUP($D210,$C$5:$AT$507,3,))*$E210)</f>
        <v>0</v>
      </c>
      <c r="AC210" s="40">
        <f>IF(VLOOKUP($D210,$C$5:$AT$507,3,)=0,0,(VLOOKUP($D210,$C$5:$AT$507,27,)/VLOOKUP($D210,$C$5:$AT$507,3,))*$E210)</f>
        <v>0</v>
      </c>
      <c r="AD210" s="40">
        <f>IF(VLOOKUP($D210,$C$5:$AT$507,3,)=0,0,(VLOOKUP($D210,$C$5:$AT$507,28,)/VLOOKUP($D210,$C$5:$AT$507,3,))*$E210)</f>
        <v>0</v>
      </c>
      <c r="AE210" s="40">
        <f>IF(VLOOKUP($D210,$C$5:$AT$507,3,)=0,0,(VLOOKUP($D210,$C$5:$AT$507,29,)/VLOOKUP($D210,$C$5:$AT$507,3,))*$E210)</f>
        <v>0</v>
      </c>
      <c r="AF210" s="40">
        <f>IF(VLOOKUP($D210,$C$5:$AT$507,3,)=0,0,(VLOOKUP($D210,$C$5:$AT$507,30,)/VLOOKUP($D210,$C$5:$AT$507,3,))*$E210)</f>
        <v>0</v>
      </c>
      <c r="AG210" s="64">
        <f>SUM(F210:AF210)</f>
        <v>0</v>
      </c>
      <c r="AH210" s="21" t="str">
        <f>IF(ABS(E210-AG210)&lt;0.01,"ok","err")</f>
        <v>ok</v>
      </c>
    </row>
    <row r="211" spans="1:34" x14ac:dyDescent="0.25">
      <c r="A211" s="67" t="s">
        <v>220</v>
      </c>
      <c r="C211" s="14" t="s">
        <v>302</v>
      </c>
      <c r="D211" s="14" t="s">
        <v>222</v>
      </c>
      <c r="E211" s="167">
        <f>'Func &amp; Classif'!P314</f>
        <v>0</v>
      </c>
      <c r="F211" s="40">
        <f>IF(VLOOKUP($D211,$C$5:$AT$507,3,)=0,0,(VLOOKUP($D211,$C$5:$AT$507,4,)/VLOOKUP($D211,$C$5:$AT$507,3,))*$E211)</f>
        <v>0</v>
      </c>
      <c r="G211" s="40">
        <f>IF(VLOOKUP($D211,$C$5:$AT$507,3,)=0,0,(VLOOKUP($D211,$C$5:$AT$507,5,)/VLOOKUP($D211,$C$5:$AT$507,3,))*$E211)</f>
        <v>0</v>
      </c>
      <c r="H211" s="40">
        <f>IF(VLOOKUP($D211,$C$5:$AT$507,3,)=0,0,(VLOOKUP($D211,$C$5:$AT$507,6,)/VLOOKUP($D211,$C$5:$AT$507,3,))*$E211)</f>
        <v>0</v>
      </c>
      <c r="I211" s="40">
        <f>IF(VLOOKUP($D211,$C$5:$AT$507,3,)=0,0,(VLOOKUP($D211,$C$5:$AT$507,7,)/VLOOKUP($D211,$C$5:$AT$507,3,))*$E211)</f>
        <v>0</v>
      </c>
      <c r="J211" s="40">
        <f>IF(VLOOKUP($D211,$C$5:$AT$507,3,)=0,0,(VLOOKUP($D211,$C$5:$AT$507,8,)/VLOOKUP($D211,$C$5:$AT$507,3,))*$E211)</f>
        <v>0</v>
      </c>
      <c r="K211" s="40">
        <f>IF(VLOOKUP($D211,$C$5:$AT$507,3,)=0,0,(VLOOKUP($D211,$C$5:$AT$507,9,)/VLOOKUP($D211,$C$5:$AT$507,3,))*$E211)</f>
        <v>0</v>
      </c>
      <c r="L211" s="40">
        <f>IF(VLOOKUP($D211,$C$5:$AT$507,3,)=0,0,(VLOOKUP($D211,$C$5:$AT$507,10,)/VLOOKUP($D211,$C$5:$AT$507,3,))*$E211)</f>
        <v>0</v>
      </c>
      <c r="M211" s="40">
        <f>IF(VLOOKUP($D211,$C$5:$AT$507,3,)=0,0,(VLOOKUP($D211,$C$5:$AT$507,11,)/VLOOKUP($D211,$C$5:$AT$507,3,))*$E211)</f>
        <v>0</v>
      </c>
      <c r="N211" s="40">
        <f>IF(VLOOKUP($D211,$C$5:$AT$507,3,)=0,0,(VLOOKUP($D211,$C$5:$AT$507,12,)/VLOOKUP($D211,$C$5:$AT$507,3,))*$E211)</f>
        <v>0</v>
      </c>
      <c r="O211" s="40">
        <f>IF(VLOOKUP($D211,$C$5:$AT$507,3,)=0,0,(VLOOKUP($D211,$C$5:$AT$507,13,)/VLOOKUP($D211,$C$5:$AT$507,3,))*$E211)</f>
        <v>0</v>
      </c>
      <c r="P211" s="40">
        <f>IF(VLOOKUP($D211,$C$5:$AT$507,3,)=0,0,(VLOOKUP($D211,$C$5:$AT$507,14,)/VLOOKUP($D211,$C$5:$AT$507,3,))*$E211)</f>
        <v>0</v>
      </c>
      <c r="Q211" s="40">
        <f>IF(VLOOKUP($D211,$C$5:$AT$507,3,)=0,0,(VLOOKUP($D211,$C$5:$AT$507,15,)/VLOOKUP($D211,$C$5:$AT$507,3,))*$E211)</f>
        <v>0</v>
      </c>
      <c r="R211" s="40">
        <f>IF(VLOOKUP($D211,$C$5:$AT$507,3,)=0,0,(VLOOKUP($D211,$C$5:$AT$507,16,)/VLOOKUP($D211,$C$5:$AT$507,3,))*$E211)</f>
        <v>0</v>
      </c>
      <c r="S211" s="40">
        <f>IF(VLOOKUP($D211,$C$5:$AT$507,3,)=0,0,(VLOOKUP($D211,$C$5:$AT$507,17,)/VLOOKUP($D211,$C$5:$AT$507,3,))*$E211)</f>
        <v>0</v>
      </c>
      <c r="T211" s="40">
        <f>IF(VLOOKUP($D211,$C$5:$AT$507,3,)=0,0,(VLOOKUP($D211,$C$5:$AT$507,18,)/VLOOKUP($D211,$C$5:$AT$507,3,))*$E211)</f>
        <v>0</v>
      </c>
      <c r="U211" s="40">
        <f>IF(VLOOKUP($D211,$C$5:$AT$507,3,)=0,0,(VLOOKUP($D211,$C$5:$AT$507,19,)/VLOOKUP($D211,$C$5:$AT$507,3,))*$E211)</f>
        <v>0</v>
      </c>
      <c r="V211" s="40">
        <f>IF(VLOOKUP($D211,$C$5:$AT$507,3,)=0,0,(VLOOKUP($D211,$C$5:$AT$507,20,)/VLOOKUP($D211,$C$5:$AT$507,3,))*$E211)</f>
        <v>0</v>
      </c>
      <c r="W211" s="40">
        <f>IF(VLOOKUP($D211,$C$5:$AT$507,3,)=0,0,(VLOOKUP($D211,$C$5:$AT$507,21,)/VLOOKUP($D211,$C$5:$AT$507,3,))*$E211)</f>
        <v>0</v>
      </c>
      <c r="X211" s="40">
        <f>IF(VLOOKUP($D211,$C$5:$AT$507,3,)=0,0,(VLOOKUP($D211,$C$5:$AT$507,22,)/VLOOKUP($D211,$C$5:$AT$507,3,))*$E211)</f>
        <v>0</v>
      </c>
      <c r="Y211" s="40">
        <f>IF(VLOOKUP($D211,$C$5:$AT$507,3,)=0,0,(VLOOKUP($D211,$C$5:$AT$507,23,)/VLOOKUP($D211,$C$5:$AT$507,3,))*$E211)</f>
        <v>0</v>
      </c>
      <c r="Z211" s="40">
        <f>IF(VLOOKUP($D211,$C$5:$AT$507,3,)=0,0,(VLOOKUP($D211,$C$5:$AT$507,24,)/VLOOKUP($D211,$C$5:$AT$507,3,))*$E211)</f>
        <v>0</v>
      </c>
      <c r="AA211" s="40">
        <f>IF(VLOOKUP($D211,$C$5:$AT$507,3,)=0,0,(VLOOKUP($D211,$C$5:$AT$507,25,)/VLOOKUP($D211,$C$5:$AT$507,3,))*$E211)</f>
        <v>0</v>
      </c>
      <c r="AB211" s="40">
        <f>IF(VLOOKUP($D211,$C$5:$AT$507,3,)=0,0,(VLOOKUP($D211,$C$5:$AT$507,26,)/VLOOKUP($D211,$C$5:$AT$507,3,))*$E211)</f>
        <v>0</v>
      </c>
      <c r="AC211" s="40">
        <f>IF(VLOOKUP($D211,$C$5:$AT$507,3,)=0,0,(VLOOKUP($D211,$C$5:$AT$507,27,)/VLOOKUP($D211,$C$5:$AT$507,3,))*$E211)</f>
        <v>0</v>
      </c>
      <c r="AD211" s="40">
        <f>IF(VLOOKUP($D211,$C$5:$AT$507,3,)=0,0,(VLOOKUP($D211,$C$5:$AT$507,28,)/VLOOKUP($D211,$C$5:$AT$507,3,))*$E211)</f>
        <v>0</v>
      </c>
      <c r="AE211" s="40">
        <f>IF(VLOOKUP($D211,$C$5:$AT$507,3,)=0,0,(VLOOKUP($D211,$C$5:$AT$507,29,)/VLOOKUP($D211,$C$5:$AT$507,3,))*$E211)</f>
        <v>0</v>
      </c>
      <c r="AF211" s="40">
        <f>IF(VLOOKUP($D211,$C$5:$AT$507,3,)=0,0,(VLOOKUP($D211,$C$5:$AT$507,30,)/VLOOKUP($D211,$C$5:$AT$507,3,))*$E211)</f>
        <v>0</v>
      </c>
      <c r="AG211" s="64">
        <f>SUM(F211:AF211)</f>
        <v>0</v>
      </c>
      <c r="AH211" s="21" t="str">
        <f>IF(ABS(E211-AG211)&lt;0.01,"ok","err")</f>
        <v>ok</v>
      </c>
    </row>
    <row r="212" spans="1:34" x14ac:dyDescent="0.25">
      <c r="A212" s="14" t="s">
        <v>223</v>
      </c>
      <c r="E212" s="174">
        <f t="shared" ref="E212:T212" si="43">E210+E211</f>
        <v>0</v>
      </c>
      <c r="F212" s="40">
        <f t="shared" si="43"/>
        <v>0</v>
      </c>
      <c r="G212" s="40">
        <f t="shared" si="43"/>
        <v>0</v>
      </c>
      <c r="H212" s="40">
        <f t="shared" si="43"/>
        <v>0</v>
      </c>
      <c r="I212" s="40">
        <f t="shared" si="43"/>
        <v>0</v>
      </c>
      <c r="J212" s="40">
        <f t="shared" si="43"/>
        <v>0</v>
      </c>
      <c r="K212" s="40">
        <f t="shared" si="43"/>
        <v>0</v>
      </c>
      <c r="L212" s="40">
        <f t="shared" si="43"/>
        <v>0</v>
      </c>
      <c r="M212" s="40">
        <f t="shared" si="43"/>
        <v>0</v>
      </c>
      <c r="N212" s="40">
        <f t="shared" si="43"/>
        <v>0</v>
      </c>
      <c r="O212" s="40">
        <f t="shared" si="43"/>
        <v>0</v>
      </c>
      <c r="P212" s="40">
        <f t="shared" si="43"/>
        <v>0</v>
      </c>
      <c r="Q212" s="40">
        <f t="shared" si="43"/>
        <v>0</v>
      </c>
      <c r="R212" s="40">
        <f t="shared" si="43"/>
        <v>0</v>
      </c>
      <c r="S212" s="40">
        <f t="shared" si="43"/>
        <v>0</v>
      </c>
      <c r="T212" s="40">
        <f t="shared" si="43"/>
        <v>0</v>
      </c>
      <c r="U212" s="40">
        <f t="shared" ref="U212:AF212" si="44">U210+U211</f>
        <v>0</v>
      </c>
      <c r="V212" s="40">
        <f t="shared" si="44"/>
        <v>0</v>
      </c>
      <c r="W212" s="40">
        <f t="shared" si="44"/>
        <v>0</v>
      </c>
      <c r="X212" s="40">
        <f t="shared" si="44"/>
        <v>0</v>
      </c>
      <c r="Y212" s="40">
        <f t="shared" si="44"/>
        <v>0</v>
      </c>
      <c r="Z212" s="40">
        <f t="shared" si="44"/>
        <v>0</v>
      </c>
      <c r="AA212" s="40">
        <f t="shared" si="44"/>
        <v>0</v>
      </c>
      <c r="AB212" s="40">
        <f t="shared" si="44"/>
        <v>0</v>
      </c>
      <c r="AC212" s="40">
        <f t="shared" si="44"/>
        <v>0</v>
      </c>
      <c r="AD212" s="40">
        <f t="shared" si="44"/>
        <v>0</v>
      </c>
      <c r="AE212" s="40">
        <f t="shared" si="44"/>
        <v>0</v>
      </c>
      <c r="AF212" s="40">
        <f t="shared" si="44"/>
        <v>0</v>
      </c>
      <c r="AG212" s="64">
        <f>SUM(F212:AF212)</f>
        <v>0</v>
      </c>
      <c r="AH212" s="21" t="str">
        <f>IF(ABS(E212-AG212)&lt;0.01,"ok","err")</f>
        <v>ok</v>
      </c>
    </row>
    <row r="213" spans="1:34" x14ac:dyDescent="0.25">
      <c r="E213" s="167"/>
    </row>
    <row r="214" spans="1:34" x14ac:dyDescent="0.25">
      <c r="A214" s="13" t="s">
        <v>3</v>
      </c>
      <c r="E214" s="167"/>
    </row>
    <row r="215" spans="1:34" x14ac:dyDescent="0.25">
      <c r="A215" s="67" t="s">
        <v>208</v>
      </c>
      <c r="C215" s="14" t="s">
        <v>303</v>
      </c>
      <c r="D215" s="14" t="s">
        <v>698</v>
      </c>
      <c r="E215" s="174">
        <f>'Func &amp; Classif'!R314</f>
        <v>0</v>
      </c>
      <c r="F215" s="40">
        <f>IF(VLOOKUP($D215,$C$5:$AT$507,3,)=0,0,(VLOOKUP($D215,$C$5:$AT$507,4,)/VLOOKUP($D215,$C$5:$AT$507,3,))*$E215)</f>
        <v>0</v>
      </c>
      <c r="G215" s="40">
        <f>IF(VLOOKUP($D215,$C$5:$AT$507,3,)=0,0,(VLOOKUP($D215,$C$5:$AT$507,5,)/VLOOKUP($D215,$C$5:$AT$507,3,))*$E215)</f>
        <v>0</v>
      </c>
      <c r="H215" s="40">
        <f>IF(VLOOKUP($D215,$C$5:$AT$507,3,)=0,0,(VLOOKUP($D215,$C$5:$AT$507,6,)/VLOOKUP($D215,$C$5:$AT$507,3,))*$E215)</f>
        <v>0</v>
      </c>
      <c r="I215" s="40">
        <f>IF(VLOOKUP($D215,$C$5:$AT$507,3,)=0,0,(VLOOKUP($D215,$C$5:$AT$507,7,)/VLOOKUP($D215,$C$5:$AT$507,3,))*$E215)</f>
        <v>0</v>
      </c>
      <c r="J215" s="40">
        <f>IF(VLOOKUP($D215,$C$5:$AT$507,3,)=0,0,(VLOOKUP($D215,$C$5:$AT$507,8,)/VLOOKUP($D215,$C$5:$AT$507,3,))*$E215)</f>
        <v>0</v>
      </c>
      <c r="K215" s="40">
        <f>IF(VLOOKUP($D215,$C$5:$AT$507,3,)=0,0,(VLOOKUP($D215,$C$5:$AT$507,9,)/VLOOKUP($D215,$C$5:$AT$507,3,))*$E215)</f>
        <v>0</v>
      </c>
      <c r="L215" s="40">
        <f>IF(VLOOKUP($D215,$C$5:$AT$507,3,)=0,0,(VLOOKUP($D215,$C$5:$AT$507,10,)/VLOOKUP($D215,$C$5:$AT$507,3,))*$E215)</f>
        <v>0</v>
      </c>
      <c r="M215" s="40">
        <f>IF(VLOOKUP($D215,$C$5:$AT$507,3,)=0,0,(VLOOKUP($D215,$C$5:$AT$507,11,)/VLOOKUP($D215,$C$5:$AT$507,3,))*$E215)</f>
        <v>0</v>
      </c>
      <c r="N215" s="40">
        <f>IF(VLOOKUP($D215,$C$5:$AT$507,3,)=0,0,(VLOOKUP($D215,$C$5:$AT$507,12,)/VLOOKUP($D215,$C$5:$AT$507,3,))*$E215)</f>
        <v>0</v>
      </c>
      <c r="O215" s="40">
        <f>IF(VLOOKUP($D215,$C$5:$AT$507,3,)=0,0,(VLOOKUP($D215,$C$5:$AT$507,13,)/VLOOKUP($D215,$C$5:$AT$507,3,))*$E215)</f>
        <v>0</v>
      </c>
      <c r="P215" s="40">
        <f>IF(VLOOKUP($D215,$C$5:$AT$507,3,)=0,0,(VLOOKUP($D215,$C$5:$AT$507,14,)/VLOOKUP($D215,$C$5:$AT$507,3,))*$E215)</f>
        <v>0</v>
      </c>
      <c r="Q215" s="40">
        <f>IF(VLOOKUP($D215,$C$5:$AT$507,3,)=0,0,(VLOOKUP($D215,$C$5:$AT$507,15,)/VLOOKUP($D215,$C$5:$AT$507,3,))*$E215)</f>
        <v>0</v>
      </c>
      <c r="R215" s="40">
        <f>IF(VLOOKUP($D215,$C$5:$AT$507,3,)=0,0,(VLOOKUP($D215,$C$5:$AT$507,16,)/VLOOKUP($D215,$C$5:$AT$507,3,))*$E215)</f>
        <v>0</v>
      </c>
      <c r="S215" s="40">
        <f>IF(VLOOKUP($D215,$C$5:$AT$507,3,)=0,0,(VLOOKUP($D215,$C$5:$AT$507,17,)/VLOOKUP($D215,$C$5:$AT$507,3,))*$E215)</f>
        <v>0</v>
      </c>
      <c r="T215" s="40">
        <f>IF(VLOOKUP($D215,$C$5:$AT$507,3,)=0,0,(VLOOKUP($D215,$C$5:$AT$507,18,)/VLOOKUP($D215,$C$5:$AT$507,3,))*$E215)</f>
        <v>0</v>
      </c>
      <c r="U215" s="40">
        <f>IF(VLOOKUP($D215,$C$5:$AT$507,3,)=0,0,(VLOOKUP($D215,$C$5:$AT$507,19,)/VLOOKUP($D215,$C$5:$AT$507,3,))*$E215)</f>
        <v>0</v>
      </c>
      <c r="V215" s="40">
        <f>IF(VLOOKUP($D215,$C$5:$AT$507,3,)=0,0,(VLOOKUP($D215,$C$5:$AT$507,20,)/VLOOKUP($D215,$C$5:$AT$507,3,))*$E215)</f>
        <v>0</v>
      </c>
      <c r="W215" s="40">
        <f>IF(VLOOKUP($D215,$C$5:$AT$507,3,)=0,0,(VLOOKUP($D215,$C$5:$AT$507,21,)/VLOOKUP($D215,$C$5:$AT$507,3,))*$E215)</f>
        <v>0</v>
      </c>
      <c r="X215" s="40">
        <f>IF(VLOOKUP($D215,$C$5:$AT$507,3,)=0,0,(VLOOKUP($D215,$C$5:$AT$507,22,)/VLOOKUP($D215,$C$5:$AT$507,3,))*$E215)</f>
        <v>0</v>
      </c>
      <c r="Y215" s="40">
        <f>IF(VLOOKUP($D215,$C$5:$AT$507,3,)=0,0,(VLOOKUP($D215,$C$5:$AT$507,23,)/VLOOKUP($D215,$C$5:$AT$507,3,))*$E215)</f>
        <v>0</v>
      </c>
      <c r="Z215" s="40">
        <f>IF(VLOOKUP($D215,$C$5:$AT$507,3,)=0,0,(VLOOKUP($D215,$C$5:$AT$507,24,)/VLOOKUP($D215,$C$5:$AT$507,3,))*$E215)</f>
        <v>0</v>
      </c>
      <c r="AA215" s="40">
        <f>IF(VLOOKUP($D215,$C$5:$AT$507,3,)=0,0,(VLOOKUP($D215,$C$5:$AT$507,25,)/VLOOKUP($D215,$C$5:$AT$507,3,))*$E215)</f>
        <v>0</v>
      </c>
      <c r="AB215" s="40">
        <f>IF(VLOOKUP($D215,$C$5:$AT$507,3,)=0,0,(VLOOKUP($D215,$C$5:$AT$507,26,)/VLOOKUP($D215,$C$5:$AT$507,3,))*$E215)</f>
        <v>0</v>
      </c>
      <c r="AC215" s="40">
        <f>IF(VLOOKUP($D215,$C$5:$AT$507,3,)=0,0,(VLOOKUP($D215,$C$5:$AT$507,27,)/VLOOKUP($D215,$C$5:$AT$507,3,))*$E215)</f>
        <v>0</v>
      </c>
      <c r="AD215" s="40">
        <f>IF(VLOOKUP($D215,$C$5:$AT$507,3,)=0,0,(VLOOKUP($D215,$C$5:$AT$507,28,)/VLOOKUP($D215,$C$5:$AT$507,3,))*$E215)</f>
        <v>0</v>
      </c>
      <c r="AE215" s="40">
        <f>IF(VLOOKUP($D215,$C$5:$AT$507,3,)=0,0,(VLOOKUP($D215,$C$5:$AT$507,29,)/VLOOKUP($D215,$C$5:$AT$507,3,))*$E215)</f>
        <v>0</v>
      </c>
      <c r="AF215" s="40">
        <f>IF(VLOOKUP($D215,$C$5:$AT$507,3,)=0,0,(VLOOKUP($D215,$C$5:$AT$507,30,)/VLOOKUP($D215,$C$5:$AT$507,3,))*$E215)</f>
        <v>0</v>
      </c>
      <c r="AG215" s="64">
        <f>SUM(F215:AF215)</f>
        <v>0</v>
      </c>
      <c r="AH215" s="21" t="str">
        <f>IF(ABS(E215-AG215)&lt;0.01,"ok","err")</f>
        <v>ok</v>
      </c>
    </row>
    <row r="216" spans="1:34" x14ac:dyDescent="0.25">
      <c r="A216" s="67" t="s">
        <v>220</v>
      </c>
      <c r="C216" s="14" t="s">
        <v>304</v>
      </c>
      <c r="D216" s="14" t="s">
        <v>698</v>
      </c>
      <c r="E216" s="167">
        <f>'Func &amp; Classif'!S314</f>
        <v>0</v>
      </c>
      <c r="F216" s="40">
        <f>IF(VLOOKUP($D216,$C$5:$AT$507,3,)=0,0,(VLOOKUP($D216,$C$5:$AT$507,4,)/VLOOKUP($D216,$C$5:$AT$507,3,))*$E216)</f>
        <v>0</v>
      </c>
      <c r="G216" s="40">
        <f>IF(VLOOKUP($D216,$C$5:$AT$507,3,)=0,0,(VLOOKUP($D216,$C$5:$AT$507,5,)/VLOOKUP($D216,$C$5:$AT$507,3,))*$E216)</f>
        <v>0</v>
      </c>
      <c r="H216" s="40">
        <f>IF(VLOOKUP($D216,$C$5:$AT$507,3,)=0,0,(VLOOKUP($D216,$C$5:$AT$507,6,)/VLOOKUP($D216,$C$5:$AT$507,3,))*$E216)</f>
        <v>0</v>
      </c>
      <c r="I216" s="40">
        <f>IF(VLOOKUP($D216,$C$5:$AT$507,3,)=0,0,(VLOOKUP($D216,$C$5:$AT$507,7,)/VLOOKUP($D216,$C$5:$AT$507,3,))*$E216)</f>
        <v>0</v>
      </c>
      <c r="J216" s="40">
        <f>IF(VLOOKUP($D216,$C$5:$AT$507,3,)=0,0,(VLOOKUP($D216,$C$5:$AT$507,8,)/VLOOKUP($D216,$C$5:$AT$507,3,))*$E216)</f>
        <v>0</v>
      </c>
      <c r="K216" s="40">
        <f>IF(VLOOKUP($D216,$C$5:$AT$507,3,)=0,0,(VLOOKUP($D216,$C$5:$AT$507,9,)/VLOOKUP($D216,$C$5:$AT$507,3,))*$E216)</f>
        <v>0</v>
      </c>
      <c r="L216" s="40">
        <f>IF(VLOOKUP($D216,$C$5:$AT$507,3,)=0,0,(VLOOKUP($D216,$C$5:$AT$507,10,)/VLOOKUP($D216,$C$5:$AT$507,3,))*$E216)</f>
        <v>0</v>
      </c>
      <c r="M216" s="40">
        <f>IF(VLOOKUP($D216,$C$5:$AT$507,3,)=0,0,(VLOOKUP($D216,$C$5:$AT$507,11,)/VLOOKUP($D216,$C$5:$AT$507,3,))*$E216)</f>
        <v>0</v>
      </c>
      <c r="N216" s="40">
        <f>IF(VLOOKUP($D216,$C$5:$AT$507,3,)=0,0,(VLOOKUP($D216,$C$5:$AT$507,12,)/VLOOKUP($D216,$C$5:$AT$507,3,))*$E216)</f>
        <v>0</v>
      </c>
      <c r="O216" s="40">
        <f>IF(VLOOKUP($D216,$C$5:$AT$507,3,)=0,0,(VLOOKUP($D216,$C$5:$AT$507,13,)/VLOOKUP($D216,$C$5:$AT$507,3,))*$E216)</f>
        <v>0</v>
      </c>
      <c r="P216" s="40">
        <f>IF(VLOOKUP($D216,$C$5:$AT$507,3,)=0,0,(VLOOKUP($D216,$C$5:$AT$507,14,)/VLOOKUP($D216,$C$5:$AT$507,3,))*$E216)</f>
        <v>0</v>
      </c>
      <c r="Q216" s="40">
        <f>IF(VLOOKUP($D216,$C$5:$AT$507,3,)=0,0,(VLOOKUP($D216,$C$5:$AT$507,15,)/VLOOKUP($D216,$C$5:$AT$507,3,))*$E216)</f>
        <v>0</v>
      </c>
      <c r="R216" s="40">
        <f>IF(VLOOKUP($D216,$C$5:$AT$507,3,)=0,0,(VLOOKUP($D216,$C$5:$AT$507,16,)/VLOOKUP($D216,$C$5:$AT$507,3,))*$E216)</f>
        <v>0</v>
      </c>
      <c r="S216" s="40">
        <f>IF(VLOOKUP($D216,$C$5:$AT$507,3,)=0,0,(VLOOKUP($D216,$C$5:$AT$507,17,)/VLOOKUP($D216,$C$5:$AT$507,3,))*$E216)</f>
        <v>0</v>
      </c>
      <c r="T216" s="40">
        <f>IF(VLOOKUP($D216,$C$5:$AT$507,3,)=0,0,(VLOOKUP($D216,$C$5:$AT$507,18,)/VLOOKUP($D216,$C$5:$AT$507,3,))*$E216)</f>
        <v>0</v>
      </c>
      <c r="U216" s="40">
        <f>IF(VLOOKUP($D216,$C$5:$AT$507,3,)=0,0,(VLOOKUP($D216,$C$5:$AT$507,19,)/VLOOKUP($D216,$C$5:$AT$507,3,))*$E216)</f>
        <v>0</v>
      </c>
      <c r="V216" s="40">
        <f>IF(VLOOKUP($D216,$C$5:$AT$507,3,)=0,0,(VLOOKUP($D216,$C$5:$AT$507,20,)/VLOOKUP($D216,$C$5:$AT$507,3,))*$E216)</f>
        <v>0</v>
      </c>
      <c r="W216" s="40">
        <f>IF(VLOOKUP($D216,$C$5:$AT$507,3,)=0,0,(VLOOKUP($D216,$C$5:$AT$507,21,)/VLOOKUP($D216,$C$5:$AT$507,3,))*$E216)</f>
        <v>0</v>
      </c>
      <c r="X216" s="40">
        <f>IF(VLOOKUP($D216,$C$5:$AT$507,3,)=0,0,(VLOOKUP($D216,$C$5:$AT$507,22,)/VLOOKUP($D216,$C$5:$AT$507,3,))*$E216)</f>
        <v>0</v>
      </c>
      <c r="Y216" s="40">
        <f>IF(VLOOKUP($D216,$C$5:$AT$507,3,)=0,0,(VLOOKUP($D216,$C$5:$AT$507,23,)/VLOOKUP($D216,$C$5:$AT$507,3,))*$E216)</f>
        <v>0</v>
      </c>
      <c r="Z216" s="40">
        <f>IF(VLOOKUP($D216,$C$5:$AT$507,3,)=0,0,(VLOOKUP($D216,$C$5:$AT$507,24,)/VLOOKUP($D216,$C$5:$AT$507,3,))*$E216)</f>
        <v>0</v>
      </c>
      <c r="AA216" s="40">
        <f>IF(VLOOKUP($D216,$C$5:$AT$507,3,)=0,0,(VLOOKUP($D216,$C$5:$AT$507,25,)/VLOOKUP($D216,$C$5:$AT$507,3,))*$E216)</f>
        <v>0</v>
      </c>
      <c r="AB216" s="40">
        <f>IF(VLOOKUP($D216,$C$5:$AT$507,3,)=0,0,(VLOOKUP($D216,$C$5:$AT$507,26,)/VLOOKUP($D216,$C$5:$AT$507,3,))*$E216)</f>
        <v>0</v>
      </c>
      <c r="AC216" s="40">
        <f>IF(VLOOKUP($D216,$C$5:$AT$507,3,)=0,0,(VLOOKUP($D216,$C$5:$AT$507,27,)/VLOOKUP($D216,$C$5:$AT$507,3,))*$E216)</f>
        <v>0</v>
      </c>
      <c r="AD216" s="40">
        <f>IF(VLOOKUP($D216,$C$5:$AT$507,3,)=0,0,(VLOOKUP($D216,$C$5:$AT$507,28,)/VLOOKUP($D216,$C$5:$AT$507,3,))*$E216)</f>
        <v>0</v>
      </c>
      <c r="AE216" s="40">
        <f>IF(VLOOKUP($D216,$C$5:$AT$507,3,)=0,0,(VLOOKUP($D216,$C$5:$AT$507,29,)/VLOOKUP($D216,$C$5:$AT$507,3,))*$E216)</f>
        <v>0</v>
      </c>
      <c r="AF216" s="40">
        <f>IF(VLOOKUP($D216,$C$5:$AT$507,3,)=0,0,(VLOOKUP($D216,$C$5:$AT$507,30,)/VLOOKUP($D216,$C$5:$AT$507,3,))*$E216)</f>
        <v>0</v>
      </c>
      <c r="AG216" s="64">
        <f>SUM(F216:AF216)</f>
        <v>0</v>
      </c>
      <c r="AH216" s="21" t="str">
        <f>IF(ABS(E216-AG216)&lt;0.01,"ok","err")</f>
        <v>ok</v>
      </c>
    </row>
    <row r="217" spans="1:34" x14ac:dyDescent="0.25">
      <c r="A217" s="14" t="s">
        <v>227</v>
      </c>
      <c r="E217" s="174">
        <f t="shared" ref="E217:T217" si="45">E215+E216</f>
        <v>0</v>
      </c>
      <c r="F217" s="40">
        <f t="shared" si="45"/>
        <v>0</v>
      </c>
      <c r="G217" s="40">
        <f t="shared" si="45"/>
        <v>0</v>
      </c>
      <c r="H217" s="40">
        <f t="shared" si="45"/>
        <v>0</v>
      </c>
      <c r="I217" s="40">
        <f t="shared" si="45"/>
        <v>0</v>
      </c>
      <c r="J217" s="40">
        <f t="shared" si="45"/>
        <v>0</v>
      </c>
      <c r="K217" s="40">
        <f t="shared" si="45"/>
        <v>0</v>
      </c>
      <c r="L217" s="40">
        <f t="shared" si="45"/>
        <v>0</v>
      </c>
      <c r="M217" s="40">
        <f t="shared" si="45"/>
        <v>0</v>
      </c>
      <c r="N217" s="40">
        <f t="shared" si="45"/>
        <v>0</v>
      </c>
      <c r="O217" s="40">
        <f t="shared" si="45"/>
        <v>0</v>
      </c>
      <c r="P217" s="40">
        <f t="shared" si="45"/>
        <v>0</v>
      </c>
      <c r="Q217" s="40">
        <f t="shared" si="45"/>
        <v>0</v>
      </c>
      <c r="R217" s="40">
        <f t="shared" si="45"/>
        <v>0</v>
      </c>
      <c r="S217" s="40">
        <f t="shared" si="45"/>
        <v>0</v>
      </c>
      <c r="T217" s="40">
        <f t="shared" si="45"/>
        <v>0</v>
      </c>
      <c r="U217" s="40">
        <f t="shared" ref="U217:AF217" si="46">U215+U216</f>
        <v>0</v>
      </c>
      <c r="V217" s="40">
        <f t="shared" si="46"/>
        <v>0</v>
      </c>
      <c r="W217" s="40">
        <f t="shared" si="46"/>
        <v>0</v>
      </c>
      <c r="X217" s="40">
        <f t="shared" si="46"/>
        <v>0</v>
      </c>
      <c r="Y217" s="40">
        <f t="shared" si="46"/>
        <v>0</v>
      </c>
      <c r="Z217" s="40">
        <f t="shared" si="46"/>
        <v>0</v>
      </c>
      <c r="AA217" s="40">
        <f t="shared" si="46"/>
        <v>0</v>
      </c>
      <c r="AB217" s="40">
        <f t="shared" si="46"/>
        <v>0</v>
      </c>
      <c r="AC217" s="40">
        <f t="shared" si="46"/>
        <v>0</v>
      </c>
      <c r="AD217" s="40">
        <f t="shared" si="46"/>
        <v>0</v>
      </c>
      <c r="AE217" s="40">
        <f t="shared" si="46"/>
        <v>0</v>
      </c>
      <c r="AF217" s="40">
        <f t="shared" si="46"/>
        <v>0</v>
      </c>
      <c r="AG217" s="64">
        <f>SUM(F217:AF217)</f>
        <v>0</v>
      </c>
      <c r="AH217" s="21" t="str">
        <f>IF(ABS(E217-AG217)&lt;0.01,"ok","err")</f>
        <v>ok</v>
      </c>
    </row>
    <row r="218" spans="1:34" x14ac:dyDescent="0.25">
      <c r="E218" s="167"/>
    </row>
    <row r="219" spans="1:34" x14ac:dyDescent="0.25">
      <c r="A219" s="13" t="s">
        <v>4</v>
      </c>
      <c r="E219" s="167"/>
    </row>
    <row r="220" spans="1:34" x14ac:dyDescent="0.25">
      <c r="A220" s="67" t="s">
        <v>220</v>
      </c>
      <c r="C220" s="14" t="s">
        <v>305</v>
      </c>
      <c r="D220" s="14" t="s">
        <v>229</v>
      </c>
      <c r="E220" s="174">
        <f>'Func &amp; Classif'!U314</f>
        <v>0</v>
      </c>
      <c r="F220" s="40">
        <f>IF(VLOOKUP($D220,$C$5:$AT$507,3,)=0,0,(VLOOKUP($D220,$C$5:$AT$507,4,)/VLOOKUP($D220,$C$5:$AT$507,3,))*$E220)</f>
        <v>0</v>
      </c>
      <c r="G220" s="40">
        <f>IF(VLOOKUP($D220,$C$5:$AT$507,3,)=0,0,(VLOOKUP($D220,$C$5:$AT$507,5,)/VLOOKUP($D220,$C$5:$AT$507,3,))*$E220)</f>
        <v>0</v>
      </c>
      <c r="H220" s="40">
        <f>IF(VLOOKUP($D220,$C$5:$AT$507,3,)=0,0,(VLOOKUP($D220,$C$5:$AT$507,6,)/VLOOKUP($D220,$C$5:$AT$507,3,))*$E220)</f>
        <v>0</v>
      </c>
      <c r="I220" s="40">
        <f>IF(VLOOKUP($D220,$C$5:$AT$507,3,)=0,0,(VLOOKUP($D220,$C$5:$AT$507,7,)/VLOOKUP($D220,$C$5:$AT$507,3,))*$E220)</f>
        <v>0</v>
      </c>
      <c r="J220" s="40">
        <f>IF(VLOOKUP($D220,$C$5:$AT$507,3,)=0,0,(VLOOKUP($D220,$C$5:$AT$507,8,)/VLOOKUP($D220,$C$5:$AT$507,3,))*$E220)</f>
        <v>0</v>
      </c>
      <c r="K220" s="40">
        <f>IF(VLOOKUP($D220,$C$5:$AT$507,3,)=0,0,(VLOOKUP($D220,$C$5:$AT$507,9,)/VLOOKUP($D220,$C$5:$AT$507,3,))*$E220)</f>
        <v>0</v>
      </c>
      <c r="L220" s="40">
        <f>IF(VLOOKUP($D220,$C$5:$AT$507,3,)=0,0,(VLOOKUP($D220,$C$5:$AT$507,10,)/VLOOKUP($D220,$C$5:$AT$507,3,))*$E220)</f>
        <v>0</v>
      </c>
      <c r="M220" s="40">
        <f>IF(VLOOKUP($D220,$C$5:$AT$507,3,)=0,0,(VLOOKUP($D220,$C$5:$AT$507,11,)/VLOOKUP($D220,$C$5:$AT$507,3,))*$E220)</f>
        <v>0</v>
      </c>
      <c r="N220" s="40">
        <f>IF(VLOOKUP($D220,$C$5:$AT$507,3,)=0,0,(VLOOKUP($D220,$C$5:$AT$507,12,)/VLOOKUP($D220,$C$5:$AT$507,3,))*$E220)</f>
        <v>0</v>
      </c>
      <c r="O220" s="40">
        <f>IF(VLOOKUP($D220,$C$5:$AT$507,3,)=0,0,(VLOOKUP($D220,$C$5:$AT$507,13,)/VLOOKUP($D220,$C$5:$AT$507,3,))*$E220)</f>
        <v>0</v>
      </c>
      <c r="P220" s="40">
        <f>IF(VLOOKUP($D220,$C$5:$AT$507,3,)=0,0,(VLOOKUP($D220,$C$5:$AT$507,14,)/VLOOKUP($D220,$C$5:$AT$507,3,))*$E220)</f>
        <v>0</v>
      </c>
      <c r="Q220" s="40">
        <f>IF(VLOOKUP($D220,$C$5:$AT$507,3,)=0,0,(VLOOKUP($D220,$C$5:$AT$507,15,)/VLOOKUP($D220,$C$5:$AT$507,3,))*$E220)</f>
        <v>0</v>
      </c>
      <c r="R220" s="40">
        <f>IF(VLOOKUP($D220,$C$5:$AT$507,3,)=0,0,(VLOOKUP($D220,$C$5:$AT$507,16,)/VLOOKUP($D220,$C$5:$AT$507,3,))*$E220)</f>
        <v>0</v>
      </c>
      <c r="S220" s="40">
        <f>IF(VLOOKUP($D220,$C$5:$AT$507,3,)=0,0,(VLOOKUP($D220,$C$5:$AT$507,17,)/VLOOKUP($D220,$C$5:$AT$507,3,))*$E220)</f>
        <v>0</v>
      </c>
      <c r="T220" s="40">
        <f>IF(VLOOKUP($D220,$C$5:$AT$507,3,)=0,0,(VLOOKUP($D220,$C$5:$AT$507,18,)/VLOOKUP($D220,$C$5:$AT$507,3,))*$E220)</f>
        <v>0</v>
      </c>
      <c r="U220" s="40">
        <f>IF(VLOOKUP($D220,$C$5:$AT$507,3,)=0,0,(VLOOKUP($D220,$C$5:$AT$507,19,)/VLOOKUP($D220,$C$5:$AT$507,3,))*$E220)</f>
        <v>0</v>
      </c>
      <c r="V220" s="40">
        <f>IF(VLOOKUP($D220,$C$5:$AT$507,3,)=0,0,(VLOOKUP($D220,$C$5:$AT$507,20,)/VLOOKUP($D220,$C$5:$AT$507,3,))*$E220)</f>
        <v>0</v>
      </c>
      <c r="W220" s="40">
        <f>IF(VLOOKUP($D220,$C$5:$AT$507,3,)=0,0,(VLOOKUP($D220,$C$5:$AT$507,21,)/VLOOKUP($D220,$C$5:$AT$507,3,))*$E220)</f>
        <v>0</v>
      </c>
      <c r="X220" s="40">
        <f>IF(VLOOKUP($D220,$C$5:$AT$507,3,)=0,0,(VLOOKUP($D220,$C$5:$AT$507,22,)/VLOOKUP($D220,$C$5:$AT$507,3,))*$E220)</f>
        <v>0</v>
      </c>
      <c r="Y220" s="40">
        <f>IF(VLOOKUP($D220,$C$5:$AT$507,3,)=0,0,(VLOOKUP($D220,$C$5:$AT$507,23,)/VLOOKUP($D220,$C$5:$AT$507,3,))*$E220)</f>
        <v>0</v>
      </c>
      <c r="Z220" s="40">
        <f>IF(VLOOKUP($D220,$C$5:$AT$507,3,)=0,0,(VLOOKUP($D220,$C$5:$AT$507,24,)/VLOOKUP($D220,$C$5:$AT$507,3,))*$E220)</f>
        <v>0</v>
      </c>
      <c r="AA220" s="40">
        <f>IF(VLOOKUP($D220,$C$5:$AT$507,3,)=0,0,(VLOOKUP($D220,$C$5:$AT$507,25,)/VLOOKUP($D220,$C$5:$AT$507,3,))*$E220)</f>
        <v>0</v>
      </c>
      <c r="AB220" s="40">
        <f>IF(VLOOKUP($D220,$C$5:$AT$507,3,)=0,0,(VLOOKUP($D220,$C$5:$AT$507,26,)/VLOOKUP($D220,$C$5:$AT$507,3,))*$E220)</f>
        <v>0</v>
      </c>
      <c r="AC220" s="40">
        <f>IF(VLOOKUP($D220,$C$5:$AT$507,3,)=0,0,(VLOOKUP($D220,$C$5:$AT$507,27,)/VLOOKUP($D220,$C$5:$AT$507,3,))*$E220)</f>
        <v>0</v>
      </c>
      <c r="AD220" s="40">
        <f>IF(VLOOKUP($D220,$C$5:$AT$507,3,)=0,0,(VLOOKUP($D220,$C$5:$AT$507,28,)/VLOOKUP($D220,$C$5:$AT$507,3,))*$E220)</f>
        <v>0</v>
      </c>
      <c r="AE220" s="40">
        <f>IF(VLOOKUP($D220,$C$5:$AT$507,3,)=0,0,(VLOOKUP($D220,$C$5:$AT$507,29,)/VLOOKUP($D220,$C$5:$AT$507,3,))*$E220)</f>
        <v>0</v>
      </c>
      <c r="AF220" s="40">
        <f>IF(VLOOKUP($D220,$C$5:$AT$507,3,)=0,0,(VLOOKUP($D220,$C$5:$AT$507,30,)/VLOOKUP($D220,$C$5:$AT$507,3,))*$E220)</f>
        <v>0</v>
      </c>
      <c r="AG220" s="64">
        <f>SUM(F220:AF220)</f>
        <v>0</v>
      </c>
      <c r="AH220" s="21" t="str">
        <f>IF(ABS(E220-AG220)&lt;0.01,"ok","err")</f>
        <v>ok</v>
      </c>
    </row>
    <row r="221" spans="1:34" x14ac:dyDescent="0.25">
      <c r="E221" s="167"/>
    </row>
    <row r="222" spans="1:34" x14ac:dyDescent="0.25">
      <c r="A222" s="13" t="s">
        <v>5</v>
      </c>
      <c r="E222" s="167"/>
    </row>
    <row r="223" spans="1:34" x14ac:dyDescent="0.25">
      <c r="A223" s="67" t="s">
        <v>220</v>
      </c>
      <c r="C223" s="14" t="s">
        <v>306</v>
      </c>
      <c r="D223" s="14" t="s">
        <v>231</v>
      </c>
      <c r="E223" s="174">
        <f>'Func &amp; Classif'!W314</f>
        <v>0</v>
      </c>
      <c r="F223" s="40">
        <f>IF(VLOOKUP($D223,$C$5:$AT$507,3,)=0,0,(VLOOKUP($D223,$C$5:$AT$507,4,)/VLOOKUP($D223,$C$5:$AT$507,3,))*$E223)</f>
        <v>0</v>
      </c>
      <c r="G223" s="40">
        <f>IF(VLOOKUP($D223,$C$5:$AT$507,3,)=0,0,(VLOOKUP($D223,$C$5:$AT$507,5,)/VLOOKUP($D223,$C$5:$AT$507,3,))*$E223)</f>
        <v>0</v>
      </c>
      <c r="H223" s="40">
        <f>IF(VLOOKUP($D223,$C$5:$AT$507,3,)=0,0,(VLOOKUP($D223,$C$5:$AT$507,6,)/VLOOKUP($D223,$C$5:$AT$507,3,))*$E223)</f>
        <v>0</v>
      </c>
      <c r="I223" s="40">
        <f>IF(VLOOKUP($D223,$C$5:$AT$507,3,)=0,0,(VLOOKUP($D223,$C$5:$AT$507,7,)/VLOOKUP($D223,$C$5:$AT$507,3,))*$E223)</f>
        <v>0</v>
      </c>
      <c r="J223" s="40">
        <f>IF(VLOOKUP($D223,$C$5:$AT$507,3,)=0,0,(VLOOKUP($D223,$C$5:$AT$507,8,)/VLOOKUP($D223,$C$5:$AT$507,3,))*$E223)</f>
        <v>0</v>
      </c>
      <c r="K223" s="40">
        <f>IF(VLOOKUP($D223,$C$5:$AT$507,3,)=0,0,(VLOOKUP($D223,$C$5:$AT$507,9,)/VLOOKUP($D223,$C$5:$AT$507,3,))*$E223)</f>
        <v>0</v>
      </c>
      <c r="L223" s="40">
        <f>IF(VLOOKUP($D223,$C$5:$AT$507,3,)=0,0,(VLOOKUP($D223,$C$5:$AT$507,10,)/VLOOKUP($D223,$C$5:$AT$507,3,))*$E223)</f>
        <v>0</v>
      </c>
      <c r="M223" s="40">
        <f>IF(VLOOKUP($D223,$C$5:$AT$507,3,)=0,0,(VLOOKUP($D223,$C$5:$AT$507,11,)/VLOOKUP($D223,$C$5:$AT$507,3,))*$E223)</f>
        <v>0</v>
      </c>
      <c r="N223" s="40">
        <f>IF(VLOOKUP($D223,$C$5:$AT$507,3,)=0,0,(VLOOKUP($D223,$C$5:$AT$507,12,)/VLOOKUP($D223,$C$5:$AT$507,3,))*$E223)</f>
        <v>0</v>
      </c>
      <c r="O223" s="40">
        <f>IF(VLOOKUP($D223,$C$5:$AT$507,3,)=0,0,(VLOOKUP($D223,$C$5:$AT$507,13,)/VLOOKUP($D223,$C$5:$AT$507,3,))*$E223)</f>
        <v>0</v>
      </c>
      <c r="P223" s="40">
        <f>IF(VLOOKUP($D223,$C$5:$AT$507,3,)=0,0,(VLOOKUP($D223,$C$5:$AT$507,14,)/VLOOKUP($D223,$C$5:$AT$507,3,))*$E223)</f>
        <v>0</v>
      </c>
      <c r="Q223" s="40">
        <f>IF(VLOOKUP($D223,$C$5:$AT$507,3,)=0,0,(VLOOKUP($D223,$C$5:$AT$507,15,)/VLOOKUP($D223,$C$5:$AT$507,3,))*$E223)</f>
        <v>0</v>
      </c>
      <c r="R223" s="40">
        <f>IF(VLOOKUP($D223,$C$5:$AT$507,3,)=0,0,(VLOOKUP($D223,$C$5:$AT$507,16,)/VLOOKUP($D223,$C$5:$AT$507,3,))*$E223)</f>
        <v>0</v>
      </c>
      <c r="S223" s="40">
        <f>IF(VLOOKUP($D223,$C$5:$AT$507,3,)=0,0,(VLOOKUP($D223,$C$5:$AT$507,17,)/VLOOKUP($D223,$C$5:$AT$507,3,))*$E223)</f>
        <v>0</v>
      </c>
      <c r="T223" s="40">
        <f>IF(VLOOKUP($D223,$C$5:$AT$507,3,)=0,0,(VLOOKUP($D223,$C$5:$AT$507,18,)/VLOOKUP($D223,$C$5:$AT$507,3,))*$E223)</f>
        <v>0</v>
      </c>
      <c r="U223" s="40">
        <f>IF(VLOOKUP($D223,$C$5:$AT$507,3,)=0,0,(VLOOKUP($D223,$C$5:$AT$507,19,)/VLOOKUP($D223,$C$5:$AT$507,3,))*$E223)</f>
        <v>0</v>
      </c>
      <c r="V223" s="40">
        <f>IF(VLOOKUP($D223,$C$5:$AT$507,3,)=0,0,(VLOOKUP($D223,$C$5:$AT$507,20,)/VLOOKUP($D223,$C$5:$AT$507,3,))*$E223)</f>
        <v>0</v>
      </c>
      <c r="W223" s="40">
        <f>IF(VLOOKUP($D223,$C$5:$AT$507,3,)=0,0,(VLOOKUP($D223,$C$5:$AT$507,21,)/VLOOKUP($D223,$C$5:$AT$507,3,))*$E223)</f>
        <v>0</v>
      </c>
      <c r="X223" s="40">
        <f>IF(VLOOKUP($D223,$C$5:$AT$507,3,)=0,0,(VLOOKUP($D223,$C$5:$AT$507,22,)/VLOOKUP($D223,$C$5:$AT$507,3,))*$E223)</f>
        <v>0</v>
      </c>
      <c r="Y223" s="40">
        <f>IF(VLOOKUP($D223,$C$5:$AT$507,3,)=0,0,(VLOOKUP($D223,$C$5:$AT$507,23,)/VLOOKUP($D223,$C$5:$AT$507,3,))*$E223)</f>
        <v>0</v>
      </c>
      <c r="Z223" s="40">
        <f>IF(VLOOKUP($D223,$C$5:$AT$507,3,)=0,0,(VLOOKUP($D223,$C$5:$AT$507,24,)/VLOOKUP($D223,$C$5:$AT$507,3,))*$E223)</f>
        <v>0</v>
      </c>
      <c r="AA223" s="40">
        <f>IF(VLOOKUP($D223,$C$5:$AT$507,3,)=0,0,(VLOOKUP($D223,$C$5:$AT$507,25,)/VLOOKUP($D223,$C$5:$AT$507,3,))*$E223)</f>
        <v>0</v>
      </c>
      <c r="AB223" s="40">
        <f>IF(VLOOKUP($D223,$C$5:$AT$507,3,)=0,0,(VLOOKUP($D223,$C$5:$AT$507,26,)/VLOOKUP($D223,$C$5:$AT$507,3,))*$E223)</f>
        <v>0</v>
      </c>
      <c r="AC223" s="40">
        <f>IF(VLOOKUP($D223,$C$5:$AT$507,3,)=0,0,(VLOOKUP($D223,$C$5:$AT$507,27,)/VLOOKUP($D223,$C$5:$AT$507,3,))*$E223)</f>
        <v>0</v>
      </c>
      <c r="AD223" s="40">
        <f>IF(VLOOKUP($D223,$C$5:$AT$507,3,)=0,0,(VLOOKUP($D223,$C$5:$AT$507,28,)/VLOOKUP($D223,$C$5:$AT$507,3,))*$E223)</f>
        <v>0</v>
      </c>
      <c r="AE223" s="40">
        <f>IF(VLOOKUP($D223,$C$5:$AT$507,3,)=0,0,(VLOOKUP($D223,$C$5:$AT$507,29,)/VLOOKUP($D223,$C$5:$AT$507,3,))*$E223)</f>
        <v>0</v>
      </c>
      <c r="AF223" s="40">
        <f>IF(VLOOKUP($D223,$C$5:$AT$507,3,)=0,0,(VLOOKUP($D223,$C$5:$AT$507,30,)/VLOOKUP($D223,$C$5:$AT$507,3,))*$E223)</f>
        <v>0</v>
      </c>
      <c r="AG223" s="64">
        <f>SUM(F223:AF223)</f>
        <v>0</v>
      </c>
      <c r="AH223" s="21" t="str">
        <f>IF(ABS(E223-AG223)&lt;0.01,"ok","err")</f>
        <v>ok</v>
      </c>
    </row>
    <row r="224" spans="1:34" x14ac:dyDescent="0.25">
      <c r="E224" s="167"/>
    </row>
    <row r="225" spans="1:34" x14ac:dyDescent="0.25">
      <c r="A225" s="13" t="s">
        <v>544</v>
      </c>
      <c r="E225" s="167"/>
    </row>
    <row r="226" spans="1:34" x14ac:dyDescent="0.25">
      <c r="A226" s="67" t="s">
        <v>220</v>
      </c>
      <c r="C226" s="14" t="s">
        <v>307</v>
      </c>
      <c r="D226" s="14" t="s">
        <v>233</v>
      </c>
      <c r="E226" s="174">
        <f>'Func &amp; Classif'!Y314</f>
        <v>0</v>
      </c>
      <c r="F226" s="40">
        <f>IF(VLOOKUP($D226,$C$5:$AT$507,3,)=0,0,(VLOOKUP($D226,$C$5:$AT$507,4,)/VLOOKUP($D226,$C$5:$AT$507,3,))*$E226)</f>
        <v>0</v>
      </c>
      <c r="G226" s="40">
        <f>IF(VLOOKUP($D226,$C$5:$AT$507,3,)=0,0,(VLOOKUP($D226,$C$5:$AT$507,5,)/VLOOKUP($D226,$C$5:$AT$507,3,))*$E226)</f>
        <v>0</v>
      </c>
      <c r="H226" s="40">
        <f>IF(VLOOKUP($D226,$C$5:$AT$507,3,)=0,0,(VLOOKUP($D226,$C$5:$AT$507,6,)/VLOOKUP($D226,$C$5:$AT$507,3,))*$E226)</f>
        <v>0</v>
      </c>
      <c r="I226" s="40">
        <f>IF(VLOOKUP($D226,$C$5:$AT$507,3,)=0,0,(VLOOKUP($D226,$C$5:$AT$507,7,)/VLOOKUP($D226,$C$5:$AT$507,3,))*$E226)</f>
        <v>0</v>
      </c>
      <c r="J226" s="40">
        <f>IF(VLOOKUP($D226,$C$5:$AT$507,3,)=0,0,(VLOOKUP($D226,$C$5:$AT$507,8,)/VLOOKUP($D226,$C$5:$AT$507,3,))*$E226)</f>
        <v>0</v>
      </c>
      <c r="K226" s="40">
        <f>IF(VLOOKUP($D226,$C$5:$AT$507,3,)=0,0,(VLOOKUP($D226,$C$5:$AT$507,9,)/VLOOKUP($D226,$C$5:$AT$507,3,))*$E226)</f>
        <v>0</v>
      </c>
      <c r="L226" s="40">
        <f>IF(VLOOKUP($D226,$C$5:$AT$507,3,)=0,0,(VLOOKUP($D226,$C$5:$AT$507,10,)/VLOOKUP($D226,$C$5:$AT$507,3,))*$E226)</f>
        <v>0</v>
      </c>
      <c r="M226" s="40">
        <f>IF(VLOOKUP($D226,$C$5:$AT$507,3,)=0,0,(VLOOKUP($D226,$C$5:$AT$507,11,)/VLOOKUP($D226,$C$5:$AT$507,3,))*$E226)</f>
        <v>0</v>
      </c>
      <c r="N226" s="40">
        <f>IF(VLOOKUP($D226,$C$5:$AT$507,3,)=0,0,(VLOOKUP($D226,$C$5:$AT$507,12,)/VLOOKUP($D226,$C$5:$AT$507,3,))*$E226)</f>
        <v>0</v>
      </c>
      <c r="O226" s="40">
        <f>IF(VLOOKUP($D226,$C$5:$AT$507,3,)=0,0,(VLOOKUP($D226,$C$5:$AT$507,13,)/VLOOKUP($D226,$C$5:$AT$507,3,))*$E226)</f>
        <v>0</v>
      </c>
      <c r="P226" s="40">
        <f>IF(VLOOKUP($D226,$C$5:$AT$507,3,)=0,0,(VLOOKUP($D226,$C$5:$AT$507,14,)/VLOOKUP($D226,$C$5:$AT$507,3,))*$E226)</f>
        <v>0</v>
      </c>
      <c r="Q226" s="40">
        <f>IF(VLOOKUP($D226,$C$5:$AT$507,3,)=0,0,(VLOOKUP($D226,$C$5:$AT$507,15,)/VLOOKUP($D226,$C$5:$AT$507,3,))*$E226)</f>
        <v>0</v>
      </c>
      <c r="R226" s="40">
        <f>IF(VLOOKUP($D226,$C$5:$AT$507,3,)=0,0,(VLOOKUP($D226,$C$5:$AT$507,16,)/VLOOKUP($D226,$C$5:$AT$507,3,))*$E226)</f>
        <v>0</v>
      </c>
      <c r="S226" s="40">
        <f>IF(VLOOKUP($D226,$C$5:$AT$507,3,)=0,0,(VLOOKUP($D226,$C$5:$AT$507,17,)/VLOOKUP($D226,$C$5:$AT$507,3,))*$E226)</f>
        <v>0</v>
      </c>
      <c r="T226" s="40">
        <f>IF(VLOOKUP($D226,$C$5:$AT$507,3,)=0,0,(VLOOKUP($D226,$C$5:$AT$507,18,)/VLOOKUP($D226,$C$5:$AT$507,3,))*$E226)</f>
        <v>0</v>
      </c>
      <c r="U226" s="40">
        <f>IF(VLOOKUP($D226,$C$5:$AT$507,3,)=0,0,(VLOOKUP($D226,$C$5:$AT$507,19,)/VLOOKUP($D226,$C$5:$AT$507,3,))*$E226)</f>
        <v>0</v>
      </c>
      <c r="V226" s="40">
        <f>IF(VLOOKUP($D226,$C$5:$AT$507,3,)=0,0,(VLOOKUP($D226,$C$5:$AT$507,20,)/VLOOKUP($D226,$C$5:$AT$507,3,))*$E226)</f>
        <v>0</v>
      </c>
      <c r="W226" s="40">
        <f>IF(VLOOKUP($D226,$C$5:$AT$507,3,)=0,0,(VLOOKUP($D226,$C$5:$AT$507,21,)/VLOOKUP($D226,$C$5:$AT$507,3,))*$E226)</f>
        <v>0</v>
      </c>
      <c r="X226" s="40">
        <f>IF(VLOOKUP($D226,$C$5:$AT$507,3,)=0,0,(VLOOKUP($D226,$C$5:$AT$507,22,)/VLOOKUP($D226,$C$5:$AT$507,3,))*$E226)</f>
        <v>0</v>
      </c>
      <c r="Y226" s="40">
        <f>IF(VLOOKUP($D226,$C$5:$AT$507,3,)=0,0,(VLOOKUP($D226,$C$5:$AT$507,23,)/VLOOKUP($D226,$C$5:$AT$507,3,))*$E226)</f>
        <v>0</v>
      </c>
      <c r="Z226" s="40">
        <f>IF(VLOOKUP($D226,$C$5:$AT$507,3,)=0,0,(VLOOKUP($D226,$C$5:$AT$507,24,)/VLOOKUP($D226,$C$5:$AT$507,3,))*$E226)</f>
        <v>0</v>
      </c>
      <c r="AA226" s="40">
        <f>IF(VLOOKUP($D226,$C$5:$AT$507,3,)=0,0,(VLOOKUP($D226,$C$5:$AT$507,25,)/VLOOKUP($D226,$C$5:$AT$507,3,))*$E226)</f>
        <v>0</v>
      </c>
      <c r="AB226" s="40">
        <f>IF(VLOOKUP($D226,$C$5:$AT$507,3,)=0,0,(VLOOKUP($D226,$C$5:$AT$507,26,)/VLOOKUP($D226,$C$5:$AT$507,3,))*$E226)</f>
        <v>0</v>
      </c>
      <c r="AC226" s="40">
        <f>IF(VLOOKUP($D226,$C$5:$AT$507,3,)=0,0,(VLOOKUP($D226,$C$5:$AT$507,27,)/VLOOKUP($D226,$C$5:$AT$507,3,))*$E226)</f>
        <v>0</v>
      </c>
      <c r="AD226" s="40">
        <f>IF(VLOOKUP($D226,$C$5:$AT$507,3,)=0,0,(VLOOKUP($D226,$C$5:$AT$507,28,)/VLOOKUP($D226,$C$5:$AT$507,3,))*$E226)</f>
        <v>0</v>
      </c>
      <c r="AE226" s="40">
        <f>IF(VLOOKUP($D226,$C$5:$AT$507,3,)=0,0,(VLOOKUP($D226,$C$5:$AT$507,29,)/VLOOKUP($D226,$C$5:$AT$507,3,))*$E226)</f>
        <v>0</v>
      </c>
      <c r="AF226" s="40">
        <f>IF(VLOOKUP($D226,$C$5:$AT$507,3,)=0,0,(VLOOKUP($D226,$C$5:$AT$507,30,)/VLOOKUP($D226,$C$5:$AT$507,3,))*$E226)</f>
        <v>0</v>
      </c>
      <c r="AG226" s="64">
        <f>SUM(F226:AF226)</f>
        <v>0</v>
      </c>
      <c r="AH226" s="21" t="str">
        <f>IF(ABS(E226-AG226)&lt;0.01,"ok","err")</f>
        <v>ok</v>
      </c>
    </row>
    <row r="227" spans="1:34" x14ac:dyDescent="0.25">
      <c r="E227" s="167"/>
    </row>
    <row r="228" spans="1:34" x14ac:dyDescent="0.25">
      <c r="A228" s="13" t="s">
        <v>469</v>
      </c>
      <c r="E228" s="167"/>
    </row>
    <row r="229" spans="1:34" x14ac:dyDescent="0.25">
      <c r="A229" s="67" t="s">
        <v>220</v>
      </c>
      <c r="C229" s="14" t="s">
        <v>304</v>
      </c>
      <c r="D229" s="14" t="s">
        <v>234</v>
      </c>
      <c r="E229" s="174">
        <f>'Func &amp; Classif'!AA314</f>
        <v>0</v>
      </c>
      <c r="F229" s="40">
        <f>IF(VLOOKUP($D229,$C$5:$AT$507,3,)=0,0,(VLOOKUP($D229,$C$5:$AT$507,4,)/VLOOKUP($D229,$C$5:$AT$507,3,))*$E229)</f>
        <v>0</v>
      </c>
      <c r="G229" s="40">
        <f>IF(VLOOKUP($D229,$C$5:$AT$507,3,)=0,0,(VLOOKUP($D229,$C$5:$AT$507,5,)/VLOOKUP($D229,$C$5:$AT$507,3,))*$E229)</f>
        <v>0</v>
      </c>
      <c r="H229" s="40">
        <f>IF(VLOOKUP($D229,$C$5:$AT$507,3,)=0,0,(VLOOKUP($D229,$C$5:$AT$507,6,)/VLOOKUP($D229,$C$5:$AT$507,3,))*$E229)</f>
        <v>0</v>
      </c>
      <c r="I229" s="40">
        <f>IF(VLOOKUP($D229,$C$5:$AT$507,3,)=0,0,(VLOOKUP($D229,$C$5:$AT$507,7,)/VLOOKUP($D229,$C$5:$AT$507,3,))*$E229)</f>
        <v>0</v>
      </c>
      <c r="J229" s="40">
        <f>IF(VLOOKUP($D229,$C$5:$AT$507,3,)=0,0,(VLOOKUP($D229,$C$5:$AT$507,8,)/VLOOKUP($D229,$C$5:$AT$507,3,))*$E229)</f>
        <v>0</v>
      </c>
      <c r="K229" s="40">
        <f>IF(VLOOKUP($D229,$C$5:$AT$507,3,)=0,0,(VLOOKUP($D229,$C$5:$AT$507,9,)/VLOOKUP($D229,$C$5:$AT$507,3,))*$E229)</f>
        <v>0</v>
      </c>
      <c r="L229" s="40">
        <f>IF(VLOOKUP($D229,$C$5:$AT$507,3,)=0,0,(VLOOKUP($D229,$C$5:$AT$507,10,)/VLOOKUP($D229,$C$5:$AT$507,3,))*$E229)</f>
        <v>0</v>
      </c>
      <c r="M229" s="40">
        <f>IF(VLOOKUP($D229,$C$5:$AT$507,3,)=0,0,(VLOOKUP($D229,$C$5:$AT$507,11,)/VLOOKUP($D229,$C$5:$AT$507,3,))*$E229)</f>
        <v>0</v>
      </c>
      <c r="N229" s="40">
        <f>IF(VLOOKUP($D229,$C$5:$AT$507,3,)=0,0,(VLOOKUP($D229,$C$5:$AT$507,12,)/VLOOKUP($D229,$C$5:$AT$507,3,))*$E229)</f>
        <v>0</v>
      </c>
      <c r="O229" s="40">
        <f>IF(VLOOKUP($D229,$C$5:$AT$507,3,)=0,0,(VLOOKUP($D229,$C$5:$AT$507,13,)/VLOOKUP($D229,$C$5:$AT$507,3,))*$E229)</f>
        <v>0</v>
      </c>
      <c r="P229" s="40">
        <f>IF(VLOOKUP($D229,$C$5:$AT$507,3,)=0,0,(VLOOKUP($D229,$C$5:$AT$507,14,)/VLOOKUP($D229,$C$5:$AT$507,3,))*$E229)</f>
        <v>0</v>
      </c>
      <c r="Q229" s="40">
        <f>IF(VLOOKUP($D229,$C$5:$AT$507,3,)=0,0,(VLOOKUP($D229,$C$5:$AT$507,15,)/VLOOKUP($D229,$C$5:$AT$507,3,))*$E229)</f>
        <v>0</v>
      </c>
      <c r="R229" s="40">
        <f>IF(VLOOKUP($D229,$C$5:$AT$507,3,)=0,0,(VLOOKUP($D229,$C$5:$AT$507,16,)/VLOOKUP($D229,$C$5:$AT$507,3,))*$E229)</f>
        <v>0</v>
      </c>
      <c r="S229" s="40">
        <f>IF(VLOOKUP($D229,$C$5:$AT$507,3,)=0,0,(VLOOKUP($D229,$C$5:$AT$507,17,)/VLOOKUP($D229,$C$5:$AT$507,3,))*$E229)</f>
        <v>0</v>
      </c>
      <c r="T229" s="40">
        <f>IF(VLOOKUP($D229,$C$5:$AT$507,3,)=0,0,(VLOOKUP($D229,$C$5:$AT$507,18,)/VLOOKUP($D229,$C$5:$AT$507,3,))*$E229)</f>
        <v>0</v>
      </c>
      <c r="U229" s="40">
        <f>IF(VLOOKUP($D229,$C$5:$AT$507,3,)=0,0,(VLOOKUP($D229,$C$5:$AT$507,19,)/VLOOKUP($D229,$C$5:$AT$507,3,))*$E229)</f>
        <v>0</v>
      </c>
      <c r="V229" s="40">
        <f>IF(VLOOKUP($D229,$C$5:$AT$507,3,)=0,0,(VLOOKUP($D229,$C$5:$AT$507,20,)/VLOOKUP($D229,$C$5:$AT$507,3,))*$E229)</f>
        <v>0</v>
      </c>
      <c r="W229" s="40">
        <f>IF(VLOOKUP($D229,$C$5:$AT$507,3,)=0,0,(VLOOKUP($D229,$C$5:$AT$507,21,)/VLOOKUP($D229,$C$5:$AT$507,3,))*$E229)</f>
        <v>0</v>
      </c>
      <c r="X229" s="40">
        <f>IF(VLOOKUP($D229,$C$5:$AT$507,3,)=0,0,(VLOOKUP($D229,$C$5:$AT$507,22,)/VLOOKUP($D229,$C$5:$AT$507,3,))*$E229)</f>
        <v>0</v>
      </c>
      <c r="Y229" s="40">
        <f>IF(VLOOKUP($D229,$C$5:$AT$507,3,)=0,0,(VLOOKUP($D229,$C$5:$AT$507,23,)/VLOOKUP($D229,$C$5:$AT$507,3,))*$E229)</f>
        <v>0</v>
      </c>
      <c r="Z229" s="40">
        <f>IF(VLOOKUP($D229,$C$5:$AT$507,3,)=0,0,(VLOOKUP($D229,$C$5:$AT$507,24,)/VLOOKUP($D229,$C$5:$AT$507,3,))*$E229)</f>
        <v>0</v>
      </c>
      <c r="AA229" s="40">
        <f>IF(VLOOKUP($D229,$C$5:$AT$507,3,)=0,0,(VLOOKUP($D229,$C$5:$AT$507,25,)/VLOOKUP($D229,$C$5:$AT$507,3,))*$E229)</f>
        <v>0</v>
      </c>
      <c r="AB229" s="40">
        <f>IF(VLOOKUP($D229,$C$5:$AT$507,3,)=0,0,(VLOOKUP($D229,$C$5:$AT$507,26,)/VLOOKUP($D229,$C$5:$AT$507,3,))*$E229)</f>
        <v>0</v>
      </c>
      <c r="AC229" s="40">
        <f>IF(VLOOKUP($D229,$C$5:$AT$507,3,)=0,0,(VLOOKUP($D229,$C$5:$AT$507,27,)/VLOOKUP($D229,$C$5:$AT$507,3,))*$E229)</f>
        <v>0</v>
      </c>
      <c r="AD229" s="40">
        <f>IF(VLOOKUP($D229,$C$5:$AT$507,3,)=0,0,(VLOOKUP($D229,$C$5:$AT$507,28,)/VLOOKUP($D229,$C$5:$AT$507,3,))*$E229)</f>
        <v>0</v>
      </c>
      <c r="AE229" s="40">
        <f>IF(VLOOKUP($D229,$C$5:$AT$507,3,)=0,0,(VLOOKUP($D229,$C$5:$AT$507,29,)/VLOOKUP($D229,$C$5:$AT$507,3,))*$E229)</f>
        <v>0</v>
      </c>
      <c r="AF229" s="40">
        <f>IF(VLOOKUP($D229,$C$5:$AT$507,3,)=0,0,(VLOOKUP($D229,$C$5:$AT$507,30,)/VLOOKUP($D229,$C$5:$AT$507,3,))*$E229)</f>
        <v>0</v>
      </c>
      <c r="AG229" s="64">
        <f>SUM(F229:AF229)</f>
        <v>0</v>
      </c>
      <c r="AH229" s="21" t="str">
        <f>IF(ABS(E229-AG229)&lt;0.01,"ok","err")</f>
        <v>ok</v>
      </c>
    </row>
    <row r="230" spans="1:34" x14ac:dyDescent="0.25">
      <c r="E230" s="167"/>
    </row>
    <row r="231" spans="1:34" x14ac:dyDescent="0.25">
      <c r="A231" s="14" t="s">
        <v>0</v>
      </c>
      <c r="C231" s="14" t="s">
        <v>308</v>
      </c>
      <c r="E231" s="174">
        <f>E201+E204+E207+E212+E217+E220+E223+E226+E229</f>
        <v>0</v>
      </c>
      <c r="F231" s="40">
        <f t="shared" ref="F231:R231" si="47">F201+F204+F207+F212+F217+F220+F223+F226+F229</f>
        <v>0</v>
      </c>
      <c r="G231" s="40">
        <f t="shared" si="47"/>
        <v>0</v>
      </c>
      <c r="H231" s="40">
        <f t="shared" si="47"/>
        <v>0</v>
      </c>
      <c r="I231" s="40">
        <f t="shared" si="47"/>
        <v>0</v>
      </c>
      <c r="J231" s="40">
        <f t="shared" si="47"/>
        <v>0</v>
      </c>
      <c r="K231" s="40">
        <f t="shared" si="47"/>
        <v>0</v>
      </c>
      <c r="L231" s="40">
        <f t="shared" si="47"/>
        <v>0</v>
      </c>
      <c r="M231" s="40">
        <f t="shared" si="47"/>
        <v>0</v>
      </c>
      <c r="N231" s="40">
        <f t="shared" si="47"/>
        <v>0</v>
      </c>
      <c r="O231" s="40">
        <f t="shared" si="47"/>
        <v>0</v>
      </c>
      <c r="P231" s="40">
        <f t="shared" si="47"/>
        <v>0</v>
      </c>
      <c r="Q231" s="40">
        <f t="shared" si="47"/>
        <v>0</v>
      </c>
      <c r="R231" s="40">
        <f t="shared" si="47"/>
        <v>0</v>
      </c>
      <c r="S231" s="40">
        <f t="shared" ref="S231:AF231" si="48">S201+S207+S212+S217+S220+S223+S226+S229</f>
        <v>0</v>
      </c>
      <c r="T231" s="40">
        <f t="shared" si="48"/>
        <v>0</v>
      </c>
      <c r="U231" s="40">
        <f t="shared" si="48"/>
        <v>0</v>
      </c>
      <c r="V231" s="40">
        <f t="shared" si="48"/>
        <v>0</v>
      </c>
      <c r="W231" s="40">
        <f t="shared" si="48"/>
        <v>0</v>
      </c>
      <c r="X231" s="40">
        <f t="shared" si="48"/>
        <v>0</v>
      </c>
      <c r="Y231" s="40">
        <f t="shared" si="48"/>
        <v>0</v>
      </c>
      <c r="Z231" s="40">
        <f t="shared" si="48"/>
        <v>0</v>
      </c>
      <c r="AA231" s="40">
        <f t="shared" si="48"/>
        <v>0</v>
      </c>
      <c r="AB231" s="40">
        <f t="shared" si="48"/>
        <v>0</v>
      </c>
      <c r="AC231" s="40">
        <f t="shared" si="48"/>
        <v>0</v>
      </c>
      <c r="AD231" s="40">
        <f t="shared" si="48"/>
        <v>0</v>
      </c>
      <c r="AE231" s="40">
        <f t="shared" si="48"/>
        <v>0</v>
      </c>
      <c r="AF231" s="40">
        <f t="shared" si="48"/>
        <v>0</v>
      </c>
      <c r="AG231" s="64">
        <f>SUM(F231:AF231)</f>
        <v>0</v>
      </c>
      <c r="AH231" s="21" t="str">
        <f>IF(ABS(E231-AG231)&lt;0.01,"ok","err")</f>
        <v>ok</v>
      </c>
    </row>
    <row r="234" spans="1:34" x14ac:dyDescent="0.25">
      <c r="A234" s="19" t="s">
        <v>309</v>
      </c>
    </row>
    <row r="236" spans="1:34" x14ac:dyDescent="0.25">
      <c r="A236" s="13" t="s">
        <v>885</v>
      </c>
    </row>
    <row r="237" spans="1:34" x14ac:dyDescent="0.25">
      <c r="A237" s="67" t="s">
        <v>208</v>
      </c>
      <c r="C237" s="14" t="s">
        <v>310</v>
      </c>
      <c r="D237" s="14" t="s">
        <v>654</v>
      </c>
      <c r="E237" s="174">
        <f>'Func &amp; Classif'!H316</f>
        <v>0</v>
      </c>
      <c r="F237" s="40">
        <f>IF(VLOOKUP($D237,$C$5:$AT$507,3,)=0,0,(VLOOKUP($D237,$C$5:$AT$507,4,)/VLOOKUP($D237,$C$5:$AT$507,3,))*$E237)</f>
        <v>0</v>
      </c>
      <c r="G237" s="40">
        <f>IF(VLOOKUP($D237,$C$5:$AT$507,3,)=0,0,(VLOOKUP($D237,$C$5:$AT$507,5,)/VLOOKUP($D237,$C$5:$AT$507,3,))*$E237)</f>
        <v>0</v>
      </c>
      <c r="H237" s="40">
        <f>IF(VLOOKUP($D237,$C$5:$AT$507,3,)=0,0,(VLOOKUP($D237,$C$5:$AT$507,6,)/VLOOKUP($D237,$C$5:$AT$507,3,))*$E237)</f>
        <v>0</v>
      </c>
      <c r="I237" s="40">
        <f>IF(VLOOKUP($D237,$C$5:$AT$507,3,)=0,0,(VLOOKUP($D237,$C$5:$AT$507,7,)/VLOOKUP($D237,$C$5:$AT$507,3,))*$E237)</f>
        <v>0</v>
      </c>
      <c r="J237" s="40">
        <f>IF(VLOOKUP($D237,$C$5:$AT$507,3,)=0,0,(VLOOKUP($D237,$C$5:$AT$507,8,)/VLOOKUP($D237,$C$5:$AT$507,3,))*$E237)</f>
        <v>0</v>
      </c>
      <c r="K237" s="40">
        <f>IF(VLOOKUP($D237,$C$5:$AT$507,3,)=0,0,(VLOOKUP($D237,$C$5:$AT$507,9,)/VLOOKUP($D237,$C$5:$AT$507,3,))*$E237)</f>
        <v>0</v>
      </c>
      <c r="L237" s="40">
        <f>IF(VLOOKUP($D237,$C$5:$AT$507,3,)=0,0,(VLOOKUP($D237,$C$5:$AT$507,10,)/VLOOKUP($D237,$C$5:$AT$507,3,))*$E237)</f>
        <v>0</v>
      </c>
      <c r="M237" s="40">
        <f>IF(VLOOKUP($D237,$C$5:$AT$507,3,)=0,0,(VLOOKUP($D237,$C$5:$AT$507,11,)/VLOOKUP($D237,$C$5:$AT$507,3,))*$E237)</f>
        <v>0</v>
      </c>
      <c r="N237" s="40">
        <f>IF(VLOOKUP($D237,$C$5:$AT$507,3,)=0,0,(VLOOKUP($D237,$C$5:$AT$507,12,)/VLOOKUP($D237,$C$5:$AT$507,3,))*$E237)</f>
        <v>0</v>
      </c>
      <c r="O237" s="40">
        <f>IF(VLOOKUP($D237,$C$5:$AT$507,3,)=0,0,(VLOOKUP($D237,$C$5:$AT$507,13,)/VLOOKUP($D237,$C$5:$AT$507,3,))*$E237)</f>
        <v>0</v>
      </c>
      <c r="P237" s="40">
        <f>IF(VLOOKUP($D237,$C$5:$AT$507,3,)=0,0,(VLOOKUP($D237,$C$5:$AT$507,14,)/VLOOKUP($D237,$C$5:$AT$507,3,))*$E237)</f>
        <v>0</v>
      </c>
      <c r="Q237" s="40">
        <f>IF(VLOOKUP($D237,$C$5:$AT$507,3,)=0,0,(VLOOKUP($D237,$C$5:$AT$507,15,)/VLOOKUP($D237,$C$5:$AT$507,3,))*$E237)</f>
        <v>0</v>
      </c>
      <c r="R237" s="40">
        <f>IF(VLOOKUP($D237,$C$5:$AT$507,3,)=0,0,(VLOOKUP($D237,$C$5:$AT$507,16,)/VLOOKUP($D237,$C$5:$AT$507,3,))*$E237)</f>
        <v>0</v>
      </c>
      <c r="S237" s="40">
        <f>IF(VLOOKUP($D237,$C$5:$AT$507,3,)=0,0,(VLOOKUP($D237,$C$5:$AT$507,17,)/VLOOKUP($D237,$C$5:$AT$507,3,))*$E237)</f>
        <v>0</v>
      </c>
      <c r="T237" s="40">
        <f>IF(VLOOKUP($D237,$C$5:$AT$507,3,)=0,0,(VLOOKUP($D237,$C$5:$AT$507,18,)/VLOOKUP($D237,$C$5:$AT$507,3,))*$E237)</f>
        <v>0</v>
      </c>
      <c r="U237" s="40">
        <f>IF(VLOOKUP($D237,$C$5:$AT$507,3,)=0,0,(VLOOKUP($D237,$C$5:$AT$507,19,)/VLOOKUP($D237,$C$5:$AT$507,3,))*$E237)</f>
        <v>0</v>
      </c>
      <c r="V237" s="40">
        <f>IF(VLOOKUP($D237,$C$5:$AT$507,3,)=0,0,(VLOOKUP($D237,$C$5:$AT$507,20,)/VLOOKUP($D237,$C$5:$AT$507,3,))*$E237)</f>
        <v>0</v>
      </c>
      <c r="W237" s="40">
        <f>IF(VLOOKUP($D237,$C$5:$AT$507,3,)=0,0,(VLOOKUP($D237,$C$5:$AT$507,21,)/VLOOKUP($D237,$C$5:$AT$507,3,))*$E237)</f>
        <v>0</v>
      </c>
      <c r="X237" s="40">
        <f>IF(VLOOKUP($D237,$C$5:$AT$507,3,)=0,0,(VLOOKUP($D237,$C$5:$AT$507,22,)/VLOOKUP($D237,$C$5:$AT$507,3,))*$E237)</f>
        <v>0</v>
      </c>
      <c r="Y237" s="40">
        <f>IF(VLOOKUP($D237,$C$5:$AT$507,3,)=0,0,(VLOOKUP($D237,$C$5:$AT$507,23,)/VLOOKUP($D237,$C$5:$AT$507,3,))*$E237)</f>
        <v>0</v>
      </c>
      <c r="Z237" s="40">
        <f>IF(VLOOKUP($D237,$C$5:$AT$507,3,)=0,0,(VLOOKUP($D237,$C$5:$AT$507,24,)/VLOOKUP($D237,$C$5:$AT$507,3,))*$E237)</f>
        <v>0</v>
      </c>
      <c r="AA237" s="40">
        <f>IF(VLOOKUP($D237,$C$5:$AT$507,3,)=0,0,(VLOOKUP($D237,$C$5:$AT$507,25,)/VLOOKUP($D237,$C$5:$AT$507,3,))*$E237)</f>
        <v>0</v>
      </c>
      <c r="AB237" s="40">
        <f>IF(VLOOKUP($D237,$C$5:$AT$507,3,)=0,0,(VLOOKUP($D237,$C$5:$AT$507,26,)/VLOOKUP($D237,$C$5:$AT$507,3,))*$E237)</f>
        <v>0</v>
      </c>
      <c r="AC237" s="40">
        <f>IF(VLOOKUP($D237,$C$5:$AT$507,3,)=0,0,(VLOOKUP($D237,$C$5:$AT$507,27,)/VLOOKUP($D237,$C$5:$AT$507,3,))*$E237)</f>
        <v>0</v>
      </c>
      <c r="AD237" s="40">
        <f>IF(VLOOKUP($D237,$C$5:$AT$507,3,)=0,0,(VLOOKUP($D237,$C$5:$AT$507,28,)/VLOOKUP($D237,$C$5:$AT$507,3,))*$E237)</f>
        <v>0</v>
      </c>
      <c r="AE237" s="40">
        <f>IF(VLOOKUP($D237,$C$5:$AT$507,3,)=0,0,(VLOOKUP($D237,$C$5:$AT$507,29,)/VLOOKUP($D237,$C$5:$AT$507,3,))*$E237)</f>
        <v>0</v>
      </c>
      <c r="AF237" s="40">
        <f>IF(VLOOKUP($D237,$C$5:$AT$507,3,)=0,0,(VLOOKUP($D237,$C$5:$AT$507,30,)/VLOOKUP($D237,$C$5:$AT$507,3,))*$E237)</f>
        <v>0</v>
      </c>
      <c r="AG237" s="64">
        <f>SUM(F237:AF237)</f>
        <v>0</v>
      </c>
      <c r="AH237" s="21" t="str">
        <f>IF(ABS(E237-AG237)&lt;0.01,"ok","err")</f>
        <v>ok</v>
      </c>
    </row>
    <row r="238" spans="1:34" x14ac:dyDescent="0.25">
      <c r="A238" s="67" t="s">
        <v>211</v>
      </c>
      <c r="C238" s="14" t="s">
        <v>311</v>
      </c>
      <c r="D238" s="14" t="s">
        <v>663</v>
      </c>
      <c r="E238" s="167">
        <f>'Func &amp; Classif'!I316</f>
        <v>0</v>
      </c>
      <c r="F238" s="40">
        <f>IF(VLOOKUP($D238,$C$5:$AT$507,3,)=0,0,(VLOOKUP($D238,$C$5:$AT$507,4,)/VLOOKUP($D238,$C$5:$AT$507,3,))*$E238)</f>
        <v>0</v>
      </c>
      <c r="G238" s="40">
        <f>IF(VLOOKUP($D238,$C$5:$AT$507,3,)=0,0,(VLOOKUP($D238,$C$5:$AT$507,5,)/VLOOKUP($D238,$C$5:$AT$507,3,))*$E238)</f>
        <v>0</v>
      </c>
      <c r="H238" s="40">
        <f>IF(VLOOKUP($D238,$C$5:$AT$507,3,)=0,0,(VLOOKUP($D238,$C$5:$AT$507,6,)/VLOOKUP($D238,$C$5:$AT$507,3,))*$E238)</f>
        <v>0</v>
      </c>
      <c r="I238" s="40">
        <f>IF(VLOOKUP($D238,$C$5:$AT$507,3,)=0,0,(VLOOKUP($D238,$C$5:$AT$507,7,)/VLOOKUP($D238,$C$5:$AT$507,3,))*$E238)</f>
        <v>0</v>
      </c>
      <c r="J238" s="40">
        <f>IF(VLOOKUP($D238,$C$5:$AT$507,3,)=0,0,(VLOOKUP($D238,$C$5:$AT$507,8,)/VLOOKUP($D238,$C$5:$AT$507,3,))*$E238)</f>
        <v>0</v>
      </c>
      <c r="K238" s="40">
        <f>IF(VLOOKUP($D238,$C$5:$AT$507,3,)=0,0,(VLOOKUP($D238,$C$5:$AT$507,9,)/VLOOKUP($D238,$C$5:$AT$507,3,))*$E238)</f>
        <v>0</v>
      </c>
      <c r="L238" s="40">
        <f>IF(VLOOKUP($D238,$C$5:$AT$507,3,)=0,0,(VLOOKUP($D238,$C$5:$AT$507,10,)/VLOOKUP($D238,$C$5:$AT$507,3,))*$E238)</f>
        <v>0</v>
      </c>
      <c r="M238" s="40">
        <f>IF(VLOOKUP($D238,$C$5:$AT$507,3,)=0,0,(VLOOKUP($D238,$C$5:$AT$507,11,)/VLOOKUP($D238,$C$5:$AT$507,3,))*$E238)</f>
        <v>0</v>
      </c>
      <c r="N238" s="40">
        <f>IF(VLOOKUP($D238,$C$5:$AT$507,3,)=0,0,(VLOOKUP($D238,$C$5:$AT$507,12,)/VLOOKUP($D238,$C$5:$AT$507,3,))*$E238)</f>
        <v>0</v>
      </c>
      <c r="O238" s="40">
        <f>IF(VLOOKUP($D238,$C$5:$AT$507,3,)=0,0,(VLOOKUP($D238,$C$5:$AT$507,13,)/VLOOKUP($D238,$C$5:$AT$507,3,))*$E238)</f>
        <v>0</v>
      </c>
      <c r="P238" s="40">
        <f>IF(VLOOKUP($D238,$C$5:$AT$507,3,)=0,0,(VLOOKUP($D238,$C$5:$AT$507,14,)/VLOOKUP($D238,$C$5:$AT$507,3,))*$E238)</f>
        <v>0</v>
      </c>
      <c r="Q238" s="40">
        <f>IF(VLOOKUP($D238,$C$5:$AT$507,3,)=0,0,(VLOOKUP($D238,$C$5:$AT$507,15,)/VLOOKUP($D238,$C$5:$AT$507,3,))*$E238)</f>
        <v>0</v>
      </c>
      <c r="R238" s="40">
        <f>IF(VLOOKUP($D238,$C$5:$AT$507,3,)=0,0,(VLOOKUP($D238,$C$5:$AT$507,16,)/VLOOKUP($D238,$C$5:$AT$507,3,))*$E238)</f>
        <v>0</v>
      </c>
      <c r="S238" s="40">
        <f>IF(VLOOKUP($D238,$C$5:$AT$507,3,)=0,0,(VLOOKUP($D238,$C$5:$AT$507,17,)/VLOOKUP($D238,$C$5:$AT$507,3,))*$E238)</f>
        <v>0</v>
      </c>
      <c r="T238" s="40">
        <f>IF(VLOOKUP($D238,$C$5:$AT$507,3,)=0,0,(VLOOKUP($D238,$C$5:$AT$507,18,)/VLOOKUP($D238,$C$5:$AT$507,3,))*$E238)</f>
        <v>0</v>
      </c>
      <c r="U238" s="40">
        <f>IF(VLOOKUP($D238,$C$5:$AT$507,3,)=0,0,(VLOOKUP($D238,$C$5:$AT$507,19,)/VLOOKUP($D238,$C$5:$AT$507,3,))*$E238)</f>
        <v>0</v>
      </c>
      <c r="V238" s="40">
        <f>IF(VLOOKUP($D238,$C$5:$AT$507,3,)=0,0,(VLOOKUP($D238,$C$5:$AT$507,20,)/VLOOKUP($D238,$C$5:$AT$507,3,))*$E238)</f>
        <v>0</v>
      </c>
      <c r="W238" s="40">
        <f>IF(VLOOKUP($D238,$C$5:$AT$507,3,)=0,0,(VLOOKUP($D238,$C$5:$AT$507,21,)/VLOOKUP($D238,$C$5:$AT$507,3,))*$E238)</f>
        <v>0</v>
      </c>
      <c r="X238" s="40">
        <f>IF(VLOOKUP($D238,$C$5:$AT$507,3,)=0,0,(VLOOKUP($D238,$C$5:$AT$507,22,)/VLOOKUP($D238,$C$5:$AT$507,3,))*$E238)</f>
        <v>0</v>
      </c>
      <c r="Y238" s="40">
        <f>IF(VLOOKUP($D238,$C$5:$AT$507,3,)=0,0,(VLOOKUP($D238,$C$5:$AT$507,23,)/VLOOKUP($D238,$C$5:$AT$507,3,))*$E238)</f>
        <v>0</v>
      </c>
      <c r="Z238" s="40">
        <f>IF(VLOOKUP($D238,$C$5:$AT$507,3,)=0,0,(VLOOKUP($D238,$C$5:$AT$507,24,)/VLOOKUP($D238,$C$5:$AT$507,3,))*$E238)</f>
        <v>0</v>
      </c>
      <c r="AA238" s="40">
        <f>IF(VLOOKUP($D238,$C$5:$AT$507,3,)=0,0,(VLOOKUP($D238,$C$5:$AT$507,25,)/VLOOKUP($D238,$C$5:$AT$507,3,))*$E238)</f>
        <v>0</v>
      </c>
      <c r="AB238" s="40">
        <f>IF(VLOOKUP($D238,$C$5:$AT$507,3,)=0,0,(VLOOKUP($D238,$C$5:$AT$507,26,)/VLOOKUP($D238,$C$5:$AT$507,3,))*$E238)</f>
        <v>0</v>
      </c>
      <c r="AC238" s="40">
        <f>IF(VLOOKUP($D238,$C$5:$AT$507,3,)=0,0,(VLOOKUP($D238,$C$5:$AT$507,27,)/VLOOKUP($D238,$C$5:$AT$507,3,))*$E238)</f>
        <v>0</v>
      </c>
      <c r="AD238" s="40">
        <f>IF(VLOOKUP($D238,$C$5:$AT$507,3,)=0,0,(VLOOKUP($D238,$C$5:$AT$507,28,)/VLOOKUP($D238,$C$5:$AT$507,3,))*$E238)</f>
        <v>0</v>
      </c>
      <c r="AE238" s="40">
        <f>IF(VLOOKUP($D238,$C$5:$AT$507,3,)=0,0,(VLOOKUP($D238,$C$5:$AT$507,29,)/VLOOKUP($D238,$C$5:$AT$507,3,))*$E238)</f>
        <v>0</v>
      </c>
      <c r="AF238" s="40">
        <f>IF(VLOOKUP($D238,$C$5:$AT$507,3,)=0,0,(VLOOKUP($D238,$C$5:$AT$507,30,)/VLOOKUP($D238,$C$5:$AT$507,3,))*$E238)</f>
        <v>0</v>
      </c>
      <c r="AG238" s="64">
        <f>SUM(F238:AF238)</f>
        <v>0</v>
      </c>
      <c r="AH238" s="21" t="str">
        <f>IF(ABS(E238-AG238)&lt;0.01,"ok","err")</f>
        <v>ok</v>
      </c>
    </row>
    <row r="239" spans="1:34" x14ac:dyDescent="0.25">
      <c r="A239" s="14" t="s">
        <v>214</v>
      </c>
      <c r="C239" s="14" t="s">
        <v>312</v>
      </c>
      <c r="E239" s="167">
        <f t="shared" ref="E239:T239" si="49">E237+E238</f>
        <v>0</v>
      </c>
      <c r="F239" s="40">
        <f t="shared" si="49"/>
        <v>0</v>
      </c>
      <c r="G239" s="40">
        <f t="shared" si="49"/>
        <v>0</v>
      </c>
      <c r="H239" s="40">
        <f t="shared" si="49"/>
        <v>0</v>
      </c>
      <c r="I239" s="40">
        <f t="shared" si="49"/>
        <v>0</v>
      </c>
      <c r="J239" s="40">
        <f t="shared" si="49"/>
        <v>0</v>
      </c>
      <c r="K239" s="40">
        <f t="shared" si="49"/>
        <v>0</v>
      </c>
      <c r="L239" s="40">
        <f t="shared" si="49"/>
        <v>0</v>
      </c>
      <c r="M239" s="40">
        <f t="shared" si="49"/>
        <v>0</v>
      </c>
      <c r="N239" s="40">
        <f t="shared" si="49"/>
        <v>0</v>
      </c>
      <c r="O239" s="40">
        <f t="shared" si="49"/>
        <v>0</v>
      </c>
      <c r="P239" s="40">
        <f t="shared" si="49"/>
        <v>0</v>
      </c>
      <c r="Q239" s="40">
        <f t="shared" si="49"/>
        <v>0</v>
      </c>
      <c r="R239" s="40">
        <f t="shared" si="49"/>
        <v>0</v>
      </c>
      <c r="S239" s="40">
        <f t="shared" si="49"/>
        <v>0</v>
      </c>
      <c r="T239" s="40">
        <f t="shared" si="49"/>
        <v>0</v>
      </c>
      <c r="U239" s="40">
        <f t="shared" ref="U239:AF239" si="50">U237+U238</f>
        <v>0</v>
      </c>
      <c r="V239" s="40">
        <f t="shared" si="50"/>
        <v>0</v>
      </c>
      <c r="W239" s="40">
        <f t="shared" si="50"/>
        <v>0</v>
      </c>
      <c r="X239" s="40">
        <f t="shared" si="50"/>
        <v>0</v>
      </c>
      <c r="Y239" s="40">
        <f t="shared" si="50"/>
        <v>0</v>
      </c>
      <c r="Z239" s="40">
        <f t="shared" si="50"/>
        <v>0</v>
      </c>
      <c r="AA239" s="40">
        <f t="shared" si="50"/>
        <v>0</v>
      </c>
      <c r="AB239" s="40">
        <f t="shared" si="50"/>
        <v>0</v>
      </c>
      <c r="AC239" s="40">
        <f t="shared" si="50"/>
        <v>0</v>
      </c>
      <c r="AD239" s="40">
        <f t="shared" si="50"/>
        <v>0</v>
      </c>
      <c r="AE239" s="40">
        <f t="shared" si="50"/>
        <v>0</v>
      </c>
      <c r="AF239" s="40">
        <f t="shared" si="50"/>
        <v>0</v>
      </c>
      <c r="AG239" s="64">
        <f>SUM(F239:AF239)</f>
        <v>0</v>
      </c>
      <c r="AH239" s="21" t="str">
        <f>IF(ABS(E239-AG239)&lt;0.01,"ok","err")</f>
        <v>ok</v>
      </c>
    </row>
    <row r="240" spans="1:34" x14ac:dyDescent="0.25">
      <c r="E240" s="167"/>
      <c r="F240" s="27"/>
    </row>
    <row r="241" spans="1:34" x14ac:dyDescent="0.25">
      <c r="A241" s="13" t="s">
        <v>349</v>
      </c>
      <c r="E241" s="167"/>
      <c r="F241" s="27"/>
    </row>
    <row r="242" spans="1:34" x14ac:dyDescent="0.25">
      <c r="A242" s="67" t="s">
        <v>208</v>
      </c>
      <c r="C242" s="14" t="s">
        <v>881</v>
      </c>
      <c r="D242" s="14" t="s">
        <v>622</v>
      </c>
      <c r="E242" s="174">
        <f>'Func &amp; Classif'!K316</f>
        <v>0</v>
      </c>
      <c r="F242" s="40">
        <f>IF(VLOOKUP($D242,$C$5:$AT$507,3,)=0,0,(VLOOKUP($D242,$C$5:$AT$507,4,)/VLOOKUP($D242,$C$5:$AT$507,3,))*$E242)</f>
        <v>0</v>
      </c>
      <c r="G242" s="40">
        <f>IF(VLOOKUP($D242,$C$5:$AT$507,3,)=0,0,(VLOOKUP($D242,$C$5:$AT$507,5,)/VLOOKUP($D242,$C$5:$AT$507,3,))*$E242)</f>
        <v>0</v>
      </c>
      <c r="H242" s="40">
        <f>IF(VLOOKUP($D242,$C$5:$AT$507,3,)=0,0,(VLOOKUP($D242,$C$5:$AT$507,6,)/VLOOKUP($D242,$C$5:$AT$507,3,))*$E242)</f>
        <v>0</v>
      </c>
      <c r="I242" s="40">
        <f>IF(VLOOKUP($D242,$C$5:$AT$507,3,)=0,0,(VLOOKUP($D242,$C$5:$AT$507,7,)/VLOOKUP($D242,$C$5:$AT$507,3,))*$E242)</f>
        <v>0</v>
      </c>
      <c r="J242" s="40">
        <f>IF(VLOOKUP($D242,$C$5:$AT$507,3,)=0,0,(VLOOKUP($D242,$C$5:$AT$507,8,)/VLOOKUP($D242,$C$5:$AT$507,3,))*$E242)</f>
        <v>0</v>
      </c>
      <c r="K242" s="40">
        <f>IF(VLOOKUP($D242,$C$5:$AT$507,3,)=0,0,(VLOOKUP($D242,$C$5:$AT$507,9,)/VLOOKUP($D242,$C$5:$AT$507,3,))*$E242)</f>
        <v>0</v>
      </c>
      <c r="L242" s="40">
        <f>IF(VLOOKUP($D242,$C$5:$AT$507,3,)=0,0,(VLOOKUP($D242,$C$5:$AT$507,10,)/VLOOKUP($D242,$C$5:$AT$507,3,))*$E242)</f>
        <v>0</v>
      </c>
      <c r="M242" s="40">
        <f>IF(VLOOKUP($D242,$C$5:$AT$507,3,)=0,0,(VLOOKUP($D242,$C$5:$AT$507,11,)/VLOOKUP($D242,$C$5:$AT$507,3,))*$E242)</f>
        <v>0</v>
      </c>
      <c r="N242" s="40">
        <f>IF(VLOOKUP($D242,$C$5:$AT$507,3,)=0,0,(VLOOKUP($D242,$C$5:$AT$507,12,)/VLOOKUP($D242,$C$5:$AT$507,3,))*$E242)</f>
        <v>0</v>
      </c>
      <c r="O242" s="40">
        <f>IF(VLOOKUP($D242,$C$5:$AT$507,3,)=0,0,(VLOOKUP($D242,$C$5:$AT$507,13,)/VLOOKUP($D242,$C$5:$AT$507,3,))*$E242)</f>
        <v>0</v>
      </c>
      <c r="P242" s="40">
        <f>IF(VLOOKUP($D242,$C$5:$AT$507,3,)=0,0,(VLOOKUP($D242,$C$5:$AT$507,14,)/VLOOKUP($D242,$C$5:$AT$507,3,))*$E242)</f>
        <v>0</v>
      </c>
      <c r="Q242" s="40">
        <f>IF(VLOOKUP($D242,$C$5:$AT$507,3,)=0,0,(VLOOKUP($D242,$C$5:$AT$507,15,)/VLOOKUP($D242,$C$5:$AT$507,3,))*$E242)</f>
        <v>0</v>
      </c>
      <c r="R242" s="40">
        <f>IF(VLOOKUP($D242,$C$5:$AT$507,3,)=0,0,(VLOOKUP($D242,$C$5:$AT$507,16,)/VLOOKUP($D242,$C$5:$AT$507,3,))*$E242)</f>
        <v>0</v>
      </c>
      <c r="S242" s="40">
        <f>IF(VLOOKUP($D242,$C$5:$AT$507,3,)=0,0,(VLOOKUP($D242,$C$5:$AT$507,17,)/VLOOKUP($D242,$C$5:$AT$507,3,))*$E242)</f>
        <v>0</v>
      </c>
      <c r="T242" s="40">
        <f>IF(VLOOKUP($D242,$C$5:$AT$507,3,)=0,0,(VLOOKUP($D242,$C$5:$AT$507,18,)/VLOOKUP($D242,$C$5:$AT$507,3,))*$E242)</f>
        <v>0</v>
      </c>
      <c r="U242" s="40">
        <f>IF(VLOOKUP($D242,$C$5:$AT$507,3,)=0,0,(VLOOKUP($D242,$C$5:$AT$507,19,)/VLOOKUP($D242,$C$5:$AT$507,3,))*$E242)</f>
        <v>0</v>
      </c>
      <c r="V242" s="40">
        <f>IF(VLOOKUP($D242,$C$5:$AT$507,3,)=0,0,(VLOOKUP($D242,$C$5:$AT$507,20,)/VLOOKUP($D242,$C$5:$AT$507,3,))*$E242)</f>
        <v>0</v>
      </c>
      <c r="W242" s="40">
        <f>IF(VLOOKUP($D242,$C$5:$AT$507,3,)=0,0,(VLOOKUP($D242,$C$5:$AT$507,21,)/VLOOKUP($D242,$C$5:$AT$507,3,))*$E242)</f>
        <v>0</v>
      </c>
      <c r="X242" s="40">
        <f>IF(VLOOKUP($D242,$C$5:$AT$507,3,)=0,0,(VLOOKUP($D242,$C$5:$AT$507,22,)/VLOOKUP($D242,$C$5:$AT$507,3,))*$E242)</f>
        <v>0</v>
      </c>
      <c r="Y242" s="40">
        <f>IF(VLOOKUP($D242,$C$5:$AT$507,3,)=0,0,(VLOOKUP($D242,$C$5:$AT$507,23,)/VLOOKUP($D242,$C$5:$AT$507,3,))*$E242)</f>
        <v>0</v>
      </c>
      <c r="Z242" s="40">
        <f>IF(VLOOKUP($D242,$C$5:$AT$507,3,)=0,0,(VLOOKUP($D242,$C$5:$AT$507,24,)/VLOOKUP($D242,$C$5:$AT$507,3,))*$E242)</f>
        <v>0</v>
      </c>
      <c r="AA242" s="40">
        <f>IF(VLOOKUP($D242,$C$5:$AT$507,3,)=0,0,(VLOOKUP($D242,$C$5:$AT$507,25,)/VLOOKUP($D242,$C$5:$AT$507,3,))*$E242)</f>
        <v>0</v>
      </c>
      <c r="AB242" s="40">
        <f>IF(VLOOKUP($D242,$C$5:$AT$507,3,)=0,0,(VLOOKUP($D242,$C$5:$AT$507,26,)/VLOOKUP($D242,$C$5:$AT$507,3,))*$E242)</f>
        <v>0</v>
      </c>
      <c r="AC242" s="40">
        <f>IF(VLOOKUP($D242,$C$5:$AT$507,3,)=0,0,(VLOOKUP($D242,$C$5:$AT$507,27,)/VLOOKUP($D242,$C$5:$AT$507,3,))*$E242)</f>
        <v>0</v>
      </c>
      <c r="AD242" s="40">
        <f>IF(VLOOKUP($D242,$C$5:$AT$507,3,)=0,0,(VLOOKUP($D242,$C$5:$AT$507,28,)/VLOOKUP($D242,$C$5:$AT$507,3,))*$E242)</f>
        <v>0</v>
      </c>
      <c r="AE242" s="40">
        <f>IF(VLOOKUP($D242,$C$5:$AT$507,3,)=0,0,(VLOOKUP($D242,$C$5:$AT$507,29,)/VLOOKUP($D242,$C$5:$AT$507,3,))*$E242)</f>
        <v>0</v>
      </c>
      <c r="AF242" s="40">
        <f>IF(VLOOKUP($D242,$C$5:$AT$507,3,)=0,0,(VLOOKUP($D242,$C$5:$AT$507,30,)/VLOOKUP($D242,$C$5:$AT$507,3,))*$E242)</f>
        <v>0</v>
      </c>
      <c r="AG242" s="64">
        <f>SUM(F242:AF242)</f>
        <v>0</v>
      </c>
      <c r="AH242" s="21" t="str">
        <f>IF(ABS(E242-AG242)&lt;0.01,"ok","err")</f>
        <v>ok</v>
      </c>
    </row>
    <row r="243" spans="1:34" x14ac:dyDescent="0.25">
      <c r="E243" s="167"/>
    </row>
    <row r="244" spans="1:34" x14ac:dyDescent="0.25">
      <c r="A244" s="13" t="s">
        <v>1</v>
      </c>
      <c r="E244" s="167"/>
      <c r="F244" s="27"/>
    </row>
    <row r="245" spans="1:34" x14ac:dyDescent="0.25">
      <c r="A245" s="67" t="s">
        <v>208</v>
      </c>
      <c r="C245" s="14" t="s">
        <v>313</v>
      </c>
      <c r="D245" s="14" t="s">
        <v>629</v>
      </c>
      <c r="E245" s="174">
        <f>'Func &amp; Classif'!M316</f>
        <v>0</v>
      </c>
      <c r="F245" s="40">
        <f>IF(VLOOKUP($D245,$C$5:$AT$507,3,)=0,0,(VLOOKUP($D245,$C$5:$AT$507,4,)/VLOOKUP($D245,$C$5:$AT$507,3,))*$E245)</f>
        <v>0</v>
      </c>
      <c r="G245" s="40">
        <f>IF(VLOOKUP($D245,$C$5:$AT$507,3,)=0,0,(VLOOKUP($D245,$C$5:$AT$507,5,)/VLOOKUP($D245,$C$5:$AT$507,3,))*$E245)</f>
        <v>0</v>
      </c>
      <c r="H245" s="40">
        <f>IF(VLOOKUP($D245,$C$5:$AT$507,3,)=0,0,(VLOOKUP($D245,$C$5:$AT$507,6,)/VLOOKUP($D245,$C$5:$AT$507,3,))*$E245)</f>
        <v>0</v>
      </c>
      <c r="I245" s="40">
        <f>IF(VLOOKUP($D245,$C$5:$AT$507,3,)=0,0,(VLOOKUP($D245,$C$5:$AT$507,7,)/VLOOKUP($D245,$C$5:$AT$507,3,))*$E245)</f>
        <v>0</v>
      </c>
      <c r="J245" s="40">
        <f>IF(VLOOKUP($D245,$C$5:$AT$507,3,)=0,0,(VLOOKUP($D245,$C$5:$AT$507,8,)/VLOOKUP($D245,$C$5:$AT$507,3,))*$E245)</f>
        <v>0</v>
      </c>
      <c r="K245" s="40">
        <f>IF(VLOOKUP($D245,$C$5:$AT$507,3,)=0,0,(VLOOKUP($D245,$C$5:$AT$507,9,)/VLOOKUP($D245,$C$5:$AT$507,3,))*$E245)</f>
        <v>0</v>
      </c>
      <c r="L245" s="40">
        <f>IF(VLOOKUP($D245,$C$5:$AT$507,3,)=0,0,(VLOOKUP($D245,$C$5:$AT$507,10,)/VLOOKUP($D245,$C$5:$AT$507,3,))*$E245)</f>
        <v>0</v>
      </c>
      <c r="M245" s="40">
        <f>IF(VLOOKUP($D245,$C$5:$AT$507,3,)=0,0,(VLOOKUP($D245,$C$5:$AT$507,11,)/VLOOKUP($D245,$C$5:$AT$507,3,))*$E245)</f>
        <v>0</v>
      </c>
      <c r="N245" s="40">
        <f>IF(VLOOKUP($D245,$C$5:$AT$507,3,)=0,0,(VLOOKUP($D245,$C$5:$AT$507,12,)/VLOOKUP($D245,$C$5:$AT$507,3,))*$E245)</f>
        <v>0</v>
      </c>
      <c r="O245" s="40">
        <f>IF(VLOOKUP($D245,$C$5:$AT$507,3,)=0,0,(VLOOKUP($D245,$C$5:$AT$507,13,)/VLOOKUP($D245,$C$5:$AT$507,3,))*$E245)</f>
        <v>0</v>
      </c>
      <c r="P245" s="40">
        <f>IF(VLOOKUP($D245,$C$5:$AT$507,3,)=0,0,(VLOOKUP($D245,$C$5:$AT$507,14,)/VLOOKUP($D245,$C$5:$AT$507,3,))*$E245)</f>
        <v>0</v>
      </c>
      <c r="Q245" s="40">
        <f>IF(VLOOKUP($D245,$C$5:$AT$507,3,)=0,0,(VLOOKUP($D245,$C$5:$AT$507,15,)/VLOOKUP($D245,$C$5:$AT$507,3,))*$E245)</f>
        <v>0</v>
      </c>
      <c r="R245" s="40">
        <f>IF(VLOOKUP($D245,$C$5:$AT$507,3,)=0,0,(VLOOKUP($D245,$C$5:$AT$507,16,)/VLOOKUP($D245,$C$5:$AT$507,3,))*$E245)</f>
        <v>0</v>
      </c>
      <c r="S245" s="40">
        <f>IF(VLOOKUP($D245,$C$5:$AT$507,3,)=0,0,(VLOOKUP($D245,$C$5:$AT$507,17,)/VLOOKUP($D245,$C$5:$AT$507,3,))*$E245)</f>
        <v>0</v>
      </c>
      <c r="T245" s="40">
        <f>IF(VLOOKUP($D245,$C$5:$AT$507,3,)=0,0,(VLOOKUP($D245,$C$5:$AT$507,18,)/VLOOKUP($D245,$C$5:$AT$507,3,))*$E245)</f>
        <v>0</v>
      </c>
      <c r="U245" s="40">
        <f>IF(VLOOKUP($D245,$C$5:$AT$507,3,)=0,0,(VLOOKUP($D245,$C$5:$AT$507,19,)/VLOOKUP($D245,$C$5:$AT$507,3,))*$E245)</f>
        <v>0</v>
      </c>
      <c r="V245" s="40">
        <f>IF(VLOOKUP($D245,$C$5:$AT$507,3,)=0,0,(VLOOKUP($D245,$C$5:$AT$507,20,)/VLOOKUP($D245,$C$5:$AT$507,3,))*$E245)</f>
        <v>0</v>
      </c>
      <c r="W245" s="40">
        <f>IF(VLOOKUP($D245,$C$5:$AT$507,3,)=0,0,(VLOOKUP($D245,$C$5:$AT$507,21,)/VLOOKUP($D245,$C$5:$AT$507,3,))*$E245)</f>
        <v>0</v>
      </c>
      <c r="X245" s="40">
        <f>IF(VLOOKUP($D245,$C$5:$AT$507,3,)=0,0,(VLOOKUP($D245,$C$5:$AT$507,22,)/VLOOKUP($D245,$C$5:$AT$507,3,))*$E245)</f>
        <v>0</v>
      </c>
      <c r="Y245" s="40">
        <f>IF(VLOOKUP($D245,$C$5:$AT$507,3,)=0,0,(VLOOKUP($D245,$C$5:$AT$507,23,)/VLOOKUP($D245,$C$5:$AT$507,3,))*$E245)</f>
        <v>0</v>
      </c>
      <c r="Z245" s="40">
        <f>IF(VLOOKUP($D245,$C$5:$AT$507,3,)=0,0,(VLOOKUP($D245,$C$5:$AT$507,24,)/VLOOKUP($D245,$C$5:$AT$507,3,))*$E245)</f>
        <v>0</v>
      </c>
      <c r="AA245" s="40">
        <f>IF(VLOOKUP($D245,$C$5:$AT$507,3,)=0,0,(VLOOKUP($D245,$C$5:$AT$507,25,)/VLOOKUP($D245,$C$5:$AT$507,3,))*$E245)</f>
        <v>0</v>
      </c>
      <c r="AB245" s="40">
        <f>IF(VLOOKUP($D245,$C$5:$AT$507,3,)=0,0,(VLOOKUP($D245,$C$5:$AT$507,26,)/VLOOKUP($D245,$C$5:$AT$507,3,))*$E245)</f>
        <v>0</v>
      </c>
      <c r="AC245" s="40">
        <f>IF(VLOOKUP($D245,$C$5:$AT$507,3,)=0,0,(VLOOKUP($D245,$C$5:$AT$507,27,)/VLOOKUP($D245,$C$5:$AT$507,3,))*$E245)</f>
        <v>0</v>
      </c>
      <c r="AD245" s="40">
        <f>IF(VLOOKUP($D245,$C$5:$AT$507,3,)=0,0,(VLOOKUP($D245,$C$5:$AT$507,28,)/VLOOKUP($D245,$C$5:$AT$507,3,))*$E245)</f>
        <v>0</v>
      </c>
      <c r="AE245" s="40">
        <f>IF(VLOOKUP($D245,$C$5:$AT$507,3,)=0,0,(VLOOKUP($D245,$C$5:$AT$507,29,)/VLOOKUP($D245,$C$5:$AT$507,3,))*$E245)</f>
        <v>0</v>
      </c>
      <c r="AF245" s="40">
        <f>IF(VLOOKUP($D245,$C$5:$AT$507,3,)=0,0,(VLOOKUP($D245,$C$5:$AT$507,30,)/VLOOKUP($D245,$C$5:$AT$507,3,))*$E245)</f>
        <v>0</v>
      </c>
      <c r="AG245" s="64">
        <f>SUM(F245:AF245)</f>
        <v>0</v>
      </c>
      <c r="AH245" s="21" t="str">
        <f>IF(ABS(E245-AG245)&lt;0.01,"ok","err")</f>
        <v>ok</v>
      </c>
    </row>
    <row r="246" spans="1:34" x14ac:dyDescent="0.25">
      <c r="E246" s="167"/>
    </row>
    <row r="247" spans="1:34" x14ac:dyDescent="0.25">
      <c r="A247" s="13" t="s">
        <v>2</v>
      </c>
      <c r="E247" s="167"/>
    </row>
    <row r="248" spans="1:34" x14ac:dyDescent="0.25">
      <c r="A248" s="67" t="s">
        <v>208</v>
      </c>
      <c r="C248" s="14" t="s">
        <v>314</v>
      </c>
      <c r="D248" s="14" t="s">
        <v>626</v>
      </c>
      <c r="E248" s="174">
        <f>'Func &amp; Classif'!O316</f>
        <v>19909.855422564648</v>
      </c>
      <c r="F248" s="40">
        <f>IF(VLOOKUP($D248,$C$5:$AT$507,3,)=0,0,(VLOOKUP($D248,$C$5:$AT$507,4,)/VLOOKUP($D248,$C$5:$AT$507,3,))*$E248)</f>
        <v>16387.527732249004</v>
      </c>
      <c r="G248" s="40">
        <f>IF(VLOOKUP($D248,$C$5:$AT$507,3,)=0,0,(VLOOKUP($D248,$C$5:$AT$507,5,)/VLOOKUP($D248,$C$5:$AT$507,3,))*$E248)</f>
        <v>16.221903430382191</v>
      </c>
      <c r="H248" s="40">
        <f>IF(VLOOKUP($D248,$C$5:$AT$507,3,)=0,0,(VLOOKUP($D248,$C$5:$AT$507,6,)/VLOOKUP($D248,$C$5:$AT$507,3,))*$E248)</f>
        <v>856.16674060338823</v>
      </c>
      <c r="I248" s="40">
        <f>IF(VLOOKUP($D248,$C$5:$AT$507,3,)=0,0,(VLOOKUP($D248,$C$5:$AT$507,7,)/VLOOKUP($D248,$C$5:$AT$507,3,))*$E248)</f>
        <v>2259.8111318061906</v>
      </c>
      <c r="J248" s="40">
        <f>IF(VLOOKUP($D248,$C$5:$AT$507,3,)=0,0,(VLOOKUP($D248,$C$5:$AT$507,8,)/VLOOKUP($D248,$C$5:$AT$507,3,))*$E248)</f>
        <v>390.12791447568156</v>
      </c>
      <c r="K248" s="40">
        <f>IF(VLOOKUP($D248,$C$5:$AT$507,3,)=0,0,(VLOOKUP($D248,$C$5:$AT$507,9,)/VLOOKUP($D248,$C$5:$AT$507,3,))*$E248)</f>
        <v>0</v>
      </c>
      <c r="L248" s="40">
        <f>IF(VLOOKUP($D248,$C$5:$AT$507,3,)=0,0,(VLOOKUP($D248,$C$5:$AT$507,10,)/VLOOKUP($D248,$C$5:$AT$507,3,))*$E248)</f>
        <v>0</v>
      </c>
      <c r="M248" s="40">
        <f>IF(VLOOKUP($D248,$C$5:$AT$507,3,)=0,0,(VLOOKUP($D248,$C$5:$AT$507,11,)/VLOOKUP($D248,$C$5:$AT$507,3,))*$E248)</f>
        <v>0</v>
      </c>
      <c r="N248" s="40">
        <f>IF(VLOOKUP($D248,$C$5:$AT$507,3,)=0,0,(VLOOKUP($D248,$C$5:$AT$507,12,)/VLOOKUP($D248,$C$5:$AT$507,3,))*$E248)</f>
        <v>0</v>
      </c>
      <c r="O248" s="40">
        <f>IF(VLOOKUP($D248,$C$5:$AT$507,3,)=0,0,(VLOOKUP($D248,$C$5:$AT$507,13,)/VLOOKUP($D248,$C$5:$AT$507,3,))*$E248)</f>
        <v>0</v>
      </c>
      <c r="P248" s="40">
        <f>IF(VLOOKUP($D248,$C$5:$AT$507,3,)=0,0,(VLOOKUP($D248,$C$5:$AT$507,14,)/VLOOKUP($D248,$C$5:$AT$507,3,))*$E248)</f>
        <v>0</v>
      </c>
      <c r="Q248" s="40">
        <f>IF(VLOOKUP($D248,$C$5:$AT$507,3,)=0,0,(VLOOKUP($D248,$C$5:$AT$507,15,)/VLOOKUP($D248,$C$5:$AT$507,3,))*$E248)</f>
        <v>0</v>
      </c>
      <c r="R248" s="40">
        <f>IF(VLOOKUP($D248,$C$5:$AT$507,3,)=0,0,(VLOOKUP($D248,$C$5:$AT$507,16,)/VLOOKUP($D248,$C$5:$AT$507,3,))*$E248)</f>
        <v>0</v>
      </c>
      <c r="S248" s="40">
        <f>IF(VLOOKUP($D248,$C$5:$AT$507,3,)=0,0,(VLOOKUP($D248,$C$5:$AT$507,17,)/VLOOKUP($D248,$C$5:$AT$507,3,))*$E248)</f>
        <v>0</v>
      </c>
      <c r="T248" s="40">
        <f>IF(VLOOKUP($D248,$C$5:$AT$507,3,)=0,0,(VLOOKUP($D248,$C$5:$AT$507,18,)/VLOOKUP($D248,$C$5:$AT$507,3,))*$E248)</f>
        <v>0</v>
      </c>
      <c r="U248" s="40">
        <f>IF(VLOOKUP($D248,$C$5:$AT$507,3,)=0,0,(VLOOKUP($D248,$C$5:$AT$507,19,)/VLOOKUP($D248,$C$5:$AT$507,3,))*$E248)</f>
        <v>0</v>
      </c>
      <c r="V248" s="40">
        <f>IF(VLOOKUP($D248,$C$5:$AT$507,3,)=0,0,(VLOOKUP($D248,$C$5:$AT$507,20,)/VLOOKUP($D248,$C$5:$AT$507,3,))*$E248)</f>
        <v>0</v>
      </c>
      <c r="W248" s="40">
        <f>IF(VLOOKUP($D248,$C$5:$AT$507,3,)=0,0,(VLOOKUP($D248,$C$5:$AT$507,21,)/VLOOKUP($D248,$C$5:$AT$507,3,))*$E248)</f>
        <v>0</v>
      </c>
      <c r="X248" s="40">
        <f>IF(VLOOKUP($D248,$C$5:$AT$507,3,)=0,0,(VLOOKUP($D248,$C$5:$AT$507,22,)/VLOOKUP($D248,$C$5:$AT$507,3,))*$E248)</f>
        <v>0</v>
      </c>
      <c r="Y248" s="40">
        <f>IF(VLOOKUP($D248,$C$5:$AT$507,3,)=0,0,(VLOOKUP($D248,$C$5:$AT$507,23,)/VLOOKUP($D248,$C$5:$AT$507,3,))*$E248)</f>
        <v>0</v>
      </c>
      <c r="Z248" s="40">
        <f>IF(VLOOKUP($D248,$C$5:$AT$507,3,)=0,0,(VLOOKUP($D248,$C$5:$AT$507,24,)/VLOOKUP($D248,$C$5:$AT$507,3,))*$E248)</f>
        <v>0</v>
      </c>
      <c r="AA248" s="40">
        <f>IF(VLOOKUP($D248,$C$5:$AT$507,3,)=0,0,(VLOOKUP($D248,$C$5:$AT$507,25,)/VLOOKUP($D248,$C$5:$AT$507,3,))*$E248)</f>
        <v>0</v>
      </c>
      <c r="AB248" s="40">
        <f>IF(VLOOKUP($D248,$C$5:$AT$507,3,)=0,0,(VLOOKUP($D248,$C$5:$AT$507,26,)/VLOOKUP($D248,$C$5:$AT$507,3,))*$E248)</f>
        <v>0</v>
      </c>
      <c r="AC248" s="40">
        <f>IF(VLOOKUP($D248,$C$5:$AT$507,3,)=0,0,(VLOOKUP($D248,$C$5:$AT$507,27,)/VLOOKUP($D248,$C$5:$AT$507,3,))*$E248)</f>
        <v>0</v>
      </c>
      <c r="AD248" s="40">
        <f>IF(VLOOKUP($D248,$C$5:$AT$507,3,)=0,0,(VLOOKUP($D248,$C$5:$AT$507,28,)/VLOOKUP($D248,$C$5:$AT$507,3,))*$E248)</f>
        <v>0</v>
      </c>
      <c r="AE248" s="40">
        <f>IF(VLOOKUP($D248,$C$5:$AT$507,3,)=0,0,(VLOOKUP($D248,$C$5:$AT$507,29,)/VLOOKUP($D248,$C$5:$AT$507,3,))*$E248)</f>
        <v>0</v>
      </c>
      <c r="AF248" s="40">
        <f>IF(VLOOKUP($D248,$C$5:$AT$507,3,)=0,0,(VLOOKUP($D248,$C$5:$AT$507,30,)/VLOOKUP($D248,$C$5:$AT$507,3,))*$E248)</f>
        <v>0</v>
      </c>
      <c r="AG248" s="64">
        <f>SUM(F248:AF248)</f>
        <v>19909.855422564644</v>
      </c>
      <c r="AH248" s="21" t="str">
        <f>IF(ABS(E248-AG248)&lt;0.01,"ok","err")</f>
        <v>ok</v>
      </c>
    </row>
    <row r="249" spans="1:34" x14ac:dyDescent="0.25">
      <c r="A249" s="67" t="s">
        <v>220</v>
      </c>
      <c r="C249" s="14" t="s">
        <v>315</v>
      </c>
      <c r="D249" s="14" t="s">
        <v>222</v>
      </c>
      <c r="E249" s="167">
        <f>'Func &amp; Classif'!P316</f>
        <v>19660.918900979243</v>
      </c>
      <c r="F249" s="40">
        <f>IF(VLOOKUP($D249,$C$5:$AT$507,3,)=0,0,(VLOOKUP($D249,$C$5:$AT$507,4,)/VLOOKUP($D249,$C$5:$AT$507,3,))*$E249)</f>
        <v>17177.331272620922</v>
      </c>
      <c r="G249" s="40">
        <f>IF(VLOOKUP($D249,$C$5:$AT$507,3,)=0,0,(VLOOKUP($D249,$C$5:$AT$507,5,)/VLOOKUP($D249,$C$5:$AT$507,3,))*$E249)</f>
        <v>12.925545040223092</v>
      </c>
      <c r="H249" s="40">
        <f>IF(VLOOKUP($D249,$C$5:$AT$507,3,)=0,0,(VLOOKUP($D249,$C$5:$AT$507,6,)/VLOOKUP($D249,$C$5:$AT$507,3,))*$E249)</f>
        <v>2099.6829832006842</v>
      </c>
      <c r="I249" s="40">
        <f>IF(VLOOKUP($D249,$C$5:$AT$507,3,)=0,0,(VLOOKUP($D249,$C$5:$AT$507,7,)/VLOOKUP($D249,$C$5:$AT$507,3,))*$E249)</f>
        <v>252.76621411991823</v>
      </c>
      <c r="J249" s="40">
        <f>IF(VLOOKUP($D249,$C$5:$AT$507,3,)=0,0,(VLOOKUP($D249,$C$5:$AT$507,8,)/VLOOKUP($D249,$C$5:$AT$507,3,))*$E249)</f>
        <v>3.5904291778397477</v>
      </c>
      <c r="K249" s="40">
        <f>IF(VLOOKUP($D249,$C$5:$AT$507,3,)=0,0,(VLOOKUP($D249,$C$5:$AT$507,9,)/VLOOKUP($D249,$C$5:$AT$507,3,))*$E249)</f>
        <v>114.62245681965739</v>
      </c>
      <c r="L249" s="40">
        <f>IF(VLOOKUP($D249,$C$5:$AT$507,3,)=0,0,(VLOOKUP($D249,$C$5:$AT$507,10,)/VLOOKUP($D249,$C$5:$AT$507,3,))*$E249)</f>
        <v>0</v>
      </c>
      <c r="M249" s="40">
        <f>IF(VLOOKUP($D249,$C$5:$AT$507,3,)=0,0,(VLOOKUP($D249,$C$5:$AT$507,11,)/VLOOKUP($D249,$C$5:$AT$507,3,))*$E249)</f>
        <v>0</v>
      </c>
      <c r="N249" s="40">
        <f>IF(VLOOKUP($D249,$C$5:$AT$507,3,)=0,0,(VLOOKUP($D249,$C$5:$AT$507,12,)/VLOOKUP($D249,$C$5:$AT$507,3,))*$E249)</f>
        <v>0</v>
      </c>
      <c r="O249" s="40">
        <f>IF(VLOOKUP($D249,$C$5:$AT$507,3,)=0,0,(VLOOKUP($D249,$C$5:$AT$507,13,)/VLOOKUP($D249,$C$5:$AT$507,3,))*$E249)</f>
        <v>0</v>
      </c>
      <c r="P249" s="40">
        <f>IF(VLOOKUP($D249,$C$5:$AT$507,3,)=0,0,(VLOOKUP($D249,$C$5:$AT$507,14,)/VLOOKUP($D249,$C$5:$AT$507,3,))*$E249)</f>
        <v>0</v>
      </c>
      <c r="Q249" s="40">
        <f>IF(VLOOKUP($D249,$C$5:$AT$507,3,)=0,0,(VLOOKUP($D249,$C$5:$AT$507,15,)/VLOOKUP($D249,$C$5:$AT$507,3,))*$E249)</f>
        <v>0</v>
      </c>
      <c r="R249" s="40">
        <f>IF(VLOOKUP($D249,$C$5:$AT$507,3,)=0,0,(VLOOKUP($D249,$C$5:$AT$507,16,)/VLOOKUP($D249,$C$5:$AT$507,3,))*$E249)</f>
        <v>0</v>
      </c>
      <c r="S249" s="40">
        <f>IF(VLOOKUP($D249,$C$5:$AT$507,3,)=0,0,(VLOOKUP($D249,$C$5:$AT$507,17,)/VLOOKUP($D249,$C$5:$AT$507,3,))*$E249)</f>
        <v>0</v>
      </c>
      <c r="T249" s="40">
        <f>IF(VLOOKUP($D249,$C$5:$AT$507,3,)=0,0,(VLOOKUP($D249,$C$5:$AT$507,18,)/VLOOKUP($D249,$C$5:$AT$507,3,))*$E249)</f>
        <v>0</v>
      </c>
      <c r="U249" s="40">
        <f>IF(VLOOKUP($D249,$C$5:$AT$507,3,)=0,0,(VLOOKUP($D249,$C$5:$AT$507,19,)/VLOOKUP($D249,$C$5:$AT$507,3,))*$E249)</f>
        <v>0</v>
      </c>
      <c r="V249" s="40">
        <f>IF(VLOOKUP($D249,$C$5:$AT$507,3,)=0,0,(VLOOKUP($D249,$C$5:$AT$507,20,)/VLOOKUP($D249,$C$5:$AT$507,3,))*$E249)</f>
        <v>0</v>
      </c>
      <c r="W249" s="40">
        <f>IF(VLOOKUP($D249,$C$5:$AT$507,3,)=0,0,(VLOOKUP($D249,$C$5:$AT$507,21,)/VLOOKUP($D249,$C$5:$AT$507,3,))*$E249)</f>
        <v>0</v>
      </c>
      <c r="X249" s="40">
        <f>IF(VLOOKUP($D249,$C$5:$AT$507,3,)=0,0,(VLOOKUP($D249,$C$5:$AT$507,22,)/VLOOKUP($D249,$C$5:$AT$507,3,))*$E249)</f>
        <v>0</v>
      </c>
      <c r="Y249" s="40">
        <f>IF(VLOOKUP($D249,$C$5:$AT$507,3,)=0,0,(VLOOKUP($D249,$C$5:$AT$507,23,)/VLOOKUP($D249,$C$5:$AT$507,3,))*$E249)</f>
        <v>0</v>
      </c>
      <c r="Z249" s="40">
        <f>IF(VLOOKUP($D249,$C$5:$AT$507,3,)=0,0,(VLOOKUP($D249,$C$5:$AT$507,24,)/VLOOKUP($D249,$C$5:$AT$507,3,))*$E249)</f>
        <v>0</v>
      </c>
      <c r="AA249" s="40">
        <f>IF(VLOOKUP($D249,$C$5:$AT$507,3,)=0,0,(VLOOKUP($D249,$C$5:$AT$507,25,)/VLOOKUP($D249,$C$5:$AT$507,3,))*$E249)</f>
        <v>0</v>
      </c>
      <c r="AB249" s="40">
        <f>IF(VLOOKUP($D249,$C$5:$AT$507,3,)=0,0,(VLOOKUP($D249,$C$5:$AT$507,26,)/VLOOKUP($D249,$C$5:$AT$507,3,))*$E249)</f>
        <v>0</v>
      </c>
      <c r="AC249" s="40">
        <f>IF(VLOOKUP($D249,$C$5:$AT$507,3,)=0,0,(VLOOKUP($D249,$C$5:$AT$507,27,)/VLOOKUP($D249,$C$5:$AT$507,3,))*$E249)</f>
        <v>0</v>
      </c>
      <c r="AD249" s="40">
        <f>IF(VLOOKUP($D249,$C$5:$AT$507,3,)=0,0,(VLOOKUP($D249,$C$5:$AT$507,28,)/VLOOKUP($D249,$C$5:$AT$507,3,))*$E249)</f>
        <v>0</v>
      </c>
      <c r="AE249" s="40">
        <f>IF(VLOOKUP($D249,$C$5:$AT$507,3,)=0,0,(VLOOKUP($D249,$C$5:$AT$507,29,)/VLOOKUP($D249,$C$5:$AT$507,3,))*$E249)</f>
        <v>0</v>
      </c>
      <c r="AF249" s="40">
        <f>IF(VLOOKUP($D249,$C$5:$AT$507,3,)=0,0,(VLOOKUP($D249,$C$5:$AT$507,30,)/VLOOKUP($D249,$C$5:$AT$507,3,))*$E249)</f>
        <v>0</v>
      </c>
      <c r="AG249" s="64">
        <f>SUM(F249:AF249)</f>
        <v>19660.918900979243</v>
      </c>
      <c r="AH249" s="21" t="str">
        <f>IF(ABS(E249-AG249)&lt;0.01,"ok","err")</f>
        <v>ok</v>
      </c>
    </row>
    <row r="250" spans="1:34" x14ac:dyDescent="0.25">
      <c r="A250" s="14" t="s">
        <v>223</v>
      </c>
      <c r="E250" s="174">
        <f t="shared" ref="E250:T250" si="51">E248+E249</f>
        <v>39570.77432354389</v>
      </c>
      <c r="F250" s="40">
        <f t="shared" si="51"/>
        <v>33564.859004869926</v>
      </c>
      <c r="G250" s="40">
        <f t="shared" si="51"/>
        <v>29.147448470605283</v>
      </c>
      <c r="H250" s="40">
        <f t="shared" si="51"/>
        <v>2955.8497238040727</v>
      </c>
      <c r="I250" s="40">
        <f t="shared" si="51"/>
        <v>2512.577345926109</v>
      </c>
      <c r="J250" s="40">
        <f t="shared" si="51"/>
        <v>393.71834365352129</v>
      </c>
      <c r="K250" s="40">
        <f t="shared" si="51"/>
        <v>114.62245681965739</v>
      </c>
      <c r="L250" s="40">
        <f t="shared" si="51"/>
        <v>0</v>
      </c>
      <c r="M250" s="40">
        <f t="shared" si="51"/>
        <v>0</v>
      </c>
      <c r="N250" s="40">
        <f t="shared" si="51"/>
        <v>0</v>
      </c>
      <c r="O250" s="40">
        <f t="shared" si="51"/>
        <v>0</v>
      </c>
      <c r="P250" s="40">
        <f t="shared" si="51"/>
        <v>0</v>
      </c>
      <c r="Q250" s="40">
        <f t="shared" si="51"/>
        <v>0</v>
      </c>
      <c r="R250" s="40">
        <f t="shared" si="51"/>
        <v>0</v>
      </c>
      <c r="S250" s="40">
        <f t="shared" si="51"/>
        <v>0</v>
      </c>
      <c r="T250" s="40">
        <f t="shared" si="51"/>
        <v>0</v>
      </c>
      <c r="U250" s="40">
        <f t="shared" ref="U250:AF250" si="52">U248+U249</f>
        <v>0</v>
      </c>
      <c r="V250" s="40">
        <f t="shared" si="52"/>
        <v>0</v>
      </c>
      <c r="W250" s="40">
        <f t="shared" si="52"/>
        <v>0</v>
      </c>
      <c r="X250" s="40">
        <f t="shared" si="52"/>
        <v>0</v>
      </c>
      <c r="Y250" s="40">
        <f t="shared" si="52"/>
        <v>0</v>
      </c>
      <c r="Z250" s="40">
        <f t="shared" si="52"/>
        <v>0</v>
      </c>
      <c r="AA250" s="40">
        <f t="shared" si="52"/>
        <v>0</v>
      </c>
      <c r="AB250" s="40">
        <f t="shared" si="52"/>
        <v>0</v>
      </c>
      <c r="AC250" s="40">
        <f t="shared" si="52"/>
        <v>0</v>
      </c>
      <c r="AD250" s="40">
        <f t="shared" si="52"/>
        <v>0</v>
      </c>
      <c r="AE250" s="40">
        <f t="shared" si="52"/>
        <v>0</v>
      </c>
      <c r="AF250" s="40">
        <f t="shared" si="52"/>
        <v>0</v>
      </c>
      <c r="AG250" s="64">
        <f>SUM(F250:AF250)</f>
        <v>39570.77432354389</v>
      </c>
      <c r="AH250" s="21" t="str">
        <f>IF(ABS(E250-AG250)&lt;0.01,"ok","err")</f>
        <v>ok</v>
      </c>
    </row>
    <row r="251" spans="1:34" x14ac:dyDescent="0.25">
      <c r="E251" s="167"/>
    </row>
    <row r="252" spans="1:34" x14ac:dyDescent="0.25">
      <c r="A252" s="13" t="s">
        <v>3</v>
      </c>
      <c r="E252" s="167"/>
    </row>
    <row r="253" spans="1:34" x14ac:dyDescent="0.25">
      <c r="A253" s="67" t="s">
        <v>208</v>
      </c>
      <c r="C253" s="14" t="s">
        <v>316</v>
      </c>
      <c r="D253" s="14" t="s">
        <v>698</v>
      </c>
      <c r="E253" s="174">
        <f>'Func &amp; Classif'!R316</f>
        <v>0</v>
      </c>
      <c r="F253" s="40">
        <f>IF(VLOOKUP($D253,$C$5:$AT$507,3,)=0,0,(VLOOKUP($D253,$C$5:$AT$507,4,)/VLOOKUP($D253,$C$5:$AT$507,3,))*$E253)</f>
        <v>0</v>
      </c>
      <c r="G253" s="40">
        <f>IF(VLOOKUP($D253,$C$5:$AT$507,3,)=0,0,(VLOOKUP($D253,$C$5:$AT$507,5,)/VLOOKUP($D253,$C$5:$AT$507,3,))*$E253)</f>
        <v>0</v>
      </c>
      <c r="H253" s="40">
        <f>IF(VLOOKUP($D253,$C$5:$AT$507,3,)=0,0,(VLOOKUP($D253,$C$5:$AT$507,6,)/VLOOKUP($D253,$C$5:$AT$507,3,))*$E253)</f>
        <v>0</v>
      </c>
      <c r="I253" s="40">
        <f>IF(VLOOKUP($D253,$C$5:$AT$507,3,)=0,0,(VLOOKUP($D253,$C$5:$AT$507,7,)/VLOOKUP($D253,$C$5:$AT$507,3,))*$E253)</f>
        <v>0</v>
      </c>
      <c r="J253" s="40">
        <f>IF(VLOOKUP($D253,$C$5:$AT$507,3,)=0,0,(VLOOKUP($D253,$C$5:$AT$507,8,)/VLOOKUP($D253,$C$5:$AT$507,3,))*$E253)</f>
        <v>0</v>
      </c>
      <c r="K253" s="40">
        <f>IF(VLOOKUP($D253,$C$5:$AT$507,3,)=0,0,(VLOOKUP($D253,$C$5:$AT$507,9,)/VLOOKUP($D253,$C$5:$AT$507,3,))*$E253)</f>
        <v>0</v>
      </c>
      <c r="L253" s="40">
        <f>IF(VLOOKUP($D253,$C$5:$AT$507,3,)=0,0,(VLOOKUP($D253,$C$5:$AT$507,10,)/VLOOKUP($D253,$C$5:$AT$507,3,))*$E253)</f>
        <v>0</v>
      </c>
      <c r="M253" s="40">
        <f>IF(VLOOKUP($D253,$C$5:$AT$507,3,)=0,0,(VLOOKUP($D253,$C$5:$AT$507,11,)/VLOOKUP($D253,$C$5:$AT$507,3,))*$E253)</f>
        <v>0</v>
      </c>
      <c r="N253" s="40">
        <f>IF(VLOOKUP($D253,$C$5:$AT$507,3,)=0,0,(VLOOKUP($D253,$C$5:$AT$507,12,)/VLOOKUP($D253,$C$5:$AT$507,3,))*$E253)</f>
        <v>0</v>
      </c>
      <c r="O253" s="40">
        <f>IF(VLOOKUP($D253,$C$5:$AT$507,3,)=0,0,(VLOOKUP($D253,$C$5:$AT$507,13,)/VLOOKUP($D253,$C$5:$AT$507,3,))*$E253)</f>
        <v>0</v>
      </c>
      <c r="P253" s="40">
        <f>IF(VLOOKUP($D253,$C$5:$AT$507,3,)=0,0,(VLOOKUP($D253,$C$5:$AT$507,14,)/VLOOKUP($D253,$C$5:$AT$507,3,))*$E253)</f>
        <v>0</v>
      </c>
      <c r="Q253" s="40">
        <f>IF(VLOOKUP($D253,$C$5:$AT$507,3,)=0,0,(VLOOKUP($D253,$C$5:$AT$507,15,)/VLOOKUP($D253,$C$5:$AT$507,3,))*$E253)</f>
        <v>0</v>
      </c>
      <c r="R253" s="40">
        <f>IF(VLOOKUP($D253,$C$5:$AT$507,3,)=0,0,(VLOOKUP($D253,$C$5:$AT$507,16,)/VLOOKUP($D253,$C$5:$AT$507,3,))*$E253)</f>
        <v>0</v>
      </c>
      <c r="S253" s="40">
        <f>IF(VLOOKUP($D253,$C$5:$AT$507,3,)=0,0,(VLOOKUP($D253,$C$5:$AT$507,17,)/VLOOKUP($D253,$C$5:$AT$507,3,))*$E253)</f>
        <v>0</v>
      </c>
      <c r="T253" s="40">
        <f>IF(VLOOKUP($D253,$C$5:$AT$507,3,)=0,0,(VLOOKUP($D253,$C$5:$AT$507,18,)/VLOOKUP($D253,$C$5:$AT$507,3,))*$E253)</f>
        <v>0</v>
      </c>
      <c r="U253" s="40">
        <f>IF(VLOOKUP($D253,$C$5:$AT$507,3,)=0,0,(VLOOKUP($D253,$C$5:$AT$507,19,)/VLOOKUP($D253,$C$5:$AT$507,3,))*$E253)</f>
        <v>0</v>
      </c>
      <c r="V253" s="40">
        <f>IF(VLOOKUP($D253,$C$5:$AT$507,3,)=0,0,(VLOOKUP($D253,$C$5:$AT$507,20,)/VLOOKUP($D253,$C$5:$AT$507,3,))*$E253)</f>
        <v>0</v>
      </c>
      <c r="W253" s="40">
        <f>IF(VLOOKUP($D253,$C$5:$AT$507,3,)=0,0,(VLOOKUP($D253,$C$5:$AT$507,21,)/VLOOKUP($D253,$C$5:$AT$507,3,))*$E253)</f>
        <v>0</v>
      </c>
      <c r="X253" s="40">
        <f>IF(VLOOKUP($D253,$C$5:$AT$507,3,)=0,0,(VLOOKUP($D253,$C$5:$AT$507,22,)/VLOOKUP($D253,$C$5:$AT$507,3,))*$E253)</f>
        <v>0</v>
      </c>
      <c r="Y253" s="40">
        <f>IF(VLOOKUP($D253,$C$5:$AT$507,3,)=0,0,(VLOOKUP($D253,$C$5:$AT$507,23,)/VLOOKUP($D253,$C$5:$AT$507,3,))*$E253)</f>
        <v>0</v>
      </c>
      <c r="Z253" s="40">
        <f>IF(VLOOKUP($D253,$C$5:$AT$507,3,)=0,0,(VLOOKUP($D253,$C$5:$AT$507,24,)/VLOOKUP($D253,$C$5:$AT$507,3,))*$E253)</f>
        <v>0</v>
      </c>
      <c r="AA253" s="40">
        <f>IF(VLOOKUP($D253,$C$5:$AT$507,3,)=0,0,(VLOOKUP($D253,$C$5:$AT$507,25,)/VLOOKUP($D253,$C$5:$AT$507,3,))*$E253)</f>
        <v>0</v>
      </c>
      <c r="AB253" s="40">
        <f>IF(VLOOKUP($D253,$C$5:$AT$507,3,)=0,0,(VLOOKUP($D253,$C$5:$AT$507,26,)/VLOOKUP($D253,$C$5:$AT$507,3,))*$E253)</f>
        <v>0</v>
      </c>
      <c r="AC253" s="40">
        <f>IF(VLOOKUP($D253,$C$5:$AT$507,3,)=0,0,(VLOOKUP($D253,$C$5:$AT$507,27,)/VLOOKUP($D253,$C$5:$AT$507,3,))*$E253)</f>
        <v>0</v>
      </c>
      <c r="AD253" s="40">
        <f>IF(VLOOKUP($D253,$C$5:$AT$507,3,)=0,0,(VLOOKUP($D253,$C$5:$AT$507,28,)/VLOOKUP($D253,$C$5:$AT$507,3,))*$E253)</f>
        <v>0</v>
      </c>
      <c r="AE253" s="40">
        <f>IF(VLOOKUP($D253,$C$5:$AT$507,3,)=0,0,(VLOOKUP($D253,$C$5:$AT$507,29,)/VLOOKUP($D253,$C$5:$AT$507,3,))*$E253)</f>
        <v>0</v>
      </c>
      <c r="AF253" s="40">
        <f>IF(VLOOKUP($D253,$C$5:$AT$507,3,)=0,0,(VLOOKUP($D253,$C$5:$AT$507,30,)/VLOOKUP($D253,$C$5:$AT$507,3,))*$E253)</f>
        <v>0</v>
      </c>
      <c r="AG253" s="64">
        <f>SUM(F253:AF253)</f>
        <v>0</v>
      </c>
      <c r="AH253" s="21" t="str">
        <f>IF(ABS(E253-AG253)&lt;0.01,"ok","err")</f>
        <v>ok</v>
      </c>
    </row>
    <row r="254" spans="1:34" x14ac:dyDescent="0.25">
      <c r="A254" s="67" t="s">
        <v>220</v>
      </c>
      <c r="C254" s="14" t="s">
        <v>317</v>
      </c>
      <c r="D254" s="14" t="s">
        <v>698</v>
      </c>
      <c r="E254" s="167">
        <f>'Func &amp; Classif'!S316</f>
        <v>3171.194427019564</v>
      </c>
      <c r="F254" s="40">
        <f>IF(VLOOKUP($D254,$C$5:$AT$507,3,)=0,0,(VLOOKUP($D254,$C$5:$AT$507,4,)/VLOOKUP($D254,$C$5:$AT$507,3,))*$E254)</f>
        <v>2729.2711411448649</v>
      </c>
      <c r="G254" s="40">
        <f>IF(VLOOKUP($D254,$C$5:$AT$507,3,)=0,0,(VLOOKUP($D254,$C$5:$AT$507,5,)/VLOOKUP($D254,$C$5:$AT$507,3,))*$E254)</f>
        <v>2.0537134961166994</v>
      </c>
      <c r="H254" s="40">
        <f>IF(VLOOKUP($D254,$C$5:$AT$507,3,)=0,0,(VLOOKUP($D254,$C$5:$AT$507,6,)/VLOOKUP($D254,$C$5:$AT$507,3,))*$E254)</f>
        <v>381.27354048541144</v>
      </c>
      <c r="I254" s="40">
        <f>IF(VLOOKUP($D254,$C$5:$AT$507,3,)=0,0,(VLOOKUP($D254,$C$5:$AT$507,7,)/VLOOKUP($D254,$C$5:$AT$507,3,))*$E254)</f>
        <v>57.373583383577639</v>
      </c>
      <c r="J254" s="40">
        <f>IF(VLOOKUP($D254,$C$5:$AT$507,3,)=0,0,(VLOOKUP($D254,$C$5:$AT$507,8,)/VLOOKUP($D254,$C$5:$AT$507,3,))*$E254)</f>
        <v>1.2224485095932736</v>
      </c>
      <c r="K254" s="40">
        <f>IF(VLOOKUP($D254,$C$5:$AT$507,3,)=0,0,(VLOOKUP($D254,$C$5:$AT$507,9,)/VLOOKUP($D254,$C$5:$AT$507,3,))*$E254)</f>
        <v>0</v>
      </c>
      <c r="L254" s="40">
        <f>IF(VLOOKUP($D254,$C$5:$AT$507,3,)=0,0,(VLOOKUP($D254,$C$5:$AT$507,10,)/VLOOKUP($D254,$C$5:$AT$507,3,))*$E254)</f>
        <v>0</v>
      </c>
      <c r="M254" s="40">
        <f>IF(VLOOKUP($D254,$C$5:$AT$507,3,)=0,0,(VLOOKUP($D254,$C$5:$AT$507,11,)/VLOOKUP($D254,$C$5:$AT$507,3,))*$E254)</f>
        <v>0</v>
      </c>
      <c r="N254" s="40">
        <f>IF(VLOOKUP($D254,$C$5:$AT$507,3,)=0,0,(VLOOKUP($D254,$C$5:$AT$507,12,)/VLOOKUP($D254,$C$5:$AT$507,3,))*$E254)</f>
        <v>0</v>
      </c>
      <c r="O254" s="40">
        <f>IF(VLOOKUP($D254,$C$5:$AT$507,3,)=0,0,(VLOOKUP($D254,$C$5:$AT$507,13,)/VLOOKUP($D254,$C$5:$AT$507,3,))*$E254)</f>
        <v>0</v>
      </c>
      <c r="P254" s="40">
        <f>IF(VLOOKUP($D254,$C$5:$AT$507,3,)=0,0,(VLOOKUP($D254,$C$5:$AT$507,14,)/VLOOKUP($D254,$C$5:$AT$507,3,))*$E254)</f>
        <v>0</v>
      </c>
      <c r="Q254" s="40">
        <f>IF(VLOOKUP($D254,$C$5:$AT$507,3,)=0,0,(VLOOKUP($D254,$C$5:$AT$507,15,)/VLOOKUP($D254,$C$5:$AT$507,3,))*$E254)</f>
        <v>0</v>
      </c>
      <c r="R254" s="40">
        <f>IF(VLOOKUP($D254,$C$5:$AT$507,3,)=0,0,(VLOOKUP($D254,$C$5:$AT$507,16,)/VLOOKUP($D254,$C$5:$AT$507,3,))*$E254)</f>
        <v>0</v>
      </c>
      <c r="S254" s="40">
        <f>IF(VLOOKUP($D254,$C$5:$AT$507,3,)=0,0,(VLOOKUP($D254,$C$5:$AT$507,17,)/VLOOKUP($D254,$C$5:$AT$507,3,))*$E254)</f>
        <v>0</v>
      </c>
      <c r="T254" s="40">
        <f>IF(VLOOKUP($D254,$C$5:$AT$507,3,)=0,0,(VLOOKUP($D254,$C$5:$AT$507,18,)/VLOOKUP($D254,$C$5:$AT$507,3,))*$E254)</f>
        <v>0</v>
      </c>
      <c r="U254" s="40">
        <f>IF(VLOOKUP($D254,$C$5:$AT$507,3,)=0,0,(VLOOKUP($D254,$C$5:$AT$507,19,)/VLOOKUP($D254,$C$5:$AT$507,3,))*$E254)</f>
        <v>0</v>
      </c>
      <c r="V254" s="40">
        <f>IF(VLOOKUP($D254,$C$5:$AT$507,3,)=0,0,(VLOOKUP($D254,$C$5:$AT$507,20,)/VLOOKUP($D254,$C$5:$AT$507,3,))*$E254)</f>
        <v>0</v>
      </c>
      <c r="W254" s="40">
        <f>IF(VLOOKUP($D254,$C$5:$AT$507,3,)=0,0,(VLOOKUP($D254,$C$5:$AT$507,21,)/VLOOKUP($D254,$C$5:$AT$507,3,))*$E254)</f>
        <v>0</v>
      </c>
      <c r="X254" s="40">
        <f>IF(VLOOKUP($D254,$C$5:$AT$507,3,)=0,0,(VLOOKUP($D254,$C$5:$AT$507,22,)/VLOOKUP($D254,$C$5:$AT$507,3,))*$E254)</f>
        <v>0</v>
      </c>
      <c r="Y254" s="40">
        <f>IF(VLOOKUP($D254,$C$5:$AT$507,3,)=0,0,(VLOOKUP($D254,$C$5:$AT$507,23,)/VLOOKUP($D254,$C$5:$AT$507,3,))*$E254)</f>
        <v>0</v>
      </c>
      <c r="Z254" s="40">
        <f>IF(VLOOKUP($D254,$C$5:$AT$507,3,)=0,0,(VLOOKUP($D254,$C$5:$AT$507,24,)/VLOOKUP($D254,$C$5:$AT$507,3,))*$E254)</f>
        <v>0</v>
      </c>
      <c r="AA254" s="40">
        <f>IF(VLOOKUP($D254,$C$5:$AT$507,3,)=0,0,(VLOOKUP($D254,$C$5:$AT$507,25,)/VLOOKUP($D254,$C$5:$AT$507,3,))*$E254)</f>
        <v>0</v>
      </c>
      <c r="AB254" s="40">
        <f>IF(VLOOKUP($D254,$C$5:$AT$507,3,)=0,0,(VLOOKUP($D254,$C$5:$AT$507,26,)/VLOOKUP($D254,$C$5:$AT$507,3,))*$E254)</f>
        <v>0</v>
      </c>
      <c r="AC254" s="40">
        <f>IF(VLOOKUP($D254,$C$5:$AT$507,3,)=0,0,(VLOOKUP($D254,$C$5:$AT$507,27,)/VLOOKUP($D254,$C$5:$AT$507,3,))*$E254)</f>
        <v>0</v>
      </c>
      <c r="AD254" s="40">
        <f>IF(VLOOKUP($D254,$C$5:$AT$507,3,)=0,0,(VLOOKUP($D254,$C$5:$AT$507,28,)/VLOOKUP($D254,$C$5:$AT$507,3,))*$E254)</f>
        <v>0</v>
      </c>
      <c r="AE254" s="40">
        <f>IF(VLOOKUP($D254,$C$5:$AT$507,3,)=0,0,(VLOOKUP($D254,$C$5:$AT$507,29,)/VLOOKUP($D254,$C$5:$AT$507,3,))*$E254)</f>
        <v>0</v>
      </c>
      <c r="AF254" s="40">
        <f>IF(VLOOKUP($D254,$C$5:$AT$507,3,)=0,0,(VLOOKUP($D254,$C$5:$AT$507,30,)/VLOOKUP($D254,$C$5:$AT$507,3,))*$E254)</f>
        <v>0</v>
      </c>
      <c r="AG254" s="64">
        <f>SUM(F254:AF254)</f>
        <v>3171.194427019564</v>
      </c>
      <c r="AH254" s="21" t="str">
        <f>IF(ABS(E254-AG254)&lt;0.01,"ok","err")</f>
        <v>ok</v>
      </c>
    </row>
    <row r="255" spans="1:34" x14ac:dyDescent="0.25">
      <c r="A255" s="14" t="s">
        <v>227</v>
      </c>
      <c r="E255" s="174">
        <f t="shared" ref="E255:T255" si="53">E253+E254</f>
        <v>3171.194427019564</v>
      </c>
      <c r="F255" s="40">
        <f t="shared" si="53"/>
        <v>2729.2711411448649</v>
      </c>
      <c r="G255" s="40">
        <f t="shared" si="53"/>
        <v>2.0537134961166994</v>
      </c>
      <c r="H255" s="40">
        <f t="shared" si="53"/>
        <v>381.27354048541144</v>
      </c>
      <c r="I255" s="40">
        <f t="shared" si="53"/>
        <v>57.373583383577639</v>
      </c>
      <c r="J255" s="40">
        <f t="shared" si="53"/>
        <v>1.2224485095932736</v>
      </c>
      <c r="K255" s="40">
        <f t="shared" si="53"/>
        <v>0</v>
      </c>
      <c r="L255" s="40">
        <f t="shared" si="53"/>
        <v>0</v>
      </c>
      <c r="M255" s="40">
        <f t="shared" si="53"/>
        <v>0</v>
      </c>
      <c r="N255" s="40">
        <f t="shared" si="53"/>
        <v>0</v>
      </c>
      <c r="O255" s="40">
        <f t="shared" si="53"/>
        <v>0</v>
      </c>
      <c r="P255" s="40">
        <f t="shared" si="53"/>
        <v>0</v>
      </c>
      <c r="Q255" s="40">
        <f t="shared" si="53"/>
        <v>0</v>
      </c>
      <c r="R255" s="40">
        <f t="shared" si="53"/>
        <v>0</v>
      </c>
      <c r="S255" s="40">
        <f t="shared" si="53"/>
        <v>0</v>
      </c>
      <c r="T255" s="40">
        <f t="shared" si="53"/>
        <v>0</v>
      </c>
      <c r="U255" s="40">
        <f t="shared" ref="U255:AF255" si="54">U253+U254</f>
        <v>0</v>
      </c>
      <c r="V255" s="40">
        <f t="shared" si="54"/>
        <v>0</v>
      </c>
      <c r="W255" s="40">
        <f t="shared" si="54"/>
        <v>0</v>
      </c>
      <c r="X255" s="40">
        <f t="shared" si="54"/>
        <v>0</v>
      </c>
      <c r="Y255" s="40">
        <f t="shared" si="54"/>
        <v>0</v>
      </c>
      <c r="Z255" s="40">
        <f t="shared" si="54"/>
        <v>0</v>
      </c>
      <c r="AA255" s="40">
        <f t="shared" si="54"/>
        <v>0</v>
      </c>
      <c r="AB255" s="40">
        <f t="shared" si="54"/>
        <v>0</v>
      </c>
      <c r="AC255" s="40">
        <f t="shared" si="54"/>
        <v>0</v>
      </c>
      <c r="AD255" s="40">
        <f t="shared" si="54"/>
        <v>0</v>
      </c>
      <c r="AE255" s="40">
        <f t="shared" si="54"/>
        <v>0</v>
      </c>
      <c r="AF255" s="40">
        <f t="shared" si="54"/>
        <v>0</v>
      </c>
      <c r="AG255" s="64">
        <f>SUM(F255:AF255)</f>
        <v>3171.194427019564</v>
      </c>
      <c r="AH255" s="21" t="str">
        <f>IF(ABS(E255-AG255)&lt;0.01,"ok","err")</f>
        <v>ok</v>
      </c>
    </row>
    <row r="256" spans="1:34" x14ac:dyDescent="0.25">
      <c r="E256" s="167"/>
    </row>
    <row r="257" spans="1:34" x14ac:dyDescent="0.25">
      <c r="A257" s="13" t="s">
        <v>4</v>
      </c>
      <c r="E257" s="167"/>
    </row>
    <row r="258" spans="1:34" x14ac:dyDescent="0.25">
      <c r="A258" s="67" t="s">
        <v>220</v>
      </c>
      <c r="C258" s="14" t="s">
        <v>318</v>
      </c>
      <c r="D258" s="14" t="s">
        <v>229</v>
      </c>
      <c r="E258" s="174">
        <f>'Func &amp; Classif'!U316</f>
        <v>3122.0428409026404</v>
      </c>
      <c r="F258" s="40">
        <f>IF(VLOOKUP($D258,$C$5:$AT$507,3,)=0,0,(VLOOKUP($D258,$C$5:$AT$507,4,)/VLOOKUP($D258,$C$5:$AT$507,3,))*$E258)</f>
        <v>2336.8186362912502</v>
      </c>
      <c r="G258" s="40">
        <f>IF(VLOOKUP($D258,$C$5:$AT$507,3,)=0,0,(VLOOKUP($D258,$C$5:$AT$507,5,)/VLOOKUP($D258,$C$5:$AT$507,3,))*$E258)</f>
        <v>1.7584020506351112</v>
      </c>
      <c r="H258" s="40">
        <f>IF(VLOOKUP($D258,$C$5:$AT$507,3,)=0,0,(VLOOKUP($D258,$C$5:$AT$507,6,)/VLOOKUP($D258,$C$5:$AT$507,3,))*$E258)</f>
        <v>571.28528845078506</v>
      </c>
      <c r="I258" s="40">
        <f>IF(VLOOKUP($D258,$C$5:$AT$507,3,)=0,0,(VLOOKUP($D258,$C$5:$AT$507,7,)/VLOOKUP($D258,$C$5:$AT$507,3,))*$E258)</f>
        <v>206.31917394118639</v>
      </c>
      <c r="J258" s="40">
        <f>IF(VLOOKUP($D258,$C$5:$AT$507,3,)=0,0,(VLOOKUP($D258,$C$5:$AT$507,8,)/VLOOKUP($D258,$C$5:$AT$507,3,))*$E258)</f>
        <v>5.8613401687837046</v>
      </c>
      <c r="K258" s="40">
        <f>IF(VLOOKUP($D258,$C$5:$AT$507,3,)=0,0,(VLOOKUP($D258,$C$5:$AT$507,9,)/VLOOKUP($D258,$C$5:$AT$507,3,))*$E258)</f>
        <v>0</v>
      </c>
      <c r="L258" s="40">
        <f>IF(VLOOKUP($D258,$C$5:$AT$507,3,)=0,0,(VLOOKUP($D258,$C$5:$AT$507,10,)/VLOOKUP($D258,$C$5:$AT$507,3,))*$E258)</f>
        <v>0</v>
      </c>
      <c r="M258" s="40">
        <f>IF(VLOOKUP($D258,$C$5:$AT$507,3,)=0,0,(VLOOKUP($D258,$C$5:$AT$507,11,)/VLOOKUP($D258,$C$5:$AT$507,3,))*$E258)</f>
        <v>0</v>
      </c>
      <c r="N258" s="40">
        <f>IF(VLOOKUP($D258,$C$5:$AT$507,3,)=0,0,(VLOOKUP($D258,$C$5:$AT$507,12,)/VLOOKUP($D258,$C$5:$AT$507,3,))*$E258)</f>
        <v>0</v>
      </c>
      <c r="O258" s="40">
        <f>IF(VLOOKUP($D258,$C$5:$AT$507,3,)=0,0,(VLOOKUP($D258,$C$5:$AT$507,13,)/VLOOKUP($D258,$C$5:$AT$507,3,))*$E258)</f>
        <v>0</v>
      </c>
      <c r="P258" s="40">
        <f>IF(VLOOKUP($D258,$C$5:$AT$507,3,)=0,0,(VLOOKUP($D258,$C$5:$AT$507,14,)/VLOOKUP($D258,$C$5:$AT$507,3,))*$E258)</f>
        <v>0</v>
      </c>
      <c r="Q258" s="40">
        <f>IF(VLOOKUP($D258,$C$5:$AT$507,3,)=0,0,(VLOOKUP($D258,$C$5:$AT$507,15,)/VLOOKUP($D258,$C$5:$AT$507,3,))*$E258)</f>
        <v>0</v>
      </c>
      <c r="R258" s="40">
        <f>IF(VLOOKUP($D258,$C$5:$AT$507,3,)=0,0,(VLOOKUP($D258,$C$5:$AT$507,16,)/VLOOKUP($D258,$C$5:$AT$507,3,))*$E258)</f>
        <v>0</v>
      </c>
      <c r="S258" s="40">
        <f>IF(VLOOKUP($D258,$C$5:$AT$507,3,)=0,0,(VLOOKUP($D258,$C$5:$AT$507,17,)/VLOOKUP($D258,$C$5:$AT$507,3,))*$E258)</f>
        <v>0</v>
      </c>
      <c r="T258" s="40">
        <f>IF(VLOOKUP($D258,$C$5:$AT$507,3,)=0,0,(VLOOKUP($D258,$C$5:$AT$507,18,)/VLOOKUP($D258,$C$5:$AT$507,3,))*$E258)</f>
        <v>0</v>
      </c>
      <c r="U258" s="40">
        <f>IF(VLOOKUP($D258,$C$5:$AT$507,3,)=0,0,(VLOOKUP($D258,$C$5:$AT$507,19,)/VLOOKUP($D258,$C$5:$AT$507,3,))*$E258)</f>
        <v>0</v>
      </c>
      <c r="V258" s="40">
        <f>IF(VLOOKUP($D258,$C$5:$AT$507,3,)=0,0,(VLOOKUP($D258,$C$5:$AT$507,20,)/VLOOKUP($D258,$C$5:$AT$507,3,))*$E258)</f>
        <v>0</v>
      </c>
      <c r="W258" s="40">
        <f>IF(VLOOKUP($D258,$C$5:$AT$507,3,)=0,0,(VLOOKUP($D258,$C$5:$AT$507,21,)/VLOOKUP($D258,$C$5:$AT$507,3,))*$E258)</f>
        <v>0</v>
      </c>
      <c r="X258" s="40">
        <f>IF(VLOOKUP($D258,$C$5:$AT$507,3,)=0,0,(VLOOKUP($D258,$C$5:$AT$507,22,)/VLOOKUP($D258,$C$5:$AT$507,3,))*$E258)</f>
        <v>0</v>
      </c>
      <c r="Y258" s="40">
        <f>IF(VLOOKUP($D258,$C$5:$AT$507,3,)=0,0,(VLOOKUP($D258,$C$5:$AT$507,23,)/VLOOKUP($D258,$C$5:$AT$507,3,))*$E258)</f>
        <v>0</v>
      </c>
      <c r="Z258" s="40">
        <f>IF(VLOOKUP($D258,$C$5:$AT$507,3,)=0,0,(VLOOKUP($D258,$C$5:$AT$507,24,)/VLOOKUP($D258,$C$5:$AT$507,3,))*$E258)</f>
        <v>0</v>
      </c>
      <c r="AA258" s="40">
        <f>IF(VLOOKUP($D258,$C$5:$AT$507,3,)=0,0,(VLOOKUP($D258,$C$5:$AT$507,25,)/VLOOKUP($D258,$C$5:$AT$507,3,))*$E258)</f>
        <v>0</v>
      </c>
      <c r="AB258" s="40">
        <f>IF(VLOOKUP($D258,$C$5:$AT$507,3,)=0,0,(VLOOKUP($D258,$C$5:$AT$507,26,)/VLOOKUP($D258,$C$5:$AT$507,3,))*$E258)</f>
        <v>0</v>
      </c>
      <c r="AC258" s="40">
        <f>IF(VLOOKUP($D258,$C$5:$AT$507,3,)=0,0,(VLOOKUP($D258,$C$5:$AT$507,27,)/VLOOKUP($D258,$C$5:$AT$507,3,))*$E258)</f>
        <v>0</v>
      </c>
      <c r="AD258" s="40">
        <f>IF(VLOOKUP($D258,$C$5:$AT$507,3,)=0,0,(VLOOKUP($D258,$C$5:$AT$507,28,)/VLOOKUP($D258,$C$5:$AT$507,3,))*$E258)</f>
        <v>0</v>
      </c>
      <c r="AE258" s="40">
        <f>IF(VLOOKUP($D258,$C$5:$AT$507,3,)=0,0,(VLOOKUP($D258,$C$5:$AT$507,29,)/VLOOKUP($D258,$C$5:$AT$507,3,))*$E258)</f>
        <v>0</v>
      </c>
      <c r="AF258" s="40">
        <f>IF(VLOOKUP($D258,$C$5:$AT$507,3,)=0,0,(VLOOKUP($D258,$C$5:$AT$507,30,)/VLOOKUP($D258,$C$5:$AT$507,3,))*$E258)</f>
        <v>0</v>
      </c>
      <c r="AG258" s="64">
        <f>SUM(F258:AF258)</f>
        <v>3122.0428409026404</v>
      </c>
      <c r="AH258" s="21" t="str">
        <f>IF(ABS(E258-AG258)&lt;0.01,"ok","err")</f>
        <v>ok</v>
      </c>
    </row>
    <row r="259" spans="1:34" x14ac:dyDescent="0.25">
      <c r="E259" s="167"/>
    </row>
    <row r="260" spans="1:34" x14ac:dyDescent="0.25">
      <c r="A260" s="13" t="s">
        <v>5</v>
      </c>
      <c r="E260" s="167"/>
    </row>
    <row r="261" spans="1:34" x14ac:dyDescent="0.25">
      <c r="A261" s="67" t="s">
        <v>220</v>
      </c>
      <c r="C261" s="14" t="s">
        <v>319</v>
      </c>
      <c r="D261" s="14" t="s">
        <v>231</v>
      </c>
      <c r="E261" s="174">
        <f>'Func &amp; Classif'!W316</f>
        <v>1735.9884085339149</v>
      </c>
      <c r="F261" s="40">
        <f>IF(VLOOKUP($D261,$C$5:$AT$507,3,)=0,0,(VLOOKUP($D261,$C$5:$AT$507,4,)/VLOOKUP($D261,$C$5:$AT$507,3,))*$E261)</f>
        <v>0</v>
      </c>
      <c r="G261" s="40">
        <f>IF(VLOOKUP($D261,$C$5:$AT$507,3,)=0,0,(VLOOKUP($D261,$C$5:$AT$507,5,)/VLOOKUP($D261,$C$5:$AT$507,3,))*$E261)</f>
        <v>0</v>
      </c>
      <c r="H261" s="40">
        <f>IF(VLOOKUP($D261,$C$5:$AT$507,3,)=0,0,(VLOOKUP($D261,$C$5:$AT$507,6,)/VLOOKUP($D261,$C$5:$AT$507,3,))*$E261)</f>
        <v>0</v>
      </c>
      <c r="I261" s="40">
        <f>IF(VLOOKUP($D261,$C$5:$AT$507,3,)=0,0,(VLOOKUP($D261,$C$5:$AT$507,7,)/VLOOKUP($D261,$C$5:$AT$507,3,))*$E261)</f>
        <v>0</v>
      </c>
      <c r="J261" s="40">
        <f>IF(VLOOKUP($D261,$C$5:$AT$507,3,)=0,0,(VLOOKUP($D261,$C$5:$AT$507,8,)/VLOOKUP($D261,$C$5:$AT$507,3,))*$E261)</f>
        <v>0</v>
      </c>
      <c r="K261" s="40">
        <f>IF(VLOOKUP($D261,$C$5:$AT$507,3,)=0,0,(VLOOKUP($D261,$C$5:$AT$507,9,)/VLOOKUP($D261,$C$5:$AT$507,3,))*$E261)</f>
        <v>1735.9884085339149</v>
      </c>
      <c r="L261" s="40">
        <f>IF(VLOOKUP($D261,$C$5:$AT$507,3,)=0,0,(VLOOKUP($D261,$C$5:$AT$507,10,)/VLOOKUP($D261,$C$5:$AT$507,3,))*$E261)</f>
        <v>0</v>
      </c>
      <c r="M261" s="40">
        <f>IF(VLOOKUP($D261,$C$5:$AT$507,3,)=0,0,(VLOOKUP($D261,$C$5:$AT$507,11,)/VLOOKUP($D261,$C$5:$AT$507,3,))*$E261)</f>
        <v>0</v>
      </c>
      <c r="N261" s="40">
        <f>IF(VLOOKUP($D261,$C$5:$AT$507,3,)=0,0,(VLOOKUP($D261,$C$5:$AT$507,12,)/VLOOKUP($D261,$C$5:$AT$507,3,))*$E261)</f>
        <v>0</v>
      </c>
      <c r="O261" s="40">
        <f>IF(VLOOKUP($D261,$C$5:$AT$507,3,)=0,0,(VLOOKUP($D261,$C$5:$AT$507,13,)/VLOOKUP($D261,$C$5:$AT$507,3,))*$E261)</f>
        <v>0</v>
      </c>
      <c r="P261" s="40">
        <f>IF(VLOOKUP($D261,$C$5:$AT$507,3,)=0,0,(VLOOKUP($D261,$C$5:$AT$507,14,)/VLOOKUP($D261,$C$5:$AT$507,3,))*$E261)</f>
        <v>0</v>
      </c>
      <c r="Q261" s="40">
        <f>IF(VLOOKUP($D261,$C$5:$AT$507,3,)=0,0,(VLOOKUP($D261,$C$5:$AT$507,15,)/VLOOKUP($D261,$C$5:$AT$507,3,))*$E261)</f>
        <v>0</v>
      </c>
      <c r="R261" s="40">
        <f>IF(VLOOKUP($D261,$C$5:$AT$507,3,)=0,0,(VLOOKUP($D261,$C$5:$AT$507,16,)/VLOOKUP($D261,$C$5:$AT$507,3,))*$E261)</f>
        <v>0</v>
      </c>
      <c r="S261" s="40">
        <f>IF(VLOOKUP($D261,$C$5:$AT$507,3,)=0,0,(VLOOKUP($D261,$C$5:$AT$507,17,)/VLOOKUP($D261,$C$5:$AT$507,3,))*$E261)</f>
        <v>0</v>
      </c>
      <c r="T261" s="40">
        <f>IF(VLOOKUP($D261,$C$5:$AT$507,3,)=0,0,(VLOOKUP($D261,$C$5:$AT$507,18,)/VLOOKUP($D261,$C$5:$AT$507,3,))*$E261)</f>
        <v>0</v>
      </c>
      <c r="U261" s="40">
        <f>IF(VLOOKUP($D261,$C$5:$AT$507,3,)=0,0,(VLOOKUP($D261,$C$5:$AT$507,19,)/VLOOKUP($D261,$C$5:$AT$507,3,))*$E261)</f>
        <v>0</v>
      </c>
      <c r="V261" s="40">
        <f>IF(VLOOKUP($D261,$C$5:$AT$507,3,)=0,0,(VLOOKUP($D261,$C$5:$AT$507,20,)/VLOOKUP($D261,$C$5:$AT$507,3,))*$E261)</f>
        <v>0</v>
      </c>
      <c r="W261" s="40">
        <f>IF(VLOOKUP($D261,$C$5:$AT$507,3,)=0,0,(VLOOKUP($D261,$C$5:$AT$507,21,)/VLOOKUP($D261,$C$5:$AT$507,3,))*$E261)</f>
        <v>0</v>
      </c>
      <c r="X261" s="40">
        <f>IF(VLOOKUP($D261,$C$5:$AT$507,3,)=0,0,(VLOOKUP($D261,$C$5:$AT$507,22,)/VLOOKUP($D261,$C$5:$AT$507,3,))*$E261)</f>
        <v>0</v>
      </c>
      <c r="Y261" s="40">
        <f>IF(VLOOKUP($D261,$C$5:$AT$507,3,)=0,0,(VLOOKUP($D261,$C$5:$AT$507,23,)/VLOOKUP($D261,$C$5:$AT$507,3,))*$E261)</f>
        <v>0</v>
      </c>
      <c r="Z261" s="40">
        <f>IF(VLOOKUP($D261,$C$5:$AT$507,3,)=0,0,(VLOOKUP($D261,$C$5:$AT$507,24,)/VLOOKUP($D261,$C$5:$AT$507,3,))*$E261)</f>
        <v>0</v>
      </c>
      <c r="AA261" s="40">
        <f>IF(VLOOKUP($D261,$C$5:$AT$507,3,)=0,0,(VLOOKUP($D261,$C$5:$AT$507,25,)/VLOOKUP($D261,$C$5:$AT$507,3,))*$E261)</f>
        <v>0</v>
      </c>
      <c r="AB261" s="40">
        <f>IF(VLOOKUP($D261,$C$5:$AT$507,3,)=0,0,(VLOOKUP($D261,$C$5:$AT$507,26,)/VLOOKUP($D261,$C$5:$AT$507,3,))*$E261)</f>
        <v>0</v>
      </c>
      <c r="AC261" s="40">
        <f>IF(VLOOKUP($D261,$C$5:$AT$507,3,)=0,0,(VLOOKUP($D261,$C$5:$AT$507,27,)/VLOOKUP($D261,$C$5:$AT$507,3,))*$E261)</f>
        <v>0</v>
      </c>
      <c r="AD261" s="40">
        <f>IF(VLOOKUP($D261,$C$5:$AT$507,3,)=0,0,(VLOOKUP($D261,$C$5:$AT$507,28,)/VLOOKUP($D261,$C$5:$AT$507,3,))*$E261)</f>
        <v>0</v>
      </c>
      <c r="AE261" s="40">
        <f>IF(VLOOKUP($D261,$C$5:$AT$507,3,)=0,0,(VLOOKUP($D261,$C$5:$AT$507,29,)/VLOOKUP($D261,$C$5:$AT$507,3,))*$E261)</f>
        <v>0</v>
      </c>
      <c r="AF261" s="40">
        <f>IF(VLOOKUP($D261,$C$5:$AT$507,3,)=0,0,(VLOOKUP($D261,$C$5:$AT$507,30,)/VLOOKUP($D261,$C$5:$AT$507,3,))*$E261)</f>
        <v>0</v>
      </c>
      <c r="AG261" s="64">
        <f>SUM(F261:AF261)</f>
        <v>1735.9884085339149</v>
      </c>
      <c r="AH261" s="21" t="str">
        <f>IF(ABS(E261-AG261)&lt;0.01,"ok","err")</f>
        <v>ok</v>
      </c>
    </row>
    <row r="262" spans="1:34" x14ac:dyDescent="0.25">
      <c r="E262" s="167"/>
    </row>
    <row r="263" spans="1:34" x14ac:dyDescent="0.25">
      <c r="A263" s="13" t="s">
        <v>544</v>
      </c>
      <c r="E263" s="167"/>
    </row>
    <row r="264" spans="1:34" x14ac:dyDescent="0.25">
      <c r="A264" s="67" t="s">
        <v>220</v>
      </c>
      <c r="C264" s="14" t="s">
        <v>320</v>
      </c>
      <c r="D264" s="14" t="s">
        <v>233</v>
      </c>
      <c r="E264" s="174">
        <f>'Func &amp; Classif'!Y316</f>
        <v>0</v>
      </c>
      <c r="F264" s="40">
        <f>IF(VLOOKUP($D264,$C$5:$AT$507,3,)=0,0,(VLOOKUP($D264,$C$5:$AT$507,4,)/VLOOKUP($D264,$C$5:$AT$507,3,))*$E264)</f>
        <v>0</v>
      </c>
      <c r="G264" s="40">
        <f>IF(VLOOKUP($D264,$C$5:$AT$507,3,)=0,0,(VLOOKUP($D264,$C$5:$AT$507,5,)/VLOOKUP($D264,$C$5:$AT$507,3,))*$E264)</f>
        <v>0</v>
      </c>
      <c r="H264" s="40">
        <f>IF(VLOOKUP($D264,$C$5:$AT$507,3,)=0,0,(VLOOKUP($D264,$C$5:$AT$507,6,)/VLOOKUP($D264,$C$5:$AT$507,3,))*$E264)</f>
        <v>0</v>
      </c>
      <c r="I264" s="40">
        <f>IF(VLOOKUP($D264,$C$5:$AT$507,3,)=0,0,(VLOOKUP($D264,$C$5:$AT$507,7,)/VLOOKUP($D264,$C$5:$AT$507,3,))*$E264)</f>
        <v>0</v>
      </c>
      <c r="J264" s="40">
        <f>IF(VLOOKUP($D264,$C$5:$AT$507,3,)=0,0,(VLOOKUP($D264,$C$5:$AT$507,8,)/VLOOKUP($D264,$C$5:$AT$507,3,))*$E264)</f>
        <v>0</v>
      </c>
      <c r="K264" s="40">
        <f>IF(VLOOKUP($D264,$C$5:$AT$507,3,)=0,0,(VLOOKUP($D264,$C$5:$AT$507,9,)/VLOOKUP($D264,$C$5:$AT$507,3,))*$E264)</f>
        <v>0</v>
      </c>
      <c r="L264" s="40">
        <f>IF(VLOOKUP($D264,$C$5:$AT$507,3,)=0,0,(VLOOKUP($D264,$C$5:$AT$507,10,)/VLOOKUP($D264,$C$5:$AT$507,3,))*$E264)</f>
        <v>0</v>
      </c>
      <c r="M264" s="40">
        <f>IF(VLOOKUP($D264,$C$5:$AT$507,3,)=0,0,(VLOOKUP($D264,$C$5:$AT$507,11,)/VLOOKUP($D264,$C$5:$AT$507,3,))*$E264)</f>
        <v>0</v>
      </c>
      <c r="N264" s="40">
        <f>IF(VLOOKUP($D264,$C$5:$AT$507,3,)=0,0,(VLOOKUP($D264,$C$5:$AT$507,12,)/VLOOKUP($D264,$C$5:$AT$507,3,))*$E264)</f>
        <v>0</v>
      </c>
      <c r="O264" s="40">
        <f>IF(VLOOKUP($D264,$C$5:$AT$507,3,)=0,0,(VLOOKUP($D264,$C$5:$AT$507,13,)/VLOOKUP($D264,$C$5:$AT$507,3,))*$E264)</f>
        <v>0</v>
      </c>
      <c r="P264" s="40">
        <f>IF(VLOOKUP($D264,$C$5:$AT$507,3,)=0,0,(VLOOKUP($D264,$C$5:$AT$507,14,)/VLOOKUP($D264,$C$5:$AT$507,3,))*$E264)</f>
        <v>0</v>
      </c>
      <c r="Q264" s="40">
        <f>IF(VLOOKUP($D264,$C$5:$AT$507,3,)=0,0,(VLOOKUP($D264,$C$5:$AT$507,15,)/VLOOKUP($D264,$C$5:$AT$507,3,))*$E264)</f>
        <v>0</v>
      </c>
      <c r="R264" s="40">
        <f>IF(VLOOKUP($D264,$C$5:$AT$507,3,)=0,0,(VLOOKUP($D264,$C$5:$AT$507,16,)/VLOOKUP($D264,$C$5:$AT$507,3,))*$E264)</f>
        <v>0</v>
      </c>
      <c r="S264" s="40">
        <f>IF(VLOOKUP($D264,$C$5:$AT$507,3,)=0,0,(VLOOKUP($D264,$C$5:$AT$507,17,)/VLOOKUP($D264,$C$5:$AT$507,3,))*$E264)</f>
        <v>0</v>
      </c>
      <c r="T264" s="40">
        <f>IF(VLOOKUP($D264,$C$5:$AT$507,3,)=0,0,(VLOOKUP($D264,$C$5:$AT$507,18,)/VLOOKUP($D264,$C$5:$AT$507,3,))*$E264)</f>
        <v>0</v>
      </c>
      <c r="U264" s="40">
        <f>IF(VLOOKUP($D264,$C$5:$AT$507,3,)=0,0,(VLOOKUP($D264,$C$5:$AT$507,19,)/VLOOKUP($D264,$C$5:$AT$507,3,))*$E264)</f>
        <v>0</v>
      </c>
      <c r="V264" s="40">
        <f>IF(VLOOKUP($D264,$C$5:$AT$507,3,)=0,0,(VLOOKUP($D264,$C$5:$AT$507,20,)/VLOOKUP($D264,$C$5:$AT$507,3,))*$E264)</f>
        <v>0</v>
      </c>
      <c r="W264" s="40">
        <f>IF(VLOOKUP($D264,$C$5:$AT$507,3,)=0,0,(VLOOKUP($D264,$C$5:$AT$507,21,)/VLOOKUP($D264,$C$5:$AT$507,3,))*$E264)</f>
        <v>0</v>
      </c>
      <c r="X264" s="40">
        <f>IF(VLOOKUP($D264,$C$5:$AT$507,3,)=0,0,(VLOOKUP($D264,$C$5:$AT$507,22,)/VLOOKUP($D264,$C$5:$AT$507,3,))*$E264)</f>
        <v>0</v>
      </c>
      <c r="Y264" s="40">
        <f>IF(VLOOKUP($D264,$C$5:$AT$507,3,)=0,0,(VLOOKUP($D264,$C$5:$AT$507,23,)/VLOOKUP($D264,$C$5:$AT$507,3,))*$E264)</f>
        <v>0</v>
      </c>
      <c r="Z264" s="40">
        <f>IF(VLOOKUP($D264,$C$5:$AT$507,3,)=0,0,(VLOOKUP($D264,$C$5:$AT$507,24,)/VLOOKUP($D264,$C$5:$AT$507,3,))*$E264)</f>
        <v>0</v>
      </c>
      <c r="AA264" s="40">
        <f>IF(VLOOKUP($D264,$C$5:$AT$507,3,)=0,0,(VLOOKUP($D264,$C$5:$AT$507,25,)/VLOOKUP($D264,$C$5:$AT$507,3,))*$E264)</f>
        <v>0</v>
      </c>
      <c r="AB264" s="40">
        <f>IF(VLOOKUP($D264,$C$5:$AT$507,3,)=0,0,(VLOOKUP($D264,$C$5:$AT$507,26,)/VLOOKUP($D264,$C$5:$AT$507,3,))*$E264)</f>
        <v>0</v>
      </c>
      <c r="AC264" s="40">
        <f>IF(VLOOKUP($D264,$C$5:$AT$507,3,)=0,0,(VLOOKUP($D264,$C$5:$AT$507,27,)/VLOOKUP($D264,$C$5:$AT$507,3,))*$E264)</f>
        <v>0</v>
      </c>
      <c r="AD264" s="40">
        <f>IF(VLOOKUP($D264,$C$5:$AT$507,3,)=0,0,(VLOOKUP($D264,$C$5:$AT$507,28,)/VLOOKUP($D264,$C$5:$AT$507,3,))*$E264)</f>
        <v>0</v>
      </c>
      <c r="AE264" s="40">
        <f>IF(VLOOKUP($D264,$C$5:$AT$507,3,)=0,0,(VLOOKUP($D264,$C$5:$AT$507,29,)/VLOOKUP($D264,$C$5:$AT$507,3,))*$E264)</f>
        <v>0</v>
      </c>
      <c r="AF264" s="40">
        <f>IF(VLOOKUP($D264,$C$5:$AT$507,3,)=0,0,(VLOOKUP($D264,$C$5:$AT$507,30,)/VLOOKUP($D264,$C$5:$AT$507,3,))*$E264)</f>
        <v>0</v>
      </c>
      <c r="AG264" s="64">
        <f>SUM(F264:AF264)</f>
        <v>0</v>
      </c>
      <c r="AH264" s="21" t="str">
        <f>IF(ABS(E264-AG264)&lt;0.01,"ok","err")</f>
        <v>ok</v>
      </c>
    </row>
    <row r="265" spans="1:34" x14ac:dyDescent="0.25">
      <c r="E265" s="167"/>
    </row>
    <row r="266" spans="1:34" x14ac:dyDescent="0.25">
      <c r="A266" s="13" t="s">
        <v>469</v>
      </c>
      <c r="E266" s="167"/>
    </row>
    <row r="267" spans="1:34" x14ac:dyDescent="0.25">
      <c r="A267" s="67" t="s">
        <v>220</v>
      </c>
      <c r="C267" s="14" t="s">
        <v>317</v>
      </c>
      <c r="D267" s="14" t="s">
        <v>234</v>
      </c>
      <c r="E267" s="174">
        <f>'Func &amp; Classif'!AA316</f>
        <v>0</v>
      </c>
      <c r="F267" s="40">
        <f>IF(VLOOKUP($D267,$C$5:$AT$507,3,)=0,0,(VLOOKUP($D267,$C$5:$AT$507,4,)/VLOOKUP($D267,$C$5:$AT$507,3,))*$E267)</f>
        <v>0</v>
      </c>
      <c r="G267" s="40">
        <f>IF(VLOOKUP($D267,$C$5:$AT$507,3,)=0,0,(VLOOKUP($D267,$C$5:$AT$507,5,)/VLOOKUP($D267,$C$5:$AT$507,3,))*$E267)</f>
        <v>0</v>
      </c>
      <c r="H267" s="40">
        <f>IF(VLOOKUP($D267,$C$5:$AT$507,3,)=0,0,(VLOOKUP($D267,$C$5:$AT$507,6,)/VLOOKUP($D267,$C$5:$AT$507,3,))*$E267)</f>
        <v>0</v>
      </c>
      <c r="I267" s="40">
        <f>IF(VLOOKUP($D267,$C$5:$AT$507,3,)=0,0,(VLOOKUP($D267,$C$5:$AT$507,7,)/VLOOKUP($D267,$C$5:$AT$507,3,))*$E267)</f>
        <v>0</v>
      </c>
      <c r="J267" s="40">
        <f>IF(VLOOKUP($D267,$C$5:$AT$507,3,)=0,0,(VLOOKUP($D267,$C$5:$AT$507,8,)/VLOOKUP($D267,$C$5:$AT$507,3,))*$E267)</f>
        <v>0</v>
      </c>
      <c r="K267" s="40">
        <f>IF(VLOOKUP($D267,$C$5:$AT$507,3,)=0,0,(VLOOKUP($D267,$C$5:$AT$507,9,)/VLOOKUP($D267,$C$5:$AT$507,3,))*$E267)</f>
        <v>0</v>
      </c>
      <c r="L267" s="40">
        <f>IF(VLOOKUP($D267,$C$5:$AT$507,3,)=0,0,(VLOOKUP($D267,$C$5:$AT$507,10,)/VLOOKUP($D267,$C$5:$AT$507,3,))*$E267)</f>
        <v>0</v>
      </c>
      <c r="M267" s="40">
        <f>IF(VLOOKUP($D267,$C$5:$AT$507,3,)=0,0,(VLOOKUP($D267,$C$5:$AT$507,11,)/VLOOKUP($D267,$C$5:$AT$507,3,))*$E267)</f>
        <v>0</v>
      </c>
      <c r="N267" s="40">
        <f>IF(VLOOKUP($D267,$C$5:$AT$507,3,)=0,0,(VLOOKUP($D267,$C$5:$AT$507,12,)/VLOOKUP($D267,$C$5:$AT$507,3,))*$E267)</f>
        <v>0</v>
      </c>
      <c r="O267" s="40">
        <f>IF(VLOOKUP($D267,$C$5:$AT$507,3,)=0,0,(VLOOKUP($D267,$C$5:$AT$507,13,)/VLOOKUP($D267,$C$5:$AT$507,3,))*$E267)</f>
        <v>0</v>
      </c>
      <c r="P267" s="40">
        <f>IF(VLOOKUP($D267,$C$5:$AT$507,3,)=0,0,(VLOOKUP($D267,$C$5:$AT$507,14,)/VLOOKUP($D267,$C$5:$AT$507,3,))*$E267)</f>
        <v>0</v>
      </c>
      <c r="Q267" s="40">
        <f>IF(VLOOKUP($D267,$C$5:$AT$507,3,)=0,0,(VLOOKUP($D267,$C$5:$AT$507,15,)/VLOOKUP($D267,$C$5:$AT$507,3,))*$E267)</f>
        <v>0</v>
      </c>
      <c r="R267" s="40">
        <f>IF(VLOOKUP($D267,$C$5:$AT$507,3,)=0,0,(VLOOKUP($D267,$C$5:$AT$507,16,)/VLOOKUP($D267,$C$5:$AT$507,3,))*$E267)</f>
        <v>0</v>
      </c>
      <c r="S267" s="40">
        <f>IF(VLOOKUP($D267,$C$5:$AT$507,3,)=0,0,(VLOOKUP($D267,$C$5:$AT$507,17,)/VLOOKUP($D267,$C$5:$AT$507,3,))*$E267)</f>
        <v>0</v>
      </c>
      <c r="T267" s="40">
        <f>IF(VLOOKUP($D267,$C$5:$AT$507,3,)=0,0,(VLOOKUP($D267,$C$5:$AT$507,18,)/VLOOKUP($D267,$C$5:$AT$507,3,))*$E267)</f>
        <v>0</v>
      </c>
      <c r="U267" s="40">
        <f>IF(VLOOKUP($D267,$C$5:$AT$507,3,)=0,0,(VLOOKUP($D267,$C$5:$AT$507,19,)/VLOOKUP($D267,$C$5:$AT$507,3,))*$E267)</f>
        <v>0</v>
      </c>
      <c r="V267" s="40">
        <f>IF(VLOOKUP($D267,$C$5:$AT$507,3,)=0,0,(VLOOKUP($D267,$C$5:$AT$507,20,)/VLOOKUP($D267,$C$5:$AT$507,3,))*$E267)</f>
        <v>0</v>
      </c>
      <c r="W267" s="40">
        <f>IF(VLOOKUP($D267,$C$5:$AT$507,3,)=0,0,(VLOOKUP($D267,$C$5:$AT$507,21,)/VLOOKUP($D267,$C$5:$AT$507,3,))*$E267)</f>
        <v>0</v>
      </c>
      <c r="X267" s="40">
        <f>IF(VLOOKUP($D267,$C$5:$AT$507,3,)=0,0,(VLOOKUP($D267,$C$5:$AT$507,22,)/VLOOKUP($D267,$C$5:$AT$507,3,))*$E267)</f>
        <v>0</v>
      </c>
      <c r="Y267" s="40">
        <f>IF(VLOOKUP($D267,$C$5:$AT$507,3,)=0,0,(VLOOKUP($D267,$C$5:$AT$507,23,)/VLOOKUP($D267,$C$5:$AT$507,3,))*$E267)</f>
        <v>0</v>
      </c>
      <c r="Z267" s="40">
        <f>IF(VLOOKUP($D267,$C$5:$AT$507,3,)=0,0,(VLOOKUP($D267,$C$5:$AT$507,24,)/VLOOKUP($D267,$C$5:$AT$507,3,))*$E267)</f>
        <v>0</v>
      </c>
      <c r="AA267" s="40">
        <f>IF(VLOOKUP($D267,$C$5:$AT$507,3,)=0,0,(VLOOKUP($D267,$C$5:$AT$507,25,)/VLOOKUP($D267,$C$5:$AT$507,3,))*$E267)</f>
        <v>0</v>
      </c>
      <c r="AB267" s="40">
        <f>IF(VLOOKUP($D267,$C$5:$AT$507,3,)=0,0,(VLOOKUP($D267,$C$5:$AT$507,26,)/VLOOKUP($D267,$C$5:$AT$507,3,))*$E267)</f>
        <v>0</v>
      </c>
      <c r="AC267" s="40">
        <f>IF(VLOOKUP($D267,$C$5:$AT$507,3,)=0,0,(VLOOKUP($D267,$C$5:$AT$507,27,)/VLOOKUP($D267,$C$5:$AT$507,3,))*$E267)</f>
        <v>0</v>
      </c>
      <c r="AD267" s="40">
        <f>IF(VLOOKUP($D267,$C$5:$AT$507,3,)=0,0,(VLOOKUP($D267,$C$5:$AT$507,28,)/VLOOKUP($D267,$C$5:$AT$507,3,))*$E267)</f>
        <v>0</v>
      </c>
      <c r="AE267" s="40">
        <f>IF(VLOOKUP($D267,$C$5:$AT$507,3,)=0,0,(VLOOKUP($D267,$C$5:$AT$507,29,)/VLOOKUP($D267,$C$5:$AT$507,3,))*$E267)</f>
        <v>0</v>
      </c>
      <c r="AF267" s="40">
        <f>IF(VLOOKUP($D267,$C$5:$AT$507,3,)=0,0,(VLOOKUP($D267,$C$5:$AT$507,30,)/VLOOKUP($D267,$C$5:$AT$507,3,))*$E267)</f>
        <v>0</v>
      </c>
      <c r="AG267" s="64">
        <f>SUM(F267:AF267)</f>
        <v>0</v>
      </c>
      <c r="AH267" s="21" t="str">
        <f>IF(ABS(E267-AG267)&lt;0.01,"ok","err")</f>
        <v>ok</v>
      </c>
    </row>
    <row r="268" spans="1:34" x14ac:dyDescent="0.25">
      <c r="E268" s="167"/>
    </row>
    <row r="269" spans="1:34" x14ac:dyDescent="0.25">
      <c r="A269" s="14" t="s">
        <v>0</v>
      </c>
      <c r="C269" s="14" t="s">
        <v>321</v>
      </c>
      <c r="E269" s="174">
        <f>E239+E242+E245+E250+E255+E258+E261+E264+E267</f>
        <v>47600.000000000015</v>
      </c>
      <c r="F269" s="40">
        <f t="shared" ref="F269:R269" si="55">F239+F242+F245+F250+F255+F258+F261+F264+F267</f>
        <v>38630.948782306041</v>
      </c>
      <c r="G269" s="40">
        <f t="shared" si="55"/>
        <v>32.959564017357096</v>
      </c>
      <c r="H269" s="40">
        <f t="shared" si="55"/>
        <v>3908.4085527402694</v>
      </c>
      <c r="I269" s="40">
        <f t="shared" si="55"/>
        <v>2776.270103250873</v>
      </c>
      <c r="J269" s="40">
        <f t="shared" si="55"/>
        <v>400.80213233189829</v>
      </c>
      <c r="K269" s="40">
        <f t="shared" si="55"/>
        <v>1850.6108653535723</v>
      </c>
      <c r="L269" s="40">
        <f t="shared" si="55"/>
        <v>0</v>
      </c>
      <c r="M269" s="40">
        <f t="shared" si="55"/>
        <v>0</v>
      </c>
      <c r="N269" s="40">
        <f t="shared" si="55"/>
        <v>0</v>
      </c>
      <c r="O269" s="40">
        <f t="shared" si="55"/>
        <v>0</v>
      </c>
      <c r="P269" s="40">
        <f t="shared" si="55"/>
        <v>0</v>
      </c>
      <c r="Q269" s="40">
        <f t="shared" si="55"/>
        <v>0</v>
      </c>
      <c r="R269" s="40">
        <f t="shared" si="55"/>
        <v>0</v>
      </c>
      <c r="S269" s="40">
        <f t="shared" ref="S269:AF269" si="56">S239+S245+S250+S255+S258+S261+S264+S267</f>
        <v>0</v>
      </c>
      <c r="T269" s="40">
        <f t="shared" si="56"/>
        <v>0</v>
      </c>
      <c r="U269" s="40">
        <f t="shared" si="56"/>
        <v>0</v>
      </c>
      <c r="V269" s="40">
        <f t="shared" si="56"/>
        <v>0</v>
      </c>
      <c r="W269" s="40">
        <f t="shared" si="56"/>
        <v>0</v>
      </c>
      <c r="X269" s="40">
        <f t="shared" si="56"/>
        <v>0</v>
      </c>
      <c r="Y269" s="40">
        <f t="shared" si="56"/>
        <v>0</v>
      </c>
      <c r="Z269" s="40">
        <f t="shared" si="56"/>
        <v>0</v>
      </c>
      <c r="AA269" s="40">
        <f t="shared" si="56"/>
        <v>0</v>
      </c>
      <c r="AB269" s="40">
        <f t="shared" si="56"/>
        <v>0</v>
      </c>
      <c r="AC269" s="40">
        <f t="shared" si="56"/>
        <v>0</v>
      </c>
      <c r="AD269" s="40">
        <f t="shared" si="56"/>
        <v>0</v>
      </c>
      <c r="AE269" s="40">
        <f t="shared" si="56"/>
        <v>0</v>
      </c>
      <c r="AF269" s="40">
        <f t="shared" si="56"/>
        <v>0</v>
      </c>
      <c r="AG269" s="64">
        <f>SUM(F269:AF269)</f>
        <v>47600.000000000007</v>
      </c>
      <c r="AH269" s="21" t="str">
        <f>IF(ABS(E269-AG269)&lt;0.01,"ok","err")</f>
        <v>ok</v>
      </c>
    </row>
    <row r="270" spans="1:34" x14ac:dyDescent="0.25">
      <c r="E270" s="174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64"/>
      <c r="AH270" s="21"/>
    </row>
    <row r="271" spans="1:34" x14ac:dyDescent="0.25">
      <c r="E271" s="174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64"/>
      <c r="AH271" s="21"/>
    </row>
    <row r="272" spans="1:34" x14ac:dyDescent="0.25">
      <c r="A272" s="19" t="s">
        <v>580</v>
      </c>
    </row>
    <row r="273" spans="1:40" x14ac:dyDescent="0.25">
      <c r="E273" s="175"/>
    </row>
    <row r="274" spans="1:40" x14ac:dyDescent="0.25">
      <c r="A274" s="13" t="s">
        <v>322</v>
      </c>
      <c r="E274" s="162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AJ274" s="119"/>
      <c r="AK274" s="61"/>
      <c r="AL274" s="61"/>
      <c r="AM274" s="61"/>
      <c r="AN274" s="61"/>
    </row>
    <row r="275" spans="1:40" x14ac:dyDescent="0.25">
      <c r="A275" s="14" t="s">
        <v>760</v>
      </c>
      <c r="C275" s="14" t="s">
        <v>323</v>
      </c>
      <c r="D275" s="14" t="s">
        <v>560</v>
      </c>
      <c r="E275" s="174">
        <f>'Billing Det'!E25</f>
        <v>48709047.080000006</v>
      </c>
      <c r="F275" s="40">
        <f>IF(VLOOKUP($D275,$C$5:$AT$507,3,)=0,0,(VLOOKUP($D275,$C$5:$AT$507,4,)/VLOOKUP($D275,$C$5:$AT$507,3,))*$E275)</f>
        <v>30523492.903020006</v>
      </c>
      <c r="G275" s="40">
        <f>IF(VLOOKUP($D275,$C$5:$AT$507,3,)=0,0,(VLOOKUP($D275,$C$5:$AT$507,5,)/VLOOKUP($D275,$C$5:$AT$507,3,))*$E275)</f>
        <v>26825.100000000006</v>
      </c>
      <c r="H275" s="40">
        <f>IF(VLOOKUP($D275,$C$5:$AT$507,3,)=0,0,(VLOOKUP($D275,$C$5:$AT$507,6,)/VLOOKUP($D275,$C$5:$AT$507,3,))*$E275)</f>
        <v>3978193.8882799996</v>
      </c>
      <c r="I275" s="40">
        <f>IF(VLOOKUP($D275,$C$5:$AT$507,3,)=0,0,(VLOOKUP($D275,$C$5:$AT$507,7,)/VLOOKUP($D275,$C$5:$AT$507,3,))*$E275)</f>
        <v>7641981.4635499995</v>
      </c>
      <c r="J275" s="40">
        <f>IF(VLOOKUP($D275,$C$5:$AT$507,3,)=0,0,(VLOOKUP($D275,$C$5:$AT$507,8,)/VLOOKUP($D275,$C$5:$AT$507,3,))*$E275)</f>
        <v>1998139.34</v>
      </c>
      <c r="K275" s="40">
        <f>IF(VLOOKUP($D275,$C$5:$AT$507,3,)=0,0,(VLOOKUP($D275,$C$5:$AT$507,9,)/VLOOKUP($D275,$C$5:$AT$507,3,))*$E275)</f>
        <v>491164.80514999997</v>
      </c>
      <c r="L275" s="40">
        <f>IF(VLOOKUP($D275,$C$5:$AT$507,3,)=0,0,(VLOOKUP($D275,$C$5:$AT$507,10,)/VLOOKUP($D275,$C$5:$AT$507,3,))*$E275)</f>
        <v>4049249.5800000005</v>
      </c>
      <c r="M275" s="40">
        <f>IF(VLOOKUP($D275,$C$5:$AT$507,3,)=0,0,(VLOOKUP($D275,$C$5:$AT$507,11,)/VLOOKUP($D275,$C$5:$AT$507,3,))*$E275)</f>
        <v>0</v>
      </c>
      <c r="N275" s="40">
        <f>IF(VLOOKUP($D275,$C$5:$AT$507,3,)=0,0,(VLOOKUP($D275,$C$5:$AT$507,12,)/VLOOKUP($D275,$C$5:$AT$507,3,))*$E275)</f>
        <v>0</v>
      </c>
      <c r="O275" s="40">
        <f>IF(VLOOKUP($D275,$C$5:$AT$507,3,)=0,0,(VLOOKUP($D275,$C$5:$AT$507,13,)/VLOOKUP($D275,$C$5:$AT$507,3,))*$E275)</f>
        <v>0</v>
      </c>
      <c r="P275" s="40">
        <f>IF(VLOOKUP($D275,$C$5:$AT$507,3,)=0,0,(VLOOKUP($D275,$C$5:$AT$507,14,)/VLOOKUP($D275,$C$5:$AT$507,3,))*$E275)</f>
        <v>0</v>
      </c>
      <c r="Q275" s="40">
        <f>IF(VLOOKUP($D275,$C$5:$AT$507,3,)=0,0,(VLOOKUP($D275,$C$5:$AT$507,15,)/VLOOKUP($D275,$C$5:$AT$507,3,))*$E275)</f>
        <v>0</v>
      </c>
      <c r="R275" s="40">
        <f>IF(VLOOKUP($D275,$C$5:$AT$507,3,)=0,0,(VLOOKUP($D275,$C$5:$AT$507,16,)/VLOOKUP($D275,$C$5:$AT$507,3,))*$E275)</f>
        <v>0</v>
      </c>
      <c r="S275" s="40">
        <f>IF(VLOOKUP($D275,$C$5:$AT$507,3,)=0,0,(VLOOKUP($D275,$C$5:$AT$507,17,)/VLOOKUP($D275,$C$5:$AT$507,3,))*$E275)</f>
        <v>0</v>
      </c>
      <c r="T275" s="40">
        <f>IF(VLOOKUP($D275,$C$5:$AT$507,3,)=0,0,(VLOOKUP($D275,$C$5:$AT$507,18,)/VLOOKUP($D275,$C$5:$AT$507,3,))*$E275)</f>
        <v>0</v>
      </c>
      <c r="U275" s="40">
        <f>IF(VLOOKUP($D275,$C$5:$AT$507,3,)=0,0,(VLOOKUP($D275,$C$5:$AT$507,19,)/VLOOKUP($D275,$C$5:$AT$507,3,))*$E275)</f>
        <v>0</v>
      </c>
      <c r="V275" s="40">
        <f>IF(VLOOKUP($D275,$C$5:$AT$507,3,)=0,0,(VLOOKUP($D275,$C$5:$AT$507,20,)/VLOOKUP($D275,$C$5:$AT$507,3,))*$E275)</f>
        <v>0</v>
      </c>
      <c r="W275" s="40">
        <f>IF(VLOOKUP($D275,$C$5:$AT$507,3,)=0,0,(VLOOKUP($D275,$C$5:$AT$507,21,)/VLOOKUP($D275,$C$5:$AT$507,3,))*$E275)</f>
        <v>0</v>
      </c>
      <c r="X275" s="40">
        <f>IF(VLOOKUP($D275,$C$5:$AT$507,3,)=0,0,(VLOOKUP($D275,$C$5:$AT$507,22,)/VLOOKUP($D275,$C$5:$AT$507,3,))*$E275)</f>
        <v>0</v>
      </c>
      <c r="Y275" s="40">
        <f>IF(VLOOKUP($D275,$C$5:$AT$507,3,)=0,0,(VLOOKUP($D275,$C$5:$AT$507,23,)/VLOOKUP($D275,$C$5:$AT$507,3,))*$E275)</f>
        <v>0</v>
      </c>
      <c r="Z275" s="40">
        <f>IF(VLOOKUP($D275,$C$5:$AT$507,3,)=0,0,(VLOOKUP($D275,$C$5:$AT$507,24,)/VLOOKUP($D275,$C$5:$AT$507,3,))*$E275)</f>
        <v>0</v>
      </c>
      <c r="AA275" s="40">
        <f>IF(VLOOKUP($D275,$C$5:$AT$507,3,)=0,0,(VLOOKUP($D275,$C$5:$AT$507,25,)/VLOOKUP($D275,$C$5:$AT$507,3,))*$E275)</f>
        <v>0</v>
      </c>
      <c r="AB275" s="40">
        <f>IF(VLOOKUP($D275,$C$5:$AT$507,3,)=0,0,(VLOOKUP($D275,$C$5:$AT$507,26,)/VLOOKUP($D275,$C$5:$AT$507,3,))*$E275)</f>
        <v>0</v>
      </c>
      <c r="AC275" s="40">
        <f>IF(VLOOKUP($D275,$C$5:$AT$507,3,)=0,0,(VLOOKUP($D275,$C$5:$AT$507,27,)/VLOOKUP($D275,$C$5:$AT$507,3,))*$E275)</f>
        <v>0</v>
      </c>
      <c r="AD275" s="40">
        <f>IF(VLOOKUP($D275,$C$5:$AT$507,3,)=0,0,(VLOOKUP($D275,$C$5:$AT$507,28,)/VLOOKUP($D275,$C$5:$AT$507,3,))*$E275)</f>
        <v>0</v>
      </c>
      <c r="AE275" s="40">
        <f>IF(VLOOKUP($D275,$C$5:$AT$507,3,)=0,0,(VLOOKUP($D275,$C$5:$AT$507,29,)/VLOOKUP($D275,$C$5:$AT$507,3,))*$E275)</f>
        <v>0</v>
      </c>
      <c r="AF275" s="40">
        <f>IF(VLOOKUP($D275,$C$5:$AT$507,3,)=0,0,(VLOOKUP($D275,$C$5:$AT$507,30,)/VLOOKUP($D275,$C$5:$AT$507,3,))*$E275)</f>
        <v>0</v>
      </c>
      <c r="AG275" s="64">
        <f t="shared" ref="AG275:AG276" si="57">SUM(F275:AF275)</f>
        <v>48709047.080000013</v>
      </c>
      <c r="AH275" s="21" t="str">
        <f t="shared" ref="AH275:AH276" si="58">IF(ABS(E275-AG275)&lt;0.01,"ok","err")</f>
        <v>ok</v>
      </c>
      <c r="AJ275" s="50"/>
      <c r="AK275" s="50"/>
      <c r="AL275" s="50"/>
      <c r="AM275" s="50"/>
      <c r="AN275" s="50"/>
    </row>
    <row r="276" spans="1:40" x14ac:dyDescent="0.25">
      <c r="A276" s="14" t="s">
        <v>761</v>
      </c>
      <c r="D276" s="14" t="s">
        <v>745</v>
      </c>
      <c r="E276" s="40">
        <v>615847.06999999995</v>
      </c>
      <c r="F276" s="40">
        <f>IF(VLOOKUP($D276,$C$5:$AT$507,3,)=0,0,(VLOOKUP($D276,$C$5:$AT$507,4,)/VLOOKUP($D276,$C$5:$AT$507,3,))*$E276)</f>
        <v>530025.41288183583</v>
      </c>
      <c r="G276" s="40">
        <f>IF(VLOOKUP($D276,$C$5:$AT$507,3,)=0,0,(VLOOKUP($D276,$C$5:$AT$507,5,)/VLOOKUP($D276,$C$5:$AT$507,3,))*$E276)</f>
        <v>398.83188127055917</v>
      </c>
      <c r="H276" s="40">
        <f>IF(VLOOKUP($D276,$C$5:$AT$507,3,)=0,0,(VLOOKUP($D276,$C$5:$AT$507,6,)/VLOOKUP($D276,$C$5:$AT$507,3,))*$E276)</f>
        <v>74043.455291118415</v>
      </c>
      <c r="I276" s="40">
        <f>IF(VLOOKUP($D276,$C$5:$AT$507,3,)=0,0,(VLOOKUP($D276,$C$5:$AT$507,7,)/VLOOKUP($D276,$C$5:$AT$507,3,))*$E276)</f>
        <v>11141.970016447369</v>
      </c>
      <c r="J276" s="40">
        <f>IF(VLOOKUP($D276,$C$5:$AT$507,3,)=0,0,(VLOOKUP($D276,$C$5:$AT$507,8,)/VLOOKUP($D276,$C$5:$AT$507,3,))*$E276)</f>
        <v>237.39992932771381</v>
      </c>
      <c r="K276" s="40">
        <f>IF(VLOOKUP($D276,$C$5:$AT$507,3,)=0,0,(VLOOKUP($D276,$C$5:$AT$507,9,)/VLOOKUP($D276,$C$5:$AT$507,3,))*$E276)</f>
        <v>0</v>
      </c>
      <c r="L276" s="40">
        <f>IF(VLOOKUP($D276,$C$5:$AT$507,3,)=0,0,(VLOOKUP($D276,$C$5:$AT$507,10,)/VLOOKUP($D276,$C$5:$AT$507,3,))*$E276)</f>
        <v>0</v>
      </c>
      <c r="M276" s="40">
        <f>IF(VLOOKUP($D276,$C$5:$AT$507,3,)=0,0,(VLOOKUP($D276,$C$5:$AT$507,11,)/VLOOKUP($D276,$C$5:$AT$507,3,))*$E276)</f>
        <v>0</v>
      </c>
      <c r="N276" s="40">
        <f>IF(VLOOKUP($D276,$C$5:$AT$507,3,)=0,0,(VLOOKUP($D276,$C$5:$AT$507,12,)/VLOOKUP($D276,$C$5:$AT$507,3,))*$E276)</f>
        <v>0</v>
      </c>
      <c r="O276" s="40">
        <f>IF(VLOOKUP($D276,$C$5:$AT$507,3,)=0,0,(VLOOKUP($D276,$C$5:$AT$507,13,)/VLOOKUP($D276,$C$5:$AT$507,3,))*$E276)</f>
        <v>0</v>
      </c>
      <c r="P276" s="40">
        <f>IF(VLOOKUP($D276,$C$5:$AT$507,3,)=0,0,(VLOOKUP($D276,$C$5:$AT$507,14,)/VLOOKUP($D276,$C$5:$AT$507,3,))*$E276)</f>
        <v>0</v>
      </c>
      <c r="Q276" s="40">
        <f>IF(VLOOKUP($D276,$C$5:$AT$507,3,)=0,0,(VLOOKUP($D276,$C$5:$AT$507,15,)/VLOOKUP($D276,$C$5:$AT$507,3,))*$E276)</f>
        <v>0</v>
      </c>
      <c r="R276" s="40">
        <f>IF(VLOOKUP($D276,$C$5:$AT$507,3,)=0,0,(VLOOKUP($D276,$C$5:$AT$507,16,)/VLOOKUP($D276,$C$5:$AT$507,3,))*$E276)</f>
        <v>0</v>
      </c>
      <c r="S276" s="40">
        <f>IF(VLOOKUP($D276,$C$5:$AT$507,3,)=0,0,(VLOOKUP($D276,$C$5:$AT$507,17,)/VLOOKUP($D276,$C$5:$AT$507,3,))*$E276)</f>
        <v>0</v>
      </c>
      <c r="T276" s="40">
        <f>IF(VLOOKUP($D276,$C$5:$AT$507,3,)=0,0,(VLOOKUP($D276,$C$5:$AT$507,18,)/VLOOKUP($D276,$C$5:$AT$507,3,))*$E276)</f>
        <v>0</v>
      </c>
      <c r="U276" s="40">
        <f>IF(VLOOKUP($D276,$C$5:$AT$507,3,)=0,0,(VLOOKUP($D276,$C$5:$AT$507,19,)/VLOOKUP($D276,$C$5:$AT$507,3,))*$E276)</f>
        <v>0</v>
      </c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64">
        <f t="shared" si="57"/>
        <v>615847.06999999983</v>
      </c>
      <c r="AH276" s="21" t="str">
        <f t="shared" si="58"/>
        <v>ok</v>
      </c>
      <c r="AJ276" s="50"/>
      <c r="AK276" s="50"/>
      <c r="AL276" s="50"/>
      <c r="AM276" s="50"/>
      <c r="AN276" s="50"/>
    </row>
    <row r="277" spans="1:40" x14ac:dyDescent="0.25">
      <c r="AG277" s="64"/>
    </row>
    <row r="278" spans="1:40" x14ac:dyDescent="0.25">
      <c r="A278" s="14" t="s">
        <v>324</v>
      </c>
      <c r="C278" s="14" t="s">
        <v>325</v>
      </c>
      <c r="E278" s="175">
        <f t="shared" ref="E278:AF278" si="59">SUM(E275:E277)</f>
        <v>49324894.150000006</v>
      </c>
      <c r="F278" s="64">
        <f t="shared" si="59"/>
        <v>31053518.315901842</v>
      </c>
      <c r="G278" s="64">
        <f t="shared" si="59"/>
        <v>27223.931881270564</v>
      </c>
      <c r="H278" s="64">
        <f t="shared" si="59"/>
        <v>4052237.3435711181</v>
      </c>
      <c r="I278" s="64">
        <f t="shared" si="59"/>
        <v>7653123.4335664473</v>
      </c>
      <c r="J278" s="64">
        <f t="shared" si="59"/>
        <v>1998376.7399293277</v>
      </c>
      <c r="K278" s="64">
        <f t="shared" si="59"/>
        <v>491164.80514999997</v>
      </c>
      <c r="L278" s="64">
        <f t="shared" si="59"/>
        <v>4049249.5800000005</v>
      </c>
      <c r="M278" s="64">
        <f t="shared" si="59"/>
        <v>0</v>
      </c>
      <c r="N278" s="64">
        <f t="shared" si="59"/>
        <v>0</v>
      </c>
      <c r="O278" s="64">
        <f t="shared" si="59"/>
        <v>0</v>
      </c>
      <c r="P278" s="64">
        <f t="shared" si="59"/>
        <v>0</v>
      </c>
      <c r="Q278" s="64">
        <f t="shared" si="59"/>
        <v>0</v>
      </c>
      <c r="R278" s="64">
        <f t="shared" si="59"/>
        <v>0</v>
      </c>
      <c r="S278" s="64">
        <f t="shared" si="59"/>
        <v>0</v>
      </c>
      <c r="T278" s="64">
        <f t="shared" si="59"/>
        <v>0</v>
      </c>
      <c r="U278" s="64">
        <f t="shared" si="59"/>
        <v>0</v>
      </c>
      <c r="V278" s="64">
        <f t="shared" si="59"/>
        <v>0</v>
      </c>
      <c r="W278" s="64">
        <f t="shared" si="59"/>
        <v>0</v>
      </c>
      <c r="X278" s="64">
        <f t="shared" si="59"/>
        <v>0</v>
      </c>
      <c r="Y278" s="64">
        <f t="shared" si="59"/>
        <v>0</v>
      </c>
      <c r="Z278" s="64">
        <f t="shared" si="59"/>
        <v>0</v>
      </c>
      <c r="AA278" s="64">
        <f t="shared" si="59"/>
        <v>0</v>
      </c>
      <c r="AB278" s="64">
        <f t="shared" si="59"/>
        <v>0</v>
      </c>
      <c r="AC278" s="64">
        <f t="shared" si="59"/>
        <v>0</v>
      </c>
      <c r="AD278" s="64">
        <f t="shared" si="59"/>
        <v>0</v>
      </c>
      <c r="AE278" s="64">
        <f t="shared" si="59"/>
        <v>0</v>
      </c>
      <c r="AF278" s="64">
        <f t="shared" si="59"/>
        <v>0</v>
      </c>
      <c r="AG278" s="64">
        <f>SUM(F278:AF278)</f>
        <v>49324894.149999999</v>
      </c>
      <c r="AH278" s="21" t="str">
        <f>IF(ABS(E278-AG278)&lt;0.01,"ok","err")</f>
        <v>ok</v>
      </c>
    </row>
    <row r="280" spans="1:40" x14ac:dyDescent="0.25">
      <c r="A280" s="13" t="s">
        <v>326</v>
      </c>
      <c r="AJ280" s="119"/>
      <c r="AK280" s="61"/>
      <c r="AL280" s="61"/>
      <c r="AM280" s="61"/>
      <c r="AN280" s="61"/>
    </row>
    <row r="281" spans="1:40" x14ac:dyDescent="0.25">
      <c r="A281" s="67" t="s">
        <v>327</v>
      </c>
      <c r="E281" s="175">
        <f t="shared" ref="E281:AF281" si="60">E155</f>
        <v>46824823.469999999</v>
      </c>
      <c r="F281" s="64">
        <f t="shared" si="60"/>
        <v>30637619.965064134</v>
      </c>
      <c r="G281" s="64">
        <f t="shared" si="60"/>
        <v>23358.796376938961</v>
      </c>
      <c r="H281" s="64">
        <f t="shared" si="60"/>
        <v>3704678.9934140504</v>
      </c>
      <c r="I281" s="64">
        <f t="shared" si="60"/>
        <v>6676181.1446728697</v>
      </c>
      <c r="J281" s="64">
        <f t="shared" si="60"/>
        <v>1828989.1920098213</v>
      </c>
      <c r="K281" s="64">
        <f t="shared" si="60"/>
        <v>101343.37272250146</v>
      </c>
      <c r="L281" s="64">
        <f t="shared" si="60"/>
        <v>3852652</v>
      </c>
      <c r="M281" s="64">
        <f t="shared" si="60"/>
        <v>0</v>
      </c>
      <c r="N281" s="64">
        <f t="shared" si="60"/>
        <v>0</v>
      </c>
      <c r="O281" s="64">
        <f t="shared" si="60"/>
        <v>0</v>
      </c>
      <c r="P281" s="64">
        <f t="shared" si="60"/>
        <v>0</v>
      </c>
      <c r="Q281" s="64">
        <f t="shared" si="60"/>
        <v>0</v>
      </c>
      <c r="R281" s="64">
        <f t="shared" si="60"/>
        <v>0</v>
      </c>
      <c r="S281" s="64">
        <f t="shared" si="60"/>
        <v>0</v>
      </c>
      <c r="T281" s="64">
        <f t="shared" si="60"/>
        <v>0</v>
      </c>
      <c r="U281" s="64">
        <f t="shared" si="60"/>
        <v>0</v>
      </c>
      <c r="V281" s="64">
        <f t="shared" si="60"/>
        <v>0</v>
      </c>
      <c r="W281" s="64">
        <f t="shared" si="60"/>
        <v>0</v>
      </c>
      <c r="X281" s="64">
        <f t="shared" si="60"/>
        <v>0</v>
      </c>
      <c r="Y281" s="64">
        <f t="shared" si="60"/>
        <v>0</v>
      </c>
      <c r="Z281" s="64">
        <f t="shared" si="60"/>
        <v>0</v>
      </c>
      <c r="AA281" s="64">
        <f t="shared" si="60"/>
        <v>0</v>
      </c>
      <c r="AB281" s="64">
        <f t="shared" si="60"/>
        <v>0</v>
      </c>
      <c r="AC281" s="64">
        <f t="shared" si="60"/>
        <v>0</v>
      </c>
      <c r="AD281" s="64">
        <f t="shared" si="60"/>
        <v>0</v>
      </c>
      <c r="AE281" s="64">
        <f t="shared" si="60"/>
        <v>0</v>
      </c>
      <c r="AF281" s="64">
        <f t="shared" si="60"/>
        <v>0</v>
      </c>
      <c r="AG281" s="64">
        <f>SUM(F281:AF281)</f>
        <v>46824823.464260317</v>
      </c>
      <c r="AH281" s="21" t="str">
        <f>IF(ABS(E281-AG281)&lt;0.01,"ok","err")</f>
        <v>ok</v>
      </c>
      <c r="AJ281" s="50"/>
      <c r="AK281" s="50"/>
      <c r="AL281" s="50"/>
      <c r="AM281" s="50"/>
      <c r="AN281" s="50"/>
    </row>
    <row r="282" spans="1:40" x14ac:dyDescent="0.25">
      <c r="A282" s="67" t="s">
        <v>328</v>
      </c>
      <c r="E282" s="167">
        <f t="shared" ref="E282:AF282" si="61">E193</f>
        <v>3259870.44</v>
      </c>
      <c r="F282" s="27">
        <f t="shared" si="61"/>
        <v>2595570.2665769579</v>
      </c>
      <c r="G282" s="27">
        <f t="shared" si="61"/>
        <v>2194.591922906985</v>
      </c>
      <c r="H282" s="27">
        <f t="shared" si="61"/>
        <v>289086.55039511312</v>
      </c>
      <c r="I282" s="27">
        <f t="shared" si="61"/>
        <v>188520.11238420074</v>
      </c>
      <c r="J282" s="27">
        <f t="shared" si="61"/>
        <v>25335.048580286679</v>
      </c>
      <c r="K282" s="27">
        <f t="shared" si="61"/>
        <v>159163.87014053401</v>
      </c>
      <c r="L282" s="27">
        <f t="shared" si="61"/>
        <v>0</v>
      </c>
      <c r="M282" s="27">
        <f t="shared" si="61"/>
        <v>0</v>
      </c>
      <c r="N282" s="27">
        <f t="shared" si="61"/>
        <v>0</v>
      </c>
      <c r="O282" s="27">
        <f t="shared" si="61"/>
        <v>0</v>
      </c>
      <c r="P282" s="27">
        <f t="shared" si="61"/>
        <v>0</v>
      </c>
      <c r="Q282" s="27">
        <f t="shared" si="61"/>
        <v>0</v>
      </c>
      <c r="R282" s="27">
        <f t="shared" si="61"/>
        <v>0</v>
      </c>
      <c r="S282" s="27">
        <f t="shared" si="61"/>
        <v>0</v>
      </c>
      <c r="T282" s="27">
        <f t="shared" si="61"/>
        <v>0</v>
      </c>
      <c r="U282" s="27">
        <f t="shared" si="61"/>
        <v>0</v>
      </c>
      <c r="V282" s="27">
        <f t="shared" si="61"/>
        <v>0</v>
      </c>
      <c r="W282" s="27">
        <f t="shared" si="61"/>
        <v>0</v>
      </c>
      <c r="X282" s="27">
        <f t="shared" si="61"/>
        <v>0</v>
      </c>
      <c r="Y282" s="27">
        <f t="shared" si="61"/>
        <v>0</v>
      </c>
      <c r="Z282" s="27">
        <f t="shared" si="61"/>
        <v>0</v>
      </c>
      <c r="AA282" s="27">
        <f t="shared" si="61"/>
        <v>0</v>
      </c>
      <c r="AB282" s="27">
        <f t="shared" si="61"/>
        <v>0</v>
      </c>
      <c r="AC282" s="27">
        <f t="shared" si="61"/>
        <v>0</v>
      </c>
      <c r="AD282" s="27">
        <f t="shared" si="61"/>
        <v>0</v>
      </c>
      <c r="AE282" s="27">
        <f t="shared" si="61"/>
        <v>0</v>
      </c>
      <c r="AF282" s="27">
        <f t="shared" si="61"/>
        <v>0</v>
      </c>
      <c r="AG282" s="64">
        <f>SUM(F282:AF282)</f>
        <v>3259870.439999999</v>
      </c>
      <c r="AH282" s="21" t="str">
        <f>IF(ABS(E282-AG282)&lt;0.01,"ok","err")</f>
        <v>ok</v>
      </c>
      <c r="AJ282" s="50"/>
      <c r="AK282" s="50"/>
      <c r="AL282" s="50"/>
      <c r="AM282" s="50"/>
      <c r="AN282" s="50"/>
    </row>
    <row r="283" spans="1:40" x14ac:dyDescent="0.25">
      <c r="A283" s="67" t="s">
        <v>329</v>
      </c>
      <c r="D283" s="14" t="s">
        <v>247</v>
      </c>
      <c r="E283" s="167">
        <f t="shared" ref="E283:AF283" si="62">E231</f>
        <v>0</v>
      </c>
      <c r="F283" s="27">
        <f t="shared" si="62"/>
        <v>0</v>
      </c>
      <c r="G283" s="27">
        <f t="shared" si="62"/>
        <v>0</v>
      </c>
      <c r="H283" s="27">
        <f t="shared" si="62"/>
        <v>0</v>
      </c>
      <c r="I283" s="27">
        <f t="shared" si="62"/>
        <v>0</v>
      </c>
      <c r="J283" s="27">
        <f t="shared" si="62"/>
        <v>0</v>
      </c>
      <c r="K283" s="27">
        <f t="shared" si="62"/>
        <v>0</v>
      </c>
      <c r="L283" s="27">
        <f t="shared" si="62"/>
        <v>0</v>
      </c>
      <c r="M283" s="27">
        <f t="shared" si="62"/>
        <v>0</v>
      </c>
      <c r="N283" s="27">
        <f t="shared" si="62"/>
        <v>0</v>
      </c>
      <c r="O283" s="27">
        <f t="shared" si="62"/>
        <v>0</v>
      </c>
      <c r="P283" s="27">
        <f t="shared" si="62"/>
        <v>0</v>
      </c>
      <c r="Q283" s="27">
        <f t="shared" si="62"/>
        <v>0</v>
      </c>
      <c r="R283" s="27">
        <f t="shared" si="62"/>
        <v>0</v>
      </c>
      <c r="S283" s="27">
        <f t="shared" si="62"/>
        <v>0</v>
      </c>
      <c r="T283" s="27">
        <f t="shared" si="62"/>
        <v>0</v>
      </c>
      <c r="U283" s="27">
        <f t="shared" si="62"/>
        <v>0</v>
      </c>
      <c r="V283" s="27">
        <f t="shared" si="62"/>
        <v>0</v>
      </c>
      <c r="W283" s="27">
        <f t="shared" si="62"/>
        <v>0</v>
      </c>
      <c r="X283" s="27">
        <f t="shared" si="62"/>
        <v>0</v>
      </c>
      <c r="Y283" s="27">
        <f t="shared" si="62"/>
        <v>0</v>
      </c>
      <c r="Z283" s="27">
        <f t="shared" si="62"/>
        <v>0</v>
      </c>
      <c r="AA283" s="27">
        <f t="shared" si="62"/>
        <v>0</v>
      </c>
      <c r="AB283" s="27">
        <f t="shared" si="62"/>
        <v>0</v>
      </c>
      <c r="AC283" s="27">
        <f t="shared" si="62"/>
        <v>0</v>
      </c>
      <c r="AD283" s="27">
        <f t="shared" si="62"/>
        <v>0</v>
      </c>
      <c r="AE283" s="27">
        <f t="shared" si="62"/>
        <v>0</v>
      </c>
      <c r="AF283" s="27">
        <f t="shared" si="62"/>
        <v>0</v>
      </c>
      <c r="AG283" s="64">
        <f>SUM(F283:AF283)</f>
        <v>0</v>
      </c>
      <c r="AH283" s="21" t="str">
        <f>IF(ABS(E283-AG283)&lt;0.01,"ok","err")</f>
        <v>ok</v>
      </c>
      <c r="AJ283" s="50"/>
      <c r="AK283" s="50"/>
      <c r="AL283" s="50"/>
      <c r="AM283" s="50"/>
      <c r="AN283" s="50"/>
    </row>
    <row r="284" spans="1:40" x14ac:dyDescent="0.25">
      <c r="A284" s="67" t="s">
        <v>330</v>
      </c>
      <c r="E284" s="167">
        <f t="shared" ref="E284:AF284" si="63">E269</f>
        <v>47600.000000000015</v>
      </c>
      <c r="F284" s="27">
        <f t="shared" si="63"/>
        <v>38630.948782306041</v>
      </c>
      <c r="G284" s="27">
        <f t="shared" si="63"/>
        <v>32.959564017357096</v>
      </c>
      <c r="H284" s="27">
        <f t="shared" si="63"/>
        <v>3908.4085527402694</v>
      </c>
      <c r="I284" s="27">
        <f t="shared" si="63"/>
        <v>2776.270103250873</v>
      </c>
      <c r="J284" s="27">
        <f t="shared" si="63"/>
        <v>400.80213233189829</v>
      </c>
      <c r="K284" s="27">
        <f t="shared" si="63"/>
        <v>1850.6108653535723</v>
      </c>
      <c r="L284" s="27">
        <f t="shared" si="63"/>
        <v>0</v>
      </c>
      <c r="M284" s="27">
        <f t="shared" si="63"/>
        <v>0</v>
      </c>
      <c r="N284" s="27">
        <f t="shared" si="63"/>
        <v>0</v>
      </c>
      <c r="O284" s="27">
        <f t="shared" si="63"/>
        <v>0</v>
      </c>
      <c r="P284" s="27">
        <f t="shared" si="63"/>
        <v>0</v>
      </c>
      <c r="Q284" s="27">
        <f t="shared" si="63"/>
        <v>0</v>
      </c>
      <c r="R284" s="27">
        <f t="shared" si="63"/>
        <v>0</v>
      </c>
      <c r="S284" s="27">
        <f t="shared" si="63"/>
        <v>0</v>
      </c>
      <c r="T284" s="27">
        <f t="shared" si="63"/>
        <v>0</v>
      </c>
      <c r="U284" s="27">
        <f t="shared" si="63"/>
        <v>0</v>
      </c>
      <c r="V284" s="27">
        <f t="shared" si="63"/>
        <v>0</v>
      </c>
      <c r="W284" s="27">
        <f t="shared" si="63"/>
        <v>0</v>
      </c>
      <c r="X284" s="27">
        <f t="shared" si="63"/>
        <v>0</v>
      </c>
      <c r="Y284" s="27">
        <f t="shared" si="63"/>
        <v>0</v>
      </c>
      <c r="Z284" s="27">
        <f t="shared" si="63"/>
        <v>0</v>
      </c>
      <c r="AA284" s="27">
        <f t="shared" si="63"/>
        <v>0</v>
      </c>
      <c r="AB284" s="27">
        <f t="shared" si="63"/>
        <v>0</v>
      </c>
      <c r="AC284" s="27">
        <f t="shared" si="63"/>
        <v>0</v>
      </c>
      <c r="AD284" s="27">
        <f t="shared" si="63"/>
        <v>0</v>
      </c>
      <c r="AE284" s="27">
        <f t="shared" si="63"/>
        <v>0</v>
      </c>
      <c r="AF284" s="27">
        <f t="shared" si="63"/>
        <v>0</v>
      </c>
      <c r="AG284" s="64">
        <f>SUM(F284:AF284)</f>
        <v>47600.000000000007</v>
      </c>
      <c r="AH284" s="21" t="str">
        <f>IF(ABS(E284-AG284)&lt;0.01,"ok","err")</f>
        <v>ok</v>
      </c>
      <c r="AJ284" s="50"/>
      <c r="AK284" s="50"/>
      <c r="AL284" s="50"/>
      <c r="AM284" s="50"/>
      <c r="AN284" s="50"/>
    </row>
    <row r="285" spans="1:40" x14ac:dyDescent="0.25">
      <c r="A285" s="67"/>
      <c r="AG285" s="64"/>
      <c r="AH285" s="21"/>
      <c r="AJ285" s="50"/>
      <c r="AK285" s="50"/>
      <c r="AL285" s="50"/>
      <c r="AM285" s="50"/>
      <c r="AN285" s="50"/>
    </row>
    <row r="286" spans="1:40" x14ac:dyDescent="0.25">
      <c r="A286" s="14" t="s">
        <v>331</v>
      </c>
      <c r="C286" s="14" t="s">
        <v>197</v>
      </c>
      <c r="E286" s="175">
        <f t="shared" ref="E286:T286" si="64">SUM(E281:E285)</f>
        <v>50132293.909999996</v>
      </c>
      <c r="F286" s="64">
        <f t="shared" si="64"/>
        <v>33271821.180423398</v>
      </c>
      <c r="G286" s="64">
        <f t="shared" si="64"/>
        <v>25586.347863863302</v>
      </c>
      <c r="H286" s="64">
        <f t="shared" si="64"/>
        <v>3997673.9523619036</v>
      </c>
      <c r="I286" s="64">
        <f t="shared" si="64"/>
        <v>6867477.5271603214</v>
      </c>
      <c r="J286" s="64">
        <f t="shared" si="64"/>
        <v>1854725.0427224401</v>
      </c>
      <c r="K286" s="64">
        <f t="shared" si="64"/>
        <v>262357.85372838902</v>
      </c>
      <c r="L286" s="64">
        <f t="shared" si="64"/>
        <v>3852652</v>
      </c>
      <c r="M286" s="64">
        <f t="shared" si="64"/>
        <v>0</v>
      </c>
      <c r="N286" s="64">
        <f t="shared" si="64"/>
        <v>0</v>
      </c>
      <c r="O286" s="64">
        <f t="shared" si="64"/>
        <v>0</v>
      </c>
      <c r="P286" s="64">
        <f t="shared" si="64"/>
        <v>0</v>
      </c>
      <c r="Q286" s="64">
        <f t="shared" si="64"/>
        <v>0</v>
      </c>
      <c r="R286" s="64">
        <f t="shared" si="64"/>
        <v>0</v>
      </c>
      <c r="S286" s="64">
        <f t="shared" si="64"/>
        <v>0</v>
      </c>
      <c r="T286" s="64">
        <f t="shared" si="64"/>
        <v>0</v>
      </c>
      <c r="U286" s="64">
        <f t="shared" ref="U286:AF286" si="65">SUM(U281:U285)</f>
        <v>0</v>
      </c>
      <c r="V286" s="64">
        <f t="shared" si="65"/>
        <v>0</v>
      </c>
      <c r="W286" s="64">
        <f t="shared" si="65"/>
        <v>0</v>
      </c>
      <c r="X286" s="64">
        <f t="shared" si="65"/>
        <v>0</v>
      </c>
      <c r="Y286" s="64">
        <f t="shared" si="65"/>
        <v>0</v>
      </c>
      <c r="Z286" s="64">
        <f t="shared" si="65"/>
        <v>0</v>
      </c>
      <c r="AA286" s="64">
        <f t="shared" si="65"/>
        <v>0</v>
      </c>
      <c r="AB286" s="64">
        <f t="shared" si="65"/>
        <v>0</v>
      </c>
      <c r="AC286" s="64">
        <f t="shared" si="65"/>
        <v>0</v>
      </c>
      <c r="AD286" s="64">
        <f t="shared" si="65"/>
        <v>0</v>
      </c>
      <c r="AE286" s="64">
        <f t="shared" si="65"/>
        <v>0</v>
      </c>
      <c r="AF286" s="64">
        <f t="shared" si="65"/>
        <v>0</v>
      </c>
      <c r="AG286" s="64">
        <f>SUM(F286:AF286)</f>
        <v>50132293.904260322</v>
      </c>
      <c r="AH286" s="21" t="str">
        <f>IF(ABS(E286-AG286)&lt;0.01,"ok","err")</f>
        <v>ok</v>
      </c>
      <c r="AJ286" s="50"/>
      <c r="AK286" s="50"/>
      <c r="AL286" s="50"/>
      <c r="AM286" s="50"/>
      <c r="AN286" s="50"/>
    </row>
    <row r="287" spans="1:40" x14ac:dyDescent="0.25">
      <c r="A287" s="67"/>
    </row>
    <row r="288" spans="1:40" x14ac:dyDescent="0.25">
      <c r="A288" s="14" t="s">
        <v>332</v>
      </c>
      <c r="C288" s="14" t="s">
        <v>182</v>
      </c>
      <c r="E288" s="175">
        <f>E278-E286</f>
        <v>-807399.75999999046</v>
      </c>
      <c r="F288" s="64">
        <f t="shared" ref="F288:R288" si="66">F278-F286</f>
        <v>-2218302.8645215556</v>
      </c>
      <c r="G288" s="64">
        <f t="shared" si="66"/>
        <v>1637.5840174072619</v>
      </c>
      <c r="H288" s="64">
        <f t="shared" si="66"/>
        <v>54563.39120921446</v>
      </c>
      <c r="I288" s="64">
        <f t="shared" si="66"/>
        <v>785645.90640612599</v>
      </c>
      <c r="J288" s="64">
        <f t="shared" si="66"/>
        <v>143651.69720688765</v>
      </c>
      <c r="K288" s="64">
        <f t="shared" si="66"/>
        <v>228806.95142161095</v>
      </c>
      <c r="L288" s="64">
        <f t="shared" si="66"/>
        <v>196597.58000000054</v>
      </c>
      <c r="M288" s="64">
        <f t="shared" si="66"/>
        <v>0</v>
      </c>
      <c r="N288" s="64">
        <f t="shared" si="66"/>
        <v>0</v>
      </c>
      <c r="O288" s="64">
        <f t="shared" si="66"/>
        <v>0</v>
      </c>
      <c r="P288" s="64">
        <f t="shared" si="66"/>
        <v>0</v>
      </c>
      <c r="Q288" s="64">
        <f>Q278-Q286</f>
        <v>0</v>
      </c>
      <c r="R288" s="64">
        <f t="shared" si="66"/>
        <v>0</v>
      </c>
      <c r="S288" s="64">
        <f>S278-S286</f>
        <v>0</v>
      </c>
      <c r="T288" s="64">
        <f>T278-T286</f>
        <v>0</v>
      </c>
      <c r="U288" s="64">
        <f t="shared" ref="U288:AF288" si="67">U278-U286</f>
        <v>0</v>
      </c>
      <c r="V288" s="64">
        <f t="shared" si="67"/>
        <v>0</v>
      </c>
      <c r="W288" s="64">
        <f t="shared" si="67"/>
        <v>0</v>
      </c>
      <c r="X288" s="64">
        <f t="shared" si="67"/>
        <v>0</v>
      </c>
      <c r="Y288" s="64">
        <f t="shared" si="67"/>
        <v>0</v>
      </c>
      <c r="Z288" s="64">
        <f t="shared" si="67"/>
        <v>0</v>
      </c>
      <c r="AA288" s="64">
        <f t="shared" si="67"/>
        <v>0</v>
      </c>
      <c r="AB288" s="64">
        <f t="shared" si="67"/>
        <v>0</v>
      </c>
      <c r="AC288" s="64">
        <f t="shared" si="67"/>
        <v>0</v>
      </c>
      <c r="AD288" s="64">
        <f t="shared" si="67"/>
        <v>0</v>
      </c>
      <c r="AE288" s="64">
        <f t="shared" si="67"/>
        <v>0</v>
      </c>
      <c r="AF288" s="64">
        <f t="shared" si="67"/>
        <v>0</v>
      </c>
      <c r="AG288" s="64">
        <f>SUM(F288:AF288)</f>
        <v>-807399.75426030881</v>
      </c>
      <c r="AH288" s="21" t="str">
        <f>IF(ABS(E288-AG288)&lt;0.01,"ok","err")</f>
        <v>ok</v>
      </c>
    </row>
    <row r="290" spans="1:40" x14ac:dyDescent="0.25">
      <c r="A290" s="13" t="s">
        <v>248</v>
      </c>
      <c r="E290" s="175">
        <f t="shared" ref="E290:AF290" si="68">E117</f>
        <v>63080877.98644232</v>
      </c>
      <c r="F290" s="64">
        <f t="shared" si="68"/>
        <v>51218720.466161877</v>
      </c>
      <c r="G290" s="64">
        <f t="shared" si="68"/>
        <v>43691.224611132253</v>
      </c>
      <c r="H290" s="64">
        <f t="shared" si="68"/>
        <v>5184626.759981649</v>
      </c>
      <c r="I290" s="64">
        <f t="shared" si="68"/>
        <v>3677082.0873443196</v>
      </c>
      <c r="J290" s="64">
        <f t="shared" si="68"/>
        <v>530606.12617863517</v>
      </c>
      <c r="K290" s="64">
        <f t="shared" si="68"/>
        <v>2426151.3221646999</v>
      </c>
      <c r="L290" s="64">
        <f t="shared" si="68"/>
        <v>0</v>
      </c>
      <c r="M290" s="64">
        <f t="shared" si="68"/>
        <v>0</v>
      </c>
      <c r="N290" s="64">
        <f t="shared" si="68"/>
        <v>0</v>
      </c>
      <c r="O290" s="64">
        <f t="shared" si="68"/>
        <v>0</v>
      </c>
      <c r="P290" s="64">
        <f t="shared" si="68"/>
        <v>0</v>
      </c>
      <c r="Q290" s="64">
        <f t="shared" si="68"/>
        <v>0</v>
      </c>
      <c r="R290" s="64">
        <f t="shared" si="68"/>
        <v>0</v>
      </c>
      <c r="S290" s="64">
        <f t="shared" si="68"/>
        <v>0</v>
      </c>
      <c r="T290" s="64">
        <f t="shared" si="68"/>
        <v>0</v>
      </c>
      <c r="U290" s="64">
        <f t="shared" si="68"/>
        <v>0</v>
      </c>
      <c r="V290" s="64">
        <f t="shared" si="68"/>
        <v>0</v>
      </c>
      <c r="W290" s="64">
        <f t="shared" si="68"/>
        <v>0</v>
      </c>
      <c r="X290" s="64">
        <f t="shared" si="68"/>
        <v>0</v>
      </c>
      <c r="Y290" s="64">
        <f t="shared" si="68"/>
        <v>0</v>
      </c>
      <c r="Z290" s="64">
        <f t="shared" si="68"/>
        <v>0</v>
      </c>
      <c r="AA290" s="64">
        <f t="shared" si="68"/>
        <v>0</v>
      </c>
      <c r="AB290" s="64">
        <f t="shared" si="68"/>
        <v>0</v>
      </c>
      <c r="AC290" s="64">
        <f t="shared" si="68"/>
        <v>0</v>
      </c>
      <c r="AD290" s="64">
        <f t="shared" si="68"/>
        <v>0</v>
      </c>
      <c r="AE290" s="64">
        <f t="shared" si="68"/>
        <v>0</v>
      </c>
      <c r="AF290" s="64">
        <f t="shared" si="68"/>
        <v>0</v>
      </c>
      <c r="AG290" s="64">
        <f>SUM(F290:AF290)</f>
        <v>63080877.986442313</v>
      </c>
      <c r="AH290" s="21" t="str">
        <f>IF(ABS(E290-AG290)&lt;0.01,"ok","err")</f>
        <v>ok</v>
      </c>
    </row>
    <row r="291" spans="1:40" ht="13.8" thickBot="1" x14ac:dyDescent="0.3"/>
    <row r="292" spans="1:40" s="13" customFormat="1" ht="13.8" thickBot="1" x14ac:dyDescent="0.3">
      <c r="A292" s="120" t="s">
        <v>333</v>
      </c>
      <c r="B292" s="121"/>
      <c r="C292" s="121"/>
      <c r="D292" s="121"/>
      <c r="E292" s="185">
        <f>IF(E290=0,"NA",E288/E290)</f>
        <v>-1.2799437575575933E-2</v>
      </c>
      <c r="F292" s="74">
        <f t="shared" ref="F292:AG292" si="69">IF(F290=0,"NA",F288/F290)</f>
        <v>-4.3310392066258231E-2</v>
      </c>
      <c r="G292" s="74">
        <f t="shared" si="69"/>
        <v>3.7480844997647776E-2</v>
      </c>
      <c r="H292" s="74">
        <f t="shared" si="69"/>
        <v>1.0524073136830315E-2</v>
      </c>
      <c r="I292" s="74">
        <f t="shared" si="69"/>
        <v>0.21366014892899468</v>
      </c>
      <c r="J292" s="74">
        <f t="shared" si="69"/>
        <v>0.27073132050217891</v>
      </c>
      <c r="K292" s="74">
        <f t="shared" si="69"/>
        <v>9.4308606941079468E-2</v>
      </c>
      <c r="L292" s="160" t="str">
        <f t="shared" si="69"/>
        <v>NA</v>
      </c>
      <c r="M292" s="74" t="str">
        <f t="shared" si="69"/>
        <v>NA</v>
      </c>
      <c r="N292" s="74" t="str">
        <f t="shared" si="69"/>
        <v>NA</v>
      </c>
      <c r="O292" s="74" t="str">
        <f t="shared" si="69"/>
        <v>NA</v>
      </c>
      <c r="P292" s="74" t="str">
        <f t="shared" si="69"/>
        <v>NA</v>
      </c>
      <c r="Q292" s="74" t="str">
        <f t="shared" si="69"/>
        <v>NA</v>
      </c>
      <c r="R292" s="74" t="str">
        <f t="shared" si="69"/>
        <v>NA</v>
      </c>
      <c r="S292" s="74" t="str">
        <f t="shared" si="69"/>
        <v>NA</v>
      </c>
      <c r="T292" s="74" t="str">
        <f t="shared" si="69"/>
        <v>NA</v>
      </c>
      <c r="U292" s="74" t="str">
        <f t="shared" si="69"/>
        <v>NA</v>
      </c>
      <c r="V292" s="74" t="str">
        <f t="shared" si="69"/>
        <v>NA</v>
      </c>
      <c r="W292" s="74" t="str">
        <f t="shared" si="69"/>
        <v>NA</v>
      </c>
      <c r="X292" s="74" t="str">
        <f t="shared" si="69"/>
        <v>NA</v>
      </c>
      <c r="Y292" s="74" t="str">
        <f t="shared" si="69"/>
        <v>NA</v>
      </c>
      <c r="Z292" s="74" t="str">
        <f t="shared" si="69"/>
        <v>NA</v>
      </c>
      <c r="AA292" s="74" t="str">
        <f t="shared" si="69"/>
        <v>NA</v>
      </c>
      <c r="AB292" s="74" t="str">
        <f t="shared" si="69"/>
        <v>NA</v>
      </c>
      <c r="AC292" s="74" t="str">
        <f t="shared" si="69"/>
        <v>NA</v>
      </c>
      <c r="AD292" s="74" t="str">
        <f t="shared" si="69"/>
        <v>NA</v>
      </c>
      <c r="AE292" s="74" t="str">
        <f t="shared" si="69"/>
        <v>NA</v>
      </c>
      <c r="AF292" s="74" t="str">
        <f t="shared" si="69"/>
        <v>NA</v>
      </c>
      <c r="AG292" s="74">
        <f t="shared" si="69"/>
        <v>-1.2799437484586685E-2</v>
      </c>
      <c r="AH292" s="21" t="str">
        <f>IF(ABS(E292-AG292)&lt;0.01,"ok","err")</f>
        <v>ok</v>
      </c>
      <c r="AJ292" s="122"/>
    </row>
    <row r="293" spans="1:40" s="13" customFormat="1" x14ac:dyDescent="0.25">
      <c r="A293" s="13" t="s">
        <v>935</v>
      </c>
      <c r="E293" s="196">
        <f>IF(E292="NA","NA",E292/$E$292)</f>
        <v>1</v>
      </c>
      <c r="F293" s="112">
        <f t="shared" ref="F293:AG293" si="70">IF(F292="NA","NA",F292/$E$292)</f>
        <v>3.3837730611619787</v>
      </c>
      <c r="G293" s="112">
        <f t="shared" si="70"/>
        <v>-2.928319684074967</v>
      </c>
      <c r="H293" s="112">
        <f t="shared" si="70"/>
        <v>-0.82222934208550691</v>
      </c>
      <c r="I293" s="112">
        <f t="shared" si="70"/>
        <v>-16.692932612656669</v>
      </c>
      <c r="J293" s="112">
        <f t="shared" si="70"/>
        <v>-21.151813812412527</v>
      </c>
      <c r="K293" s="112">
        <f t="shared" si="70"/>
        <v>-7.3681836709013275</v>
      </c>
      <c r="L293" s="197" t="str">
        <f t="shared" si="70"/>
        <v>NA</v>
      </c>
      <c r="M293" s="112" t="str">
        <f t="shared" si="70"/>
        <v>NA</v>
      </c>
      <c r="N293" s="112" t="str">
        <f t="shared" si="70"/>
        <v>NA</v>
      </c>
      <c r="O293" s="112" t="str">
        <f t="shared" si="70"/>
        <v>NA</v>
      </c>
      <c r="P293" s="112" t="str">
        <f t="shared" si="70"/>
        <v>NA</v>
      </c>
      <c r="Q293" s="112" t="str">
        <f t="shared" si="70"/>
        <v>NA</v>
      </c>
      <c r="R293" s="112" t="str">
        <f t="shared" si="70"/>
        <v>NA</v>
      </c>
      <c r="S293" s="112" t="str">
        <f t="shared" si="70"/>
        <v>NA</v>
      </c>
      <c r="T293" s="112" t="str">
        <f t="shared" si="70"/>
        <v>NA</v>
      </c>
      <c r="U293" s="112" t="str">
        <f t="shared" si="70"/>
        <v>NA</v>
      </c>
      <c r="V293" s="112" t="str">
        <f t="shared" si="70"/>
        <v>NA</v>
      </c>
      <c r="W293" s="112" t="str">
        <f t="shared" si="70"/>
        <v>NA</v>
      </c>
      <c r="X293" s="112" t="str">
        <f t="shared" si="70"/>
        <v>NA</v>
      </c>
      <c r="Y293" s="112" t="str">
        <f t="shared" si="70"/>
        <v>NA</v>
      </c>
      <c r="Z293" s="112" t="str">
        <f t="shared" si="70"/>
        <v>NA</v>
      </c>
      <c r="AA293" s="112" t="str">
        <f t="shared" si="70"/>
        <v>NA</v>
      </c>
      <c r="AB293" s="112" t="str">
        <f t="shared" si="70"/>
        <v>NA</v>
      </c>
      <c r="AC293" s="112" t="str">
        <f t="shared" si="70"/>
        <v>NA</v>
      </c>
      <c r="AD293" s="112" t="str">
        <f t="shared" si="70"/>
        <v>NA</v>
      </c>
      <c r="AE293" s="112" t="str">
        <f t="shared" si="70"/>
        <v>NA</v>
      </c>
      <c r="AF293" s="112" t="str">
        <f t="shared" si="70"/>
        <v>NA</v>
      </c>
      <c r="AG293" s="112">
        <f t="shared" si="70"/>
        <v>0.99999999289115271</v>
      </c>
      <c r="AH293" s="21"/>
      <c r="AJ293" s="122"/>
    </row>
    <row r="295" spans="1:40" x14ac:dyDescent="0.25">
      <c r="A295" s="19" t="s">
        <v>860</v>
      </c>
    </row>
    <row r="297" spans="1:40" x14ac:dyDescent="0.25">
      <c r="A297" s="13" t="s">
        <v>322</v>
      </c>
    </row>
    <row r="299" spans="1:40" x14ac:dyDescent="0.25">
      <c r="A299" s="14" t="s">
        <v>567</v>
      </c>
      <c r="E299" s="175">
        <f t="shared" ref="E299:AF299" si="71">E278</f>
        <v>49324894.150000006</v>
      </c>
      <c r="F299" s="64">
        <f t="shared" si="71"/>
        <v>31053518.315901842</v>
      </c>
      <c r="G299" s="64">
        <f t="shared" si="71"/>
        <v>27223.931881270564</v>
      </c>
      <c r="H299" s="64">
        <f t="shared" si="71"/>
        <v>4052237.3435711181</v>
      </c>
      <c r="I299" s="64">
        <f t="shared" si="71"/>
        <v>7653123.4335664473</v>
      </c>
      <c r="J299" s="64">
        <f t="shared" si="71"/>
        <v>1998376.7399293277</v>
      </c>
      <c r="K299" s="64">
        <f t="shared" si="71"/>
        <v>491164.80514999997</v>
      </c>
      <c r="L299" s="64">
        <f t="shared" si="71"/>
        <v>4049249.5800000005</v>
      </c>
      <c r="M299" s="64">
        <f t="shared" si="71"/>
        <v>0</v>
      </c>
      <c r="N299" s="64">
        <f t="shared" si="71"/>
        <v>0</v>
      </c>
      <c r="O299" s="64">
        <f t="shared" si="71"/>
        <v>0</v>
      </c>
      <c r="P299" s="64">
        <f t="shared" si="71"/>
        <v>0</v>
      </c>
      <c r="Q299" s="64">
        <f t="shared" si="71"/>
        <v>0</v>
      </c>
      <c r="R299" s="64">
        <f t="shared" si="71"/>
        <v>0</v>
      </c>
      <c r="S299" s="64">
        <f t="shared" si="71"/>
        <v>0</v>
      </c>
      <c r="T299" s="64">
        <f t="shared" si="71"/>
        <v>0</v>
      </c>
      <c r="U299" s="64">
        <f t="shared" si="71"/>
        <v>0</v>
      </c>
      <c r="V299" s="64">
        <f t="shared" si="71"/>
        <v>0</v>
      </c>
      <c r="W299" s="64">
        <f t="shared" si="71"/>
        <v>0</v>
      </c>
      <c r="X299" s="64">
        <f t="shared" si="71"/>
        <v>0</v>
      </c>
      <c r="Y299" s="64">
        <f t="shared" si="71"/>
        <v>0</v>
      </c>
      <c r="Z299" s="64">
        <f t="shared" si="71"/>
        <v>0</v>
      </c>
      <c r="AA299" s="64">
        <f t="shared" si="71"/>
        <v>0</v>
      </c>
      <c r="AB299" s="64">
        <f t="shared" si="71"/>
        <v>0</v>
      </c>
      <c r="AC299" s="64">
        <f t="shared" si="71"/>
        <v>0</v>
      </c>
      <c r="AD299" s="64">
        <f t="shared" si="71"/>
        <v>0</v>
      </c>
      <c r="AE299" s="64">
        <f t="shared" si="71"/>
        <v>0</v>
      </c>
      <c r="AF299" s="64">
        <f t="shared" si="71"/>
        <v>0</v>
      </c>
      <c r="AG299" s="64">
        <f>SUM(F299:AF299)</f>
        <v>49324894.149999999</v>
      </c>
      <c r="AH299" s="21" t="str">
        <f>IF(ABS(E299-AG299)&lt;0.01,"ok","err")</f>
        <v>ok</v>
      </c>
      <c r="AJ299" s="27" t="s">
        <v>1173</v>
      </c>
    </row>
    <row r="300" spans="1:40" x14ac:dyDescent="0.25">
      <c r="E300" s="175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21"/>
      <c r="AJ300" s="27">
        <v>1</v>
      </c>
    </row>
    <row r="301" spans="1:40" x14ac:dyDescent="0.25">
      <c r="A301" s="14" t="s">
        <v>568</v>
      </c>
      <c r="E301" s="175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21"/>
    </row>
    <row r="302" spans="1:40" x14ac:dyDescent="0.25">
      <c r="A302" s="14">
        <v>1</v>
      </c>
      <c r="B302" s="14" t="s">
        <v>933</v>
      </c>
      <c r="D302" s="14" t="s">
        <v>213</v>
      </c>
      <c r="E302" s="174">
        <f>1856811.36*AJ302</f>
        <v>1856811.36</v>
      </c>
      <c r="F302" s="174">
        <f>IF(VLOOKUP($D302,$C$5:$AT$525,3,)=0,0,(VLOOKUP($D302,$C$5:$AT$525,4,)/VLOOKUP($D302,$C$5:$AT$525,3,))*$E302)</f>
        <v>1032565.2974190316</v>
      </c>
      <c r="G302" s="174">
        <f>IF(VLOOKUP($D302,$C$5:$AT$525,3,)=0,0,(VLOOKUP($D302,$C$5:$AT$525,5,)/VLOOKUP($D302,$C$5:$AT$525,3,))*$E302)</f>
        <v>1019.2044854872013</v>
      </c>
      <c r="H302" s="174">
        <f>IF(VLOOKUP($D302,$C$5:$AT$525,3,)=0,0,(VLOOKUP($D302,$C$5:$AT$525,6,)/VLOOKUP($D302,$C$5:$AT$525,3,))*$E302)</f>
        <v>131287.17206167005</v>
      </c>
      <c r="I302" s="174">
        <f>IF(VLOOKUP($D302,$C$5:$AT$525,3,)=0,0,(VLOOKUP($D302,$C$5:$AT$525,7,)/VLOOKUP($D302,$C$5:$AT$525,3,))*$E302)</f>
        <v>269265.11358474818</v>
      </c>
      <c r="J302" s="174">
        <f>IF(VLOOKUP($D302,$C$5:$AT$525,3,)=0,0,(VLOOKUP($D302,$C$5:$AT$525,8,)/VLOOKUP($D302,$C$5:$AT$525,3,))*$E302)</f>
        <v>89622.498212407445</v>
      </c>
      <c r="K302" s="174">
        <f>IF(VLOOKUP($D302,$C$5:$AT$525,3,)=0,0,(VLOOKUP($D302,$C$5:$AT$525,9,)/VLOOKUP($D302,$C$5:$AT$525,3,))*$E302)</f>
        <v>0</v>
      </c>
      <c r="L302" s="174">
        <f>IF(VLOOKUP($D302,$C$5:$AT$525,3,)=0,0,(VLOOKUP($D302,$C$5:$AT$525,10,)/VLOOKUP($D302,$C$5:$AT$525,3,))*$E302)</f>
        <v>333052.07423665549</v>
      </c>
      <c r="M302" s="40">
        <f>IF(VLOOKUP($D302,$C$5:$AT$525,3,)=0,0,(VLOOKUP($D302,$C$5:$AT$525,11,)/VLOOKUP($D302,$C$5:$AT$525,3,))*$E302)</f>
        <v>0</v>
      </c>
      <c r="N302" s="40">
        <f>IF(VLOOKUP($D302,$C$5:$AT$525,3,)=0,0,(VLOOKUP($D302,$C$5:$AT$525,12,)/VLOOKUP($D302,$C$5:$AT$525,3,))*$E302)</f>
        <v>0</v>
      </c>
      <c r="O302" s="40">
        <f>IF(VLOOKUP($D302,$C$5:$AT$525,3,)=0,0,(VLOOKUP($D302,$C$5:$AT$525,13,)/VLOOKUP($D302,$C$5:$AT$525,3,))*$E302)</f>
        <v>0</v>
      </c>
      <c r="P302" s="40">
        <f>IF(VLOOKUP($D302,$C$5:$AT$525,3,)=0,0,(VLOOKUP($D302,$C$5:$AT$525,14,)/VLOOKUP($D302,$C$5:$AT$525,3,))*$E302)</f>
        <v>0</v>
      </c>
      <c r="Q302" s="40">
        <f>IF(VLOOKUP($D302,$C$5:$AT$525,3,)=0,0,(VLOOKUP($D302,$C$5:$AT$525,15,)/VLOOKUP($D302,$C$5:$AT$525,3,))*$E302)</f>
        <v>0</v>
      </c>
      <c r="R302" s="40">
        <f>IF(VLOOKUP($D302,$C$5:$AT$525,3,)=0,0,(VLOOKUP($D302,$C$5:$AT$525,16,)/VLOOKUP($D302,$C$5:$AT$525,3,))*$E302)</f>
        <v>0</v>
      </c>
      <c r="S302" s="40">
        <f>IF(VLOOKUP($D302,$C$5:$AT$525,3,)=0,0,(VLOOKUP($D302,$C$5:$AT$525,17,)/VLOOKUP($D302,$C$5:$AT$525,3,))*$E302)</f>
        <v>0</v>
      </c>
      <c r="T302" s="40">
        <f>IF(VLOOKUP($D302,$C$5:$AT$525,3,)=0,0,(VLOOKUP($D302,$C$5:$AT$525,18,)/VLOOKUP($D302,$C$5:$AT$525,3,))*$E302)</f>
        <v>0</v>
      </c>
      <c r="U302" s="40">
        <f>IF(VLOOKUP($D302,$C$5:$AT$525,3,)=0,0,(VLOOKUP($D302,$C$5:$AT$525,19,)/VLOOKUP($D302,$C$5:$AT$525,3,))*$E302)</f>
        <v>0</v>
      </c>
      <c r="V302" s="40">
        <f>IF(VLOOKUP($D302,$C$5:$AT$525,3,)=0,0,(VLOOKUP($D302,$C$5:$AT$525,20,)/VLOOKUP($D302,$C$5:$AT$525,3,))*$E302)</f>
        <v>0</v>
      </c>
      <c r="W302" s="40">
        <f>IF(VLOOKUP($D302,$C$5:$AT$525,3,)=0,0,(VLOOKUP($D302,$C$5:$AT$525,21,)/VLOOKUP($D302,$C$5:$AT$525,3,))*$E302)</f>
        <v>0</v>
      </c>
      <c r="X302" s="40">
        <f>IF(VLOOKUP($D302,$C$5:$AT$525,3,)=0,0,(VLOOKUP($D302,$C$5:$AT$525,22,)/VLOOKUP($D302,$C$5:$AT$525,3,))*$E302)</f>
        <v>0</v>
      </c>
      <c r="Y302" s="40">
        <f>IF(VLOOKUP($D302,$C$5:$AT$525,3,)=0,0,(VLOOKUP($D302,$C$5:$AT$525,23,)/VLOOKUP($D302,$C$5:$AT$525,3,))*$E302)</f>
        <v>0</v>
      </c>
      <c r="Z302" s="40">
        <f>IF(VLOOKUP($D302,$C$5:$AT$525,3,)=0,0,(VLOOKUP($D302,$C$5:$AT$525,24,)/VLOOKUP($D302,$C$5:$AT$525,3,))*$E302)</f>
        <v>0</v>
      </c>
      <c r="AA302" s="40">
        <f>IF(VLOOKUP($D302,$C$5:$AT$525,3,)=0,0,(VLOOKUP($D302,$C$5:$AT$525,25,)/VLOOKUP($D302,$C$5:$AT$525,3,))*$E302)</f>
        <v>0</v>
      </c>
      <c r="AB302" s="40">
        <f>IF(VLOOKUP($D302,$C$5:$AT$525,3,)=0,0,(VLOOKUP($D302,$C$5:$AT$525,26,)/VLOOKUP($D302,$C$5:$AT$525,3,))*$E302)</f>
        <v>0</v>
      </c>
      <c r="AC302" s="40">
        <f>IF(VLOOKUP($D302,$C$5:$AT$525,3,)=0,0,(VLOOKUP($D302,$C$5:$AT$525,27,)/VLOOKUP($D302,$C$5:$AT$525,3,))*$E302)</f>
        <v>0</v>
      </c>
      <c r="AD302" s="40">
        <f>IF(VLOOKUP($D302,$C$5:$AT$525,3,)=0,0,(VLOOKUP($D302,$C$5:$AT$525,28,)/VLOOKUP($D302,$C$5:$AT$525,3,))*$E302)</f>
        <v>0</v>
      </c>
      <c r="AE302" s="40">
        <f>IF(VLOOKUP($D302,$C$5:$AT$525,3,)=0,0,(VLOOKUP($D302,$C$5:$AT$525,29,)/VLOOKUP($D302,$C$5:$AT$525,3,))*$E302)</f>
        <v>0</v>
      </c>
      <c r="AF302" s="40">
        <f>IF(VLOOKUP($D302,$C$5:$AT$525,3,)=0,0,(VLOOKUP($D302,$C$5:$AT$525,30,)/VLOOKUP($D302,$C$5:$AT$525,3,))*$E302)</f>
        <v>0</v>
      </c>
      <c r="AG302" s="64">
        <f t="shared" ref="AG302" si="72">SUM(F302:AF302)</f>
        <v>1856811.3599999999</v>
      </c>
      <c r="AH302" s="21" t="str">
        <f t="shared" ref="AH302" si="73">IF(ABS(E302-AG302)&lt;0.01,"ok","err")</f>
        <v>ok</v>
      </c>
      <c r="AJ302" s="27">
        <f>AJ300</f>
        <v>1</v>
      </c>
    </row>
    <row r="303" spans="1:40" x14ac:dyDescent="0.25">
      <c r="A303" s="14">
        <v>2</v>
      </c>
      <c r="B303" s="14" t="s">
        <v>932</v>
      </c>
      <c r="D303" s="14" t="s">
        <v>939</v>
      </c>
      <c r="E303" s="174">
        <f>-5909709.57*AJ303</f>
        <v>-5909709.5700000003</v>
      </c>
      <c r="F303" s="174">
        <f>IF(VLOOKUP($D303,$C$5:$AT$525,3,)=0,0,(VLOOKUP($D303,$C$5:$AT$525,4,)/VLOOKUP($D303,$C$5:$AT$525,3,))*$E303)</f>
        <v>-3795018.9032480074</v>
      </c>
      <c r="G303" s="174">
        <f>IF(VLOOKUP($D303,$C$5:$AT$525,3,)=0,0,(VLOOKUP($D303,$C$5:$AT$525,5,)/VLOOKUP($D303,$C$5:$AT$525,3,))*$E303)</f>
        <v>0</v>
      </c>
      <c r="H303" s="174">
        <f>IF(VLOOKUP($D303,$C$5:$AT$525,3,)=0,0,(VLOOKUP($D303,$C$5:$AT$525,6,)/VLOOKUP($D303,$C$5:$AT$525,3,))*$E303)</f>
        <v>-420459.1232409426</v>
      </c>
      <c r="I303" s="174">
        <f>IF(VLOOKUP($D303,$C$5:$AT$525,3,)=0,0,(VLOOKUP($D303,$C$5:$AT$525,7,)/VLOOKUP($D303,$C$5:$AT$525,3,))*$E303)</f>
        <v>-901458.27194584825</v>
      </c>
      <c r="J303" s="174">
        <f>IF(VLOOKUP($D303,$C$5:$AT$525,3,)=0,0,(VLOOKUP($D303,$C$5:$AT$525,8,)/VLOOKUP($D303,$C$5:$AT$525,3,))*$E303)</f>
        <v>-174426.44457472779</v>
      </c>
      <c r="K303" s="174">
        <f>IF(VLOOKUP($D303,$C$5:$AT$525,3,)=0,0,(VLOOKUP($D303,$C$5:$AT$525,9,)/VLOOKUP($D303,$C$5:$AT$525,3,))*$E303)</f>
        <v>0</v>
      </c>
      <c r="L303" s="174">
        <f>IF(VLOOKUP($D303,$C$5:$AT$525,3,)=0,0,(VLOOKUP($D303,$C$5:$AT$525,10,)/VLOOKUP($D303,$C$5:$AT$525,3,))*$E303)</f>
        <v>-618346.82699047343</v>
      </c>
      <c r="M303" s="40">
        <f>IF(VLOOKUP($D303,$C$5:$AT$525,3,)=0,0,(VLOOKUP($D303,$C$5:$AT$525,11,)/VLOOKUP($D303,$C$5:$AT$525,3,))*$E303)</f>
        <v>0</v>
      </c>
      <c r="N303" s="40">
        <f>IF(VLOOKUP($D303,$C$5:$AT$525,3,)=0,0,(VLOOKUP($D303,$C$5:$AT$525,12,)/VLOOKUP($D303,$C$5:$AT$525,3,))*$E303)</f>
        <v>0</v>
      </c>
      <c r="O303" s="40">
        <f>IF(VLOOKUP($D303,$C$5:$AT$525,3,)=0,0,(VLOOKUP($D303,$C$5:$AT$525,13,)/VLOOKUP($D303,$C$5:$AT$525,3,))*$E303)</f>
        <v>0</v>
      </c>
      <c r="P303" s="40">
        <f>IF(VLOOKUP($D303,$C$5:$AT$525,3,)=0,0,(VLOOKUP($D303,$C$5:$AT$525,14,)/VLOOKUP($D303,$C$5:$AT$525,3,))*$E303)</f>
        <v>0</v>
      </c>
      <c r="Q303" s="40">
        <f>IF(VLOOKUP($D303,$C$5:$AT$525,3,)=0,0,(VLOOKUP($D303,$C$5:$AT$525,15,)/VLOOKUP($D303,$C$5:$AT$525,3,))*$E303)</f>
        <v>0</v>
      </c>
      <c r="R303" s="40">
        <f>IF(VLOOKUP($D303,$C$5:$AT$525,3,)=0,0,(VLOOKUP($D303,$C$5:$AT$525,16,)/VLOOKUP($D303,$C$5:$AT$525,3,))*$E303)</f>
        <v>0</v>
      </c>
      <c r="S303" s="40">
        <f>IF(VLOOKUP($D303,$C$5:$AT$525,3,)=0,0,(VLOOKUP($D303,$C$5:$AT$525,17,)/VLOOKUP($D303,$C$5:$AT$525,3,))*$E303)</f>
        <v>0</v>
      </c>
      <c r="T303" s="40">
        <f>IF(VLOOKUP($D303,$C$5:$AT$525,3,)=0,0,(VLOOKUP($D303,$C$5:$AT$525,18,)/VLOOKUP($D303,$C$5:$AT$525,3,))*$E303)</f>
        <v>0</v>
      </c>
      <c r="U303" s="40">
        <f>IF(VLOOKUP($D303,$C$5:$AT$525,3,)=0,0,(VLOOKUP($D303,$C$5:$AT$525,19,)/VLOOKUP($D303,$C$5:$AT$525,3,))*$E303)</f>
        <v>0</v>
      </c>
      <c r="V303" s="40">
        <f>IF(VLOOKUP($D303,$C$5:$AT$525,3,)=0,0,(VLOOKUP($D303,$C$5:$AT$525,20,)/VLOOKUP($D303,$C$5:$AT$525,3,))*$E303)</f>
        <v>0</v>
      </c>
      <c r="W303" s="40">
        <f>IF(VLOOKUP($D303,$C$5:$AT$525,3,)=0,0,(VLOOKUP($D303,$C$5:$AT$525,21,)/VLOOKUP($D303,$C$5:$AT$525,3,))*$E303)</f>
        <v>0</v>
      </c>
      <c r="X303" s="40">
        <f>IF(VLOOKUP($D303,$C$5:$AT$525,3,)=0,0,(VLOOKUP($D303,$C$5:$AT$525,22,)/VLOOKUP($D303,$C$5:$AT$525,3,))*$E303)</f>
        <v>0</v>
      </c>
      <c r="Y303" s="40">
        <f>IF(VLOOKUP($D303,$C$5:$AT$525,3,)=0,0,(VLOOKUP($D303,$C$5:$AT$525,23,)/VLOOKUP($D303,$C$5:$AT$525,3,))*$E303)</f>
        <v>0</v>
      </c>
      <c r="Z303" s="40">
        <f>IF(VLOOKUP($D303,$C$5:$AT$525,3,)=0,0,(VLOOKUP($D303,$C$5:$AT$525,24,)/VLOOKUP($D303,$C$5:$AT$525,3,))*$E303)</f>
        <v>0</v>
      </c>
      <c r="AA303" s="40">
        <f>IF(VLOOKUP($D303,$C$5:$AT$525,3,)=0,0,(VLOOKUP($D303,$C$5:$AT$525,25,)/VLOOKUP($D303,$C$5:$AT$525,3,))*$E303)</f>
        <v>0</v>
      </c>
      <c r="AB303" s="40">
        <f>IF(VLOOKUP($D303,$C$5:$AT$525,3,)=0,0,(VLOOKUP($D303,$C$5:$AT$525,26,)/VLOOKUP($D303,$C$5:$AT$525,3,))*$E303)</f>
        <v>0</v>
      </c>
      <c r="AC303" s="40">
        <f>IF(VLOOKUP($D303,$C$5:$AT$525,3,)=0,0,(VLOOKUP($D303,$C$5:$AT$525,27,)/VLOOKUP($D303,$C$5:$AT$525,3,))*$E303)</f>
        <v>0</v>
      </c>
      <c r="AD303" s="40">
        <f>IF(VLOOKUP($D303,$C$5:$AT$525,3,)=0,0,(VLOOKUP($D303,$C$5:$AT$525,28,)/VLOOKUP($D303,$C$5:$AT$525,3,))*$E303)</f>
        <v>0</v>
      </c>
      <c r="AE303" s="40">
        <f>IF(VLOOKUP($D303,$C$5:$AT$525,3,)=0,0,(VLOOKUP($D303,$C$5:$AT$525,29,)/VLOOKUP($D303,$C$5:$AT$525,3,))*$E303)</f>
        <v>0</v>
      </c>
      <c r="AF303" s="40">
        <f>IF(VLOOKUP($D303,$C$5:$AT$525,3,)=0,0,(VLOOKUP($D303,$C$5:$AT$525,30,)/VLOOKUP($D303,$C$5:$AT$525,3,))*$E303)</f>
        <v>0</v>
      </c>
      <c r="AG303" s="64">
        <f t="shared" ref="AG303" si="74">SUM(F303:AF303)</f>
        <v>-5909709.5699999994</v>
      </c>
      <c r="AH303" s="21" t="str">
        <f t="shared" ref="AH303:AH304" si="75">IF(ABS(E303-AG303)&lt;0.01,"ok","err")</f>
        <v>ok</v>
      </c>
      <c r="AJ303" s="27">
        <f>AJ302</f>
        <v>1</v>
      </c>
    </row>
    <row r="304" spans="1:40" x14ac:dyDescent="0.25">
      <c r="A304" s="14">
        <v>6</v>
      </c>
      <c r="B304" s="14" t="s">
        <v>1030</v>
      </c>
      <c r="E304" s="174">
        <f>251962*AJ304</f>
        <v>251962</v>
      </c>
      <c r="F304" s="174">
        <f>207167*AJ304</f>
        <v>207167</v>
      </c>
      <c r="G304" s="174">
        <v>0</v>
      </c>
      <c r="H304" s="174">
        <f>4986*AJ304</f>
        <v>4986</v>
      </c>
      <c r="I304" s="174">
        <f>39809*AJ304</f>
        <v>39809</v>
      </c>
      <c r="J304" s="174">
        <v>0</v>
      </c>
      <c r="K304" s="174">
        <v>0</v>
      </c>
      <c r="L304" s="174">
        <v>0</v>
      </c>
      <c r="M304" s="40">
        <v>0</v>
      </c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133">
        <f t="shared" ref="AG304:AG311" si="76">SUM(F304:AF304)</f>
        <v>251962</v>
      </c>
      <c r="AH304" s="21" t="str">
        <f t="shared" si="75"/>
        <v>ok</v>
      </c>
      <c r="AJ304" s="27">
        <f>AJ303</f>
        <v>1</v>
      </c>
      <c r="AN304" s="129"/>
    </row>
    <row r="305" spans="1:40" hidden="1" x14ac:dyDescent="0.25">
      <c r="B305" s="14" t="s">
        <v>1017</v>
      </c>
      <c r="D305" s="14" t="s">
        <v>560</v>
      </c>
      <c r="E305" s="175">
        <v>0</v>
      </c>
      <c r="F305" s="174">
        <v>0</v>
      </c>
      <c r="G305" s="174">
        <v>0</v>
      </c>
      <c r="H305" s="174">
        <v>0</v>
      </c>
      <c r="I305" s="174">
        <v>0</v>
      </c>
      <c r="J305" s="174">
        <v>0</v>
      </c>
      <c r="K305" s="174">
        <v>0</v>
      </c>
      <c r="L305" s="174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  <c r="Z305" s="40">
        <v>0</v>
      </c>
      <c r="AA305" s="40">
        <v>0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64">
        <f t="shared" si="76"/>
        <v>0</v>
      </c>
      <c r="AH305" s="21" t="str">
        <f t="shared" ref="AH305:AH311" si="77">IF(ABS(E305-AG305)&lt;0.01,"ok","err")</f>
        <v>ok</v>
      </c>
      <c r="AN305" s="14">
        <v>884467.4482799992</v>
      </c>
    </row>
    <row r="306" spans="1:40" hidden="1" x14ac:dyDescent="0.25">
      <c r="B306" s="14" t="s">
        <v>1017</v>
      </c>
      <c r="D306" s="14" t="s">
        <v>560</v>
      </c>
      <c r="E306" s="174">
        <v>0</v>
      </c>
      <c r="F306" s="174">
        <f t="shared" ref="F306:F315" si="78">IF(VLOOKUP($D306,$C$5:$AT$525,3,)=0,0,(VLOOKUP($D306,$C$5:$AT$525,4,)/VLOOKUP($D306,$C$5:$AT$525,3,))*$E306)</f>
        <v>0</v>
      </c>
      <c r="G306" s="174">
        <f t="shared" ref="G306:G315" si="79">IF(VLOOKUP($D306,$C$5:$AT$525,3,)=0,0,(VLOOKUP($D306,$C$5:$AT$525,5,)/VLOOKUP($D306,$C$5:$AT$525,3,))*$E306)</f>
        <v>0</v>
      </c>
      <c r="H306" s="174">
        <f t="shared" ref="H306:H315" si="80">IF(VLOOKUP($D306,$C$5:$AT$525,3,)=0,0,(VLOOKUP($D306,$C$5:$AT$525,6,)/VLOOKUP($D306,$C$5:$AT$525,3,))*$E306)</f>
        <v>0</v>
      </c>
      <c r="I306" s="174">
        <f t="shared" ref="I306:I315" si="81">IF(VLOOKUP($D306,$C$5:$AT$525,3,)=0,0,(VLOOKUP($D306,$C$5:$AT$525,7,)/VLOOKUP($D306,$C$5:$AT$525,3,))*$E306)</f>
        <v>0</v>
      </c>
      <c r="J306" s="174">
        <v>0</v>
      </c>
      <c r="K306" s="174">
        <v>0</v>
      </c>
      <c r="L306" s="174">
        <v>0</v>
      </c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64">
        <f t="shared" si="76"/>
        <v>0</v>
      </c>
      <c r="AH306" s="21" t="str">
        <f t="shared" si="77"/>
        <v>ok</v>
      </c>
      <c r="AN306" s="14">
        <v>552.21176000000196</v>
      </c>
    </row>
    <row r="307" spans="1:40" hidden="1" x14ac:dyDescent="0.25">
      <c r="B307" s="14" t="s">
        <v>1017</v>
      </c>
      <c r="D307" s="14" t="s">
        <v>560</v>
      </c>
      <c r="E307" s="174">
        <v>0</v>
      </c>
      <c r="F307" s="174">
        <f t="shared" si="78"/>
        <v>0</v>
      </c>
      <c r="G307" s="174">
        <f t="shared" si="79"/>
        <v>0</v>
      </c>
      <c r="H307" s="174">
        <f t="shared" si="80"/>
        <v>0</v>
      </c>
      <c r="I307" s="174">
        <f t="shared" si="81"/>
        <v>0</v>
      </c>
      <c r="J307" s="174">
        <v>0</v>
      </c>
      <c r="K307" s="174">
        <v>0</v>
      </c>
      <c r="L307" s="174">
        <v>0</v>
      </c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64">
        <f t="shared" si="76"/>
        <v>0</v>
      </c>
      <c r="AH307" s="21" t="str">
        <f t="shared" si="77"/>
        <v>ok</v>
      </c>
      <c r="AN307" s="14">
        <v>113128.96627999935</v>
      </c>
    </row>
    <row r="308" spans="1:40" hidden="1" x14ac:dyDescent="0.25">
      <c r="B308" s="14" t="s">
        <v>1017</v>
      </c>
      <c r="D308" s="14" t="s">
        <v>560</v>
      </c>
      <c r="E308" s="174">
        <v>0</v>
      </c>
      <c r="F308" s="174">
        <f t="shared" si="78"/>
        <v>0</v>
      </c>
      <c r="G308" s="174">
        <f t="shared" si="79"/>
        <v>0</v>
      </c>
      <c r="H308" s="174">
        <f t="shared" si="80"/>
        <v>0</v>
      </c>
      <c r="I308" s="174">
        <f t="shared" si="81"/>
        <v>0</v>
      </c>
      <c r="J308" s="174">
        <v>0</v>
      </c>
      <c r="K308" s="174">
        <v>0</v>
      </c>
      <c r="L308" s="174">
        <v>0</v>
      </c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64">
        <f t="shared" si="76"/>
        <v>0</v>
      </c>
      <c r="AH308" s="21" t="str">
        <f t="shared" si="77"/>
        <v>ok</v>
      </c>
      <c r="AN308" s="14">
        <v>213482.68225999828</v>
      </c>
    </row>
    <row r="309" spans="1:40" hidden="1" x14ac:dyDescent="0.25">
      <c r="B309" s="14" t="s">
        <v>1017</v>
      </c>
      <c r="D309" s="14" t="s">
        <v>560</v>
      </c>
      <c r="E309" s="174">
        <v>0</v>
      </c>
      <c r="F309" s="174">
        <f t="shared" si="78"/>
        <v>0</v>
      </c>
      <c r="G309" s="174">
        <f t="shared" si="79"/>
        <v>0</v>
      </c>
      <c r="H309" s="174">
        <f t="shared" si="80"/>
        <v>0</v>
      </c>
      <c r="I309" s="174">
        <f t="shared" si="81"/>
        <v>0</v>
      </c>
      <c r="J309" s="174">
        <v>0</v>
      </c>
      <c r="K309" s="174">
        <v>0</v>
      </c>
      <c r="L309" s="174">
        <v>0</v>
      </c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64">
        <f t="shared" si="76"/>
        <v>0</v>
      </c>
      <c r="AH309" s="21" t="str">
        <f t="shared" si="77"/>
        <v>ok</v>
      </c>
      <c r="AN309" s="14">
        <v>62004.232079999987</v>
      </c>
    </row>
    <row r="310" spans="1:40" hidden="1" x14ac:dyDescent="0.25">
      <c r="B310" s="14" t="s">
        <v>1017</v>
      </c>
      <c r="D310" s="14" t="s">
        <v>560</v>
      </c>
      <c r="E310" s="174">
        <v>0</v>
      </c>
      <c r="F310" s="174">
        <f t="shared" si="78"/>
        <v>0</v>
      </c>
      <c r="G310" s="174">
        <f t="shared" si="79"/>
        <v>0</v>
      </c>
      <c r="H310" s="174">
        <f t="shared" si="80"/>
        <v>0</v>
      </c>
      <c r="I310" s="174">
        <f t="shared" si="81"/>
        <v>0</v>
      </c>
      <c r="J310" s="174">
        <v>0</v>
      </c>
      <c r="K310" s="174">
        <v>0</v>
      </c>
      <c r="L310" s="174">
        <v>0</v>
      </c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64">
        <f t="shared" si="76"/>
        <v>0</v>
      </c>
      <c r="AH310" s="21" t="str">
        <f t="shared" si="77"/>
        <v>ok</v>
      </c>
      <c r="AN310" s="14">
        <v>19500.249999999884</v>
      </c>
    </row>
    <row r="311" spans="1:40" hidden="1" x14ac:dyDescent="0.25">
      <c r="B311" s="14" t="s">
        <v>1017</v>
      </c>
      <c r="D311" s="14" t="s">
        <v>560</v>
      </c>
      <c r="E311" s="174">
        <v>0</v>
      </c>
      <c r="F311" s="174">
        <f t="shared" si="78"/>
        <v>0</v>
      </c>
      <c r="G311" s="174">
        <f t="shared" si="79"/>
        <v>0</v>
      </c>
      <c r="H311" s="174">
        <f t="shared" si="80"/>
        <v>0</v>
      </c>
      <c r="I311" s="174">
        <f t="shared" si="81"/>
        <v>0</v>
      </c>
      <c r="J311" s="174">
        <v>0</v>
      </c>
      <c r="K311" s="174">
        <v>0</v>
      </c>
      <c r="L311" s="174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  <c r="Z311" s="40">
        <v>0</v>
      </c>
      <c r="AA311" s="40">
        <v>0</v>
      </c>
      <c r="AB311" s="40">
        <v>0</v>
      </c>
      <c r="AC311" s="40">
        <v>0</v>
      </c>
      <c r="AD311" s="40">
        <v>0</v>
      </c>
      <c r="AE311" s="40">
        <v>0</v>
      </c>
      <c r="AF311" s="40">
        <v>0</v>
      </c>
      <c r="AG311" s="64">
        <f t="shared" si="76"/>
        <v>0</v>
      </c>
      <c r="AH311" s="21" t="str">
        <f t="shared" si="77"/>
        <v>ok</v>
      </c>
      <c r="AM311" s="129" t="s">
        <v>1174</v>
      </c>
    </row>
    <row r="312" spans="1:40" hidden="1" x14ac:dyDescent="0.25">
      <c r="B312" s="14" t="s">
        <v>1017</v>
      </c>
      <c r="D312" s="14" t="s">
        <v>560</v>
      </c>
      <c r="E312" s="175">
        <v>0</v>
      </c>
      <c r="F312" s="174">
        <f t="shared" si="78"/>
        <v>0</v>
      </c>
      <c r="G312" s="174">
        <f t="shared" si="79"/>
        <v>0</v>
      </c>
      <c r="H312" s="174">
        <f t="shared" si="80"/>
        <v>0</v>
      </c>
      <c r="I312" s="174">
        <f t="shared" si="81"/>
        <v>0</v>
      </c>
      <c r="J312" s="174">
        <v>0</v>
      </c>
      <c r="K312" s="174">
        <v>0</v>
      </c>
      <c r="L312" s="174">
        <v>0</v>
      </c>
      <c r="M312" s="40">
        <f>IF(VLOOKUP($D312,$C$5:$AT$525,3,)=0,0,(VLOOKUP($D312,$C$5:$AT$525,11,)/VLOOKUP($D312,$C$5:$AT$525,3,))*$E312)</f>
        <v>0</v>
      </c>
      <c r="N312" s="40">
        <f>IF(VLOOKUP($D312,$C$5:$AT$525,3,)=0,0,(VLOOKUP($D312,$C$5:$AT$525,12,)/VLOOKUP($D312,$C$5:$AT$525,3,))*$E312)</f>
        <v>0</v>
      </c>
      <c r="O312" s="40">
        <f>IF(VLOOKUP($D312,$C$5:$AT$525,3,)=0,0,(VLOOKUP($D312,$C$5:$AT$525,13,)/VLOOKUP($D312,$C$5:$AT$525,3,))*$E312)</f>
        <v>0</v>
      </c>
      <c r="P312" s="40">
        <f>IF(VLOOKUP($D312,$C$5:$AT$525,3,)=0,0,(VLOOKUP($D312,$C$5:$AT$525,14,)/VLOOKUP($D312,$C$5:$AT$525,3,))*$E312)</f>
        <v>0</v>
      </c>
      <c r="Q312" s="40">
        <f>IF(VLOOKUP($D312,$C$5:$AT$525,3,)=0,0,(VLOOKUP($D312,$C$5:$AT$525,15,)/VLOOKUP($D312,$C$5:$AT$525,3,))*$E312)</f>
        <v>0</v>
      </c>
      <c r="R312" s="40">
        <f>IF(VLOOKUP($D312,$C$5:$AT$525,3,)=0,0,(VLOOKUP($D312,$C$5:$AT$525,16,)/VLOOKUP($D312,$C$5:$AT$525,3,))*$E312)</f>
        <v>0</v>
      </c>
      <c r="S312" s="40">
        <f>IF(VLOOKUP($D312,$C$5:$AT$525,3,)=0,0,(VLOOKUP($D312,$C$5:$AT$525,17,)/VLOOKUP($D312,$C$5:$AT$525,3,))*$E312)</f>
        <v>0</v>
      </c>
      <c r="T312" s="40">
        <f>IF(VLOOKUP($D312,$C$5:$AT$525,3,)=0,0,(VLOOKUP($D312,$C$5:$AT$525,18,)/VLOOKUP($D312,$C$5:$AT$525,3,))*$E312)</f>
        <v>0</v>
      </c>
      <c r="U312" s="40">
        <f>IF(VLOOKUP($D312,$C$5:$AT$525,3,)=0,0,(VLOOKUP($D312,$C$5:$AT$525,19,)/VLOOKUP($D312,$C$5:$AT$525,3,))*$E312)</f>
        <v>0</v>
      </c>
      <c r="V312" s="40">
        <f>IF(VLOOKUP($D312,$C$5:$AT$525,3,)=0,0,(VLOOKUP($D312,$C$5:$AT$525,20,)/VLOOKUP($D312,$C$5:$AT$525,3,))*$E312)</f>
        <v>0</v>
      </c>
      <c r="W312" s="40">
        <f>IF(VLOOKUP($D312,$C$5:$AT$525,3,)=0,0,(VLOOKUP($D312,$C$5:$AT$525,21,)/VLOOKUP($D312,$C$5:$AT$525,3,))*$E312)</f>
        <v>0</v>
      </c>
      <c r="X312" s="40">
        <f>IF(VLOOKUP($D312,$C$5:$AT$525,3,)=0,0,(VLOOKUP($D312,$C$5:$AT$525,22,)/VLOOKUP($D312,$C$5:$AT$525,3,))*$E312)</f>
        <v>0</v>
      </c>
      <c r="Y312" s="40">
        <f>IF(VLOOKUP($D312,$C$5:$AT$525,3,)=0,0,(VLOOKUP($D312,$C$5:$AT$525,23,)/VLOOKUP($D312,$C$5:$AT$525,3,))*$E312)</f>
        <v>0</v>
      </c>
      <c r="Z312" s="40">
        <f>IF(VLOOKUP($D312,$C$5:$AT$525,3,)=0,0,(VLOOKUP($D312,$C$5:$AT$525,24,)/VLOOKUP($D312,$C$5:$AT$525,3,))*$E312)</f>
        <v>0</v>
      </c>
      <c r="AA312" s="40">
        <f>IF(VLOOKUP($D312,$C$5:$AT$525,3,)=0,0,(VLOOKUP($D312,$C$5:$AT$525,25,)/VLOOKUP($D312,$C$5:$AT$525,3,))*$E312)</f>
        <v>0</v>
      </c>
      <c r="AB312" s="40">
        <f>IF(VLOOKUP($D312,$C$5:$AT$525,3,)=0,0,(VLOOKUP($D312,$C$5:$AT$525,26,)/VLOOKUP($D312,$C$5:$AT$525,3,))*$E312)</f>
        <v>0</v>
      </c>
      <c r="AC312" s="40">
        <f>IF(VLOOKUP($D312,$C$5:$AT$525,3,)=0,0,(VLOOKUP($D312,$C$5:$AT$525,27,)/VLOOKUP($D312,$C$5:$AT$525,3,))*$E312)</f>
        <v>0</v>
      </c>
      <c r="AD312" s="40">
        <f>IF(VLOOKUP($D312,$C$5:$AT$525,3,)=0,0,(VLOOKUP($D312,$C$5:$AT$525,28,)/VLOOKUP($D312,$C$5:$AT$525,3,))*$E312)</f>
        <v>0</v>
      </c>
      <c r="AE312" s="40">
        <f>IF(VLOOKUP($D312,$C$5:$AT$525,3,)=0,0,(VLOOKUP($D312,$C$5:$AT$525,29,)/VLOOKUP($D312,$C$5:$AT$525,3,))*$E312)</f>
        <v>0</v>
      </c>
      <c r="AF312" s="40">
        <f>IF(VLOOKUP($D312,$C$5:$AT$525,3,)=0,0,(VLOOKUP($D312,$C$5:$AT$525,30,)/VLOOKUP($D312,$C$5:$AT$525,3,))*$E312)</f>
        <v>0</v>
      </c>
      <c r="AG312" s="64">
        <f t="shared" ref="AG312:AG313" si="82">SUM(F312:AF312)</f>
        <v>0</v>
      </c>
      <c r="AH312" s="21" t="str">
        <f t="shared" ref="AH312:AH317" si="83">IF(ABS(E312-AG312)&lt;0.01,"ok","err")</f>
        <v>ok</v>
      </c>
      <c r="AM312" s="14">
        <v>6123941.5728260055</v>
      </c>
    </row>
    <row r="313" spans="1:40" hidden="1" x14ac:dyDescent="0.25">
      <c r="B313" s="14" t="s">
        <v>1017</v>
      </c>
      <c r="D313" s="14" t="s">
        <v>560</v>
      </c>
      <c r="E313" s="175">
        <v>0</v>
      </c>
      <c r="F313" s="174">
        <f t="shared" si="78"/>
        <v>0</v>
      </c>
      <c r="G313" s="174">
        <f t="shared" si="79"/>
        <v>0</v>
      </c>
      <c r="H313" s="174">
        <f t="shared" si="80"/>
        <v>0</v>
      </c>
      <c r="I313" s="174">
        <f t="shared" si="81"/>
        <v>0</v>
      </c>
      <c r="J313" s="174">
        <v>0</v>
      </c>
      <c r="K313" s="174">
        <v>0</v>
      </c>
      <c r="L313" s="174">
        <v>0</v>
      </c>
      <c r="M313" s="40">
        <f>IF(VLOOKUP($D313,$C$5:$AT$525,3,)=0,0,(VLOOKUP($D313,$C$5:$AT$525,11,)/VLOOKUP($D313,$C$5:$AT$525,3,))*$E313)</f>
        <v>0</v>
      </c>
      <c r="N313" s="40">
        <f>IF(VLOOKUP($D313,$C$5:$AT$525,3,)=0,0,(VLOOKUP($D313,$C$5:$AT$525,12,)/VLOOKUP($D313,$C$5:$AT$525,3,))*$E313)</f>
        <v>0</v>
      </c>
      <c r="O313" s="40">
        <f>IF(VLOOKUP($D313,$C$5:$AT$525,3,)=0,0,(VLOOKUP($D313,$C$5:$AT$525,13,)/VLOOKUP($D313,$C$5:$AT$525,3,))*$E313)</f>
        <v>0</v>
      </c>
      <c r="P313" s="40">
        <f>IF(VLOOKUP($D313,$C$5:$AT$525,3,)=0,0,(VLOOKUP($D313,$C$5:$AT$525,14,)/VLOOKUP($D313,$C$5:$AT$525,3,))*$E313)</f>
        <v>0</v>
      </c>
      <c r="Q313" s="40">
        <f>IF(VLOOKUP($D313,$C$5:$AT$525,3,)=0,0,(VLOOKUP($D313,$C$5:$AT$525,15,)/VLOOKUP($D313,$C$5:$AT$525,3,))*$E313)</f>
        <v>0</v>
      </c>
      <c r="R313" s="40">
        <f>IF(VLOOKUP($D313,$C$5:$AT$525,3,)=0,0,(VLOOKUP($D313,$C$5:$AT$525,16,)/VLOOKUP($D313,$C$5:$AT$525,3,))*$E313)</f>
        <v>0</v>
      </c>
      <c r="S313" s="40">
        <f>IF(VLOOKUP($D313,$C$5:$AT$525,3,)=0,0,(VLOOKUP($D313,$C$5:$AT$525,17,)/VLOOKUP($D313,$C$5:$AT$525,3,))*$E313)</f>
        <v>0</v>
      </c>
      <c r="T313" s="40">
        <f>IF(VLOOKUP($D313,$C$5:$AT$525,3,)=0,0,(VLOOKUP($D313,$C$5:$AT$525,18,)/VLOOKUP($D313,$C$5:$AT$525,3,))*$E313)</f>
        <v>0</v>
      </c>
      <c r="U313" s="40">
        <f>IF(VLOOKUP($D313,$C$5:$AT$525,3,)=0,0,(VLOOKUP($D313,$C$5:$AT$525,19,)/VLOOKUP($D313,$C$5:$AT$525,3,))*$E313)</f>
        <v>0</v>
      </c>
      <c r="V313" s="40">
        <f>IF(VLOOKUP($D313,$C$5:$AT$525,3,)=0,0,(VLOOKUP($D313,$C$5:$AT$525,20,)/VLOOKUP($D313,$C$5:$AT$525,3,))*$E313)</f>
        <v>0</v>
      </c>
      <c r="W313" s="40">
        <f>IF(VLOOKUP($D313,$C$5:$AT$525,3,)=0,0,(VLOOKUP($D313,$C$5:$AT$525,21,)/VLOOKUP($D313,$C$5:$AT$525,3,))*$E313)</f>
        <v>0</v>
      </c>
      <c r="X313" s="40">
        <f>IF(VLOOKUP($D313,$C$5:$AT$525,3,)=0,0,(VLOOKUP($D313,$C$5:$AT$525,22,)/VLOOKUP($D313,$C$5:$AT$525,3,))*$E313)</f>
        <v>0</v>
      </c>
      <c r="Y313" s="40">
        <f>IF(VLOOKUP($D313,$C$5:$AT$525,3,)=0,0,(VLOOKUP($D313,$C$5:$AT$525,23,)/VLOOKUP($D313,$C$5:$AT$525,3,))*$E313)</f>
        <v>0</v>
      </c>
      <c r="Z313" s="40">
        <f>IF(VLOOKUP($D313,$C$5:$AT$525,3,)=0,0,(VLOOKUP($D313,$C$5:$AT$525,24,)/VLOOKUP($D313,$C$5:$AT$525,3,))*$E313)</f>
        <v>0</v>
      </c>
      <c r="AA313" s="40">
        <f>IF(VLOOKUP($D313,$C$5:$AT$525,3,)=0,0,(VLOOKUP($D313,$C$5:$AT$525,25,)/VLOOKUP($D313,$C$5:$AT$525,3,))*$E313)</f>
        <v>0</v>
      </c>
      <c r="AB313" s="40">
        <f>IF(VLOOKUP($D313,$C$5:$AT$525,3,)=0,0,(VLOOKUP($D313,$C$5:$AT$525,26,)/VLOOKUP($D313,$C$5:$AT$525,3,))*$E313)</f>
        <v>0</v>
      </c>
      <c r="AC313" s="40">
        <f>IF(VLOOKUP($D313,$C$5:$AT$525,3,)=0,0,(VLOOKUP($D313,$C$5:$AT$525,27,)/VLOOKUP($D313,$C$5:$AT$525,3,))*$E313)</f>
        <v>0</v>
      </c>
      <c r="AD313" s="40">
        <f>IF(VLOOKUP($D313,$C$5:$AT$525,3,)=0,0,(VLOOKUP($D313,$C$5:$AT$525,28,)/VLOOKUP($D313,$C$5:$AT$525,3,))*$E313)</f>
        <v>0</v>
      </c>
      <c r="AE313" s="40">
        <f>IF(VLOOKUP($D313,$C$5:$AT$525,3,)=0,0,(VLOOKUP($D313,$C$5:$AT$525,29,)/VLOOKUP($D313,$C$5:$AT$525,3,))*$E313)</f>
        <v>0</v>
      </c>
      <c r="AF313" s="40">
        <f>IF(VLOOKUP($D313,$C$5:$AT$525,3,)=0,0,(VLOOKUP($D313,$C$5:$AT$525,30,)/VLOOKUP($D313,$C$5:$AT$525,3,))*$E313)</f>
        <v>0</v>
      </c>
      <c r="AG313" s="64">
        <f t="shared" si="82"/>
        <v>0</v>
      </c>
      <c r="AH313" s="21" t="str">
        <f t="shared" si="83"/>
        <v>ok</v>
      </c>
    </row>
    <row r="314" spans="1:40" hidden="1" x14ac:dyDescent="0.25">
      <c r="B314" s="14" t="s">
        <v>1017</v>
      </c>
      <c r="D314" s="14" t="s">
        <v>560</v>
      </c>
      <c r="E314" s="175">
        <v>0</v>
      </c>
      <c r="F314" s="174">
        <f t="shared" si="78"/>
        <v>0</v>
      </c>
      <c r="G314" s="174">
        <f t="shared" si="79"/>
        <v>0</v>
      </c>
      <c r="H314" s="174">
        <f t="shared" si="80"/>
        <v>0</v>
      </c>
      <c r="I314" s="174">
        <f t="shared" si="81"/>
        <v>0</v>
      </c>
      <c r="J314" s="174">
        <v>0</v>
      </c>
      <c r="K314" s="174">
        <v>0</v>
      </c>
      <c r="L314" s="174">
        <v>0</v>
      </c>
      <c r="M314" s="40">
        <f>IF(VLOOKUP($D314,$C$5:$AT$525,3,)=0,0,(VLOOKUP($D314,$C$5:$AT$525,11,)/VLOOKUP($D314,$C$5:$AT$525,3,))*$E314)</f>
        <v>0</v>
      </c>
      <c r="N314" s="40">
        <f>IF(VLOOKUP($D314,$C$5:$AT$525,3,)=0,0,(VLOOKUP($D314,$C$5:$AT$525,12,)/VLOOKUP($D314,$C$5:$AT$525,3,))*$E314)</f>
        <v>0</v>
      </c>
      <c r="O314" s="40">
        <f>IF(VLOOKUP($D314,$C$5:$AT$525,3,)=0,0,(VLOOKUP($D314,$C$5:$AT$525,13,)/VLOOKUP($D314,$C$5:$AT$525,3,))*$E314)</f>
        <v>0</v>
      </c>
      <c r="P314" s="40">
        <f>IF(VLOOKUP($D314,$C$5:$AT$525,3,)=0,0,(VLOOKUP($D314,$C$5:$AT$525,14,)/VLOOKUP($D314,$C$5:$AT$525,3,))*$E314)</f>
        <v>0</v>
      </c>
      <c r="Q314" s="40">
        <f>IF(VLOOKUP($D314,$C$5:$AT$525,3,)=0,0,(VLOOKUP($D314,$C$5:$AT$525,15,)/VLOOKUP($D314,$C$5:$AT$525,3,))*$E314)</f>
        <v>0</v>
      </c>
      <c r="R314" s="40">
        <f>IF(VLOOKUP($D314,$C$5:$AT$525,3,)=0,0,(VLOOKUP($D314,$C$5:$AT$525,16,)/VLOOKUP($D314,$C$5:$AT$525,3,))*$E314)</f>
        <v>0</v>
      </c>
      <c r="S314" s="40">
        <f>IF(VLOOKUP($D314,$C$5:$AT$525,3,)=0,0,(VLOOKUP($D314,$C$5:$AT$525,17,)/VLOOKUP($D314,$C$5:$AT$525,3,))*$E314)</f>
        <v>0</v>
      </c>
      <c r="T314" s="40">
        <f>IF(VLOOKUP($D314,$C$5:$AT$525,3,)=0,0,(VLOOKUP($D314,$C$5:$AT$525,18,)/VLOOKUP($D314,$C$5:$AT$525,3,))*$E314)</f>
        <v>0</v>
      </c>
      <c r="U314" s="40">
        <f>IF(VLOOKUP($D314,$C$5:$AT$525,3,)=0,0,(VLOOKUP($D314,$C$5:$AT$525,19,)/VLOOKUP($D314,$C$5:$AT$525,3,))*$E314)</f>
        <v>0</v>
      </c>
      <c r="V314" s="40">
        <f>IF(VLOOKUP($D314,$C$5:$AT$525,3,)=0,0,(VLOOKUP($D314,$C$5:$AT$525,20,)/VLOOKUP($D314,$C$5:$AT$525,3,))*$E314)</f>
        <v>0</v>
      </c>
      <c r="W314" s="40">
        <f>IF(VLOOKUP($D314,$C$5:$AT$525,3,)=0,0,(VLOOKUP($D314,$C$5:$AT$525,21,)/VLOOKUP($D314,$C$5:$AT$525,3,))*$E314)</f>
        <v>0</v>
      </c>
      <c r="X314" s="40">
        <f>IF(VLOOKUP($D314,$C$5:$AT$525,3,)=0,0,(VLOOKUP($D314,$C$5:$AT$525,22,)/VLOOKUP($D314,$C$5:$AT$525,3,))*$E314)</f>
        <v>0</v>
      </c>
      <c r="Y314" s="40">
        <f>IF(VLOOKUP($D314,$C$5:$AT$525,3,)=0,0,(VLOOKUP($D314,$C$5:$AT$525,23,)/VLOOKUP($D314,$C$5:$AT$525,3,))*$E314)</f>
        <v>0</v>
      </c>
      <c r="Z314" s="40">
        <f>IF(VLOOKUP($D314,$C$5:$AT$525,3,)=0,0,(VLOOKUP($D314,$C$5:$AT$525,24,)/VLOOKUP($D314,$C$5:$AT$525,3,))*$E314)</f>
        <v>0</v>
      </c>
      <c r="AA314" s="40">
        <f>IF(VLOOKUP($D314,$C$5:$AT$525,3,)=0,0,(VLOOKUP($D314,$C$5:$AT$525,25,)/VLOOKUP($D314,$C$5:$AT$525,3,))*$E314)</f>
        <v>0</v>
      </c>
      <c r="AB314" s="40">
        <f>IF(VLOOKUP($D314,$C$5:$AT$525,3,)=0,0,(VLOOKUP($D314,$C$5:$AT$525,26,)/VLOOKUP($D314,$C$5:$AT$525,3,))*$E314)</f>
        <v>0</v>
      </c>
      <c r="AC314" s="40">
        <f>IF(VLOOKUP($D314,$C$5:$AT$525,3,)=0,0,(VLOOKUP($D314,$C$5:$AT$525,27,)/VLOOKUP($D314,$C$5:$AT$525,3,))*$E314)</f>
        <v>0</v>
      </c>
      <c r="AD314" s="40">
        <f>IF(VLOOKUP($D314,$C$5:$AT$525,3,)=0,0,(VLOOKUP($D314,$C$5:$AT$525,28,)/VLOOKUP($D314,$C$5:$AT$525,3,))*$E314)</f>
        <v>0</v>
      </c>
      <c r="AE314" s="40">
        <f>IF(VLOOKUP($D314,$C$5:$AT$525,3,)=0,0,(VLOOKUP($D314,$C$5:$AT$525,29,)/VLOOKUP($D314,$C$5:$AT$525,3,))*$E314)</f>
        <v>0</v>
      </c>
      <c r="AF314" s="40">
        <f>IF(VLOOKUP($D314,$C$5:$AT$525,3,)=0,0,(VLOOKUP($D314,$C$5:$AT$525,30,)/VLOOKUP($D314,$C$5:$AT$525,3,))*$E314)</f>
        <v>0</v>
      </c>
      <c r="AG314" s="64">
        <f t="shared" ref="AG314:AG316" si="84">SUM(F314:AF314)</f>
        <v>0</v>
      </c>
      <c r="AH314" s="21" t="str">
        <f t="shared" si="83"/>
        <v>ok</v>
      </c>
    </row>
    <row r="315" spans="1:40" hidden="1" x14ac:dyDescent="0.25">
      <c r="B315" s="14" t="s">
        <v>1017</v>
      </c>
      <c r="D315" s="14" t="s">
        <v>560</v>
      </c>
      <c r="E315" s="175">
        <v>0</v>
      </c>
      <c r="F315" s="174">
        <f t="shared" si="78"/>
        <v>0</v>
      </c>
      <c r="G315" s="174">
        <f t="shared" si="79"/>
        <v>0</v>
      </c>
      <c r="H315" s="174">
        <f t="shared" si="80"/>
        <v>0</v>
      </c>
      <c r="I315" s="174">
        <f t="shared" si="81"/>
        <v>0</v>
      </c>
      <c r="J315" s="174">
        <v>0</v>
      </c>
      <c r="K315" s="174">
        <v>0</v>
      </c>
      <c r="L315" s="174">
        <v>0</v>
      </c>
      <c r="M315" s="40">
        <f>IF(VLOOKUP($D315,$C$5:$AT$525,3,)=0,0,(VLOOKUP($D315,$C$5:$AT$525,11,)/VLOOKUP($D315,$C$5:$AT$525,3,))*$E315)</f>
        <v>0</v>
      </c>
      <c r="N315" s="40">
        <f>IF(VLOOKUP($D315,$C$5:$AT$525,3,)=0,0,(VLOOKUP($D315,$C$5:$AT$525,12,)/VLOOKUP($D315,$C$5:$AT$525,3,))*$E315)</f>
        <v>0</v>
      </c>
      <c r="O315" s="40">
        <f>IF(VLOOKUP($D315,$C$5:$AT$525,3,)=0,0,(VLOOKUP($D315,$C$5:$AT$525,13,)/VLOOKUP($D315,$C$5:$AT$525,3,))*$E315)</f>
        <v>0</v>
      </c>
      <c r="P315" s="40">
        <f>IF(VLOOKUP($D315,$C$5:$AT$525,3,)=0,0,(VLOOKUP($D315,$C$5:$AT$525,14,)/VLOOKUP($D315,$C$5:$AT$525,3,))*$E315)</f>
        <v>0</v>
      </c>
      <c r="Q315" s="40">
        <f>IF(VLOOKUP($D315,$C$5:$AT$525,3,)=0,0,(VLOOKUP($D315,$C$5:$AT$525,15,)/VLOOKUP($D315,$C$5:$AT$525,3,))*$E315)</f>
        <v>0</v>
      </c>
      <c r="R315" s="40">
        <f>IF(VLOOKUP($D315,$C$5:$AT$525,3,)=0,0,(VLOOKUP($D315,$C$5:$AT$525,16,)/VLOOKUP($D315,$C$5:$AT$525,3,))*$E315)</f>
        <v>0</v>
      </c>
      <c r="S315" s="40">
        <f>IF(VLOOKUP($D315,$C$5:$AT$525,3,)=0,0,(VLOOKUP($D315,$C$5:$AT$525,17,)/VLOOKUP($D315,$C$5:$AT$525,3,))*$E315)</f>
        <v>0</v>
      </c>
      <c r="T315" s="40">
        <f>IF(VLOOKUP($D315,$C$5:$AT$525,3,)=0,0,(VLOOKUP($D315,$C$5:$AT$525,18,)/VLOOKUP($D315,$C$5:$AT$525,3,))*$E315)</f>
        <v>0</v>
      </c>
      <c r="U315" s="40">
        <f>IF(VLOOKUP($D315,$C$5:$AT$525,3,)=0,0,(VLOOKUP($D315,$C$5:$AT$525,19,)/VLOOKUP($D315,$C$5:$AT$525,3,))*$E315)</f>
        <v>0</v>
      </c>
      <c r="V315" s="40">
        <f>IF(VLOOKUP($D315,$C$5:$AT$525,3,)=0,0,(VLOOKUP($D315,$C$5:$AT$525,20,)/VLOOKUP($D315,$C$5:$AT$525,3,))*$E315)</f>
        <v>0</v>
      </c>
      <c r="W315" s="40">
        <f>IF(VLOOKUP($D315,$C$5:$AT$525,3,)=0,0,(VLOOKUP($D315,$C$5:$AT$525,21,)/VLOOKUP($D315,$C$5:$AT$525,3,))*$E315)</f>
        <v>0</v>
      </c>
      <c r="X315" s="40">
        <f>IF(VLOOKUP($D315,$C$5:$AT$525,3,)=0,0,(VLOOKUP($D315,$C$5:$AT$525,22,)/VLOOKUP($D315,$C$5:$AT$525,3,))*$E315)</f>
        <v>0</v>
      </c>
      <c r="Y315" s="40">
        <f>IF(VLOOKUP($D315,$C$5:$AT$525,3,)=0,0,(VLOOKUP($D315,$C$5:$AT$525,23,)/VLOOKUP($D315,$C$5:$AT$525,3,))*$E315)</f>
        <v>0</v>
      </c>
      <c r="Z315" s="40">
        <f>IF(VLOOKUP($D315,$C$5:$AT$525,3,)=0,0,(VLOOKUP($D315,$C$5:$AT$525,24,)/VLOOKUP($D315,$C$5:$AT$525,3,))*$E315)</f>
        <v>0</v>
      </c>
      <c r="AA315" s="40">
        <f>IF(VLOOKUP($D315,$C$5:$AT$525,3,)=0,0,(VLOOKUP($D315,$C$5:$AT$525,25,)/VLOOKUP($D315,$C$5:$AT$525,3,))*$E315)</f>
        <v>0</v>
      </c>
      <c r="AB315" s="40">
        <f>IF(VLOOKUP($D315,$C$5:$AT$525,3,)=0,0,(VLOOKUP($D315,$C$5:$AT$525,26,)/VLOOKUP($D315,$C$5:$AT$525,3,))*$E315)</f>
        <v>0</v>
      </c>
      <c r="AC315" s="40">
        <f>IF(VLOOKUP($D315,$C$5:$AT$525,3,)=0,0,(VLOOKUP($D315,$C$5:$AT$525,27,)/VLOOKUP($D315,$C$5:$AT$525,3,))*$E315)</f>
        <v>0</v>
      </c>
      <c r="AD315" s="40">
        <f>IF(VLOOKUP($D315,$C$5:$AT$525,3,)=0,0,(VLOOKUP($D315,$C$5:$AT$525,28,)/VLOOKUP($D315,$C$5:$AT$525,3,))*$E315)</f>
        <v>0</v>
      </c>
      <c r="AE315" s="40">
        <f>IF(VLOOKUP($D315,$C$5:$AT$525,3,)=0,0,(VLOOKUP($D315,$C$5:$AT$525,29,)/VLOOKUP($D315,$C$5:$AT$525,3,))*$E315)</f>
        <v>0</v>
      </c>
      <c r="AF315" s="40">
        <f>IF(VLOOKUP($D315,$C$5:$AT$525,3,)=0,0,(VLOOKUP($D315,$C$5:$AT$525,30,)/VLOOKUP($D315,$C$5:$AT$525,3,))*$E315)</f>
        <v>0</v>
      </c>
      <c r="AG315" s="64">
        <f t="shared" si="84"/>
        <v>0</v>
      </c>
      <c r="AH315" s="21" t="str">
        <f t="shared" si="83"/>
        <v>ok</v>
      </c>
      <c r="AM315" s="14">
        <v>3877.0419599999987</v>
      </c>
    </row>
    <row r="316" spans="1:40" x14ac:dyDescent="0.25">
      <c r="B316" s="14" t="s">
        <v>1051</v>
      </c>
      <c r="E316" s="175">
        <f>AM320*AJ316</f>
        <v>0</v>
      </c>
      <c r="F316" s="174">
        <f>AM312*AJ316</f>
        <v>0</v>
      </c>
      <c r="G316" s="174">
        <f>AM315*AJ316</f>
        <v>0</v>
      </c>
      <c r="H316" s="174">
        <f>AM318*AJ316</f>
        <v>0</v>
      </c>
      <c r="I316" s="174">
        <v>0</v>
      </c>
      <c r="J316" s="174">
        <v>0</v>
      </c>
      <c r="K316" s="174">
        <v>0</v>
      </c>
      <c r="L316" s="174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40">
        <v>0</v>
      </c>
      <c r="U316" s="40">
        <v>0</v>
      </c>
      <c r="V316" s="40">
        <v>0</v>
      </c>
      <c r="W316" s="40">
        <v>0</v>
      </c>
      <c r="X316" s="40">
        <v>0</v>
      </c>
      <c r="Y316" s="40">
        <v>0</v>
      </c>
      <c r="Z316" s="40">
        <v>0</v>
      </c>
      <c r="AA316" s="40">
        <v>0</v>
      </c>
      <c r="AB316" s="40">
        <v>0</v>
      </c>
      <c r="AC316" s="40">
        <v>0</v>
      </c>
      <c r="AD316" s="40">
        <v>0</v>
      </c>
      <c r="AE316" s="40">
        <v>0</v>
      </c>
      <c r="AF316" s="40">
        <v>0</v>
      </c>
      <c r="AG316" s="64">
        <f t="shared" si="84"/>
        <v>0</v>
      </c>
      <c r="AH316" s="21" t="str">
        <f t="shared" ref="AH316" si="85">IF(ABS(E316-AG316)&lt;0.01,"ok","err")</f>
        <v>ok</v>
      </c>
      <c r="AJ316" s="27">
        <v>0</v>
      </c>
    </row>
    <row r="317" spans="1:40" x14ac:dyDescent="0.25">
      <c r="B317" s="18" t="s">
        <v>892</v>
      </c>
      <c r="E317" s="182">
        <f t="shared" ref="E317:AG317" si="86">SUM(E302:E316)</f>
        <v>-3800936.21</v>
      </c>
      <c r="F317" s="75">
        <f t="shared" si="86"/>
        <v>-2555286.6058289758</v>
      </c>
      <c r="G317" s="75">
        <f t="shared" si="86"/>
        <v>1019.2044854872013</v>
      </c>
      <c r="H317" s="75">
        <f t="shared" si="86"/>
        <v>-284185.95117927255</v>
      </c>
      <c r="I317" s="75">
        <f t="shared" si="86"/>
        <v>-592384.15836110013</v>
      </c>
      <c r="J317" s="75">
        <f t="shared" si="86"/>
        <v>-84803.946362320348</v>
      </c>
      <c r="K317" s="75">
        <f t="shared" si="86"/>
        <v>0</v>
      </c>
      <c r="L317" s="75">
        <f t="shared" si="86"/>
        <v>-285294.75275381794</v>
      </c>
      <c r="M317" s="75">
        <f t="shared" si="86"/>
        <v>0</v>
      </c>
      <c r="N317" s="75">
        <f t="shared" si="86"/>
        <v>0</v>
      </c>
      <c r="O317" s="75">
        <f t="shared" si="86"/>
        <v>0</v>
      </c>
      <c r="P317" s="75">
        <f t="shared" si="86"/>
        <v>0</v>
      </c>
      <c r="Q317" s="75">
        <f t="shared" si="86"/>
        <v>0</v>
      </c>
      <c r="R317" s="75">
        <f t="shared" si="86"/>
        <v>0</v>
      </c>
      <c r="S317" s="75">
        <f t="shared" si="86"/>
        <v>0</v>
      </c>
      <c r="T317" s="75">
        <f t="shared" si="86"/>
        <v>0</v>
      </c>
      <c r="U317" s="75">
        <f t="shared" si="86"/>
        <v>0</v>
      </c>
      <c r="V317" s="75">
        <f t="shared" si="86"/>
        <v>0</v>
      </c>
      <c r="W317" s="75">
        <f t="shared" si="86"/>
        <v>0</v>
      </c>
      <c r="X317" s="75">
        <f t="shared" si="86"/>
        <v>0</v>
      </c>
      <c r="Y317" s="75">
        <f t="shared" si="86"/>
        <v>0</v>
      </c>
      <c r="Z317" s="75">
        <f t="shared" si="86"/>
        <v>0</v>
      </c>
      <c r="AA317" s="75">
        <f t="shared" si="86"/>
        <v>0</v>
      </c>
      <c r="AB317" s="75">
        <f t="shared" si="86"/>
        <v>0</v>
      </c>
      <c r="AC317" s="75">
        <f t="shared" si="86"/>
        <v>0</v>
      </c>
      <c r="AD317" s="75">
        <f t="shared" si="86"/>
        <v>0</v>
      </c>
      <c r="AE317" s="75">
        <f t="shared" si="86"/>
        <v>0</v>
      </c>
      <c r="AF317" s="75">
        <f t="shared" si="86"/>
        <v>0</v>
      </c>
      <c r="AG317" s="75">
        <f t="shared" si="86"/>
        <v>-3800936.2099999995</v>
      </c>
      <c r="AH317" s="21" t="str">
        <f t="shared" si="83"/>
        <v>ok</v>
      </c>
      <c r="AM317" s="14" t="s">
        <v>1182</v>
      </c>
    </row>
    <row r="318" spans="1:40" x14ac:dyDescent="0.25">
      <c r="A318" s="14" t="s">
        <v>748</v>
      </c>
      <c r="B318" s="14" t="s">
        <v>748</v>
      </c>
      <c r="AM318" s="14">
        <v>249743.79786000075</v>
      </c>
      <c r="AN318" s="14" t="s">
        <v>1183</v>
      </c>
    </row>
    <row r="319" spans="1:40" x14ac:dyDescent="0.25">
      <c r="A319" s="14" t="s">
        <v>569</v>
      </c>
      <c r="E319" s="175">
        <f>E299+E317</f>
        <v>45523957.940000005</v>
      </c>
      <c r="F319" s="64">
        <f t="shared" ref="F319:AG319" si="87">F299+F317</f>
        <v>28498231.710072868</v>
      </c>
      <c r="G319" s="64">
        <f t="shared" si="87"/>
        <v>28243.136366757764</v>
      </c>
      <c r="H319" s="64">
        <f t="shared" si="87"/>
        <v>3768051.3923918456</v>
      </c>
      <c r="I319" s="64">
        <f t="shared" si="87"/>
        <v>7060739.2752053477</v>
      </c>
      <c r="J319" s="64">
        <f t="shared" si="87"/>
        <v>1913572.7935670074</v>
      </c>
      <c r="K319" s="64">
        <f t="shared" si="87"/>
        <v>491164.80514999997</v>
      </c>
      <c r="L319" s="64">
        <f t="shared" si="87"/>
        <v>3763954.8272461826</v>
      </c>
      <c r="M319" s="64">
        <f t="shared" si="87"/>
        <v>0</v>
      </c>
      <c r="N319" s="64">
        <f t="shared" si="87"/>
        <v>0</v>
      </c>
      <c r="O319" s="64">
        <f t="shared" si="87"/>
        <v>0</v>
      </c>
      <c r="P319" s="64">
        <f t="shared" si="87"/>
        <v>0</v>
      </c>
      <c r="Q319" s="64">
        <f t="shared" si="87"/>
        <v>0</v>
      </c>
      <c r="R319" s="64">
        <f t="shared" si="87"/>
        <v>0</v>
      </c>
      <c r="S319" s="64">
        <f t="shared" si="87"/>
        <v>0</v>
      </c>
      <c r="T319" s="64">
        <f t="shared" si="87"/>
        <v>0</v>
      </c>
      <c r="U319" s="64">
        <f t="shared" si="87"/>
        <v>0</v>
      </c>
      <c r="V319" s="64">
        <f t="shared" si="87"/>
        <v>0</v>
      </c>
      <c r="W319" s="64">
        <f t="shared" si="87"/>
        <v>0</v>
      </c>
      <c r="X319" s="64">
        <f t="shared" si="87"/>
        <v>0</v>
      </c>
      <c r="Y319" s="64">
        <f t="shared" si="87"/>
        <v>0</v>
      </c>
      <c r="Z319" s="64">
        <f t="shared" si="87"/>
        <v>0</v>
      </c>
      <c r="AA319" s="64">
        <f t="shared" si="87"/>
        <v>0</v>
      </c>
      <c r="AB319" s="64">
        <f t="shared" si="87"/>
        <v>0</v>
      </c>
      <c r="AC319" s="64">
        <f t="shared" si="87"/>
        <v>0</v>
      </c>
      <c r="AD319" s="64">
        <f t="shared" si="87"/>
        <v>0</v>
      </c>
      <c r="AE319" s="64">
        <f t="shared" si="87"/>
        <v>0</v>
      </c>
      <c r="AF319" s="64">
        <f t="shared" si="87"/>
        <v>0</v>
      </c>
      <c r="AG319" s="64">
        <f t="shared" si="87"/>
        <v>45523957.939999998</v>
      </c>
      <c r="AH319" s="21" t="str">
        <f>IF(ABS(E319-AG319)&lt;0.01,"ok","err")</f>
        <v>ok</v>
      </c>
    </row>
    <row r="320" spans="1:40" x14ac:dyDescent="0.25">
      <c r="AM320" s="14">
        <f>AM312+AM315+AM318</f>
        <v>6377562.4126460068</v>
      </c>
      <c r="AN320" s="14" t="s">
        <v>1184</v>
      </c>
    </row>
    <row r="321" spans="1:36" x14ac:dyDescent="0.25">
      <c r="A321" s="13" t="s">
        <v>326</v>
      </c>
    </row>
    <row r="323" spans="1:36" x14ac:dyDescent="0.25">
      <c r="A323" s="14" t="s">
        <v>570</v>
      </c>
      <c r="C323" s="14" t="s">
        <v>197</v>
      </c>
      <c r="E323" s="175">
        <f t="shared" ref="E323:U323" si="88">E286</f>
        <v>50132293.909999996</v>
      </c>
      <c r="F323" s="64">
        <f t="shared" si="88"/>
        <v>33271821.180423398</v>
      </c>
      <c r="G323" s="64">
        <f t="shared" si="88"/>
        <v>25586.347863863302</v>
      </c>
      <c r="H323" s="64">
        <f t="shared" si="88"/>
        <v>3997673.9523619036</v>
      </c>
      <c r="I323" s="64">
        <f t="shared" si="88"/>
        <v>6867477.5271603214</v>
      </c>
      <c r="J323" s="64">
        <f t="shared" si="88"/>
        <v>1854725.0427224401</v>
      </c>
      <c r="K323" s="64">
        <f t="shared" si="88"/>
        <v>262357.85372838902</v>
      </c>
      <c r="L323" s="64">
        <f t="shared" si="88"/>
        <v>3852652</v>
      </c>
      <c r="M323" s="64">
        <f t="shared" si="88"/>
        <v>0</v>
      </c>
      <c r="N323" s="64">
        <f t="shared" si="88"/>
        <v>0</v>
      </c>
      <c r="O323" s="64">
        <f t="shared" si="88"/>
        <v>0</v>
      </c>
      <c r="P323" s="64">
        <f t="shared" si="88"/>
        <v>0</v>
      </c>
      <c r="Q323" s="64">
        <f t="shared" si="88"/>
        <v>0</v>
      </c>
      <c r="R323" s="64">
        <f t="shared" si="88"/>
        <v>0</v>
      </c>
      <c r="S323" s="64">
        <f t="shared" si="88"/>
        <v>0</v>
      </c>
      <c r="T323" s="64">
        <f t="shared" si="88"/>
        <v>0</v>
      </c>
      <c r="U323" s="64">
        <f t="shared" si="88"/>
        <v>0</v>
      </c>
      <c r="V323" s="64">
        <f t="shared" ref="V323:AE323" si="89">V286-V125</f>
        <v>0</v>
      </c>
      <c r="W323" s="64">
        <f t="shared" si="89"/>
        <v>0</v>
      </c>
      <c r="X323" s="64">
        <f t="shared" si="89"/>
        <v>0</v>
      </c>
      <c r="Y323" s="64">
        <f t="shared" si="89"/>
        <v>0</v>
      </c>
      <c r="Z323" s="64">
        <f t="shared" si="89"/>
        <v>0</v>
      </c>
      <c r="AA323" s="64">
        <f t="shared" si="89"/>
        <v>0</v>
      </c>
      <c r="AB323" s="64">
        <f t="shared" si="89"/>
        <v>0</v>
      </c>
      <c r="AC323" s="64">
        <f t="shared" si="89"/>
        <v>0</v>
      </c>
      <c r="AD323" s="64">
        <f t="shared" si="89"/>
        <v>0</v>
      </c>
      <c r="AE323" s="64">
        <f t="shared" si="89"/>
        <v>0</v>
      </c>
      <c r="AF323" s="64">
        <f>AF286</f>
        <v>0</v>
      </c>
      <c r="AG323" s="64">
        <f>SUM(F323:AF323)</f>
        <v>50132293.904260322</v>
      </c>
      <c r="AH323" s="21" t="str">
        <f>IF(ABS(E323-AG323)&lt;0.01,"ok","err")</f>
        <v>ok</v>
      </c>
    </row>
    <row r="325" spans="1:36" x14ac:dyDescent="0.25">
      <c r="A325" s="14" t="s">
        <v>568</v>
      </c>
      <c r="AJ325" s="27" t="s">
        <v>1173</v>
      </c>
    </row>
    <row r="326" spans="1:36" s="173" customFormat="1" x14ac:dyDescent="0.25">
      <c r="A326" s="173">
        <v>1</v>
      </c>
      <c r="B326" s="173" t="s">
        <v>933</v>
      </c>
      <c r="D326" s="173" t="s">
        <v>213</v>
      </c>
      <c r="E326" s="175">
        <f>1183126*AJ326</f>
        <v>1183126</v>
      </c>
      <c r="F326" s="174">
        <f>IF(VLOOKUP($D326,$C$5:$AT$525,3,)=0,0,(VLOOKUP($D326,$C$5:$AT$525,4,)/VLOOKUP($D326,$C$5:$AT$525,3,))*$E326)</f>
        <v>657931.58981652779</v>
      </c>
      <c r="G326" s="174">
        <f>IF(VLOOKUP($D326,$C$5:$AT$525,3,)=0,0,(VLOOKUP($D326,$C$5:$AT$525,5,)/VLOOKUP($D326,$C$5:$AT$525,3,))*$E326)</f>
        <v>649.41832653185111</v>
      </c>
      <c r="H326" s="174">
        <f>IF(VLOOKUP($D326,$C$5:$AT$525,3,)=0,0,(VLOOKUP($D326,$C$5:$AT$525,6,)/VLOOKUP($D326,$C$5:$AT$525,3,))*$E326)</f>
        <v>83653.768001847755</v>
      </c>
      <c r="I326" s="174">
        <f>IF(VLOOKUP($D326,$C$5:$AT$525,3,)=0,0,(VLOOKUP($D326,$C$5:$AT$525,7,)/VLOOKUP($D326,$C$5:$AT$525,3,))*$E326)</f>
        <v>171570.77107448803</v>
      </c>
      <c r="J326" s="174">
        <f>IF(VLOOKUP($D326,$C$5:$AT$525,3,)=0,0,(VLOOKUP($D326,$C$5:$AT$525,8,)/VLOOKUP($D326,$C$5:$AT$525,3,))*$E326)</f>
        <v>57105.80520147871</v>
      </c>
      <c r="K326" s="174">
        <f>IF(VLOOKUP($D326,$C$5:$AT$525,3,)=0,0,(VLOOKUP($D326,$C$5:$AT$525,9,)/VLOOKUP($D326,$C$5:$AT$525,3,))*$E326)</f>
        <v>0</v>
      </c>
      <c r="L326" s="174">
        <f>IF(VLOOKUP($D326,$C$5:$AT$525,3,)=0,0,(VLOOKUP($D326,$C$5:$AT$525,10,)/VLOOKUP($D326,$C$5:$AT$525,3,))*$E326)</f>
        <v>212214.6475791258</v>
      </c>
      <c r="M326" s="174">
        <f>IF(VLOOKUP($D326,$C$5:$AT$525,3,)=0,0,(VLOOKUP($D326,$C$5:$AT$525,11,)/VLOOKUP($D326,$C$5:$AT$525,3,))*$E326)</f>
        <v>0</v>
      </c>
      <c r="N326" s="174">
        <f>IF(VLOOKUP($D326,$C$5:$AT$525,3,)=0,0,(VLOOKUP($D326,$C$5:$AT$525,12,)/VLOOKUP($D326,$C$5:$AT$525,3,))*$E326)</f>
        <v>0</v>
      </c>
      <c r="O326" s="174">
        <f>IF(VLOOKUP($D326,$C$5:$AT$525,3,)=0,0,(VLOOKUP($D326,$C$5:$AT$525,13,)/VLOOKUP($D326,$C$5:$AT$525,3,))*$E326)</f>
        <v>0</v>
      </c>
      <c r="P326" s="174">
        <f>IF(VLOOKUP($D326,$C$5:$AT$525,3,)=0,0,(VLOOKUP($D326,$C$5:$AT$525,14,)/VLOOKUP($D326,$C$5:$AT$525,3,))*$E326)</f>
        <v>0</v>
      </c>
      <c r="Q326" s="174">
        <f>IF(VLOOKUP($D326,$C$5:$AT$525,3,)=0,0,(VLOOKUP($D326,$C$5:$AT$525,15,)/VLOOKUP($D326,$C$5:$AT$525,3,))*$E326)</f>
        <v>0</v>
      </c>
      <c r="R326" s="174">
        <f>IF(VLOOKUP($D326,$C$5:$AT$525,3,)=0,0,(VLOOKUP($D326,$C$5:$AT$525,16,)/VLOOKUP($D326,$C$5:$AT$525,3,))*$E326)</f>
        <v>0</v>
      </c>
      <c r="S326" s="174">
        <f>IF(VLOOKUP($D326,$C$5:$AT$525,3,)=0,0,(VLOOKUP($D326,$C$5:$AT$525,17,)/VLOOKUP($D326,$C$5:$AT$525,3,))*$E326)</f>
        <v>0</v>
      </c>
      <c r="T326" s="174">
        <f>IF(VLOOKUP($D326,$C$5:$AT$525,3,)=0,0,(VLOOKUP($D326,$C$5:$AT$525,18,)/VLOOKUP($D326,$C$5:$AT$525,3,))*$E326)</f>
        <v>0</v>
      </c>
      <c r="U326" s="174">
        <f>IF(VLOOKUP($D326,$C$5:$AT$525,3,)=0,0,(VLOOKUP($D326,$C$5:$AT$525,19,)/VLOOKUP($D326,$C$5:$AT$525,3,))*$E326)</f>
        <v>0</v>
      </c>
      <c r="V326" s="174">
        <f>IF(VLOOKUP($D326,$C$5:$AT$525,3,)=0,0,(VLOOKUP($D326,$C$5:$AT$525,20,)/VLOOKUP($D326,$C$5:$AT$525,3,))*$E326)</f>
        <v>0</v>
      </c>
      <c r="W326" s="174">
        <f>IF(VLOOKUP($D326,$C$5:$AT$525,3,)=0,0,(VLOOKUP($D326,$C$5:$AT$525,21,)/VLOOKUP($D326,$C$5:$AT$525,3,))*$E326)</f>
        <v>0</v>
      </c>
      <c r="X326" s="174">
        <f>IF(VLOOKUP($D326,$C$5:$AT$525,3,)=0,0,(VLOOKUP($D326,$C$5:$AT$525,22,)/VLOOKUP($D326,$C$5:$AT$525,3,))*$E326)</f>
        <v>0</v>
      </c>
      <c r="Y326" s="174">
        <f>IF(VLOOKUP($D326,$C$5:$AT$525,3,)=0,0,(VLOOKUP($D326,$C$5:$AT$525,23,)/VLOOKUP($D326,$C$5:$AT$525,3,))*$E326)</f>
        <v>0</v>
      </c>
      <c r="Z326" s="174">
        <f>IF(VLOOKUP($D326,$C$5:$AT$525,3,)=0,0,(VLOOKUP($D326,$C$5:$AT$525,24,)/VLOOKUP($D326,$C$5:$AT$525,3,))*$E326)</f>
        <v>0</v>
      </c>
      <c r="AA326" s="174">
        <f>IF(VLOOKUP($D326,$C$5:$AT$525,3,)=0,0,(VLOOKUP($D326,$C$5:$AT$525,25,)/VLOOKUP($D326,$C$5:$AT$525,3,))*$E326)</f>
        <v>0</v>
      </c>
      <c r="AB326" s="174">
        <f>IF(VLOOKUP($D326,$C$5:$AT$525,3,)=0,0,(VLOOKUP($D326,$C$5:$AT$525,26,)/VLOOKUP($D326,$C$5:$AT$525,3,))*$E326)</f>
        <v>0</v>
      </c>
      <c r="AC326" s="174">
        <f>IF(VLOOKUP($D326,$C$5:$AT$525,3,)=0,0,(VLOOKUP($D326,$C$5:$AT$525,27,)/VLOOKUP($D326,$C$5:$AT$525,3,))*$E326)</f>
        <v>0</v>
      </c>
      <c r="AD326" s="174">
        <f>IF(VLOOKUP($D326,$C$5:$AT$525,3,)=0,0,(VLOOKUP($D326,$C$5:$AT$525,28,)/VLOOKUP($D326,$C$5:$AT$525,3,))*$E326)</f>
        <v>0</v>
      </c>
      <c r="AE326" s="174">
        <f>IF(VLOOKUP($D326,$C$5:$AT$525,3,)=0,0,(VLOOKUP($D326,$C$5:$AT$525,29,)/VLOOKUP($D326,$C$5:$AT$525,3,))*$E326)</f>
        <v>0</v>
      </c>
      <c r="AF326" s="174">
        <f>IF(VLOOKUP($D326,$C$5:$AT$525,3,)=0,0,(VLOOKUP($D326,$C$5:$AT$525,30,)/VLOOKUP($D326,$C$5:$AT$525,3,))*$E326)</f>
        <v>0</v>
      </c>
      <c r="AG326" s="175">
        <f t="shared" ref="AG326:AG352" si="90">SUM(F326:AF326)</f>
        <v>1183126</v>
      </c>
      <c r="AH326" s="180" t="str">
        <f t="shared" ref="AH326:AH352" si="91">IF(ABS(E326-AG326)&lt;0.01,"ok","err")</f>
        <v>ok</v>
      </c>
      <c r="AJ326" s="167">
        <v>1</v>
      </c>
    </row>
    <row r="327" spans="1:36" s="173" customFormat="1" x14ac:dyDescent="0.25">
      <c r="A327" s="171">
        <v>2</v>
      </c>
      <c r="B327" s="173" t="s">
        <v>932</v>
      </c>
      <c r="D327" s="173" t="s">
        <v>939</v>
      </c>
      <c r="E327" s="175">
        <f>-6012832*AJ327</f>
        <v>-6012832</v>
      </c>
      <c r="F327" s="174">
        <f>IF(VLOOKUP($D327,$C$5:$AT$525,3,)=0,0,(VLOOKUP($D327,$C$5:$AT$525,4,)/VLOOKUP($D327,$C$5:$AT$525,3,))*$E327)</f>
        <v>-3861240.6974941273</v>
      </c>
      <c r="G327" s="174">
        <f>IF(VLOOKUP($D327,$C$5:$AT$525,3,)=0,0,(VLOOKUP($D327,$C$5:$AT$525,5,)/VLOOKUP($D327,$C$5:$AT$525,3,))*$E327)</f>
        <v>0</v>
      </c>
      <c r="H327" s="174">
        <f>IF(VLOOKUP($D327,$C$5:$AT$525,3,)=0,0,(VLOOKUP($D327,$C$5:$AT$525,6,)/VLOOKUP($D327,$C$5:$AT$525,3,))*$E327)</f>
        <v>-427795.99250510772</v>
      </c>
      <c r="I327" s="174">
        <f>IF(VLOOKUP($D327,$C$5:$AT$525,3,)=0,0,(VLOOKUP($D327,$C$5:$AT$525,7,)/VLOOKUP($D327,$C$5:$AT$525,3,))*$E327)</f>
        <v>-917188.41340974707</v>
      </c>
      <c r="J327" s="174">
        <f>IF(VLOOKUP($D327,$C$5:$AT$525,3,)=0,0,(VLOOKUP($D327,$C$5:$AT$525,8,)/VLOOKUP($D327,$C$5:$AT$525,3,))*$E327)</f>
        <v>-177470.12694316712</v>
      </c>
      <c r="K327" s="174">
        <f>IF(VLOOKUP($D327,$C$5:$AT$525,3,)=0,0,(VLOOKUP($D327,$C$5:$AT$525,9,)/VLOOKUP($D327,$C$5:$AT$525,3,))*$E327)</f>
        <v>0</v>
      </c>
      <c r="L327" s="174">
        <f>IF(VLOOKUP($D327,$C$5:$AT$525,3,)=0,0,(VLOOKUP($D327,$C$5:$AT$525,10,)/VLOOKUP($D327,$C$5:$AT$525,3,))*$E327)</f>
        <v>-629136.76964784961</v>
      </c>
      <c r="M327" s="174">
        <f>IF(VLOOKUP($D327,$C$5:$AT$525,3,)=0,0,(VLOOKUP($D327,$C$5:$AT$525,11,)/VLOOKUP($D327,$C$5:$AT$525,3,))*$E327)</f>
        <v>0</v>
      </c>
      <c r="N327" s="174">
        <f>IF(VLOOKUP($D327,$C$5:$AT$525,3,)=0,0,(VLOOKUP($D327,$C$5:$AT$525,12,)/VLOOKUP($D327,$C$5:$AT$525,3,))*$E327)</f>
        <v>0</v>
      </c>
      <c r="O327" s="174">
        <f>IF(VLOOKUP($D327,$C$5:$AT$525,3,)=0,0,(VLOOKUP($D327,$C$5:$AT$525,13,)/VLOOKUP($D327,$C$5:$AT$525,3,))*$E327)</f>
        <v>0</v>
      </c>
      <c r="P327" s="174">
        <f>IF(VLOOKUP($D327,$C$5:$AT$525,3,)=0,0,(VLOOKUP($D327,$C$5:$AT$525,14,)/VLOOKUP($D327,$C$5:$AT$525,3,))*$E327)</f>
        <v>0</v>
      </c>
      <c r="Q327" s="174">
        <f>IF(VLOOKUP($D327,$C$5:$AT$525,3,)=0,0,(VLOOKUP($D327,$C$5:$AT$525,15,)/VLOOKUP($D327,$C$5:$AT$525,3,))*$E327)</f>
        <v>0</v>
      </c>
      <c r="R327" s="174">
        <f>IF(VLOOKUP($D327,$C$5:$AT$525,3,)=0,0,(VLOOKUP($D327,$C$5:$AT$525,16,)/VLOOKUP($D327,$C$5:$AT$525,3,))*$E327)</f>
        <v>0</v>
      </c>
      <c r="S327" s="174">
        <f>IF(VLOOKUP($D327,$C$5:$AT$525,3,)=0,0,(VLOOKUP($D327,$C$5:$AT$525,17,)/VLOOKUP($D327,$C$5:$AT$525,3,))*$E327)</f>
        <v>0</v>
      </c>
      <c r="T327" s="174">
        <f>IF(VLOOKUP($D327,$C$5:$AT$525,3,)=0,0,(VLOOKUP($D327,$C$5:$AT$525,18,)/VLOOKUP($D327,$C$5:$AT$525,3,))*$E327)</f>
        <v>0</v>
      </c>
      <c r="U327" s="174">
        <f>IF(VLOOKUP($D327,$C$5:$AT$525,3,)=0,0,(VLOOKUP($D327,$C$5:$AT$525,19,)/VLOOKUP($D327,$C$5:$AT$525,3,))*$E327)</f>
        <v>0</v>
      </c>
      <c r="V327" s="174">
        <f>IF(VLOOKUP($D327,$C$5:$AT$525,3,)=0,0,(VLOOKUP($D327,$C$5:$AT$525,20,)/VLOOKUP($D327,$C$5:$AT$525,3,))*$E327)</f>
        <v>0</v>
      </c>
      <c r="W327" s="174">
        <f>IF(VLOOKUP($D327,$C$5:$AT$525,3,)=0,0,(VLOOKUP($D327,$C$5:$AT$525,21,)/VLOOKUP($D327,$C$5:$AT$525,3,))*$E327)</f>
        <v>0</v>
      </c>
      <c r="X327" s="174">
        <f>IF(VLOOKUP($D327,$C$5:$AT$525,3,)=0,0,(VLOOKUP($D327,$C$5:$AT$525,22,)/VLOOKUP($D327,$C$5:$AT$525,3,))*$E327)</f>
        <v>0</v>
      </c>
      <c r="Y327" s="174">
        <f>IF(VLOOKUP($D327,$C$5:$AT$525,3,)=0,0,(VLOOKUP($D327,$C$5:$AT$525,23,)/VLOOKUP($D327,$C$5:$AT$525,3,))*$E327)</f>
        <v>0</v>
      </c>
      <c r="Z327" s="174">
        <f>IF(VLOOKUP($D327,$C$5:$AT$525,3,)=0,0,(VLOOKUP($D327,$C$5:$AT$525,24,)/VLOOKUP($D327,$C$5:$AT$525,3,))*$E327)</f>
        <v>0</v>
      </c>
      <c r="AA327" s="174">
        <f>IF(VLOOKUP($D327,$C$5:$AT$525,3,)=0,0,(VLOOKUP($D327,$C$5:$AT$525,25,)/VLOOKUP($D327,$C$5:$AT$525,3,))*$E327)</f>
        <v>0</v>
      </c>
      <c r="AB327" s="174">
        <f>IF(VLOOKUP($D327,$C$5:$AT$525,3,)=0,0,(VLOOKUP($D327,$C$5:$AT$525,26,)/VLOOKUP($D327,$C$5:$AT$525,3,))*$E327)</f>
        <v>0</v>
      </c>
      <c r="AC327" s="174">
        <f>IF(VLOOKUP($D327,$C$5:$AT$525,3,)=0,0,(VLOOKUP($D327,$C$5:$AT$525,27,)/VLOOKUP($D327,$C$5:$AT$525,3,))*$E327)</f>
        <v>0</v>
      </c>
      <c r="AD327" s="174">
        <f>IF(VLOOKUP($D327,$C$5:$AT$525,3,)=0,0,(VLOOKUP($D327,$C$5:$AT$525,28,)/VLOOKUP($D327,$C$5:$AT$525,3,))*$E327)</f>
        <v>0</v>
      </c>
      <c r="AE327" s="174">
        <f>IF(VLOOKUP($D327,$C$5:$AT$525,3,)=0,0,(VLOOKUP($D327,$C$5:$AT$525,29,)/VLOOKUP($D327,$C$5:$AT$525,3,))*$E327)</f>
        <v>0</v>
      </c>
      <c r="AF327" s="174">
        <f>IF(VLOOKUP($D327,$C$5:$AT$525,3,)=0,0,(VLOOKUP($D327,$C$5:$AT$525,30,)/VLOOKUP($D327,$C$5:$AT$525,3,))*$E327)</f>
        <v>0</v>
      </c>
      <c r="AG327" s="175">
        <f t="shared" si="90"/>
        <v>-6012831.9999999991</v>
      </c>
      <c r="AH327" s="180" t="str">
        <f t="shared" si="91"/>
        <v>ok</v>
      </c>
      <c r="AJ327" s="167">
        <f>AJ326</f>
        <v>1</v>
      </c>
    </row>
    <row r="328" spans="1:36" s="173" customFormat="1" hidden="1" x14ac:dyDescent="0.25">
      <c r="A328" s="171">
        <v>3</v>
      </c>
      <c r="B328" s="173" t="s">
        <v>1162</v>
      </c>
      <c r="D328" s="173" t="s">
        <v>260</v>
      </c>
      <c r="E328" s="175">
        <f>832895.6162404*0</f>
        <v>0</v>
      </c>
      <c r="F328" s="174">
        <f>IF(VLOOKUP($D328,$C$5:$AT$525,3,)=0,0,(VLOOKUP($D328,$C$5:$AT$525,4,)/VLOOKUP($D328,$C$5:$AT$525,3,))*$E328)</f>
        <v>0</v>
      </c>
      <c r="G328" s="174">
        <f>IF(VLOOKUP($D328,$C$5:$AT$525,3,)=0,0,(VLOOKUP($D328,$C$5:$AT$525,5,)/VLOOKUP($D328,$C$5:$AT$525,3,))*$E328)</f>
        <v>0</v>
      </c>
      <c r="H328" s="174">
        <f>IF(VLOOKUP($D328,$C$5:$AT$525,3,)=0,0,(VLOOKUP($D328,$C$5:$AT$525,6,)/VLOOKUP($D328,$C$5:$AT$525,3,))*$E328)</f>
        <v>0</v>
      </c>
      <c r="I328" s="174">
        <f>IF(VLOOKUP($D328,$C$5:$AT$525,3,)=0,0,(VLOOKUP($D328,$C$5:$AT$525,7,)/VLOOKUP($D328,$C$5:$AT$525,3,))*$E328)</f>
        <v>0</v>
      </c>
      <c r="J328" s="174">
        <f>IF(VLOOKUP($D328,$C$5:$AT$525,3,)=0,0,(VLOOKUP($D328,$C$5:$AT$525,8,)/VLOOKUP($D328,$C$5:$AT$525,3,))*$E328)</f>
        <v>0</v>
      </c>
      <c r="K328" s="174">
        <f>IF(VLOOKUP($D328,$C$5:$AT$525,3,)=0,0,(VLOOKUP($D328,$C$5:$AT$525,9,)/VLOOKUP($D328,$C$5:$AT$525,3,))*$E328)</f>
        <v>0</v>
      </c>
      <c r="L328" s="174">
        <f>IF(VLOOKUP($D328,$C$5:$AT$525,3,)=0,0,(VLOOKUP($D328,$C$5:$AT$525,10,)/VLOOKUP($D328,$C$5:$AT$525,3,))*$E328)</f>
        <v>0</v>
      </c>
      <c r="M328" s="174">
        <f>IF(VLOOKUP($D328,$C$5:$AT$525,3,)=0,0,(VLOOKUP($D328,$C$5:$AT$525,11,)/VLOOKUP($D328,$C$5:$AT$525,3,))*$E328)</f>
        <v>0</v>
      </c>
      <c r="N328" s="174">
        <f>IF(VLOOKUP($D328,$C$5:$AT$525,3,)=0,0,(VLOOKUP($D328,$C$5:$AT$525,12,)/VLOOKUP($D328,$C$5:$AT$525,3,))*$E328)</f>
        <v>0</v>
      </c>
      <c r="O328" s="174">
        <f>IF(VLOOKUP($D328,$C$5:$AT$525,3,)=0,0,(VLOOKUP($D328,$C$5:$AT$525,13,)/VLOOKUP($D328,$C$5:$AT$525,3,))*$E328)</f>
        <v>0</v>
      </c>
      <c r="P328" s="174">
        <f>IF(VLOOKUP($D328,$C$5:$AT$525,3,)=0,0,(VLOOKUP($D328,$C$5:$AT$525,14,)/VLOOKUP($D328,$C$5:$AT$525,3,))*$E328)</f>
        <v>0</v>
      </c>
      <c r="Q328" s="174">
        <f>IF(VLOOKUP($D328,$C$5:$AT$525,3,)=0,0,(VLOOKUP($D328,$C$5:$AT$525,15,)/VLOOKUP($D328,$C$5:$AT$525,3,))*$E328)</f>
        <v>0</v>
      </c>
      <c r="R328" s="174">
        <f>IF(VLOOKUP($D328,$C$5:$AT$525,3,)=0,0,(VLOOKUP($D328,$C$5:$AT$525,16,)/VLOOKUP($D328,$C$5:$AT$525,3,))*$E328)</f>
        <v>0</v>
      </c>
      <c r="S328" s="174">
        <f>IF(VLOOKUP($D328,$C$5:$AT$525,3,)=0,0,(VLOOKUP($D328,$C$5:$AT$525,17,)/VLOOKUP($D328,$C$5:$AT$525,3,))*$E328)</f>
        <v>0</v>
      </c>
      <c r="T328" s="174">
        <f>IF(VLOOKUP($D328,$C$5:$AT$525,3,)=0,0,(VLOOKUP($D328,$C$5:$AT$525,18,)/VLOOKUP($D328,$C$5:$AT$525,3,))*$E328)</f>
        <v>0</v>
      </c>
      <c r="U328" s="174">
        <f>IF(VLOOKUP($D328,$C$5:$AT$525,3,)=0,0,(VLOOKUP($D328,$C$5:$AT$525,19,)/VLOOKUP($D328,$C$5:$AT$525,3,))*$E328)</f>
        <v>0</v>
      </c>
      <c r="V328" s="174">
        <f>IF(VLOOKUP($D328,$C$5:$AT$525,3,)=0,0,(VLOOKUP($D328,$C$5:$AT$525,20,)/VLOOKUP($D328,$C$5:$AT$525,3,))*$E328)</f>
        <v>0</v>
      </c>
      <c r="W328" s="174">
        <f>IF(VLOOKUP($D328,$C$5:$AT$525,3,)=0,0,(VLOOKUP($D328,$C$5:$AT$525,21,)/VLOOKUP($D328,$C$5:$AT$525,3,))*$E328)</f>
        <v>0</v>
      </c>
      <c r="X328" s="174">
        <f>IF(VLOOKUP($D328,$C$5:$AT$525,3,)=0,0,(VLOOKUP($D328,$C$5:$AT$525,22,)/VLOOKUP($D328,$C$5:$AT$525,3,))*$E328)</f>
        <v>0</v>
      </c>
      <c r="Y328" s="174">
        <f>IF(VLOOKUP($D328,$C$5:$AT$525,3,)=0,0,(VLOOKUP($D328,$C$5:$AT$525,23,)/VLOOKUP($D328,$C$5:$AT$525,3,))*$E328)</f>
        <v>0</v>
      </c>
      <c r="Z328" s="174">
        <f>IF(VLOOKUP($D328,$C$5:$AT$525,3,)=0,0,(VLOOKUP($D328,$C$5:$AT$525,24,)/VLOOKUP($D328,$C$5:$AT$525,3,))*$E328)</f>
        <v>0</v>
      </c>
      <c r="AA328" s="174">
        <f>IF(VLOOKUP($D328,$C$5:$AT$525,3,)=0,0,(VLOOKUP($D328,$C$5:$AT$525,25,)/VLOOKUP($D328,$C$5:$AT$525,3,))*$E328)</f>
        <v>0</v>
      </c>
      <c r="AB328" s="174">
        <f>IF(VLOOKUP($D328,$C$5:$AT$525,3,)=0,0,(VLOOKUP($D328,$C$5:$AT$525,26,)/VLOOKUP($D328,$C$5:$AT$525,3,))*$E328)</f>
        <v>0</v>
      </c>
      <c r="AC328" s="174">
        <f>IF(VLOOKUP($D328,$C$5:$AT$525,3,)=0,0,(VLOOKUP($D328,$C$5:$AT$525,27,)/VLOOKUP($D328,$C$5:$AT$525,3,))*$E328)</f>
        <v>0</v>
      </c>
      <c r="AD328" s="174">
        <f>IF(VLOOKUP($D328,$C$5:$AT$525,3,)=0,0,(VLOOKUP($D328,$C$5:$AT$525,28,)/VLOOKUP($D328,$C$5:$AT$525,3,))*$E328)</f>
        <v>0</v>
      </c>
      <c r="AE328" s="174">
        <f>IF(VLOOKUP($D328,$C$5:$AT$525,3,)=0,0,(VLOOKUP($D328,$C$5:$AT$525,29,)/VLOOKUP($D328,$C$5:$AT$525,3,))*$E328)</f>
        <v>0</v>
      </c>
      <c r="AF328" s="174">
        <f>IF(VLOOKUP($D328,$C$5:$AT$525,3,)=0,0,(VLOOKUP($D328,$C$5:$AT$525,30,)/VLOOKUP($D328,$C$5:$AT$525,3,))*$E328)</f>
        <v>0</v>
      </c>
      <c r="AG328" s="175">
        <f t="shared" ref="AG328" si="92">SUM(F328:AF328)</f>
        <v>0</v>
      </c>
      <c r="AH328" s="180" t="str">
        <f t="shared" ref="AH328:AH331" si="93">IF(ABS(E328-AG328)&lt;0.01,"ok","err")</f>
        <v>ok</v>
      </c>
      <c r="AJ328" s="167">
        <f t="shared" ref="AJ328:AJ340" si="94">AJ327</f>
        <v>1</v>
      </c>
    </row>
    <row r="329" spans="1:36" s="173" customFormat="1" x14ac:dyDescent="0.25">
      <c r="A329" s="173">
        <v>4</v>
      </c>
      <c r="B329" s="173" t="s">
        <v>1163</v>
      </c>
      <c r="D329" s="173" t="s">
        <v>296</v>
      </c>
      <c r="E329" s="254">
        <v>326283.43999999977</v>
      </c>
      <c r="F329" s="174">
        <f>IF(VLOOKUP($D329,$C$5:$AT$525,3,)=0,0,(VLOOKUP($D329,$C$5:$AT$525,4,)/VLOOKUP($D329,$C$5:$AT$525,3,))*$E329)</f>
        <v>259793.02273756813</v>
      </c>
      <c r="G329" s="174">
        <f>IF(VLOOKUP($D329,$C$5:$AT$525,3,)=0,0,(VLOOKUP($D329,$C$5:$AT$525,5,)/VLOOKUP($D329,$C$5:$AT$525,3,))*$E329)</f>
        <v>219.65873036423662</v>
      </c>
      <c r="H329" s="174">
        <f>IF(VLOOKUP($D329,$C$5:$AT$525,3,)=0,0,(VLOOKUP($D329,$C$5:$AT$525,6,)/VLOOKUP($D329,$C$5:$AT$525,3,))*$E329)</f>
        <v>28934.93954951498</v>
      </c>
      <c r="I329" s="174">
        <f>IF(VLOOKUP($D329,$C$5:$AT$525,3,)=0,0,(VLOOKUP($D329,$C$5:$AT$525,7,)/VLOOKUP($D329,$C$5:$AT$525,3,))*$E329)</f>
        <v>18869.151983200773</v>
      </c>
      <c r="J329" s="174">
        <f>IF(VLOOKUP($D329,$C$5:$AT$525,3,)=0,0,(VLOOKUP($D329,$C$5:$AT$525,8,)/VLOOKUP($D329,$C$5:$AT$525,3,))*$E329)</f>
        <v>2535.8083873244509</v>
      </c>
      <c r="K329" s="174">
        <f>IF(VLOOKUP($D329,$C$5:$AT$525,3,)=0,0,(VLOOKUP($D329,$C$5:$AT$525,9,)/VLOOKUP($D329,$C$5:$AT$525,3,))*$E329)</f>
        <v>15930.858612027136</v>
      </c>
      <c r="L329" s="174">
        <f>IF(VLOOKUP($D329,$C$5:$AT$525,3,)=0,0,(VLOOKUP($D329,$C$5:$AT$525,10,)/VLOOKUP($D329,$C$5:$AT$525,3,))*$E329)</f>
        <v>0</v>
      </c>
      <c r="M329" s="174">
        <f>IF(VLOOKUP($D329,$C$5:$AT$525,3,)=0,0,(VLOOKUP($D329,$C$5:$AT$525,11,)/VLOOKUP($D329,$C$5:$AT$525,3,))*$E329)</f>
        <v>0</v>
      </c>
      <c r="N329" s="174">
        <f>IF(VLOOKUP($D329,$C$5:$AT$525,3,)=0,0,(VLOOKUP($D329,$C$5:$AT$525,12,)/VLOOKUP($D329,$C$5:$AT$525,3,))*$E329)</f>
        <v>0</v>
      </c>
      <c r="O329" s="174">
        <f>IF(VLOOKUP($D329,$C$5:$AT$525,3,)=0,0,(VLOOKUP($D329,$C$5:$AT$525,13,)/VLOOKUP($D329,$C$5:$AT$525,3,))*$E329)</f>
        <v>0</v>
      </c>
      <c r="P329" s="174">
        <f>IF(VLOOKUP($D329,$C$5:$AT$525,3,)=0,0,(VLOOKUP($D329,$C$5:$AT$525,14,)/VLOOKUP($D329,$C$5:$AT$525,3,))*$E329)</f>
        <v>0</v>
      </c>
      <c r="Q329" s="174">
        <f>IF(VLOOKUP($D329,$C$5:$AT$525,3,)=0,0,(VLOOKUP($D329,$C$5:$AT$525,15,)/VLOOKUP($D329,$C$5:$AT$525,3,))*$E329)</f>
        <v>0</v>
      </c>
      <c r="R329" s="174">
        <f>IF(VLOOKUP($D329,$C$5:$AT$525,3,)=0,0,(VLOOKUP($D329,$C$5:$AT$525,16,)/VLOOKUP($D329,$C$5:$AT$525,3,))*$E329)</f>
        <v>0</v>
      </c>
      <c r="S329" s="174">
        <f>IF(VLOOKUP($D329,$C$5:$AT$525,3,)=0,0,(VLOOKUP($D329,$C$5:$AT$525,17,)/VLOOKUP($D329,$C$5:$AT$525,3,))*$E329)</f>
        <v>0</v>
      </c>
      <c r="T329" s="174">
        <f>IF(VLOOKUP($D329,$C$5:$AT$525,3,)=0,0,(VLOOKUP($D329,$C$5:$AT$525,18,)/VLOOKUP($D329,$C$5:$AT$525,3,))*$E329)</f>
        <v>0</v>
      </c>
      <c r="U329" s="174">
        <f>IF(VLOOKUP($D329,$C$5:$AT$525,3,)=0,0,(VLOOKUP($D329,$C$5:$AT$525,19,)/VLOOKUP($D329,$C$5:$AT$525,3,))*$E329)</f>
        <v>0</v>
      </c>
      <c r="V329" s="174">
        <f>IF(VLOOKUP($D329,$C$5:$AT$525,3,)=0,0,(VLOOKUP($D329,$C$5:$AT$525,20,)/VLOOKUP($D329,$C$5:$AT$525,3,))*$E329)</f>
        <v>0</v>
      </c>
      <c r="W329" s="174">
        <f>IF(VLOOKUP($D329,$C$5:$AT$525,3,)=0,0,(VLOOKUP($D329,$C$5:$AT$525,21,)/VLOOKUP($D329,$C$5:$AT$525,3,))*$E329)</f>
        <v>0</v>
      </c>
      <c r="X329" s="174">
        <f>IF(VLOOKUP($D329,$C$5:$AT$525,3,)=0,0,(VLOOKUP($D329,$C$5:$AT$525,22,)/VLOOKUP($D329,$C$5:$AT$525,3,))*$E329)</f>
        <v>0</v>
      </c>
      <c r="Y329" s="174">
        <f>IF(VLOOKUP($D329,$C$5:$AT$525,3,)=0,0,(VLOOKUP($D329,$C$5:$AT$525,23,)/VLOOKUP($D329,$C$5:$AT$525,3,))*$E329)</f>
        <v>0</v>
      </c>
      <c r="Z329" s="174">
        <f>IF(VLOOKUP($D329,$C$5:$AT$525,3,)=0,0,(VLOOKUP($D329,$C$5:$AT$525,24,)/VLOOKUP($D329,$C$5:$AT$525,3,))*$E329)</f>
        <v>0</v>
      </c>
      <c r="AA329" s="174">
        <f>IF(VLOOKUP($D329,$C$5:$AT$525,3,)=0,0,(VLOOKUP($D329,$C$5:$AT$525,25,)/VLOOKUP($D329,$C$5:$AT$525,3,))*$E329)</f>
        <v>0</v>
      </c>
      <c r="AB329" s="174">
        <f>IF(VLOOKUP($D329,$C$5:$AT$525,3,)=0,0,(VLOOKUP($D329,$C$5:$AT$525,26,)/VLOOKUP($D329,$C$5:$AT$525,3,))*$E329)</f>
        <v>0</v>
      </c>
      <c r="AC329" s="174">
        <f>IF(VLOOKUP($D329,$C$5:$AT$525,3,)=0,0,(VLOOKUP($D329,$C$5:$AT$525,27,)/VLOOKUP($D329,$C$5:$AT$525,3,))*$E329)</f>
        <v>0</v>
      </c>
      <c r="AD329" s="174">
        <f>IF(VLOOKUP($D329,$C$5:$AT$525,3,)=0,0,(VLOOKUP($D329,$C$5:$AT$525,28,)/VLOOKUP($D329,$C$5:$AT$525,3,))*$E329)</f>
        <v>0</v>
      </c>
      <c r="AE329" s="174">
        <f>IF(VLOOKUP($D329,$C$5:$AT$525,3,)=0,0,(VLOOKUP($D329,$C$5:$AT$525,29,)/VLOOKUP($D329,$C$5:$AT$525,3,))*$E329)</f>
        <v>0</v>
      </c>
      <c r="AF329" s="174">
        <f>IF(VLOOKUP($D329,$C$5:$AT$525,3,)=0,0,(VLOOKUP($D329,$C$5:$AT$525,30,)/VLOOKUP($D329,$C$5:$AT$525,3,))*$E329)</f>
        <v>0</v>
      </c>
      <c r="AG329" s="175">
        <f t="shared" ref="AG329" si="95">SUM(F329:AF329)</f>
        <v>326283.43999999965</v>
      </c>
      <c r="AH329" s="180" t="str">
        <f t="shared" si="93"/>
        <v>ok</v>
      </c>
      <c r="AJ329" s="167">
        <f t="shared" si="94"/>
        <v>1</v>
      </c>
    </row>
    <row r="330" spans="1:36" s="173" customFormat="1" x14ac:dyDescent="0.25">
      <c r="A330" s="173">
        <v>5</v>
      </c>
      <c r="B330" s="173" t="s">
        <v>1164</v>
      </c>
      <c r="D330" s="173" t="s">
        <v>604</v>
      </c>
      <c r="E330" s="175">
        <f>3279658.35716*AJ330</f>
        <v>3279658.3571600001</v>
      </c>
      <c r="F330" s="174">
        <f>IF(VLOOKUP($D330,$C$5:$AT$525,3,)=0,0,(VLOOKUP($D330,$C$5:$AT$525,4,)/VLOOKUP($D330,$C$5:$AT$525,3,))*$E330)</f>
        <v>2699441.6151987603</v>
      </c>
      <c r="G330" s="174">
        <f>IF(VLOOKUP($D330,$C$5:$AT$525,3,)=0,0,(VLOOKUP($D330,$C$5:$AT$525,5,)/VLOOKUP($D330,$C$5:$AT$525,3,))*$E330)</f>
        <v>2672.1590903266483</v>
      </c>
      <c r="H330" s="174">
        <f>IF(VLOOKUP($D330,$C$5:$AT$525,3,)=0,0,(VLOOKUP($D330,$C$5:$AT$525,6,)/VLOOKUP($D330,$C$5:$AT$525,3,))*$E330)</f>
        <v>141032.38553706394</v>
      </c>
      <c r="I330" s="174">
        <f>IF(VLOOKUP($D330,$C$5:$AT$525,3,)=0,0,(VLOOKUP($D330,$C$5:$AT$525,7,)/VLOOKUP($D330,$C$5:$AT$525,3,))*$E330)</f>
        <v>372248.23117659212</v>
      </c>
      <c r="J330" s="174">
        <f>IF(VLOOKUP($D330,$C$5:$AT$525,3,)=0,0,(VLOOKUP($D330,$C$5:$AT$525,8,)/VLOOKUP($D330,$C$5:$AT$525,3,))*$E330)</f>
        <v>64263.966157256829</v>
      </c>
      <c r="K330" s="174">
        <f>IF(VLOOKUP($D330,$C$5:$AT$525,3,)=0,0,(VLOOKUP($D330,$C$5:$AT$525,9,)/VLOOKUP($D330,$C$5:$AT$525,3,))*$E330)</f>
        <v>0</v>
      </c>
      <c r="L330" s="174">
        <f>IF(VLOOKUP($D330,$C$5:$AT$525,3,)=0,0,(VLOOKUP($D330,$C$5:$AT$525,10,)/VLOOKUP($D330,$C$5:$AT$525,3,))*$E330)</f>
        <v>0</v>
      </c>
      <c r="M330" s="174">
        <f>IF(VLOOKUP($D330,$C$5:$AT$525,3,)=0,0,(VLOOKUP($D330,$C$5:$AT$525,11,)/VLOOKUP($D330,$C$5:$AT$525,3,))*$E330)</f>
        <v>0</v>
      </c>
      <c r="N330" s="174">
        <f>IF(VLOOKUP($D330,$C$5:$AT$525,3,)=0,0,(VLOOKUP($D330,$C$5:$AT$525,12,)/VLOOKUP($D330,$C$5:$AT$525,3,))*$E330)</f>
        <v>0</v>
      </c>
      <c r="O330" s="174">
        <f>IF(VLOOKUP($D330,$C$5:$AT$525,3,)=0,0,(VLOOKUP($D330,$C$5:$AT$525,13,)/VLOOKUP($D330,$C$5:$AT$525,3,))*$E330)</f>
        <v>0</v>
      </c>
      <c r="P330" s="174">
        <f>IF(VLOOKUP($D330,$C$5:$AT$525,3,)=0,0,(VLOOKUP($D330,$C$5:$AT$525,14,)/VLOOKUP($D330,$C$5:$AT$525,3,))*$E330)</f>
        <v>0</v>
      </c>
      <c r="Q330" s="174">
        <f>IF(VLOOKUP($D330,$C$5:$AT$525,3,)=0,0,(VLOOKUP($D330,$C$5:$AT$525,15,)/VLOOKUP($D330,$C$5:$AT$525,3,))*$E330)</f>
        <v>0</v>
      </c>
      <c r="R330" s="174">
        <f>IF(VLOOKUP($D330,$C$5:$AT$525,3,)=0,0,(VLOOKUP($D330,$C$5:$AT$525,16,)/VLOOKUP($D330,$C$5:$AT$525,3,))*$E330)</f>
        <v>0</v>
      </c>
      <c r="S330" s="174">
        <f>IF(VLOOKUP($D330,$C$5:$AT$525,3,)=0,0,(VLOOKUP($D330,$C$5:$AT$525,17,)/VLOOKUP($D330,$C$5:$AT$525,3,))*$E330)</f>
        <v>0</v>
      </c>
      <c r="T330" s="174">
        <f>IF(VLOOKUP($D330,$C$5:$AT$525,3,)=0,0,(VLOOKUP($D330,$C$5:$AT$525,18,)/VLOOKUP($D330,$C$5:$AT$525,3,))*$E330)</f>
        <v>0</v>
      </c>
      <c r="U330" s="174">
        <f>IF(VLOOKUP($D330,$C$5:$AT$525,3,)=0,0,(VLOOKUP($D330,$C$5:$AT$525,19,)/VLOOKUP($D330,$C$5:$AT$525,3,))*$E330)</f>
        <v>0</v>
      </c>
      <c r="V330" s="174">
        <f>IF(VLOOKUP($D330,$C$5:$AT$525,3,)=0,0,(VLOOKUP($D330,$C$5:$AT$525,20,)/VLOOKUP($D330,$C$5:$AT$525,3,))*$E330)</f>
        <v>0</v>
      </c>
      <c r="W330" s="174">
        <f>IF(VLOOKUP($D330,$C$5:$AT$525,3,)=0,0,(VLOOKUP($D330,$C$5:$AT$525,21,)/VLOOKUP($D330,$C$5:$AT$525,3,))*$E330)</f>
        <v>0</v>
      </c>
      <c r="X330" s="174">
        <f>IF(VLOOKUP($D330,$C$5:$AT$525,3,)=0,0,(VLOOKUP($D330,$C$5:$AT$525,22,)/VLOOKUP($D330,$C$5:$AT$525,3,))*$E330)</f>
        <v>0</v>
      </c>
      <c r="Y330" s="174">
        <f>IF(VLOOKUP($D330,$C$5:$AT$525,3,)=0,0,(VLOOKUP($D330,$C$5:$AT$525,23,)/VLOOKUP($D330,$C$5:$AT$525,3,))*$E330)</f>
        <v>0</v>
      </c>
      <c r="Z330" s="174">
        <f>IF(VLOOKUP($D330,$C$5:$AT$525,3,)=0,0,(VLOOKUP($D330,$C$5:$AT$525,24,)/VLOOKUP($D330,$C$5:$AT$525,3,))*$E330)</f>
        <v>0</v>
      </c>
      <c r="AA330" s="174">
        <f>IF(VLOOKUP($D330,$C$5:$AT$525,3,)=0,0,(VLOOKUP($D330,$C$5:$AT$525,25,)/VLOOKUP($D330,$C$5:$AT$525,3,))*$E330)</f>
        <v>0</v>
      </c>
      <c r="AB330" s="174">
        <f>IF(VLOOKUP($D330,$C$5:$AT$525,3,)=0,0,(VLOOKUP($D330,$C$5:$AT$525,26,)/VLOOKUP($D330,$C$5:$AT$525,3,))*$E330)</f>
        <v>0</v>
      </c>
      <c r="AC330" s="174">
        <f>IF(VLOOKUP($D330,$C$5:$AT$525,3,)=0,0,(VLOOKUP($D330,$C$5:$AT$525,27,)/VLOOKUP($D330,$C$5:$AT$525,3,))*$E330)</f>
        <v>0</v>
      </c>
      <c r="AD330" s="174">
        <f>IF(VLOOKUP($D330,$C$5:$AT$525,3,)=0,0,(VLOOKUP($D330,$C$5:$AT$525,28,)/VLOOKUP($D330,$C$5:$AT$525,3,))*$E330)</f>
        <v>0</v>
      </c>
      <c r="AE330" s="174">
        <f>IF(VLOOKUP($D330,$C$5:$AT$525,3,)=0,0,(VLOOKUP($D330,$C$5:$AT$525,29,)/VLOOKUP($D330,$C$5:$AT$525,3,))*$E330)</f>
        <v>0</v>
      </c>
      <c r="AF330" s="174">
        <f>IF(VLOOKUP($D330,$C$5:$AT$525,3,)=0,0,(VLOOKUP($D330,$C$5:$AT$525,30,)/VLOOKUP($D330,$C$5:$AT$525,3,))*$E330)</f>
        <v>0</v>
      </c>
      <c r="AG330" s="175">
        <f t="shared" ref="AG330" si="96">SUM(F330:AF330)</f>
        <v>3279658.3571599997</v>
      </c>
      <c r="AH330" s="180" t="str">
        <f t="shared" ref="AH330" si="97">IF(ABS(E330-AG330)&lt;0.01,"ok","err")</f>
        <v>ok</v>
      </c>
      <c r="AJ330" s="167">
        <f t="shared" si="94"/>
        <v>1</v>
      </c>
    </row>
    <row r="331" spans="1:36" s="173" customFormat="1" x14ac:dyDescent="0.25">
      <c r="A331" s="171">
        <v>6</v>
      </c>
      <c r="B331" s="173" t="s">
        <v>1165</v>
      </c>
      <c r="E331" s="174">
        <f>202500*AJ331</f>
        <v>202500</v>
      </c>
      <c r="F331" s="174">
        <f>164683*AJ331</f>
        <v>164683</v>
      </c>
      <c r="G331" s="174">
        <v>0</v>
      </c>
      <c r="H331" s="174">
        <f>3973*AJ331</f>
        <v>3973</v>
      </c>
      <c r="I331" s="174">
        <f>33844*AJ331</f>
        <v>33844</v>
      </c>
      <c r="J331" s="174">
        <v>0</v>
      </c>
      <c r="K331" s="174">
        <v>0</v>
      </c>
      <c r="L331" s="174">
        <v>0</v>
      </c>
      <c r="M331" s="174">
        <v>0</v>
      </c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174"/>
      <c r="AG331" s="175">
        <f t="shared" ref="AG331" si="98">SUM(F331:AF331)</f>
        <v>202500</v>
      </c>
      <c r="AH331" s="180" t="str">
        <f t="shared" si="93"/>
        <v>ok</v>
      </c>
      <c r="AJ331" s="167">
        <f t="shared" si="94"/>
        <v>1</v>
      </c>
    </row>
    <row r="332" spans="1:36" s="173" customFormat="1" x14ac:dyDescent="0.25">
      <c r="A332" s="171">
        <v>7</v>
      </c>
      <c r="B332" s="173" t="s">
        <v>1166</v>
      </c>
      <c r="D332" s="173" t="s">
        <v>260</v>
      </c>
      <c r="E332" s="175">
        <f>-66196.37*AJ332</f>
        <v>-66196.37</v>
      </c>
      <c r="F332" s="174">
        <f t="shared" ref="F332:F351" si="99">IF(VLOOKUP($D332,$C$5:$AT$525,3,)=0,0,(VLOOKUP($D332,$C$5:$AT$525,4,)/VLOOKUP($D332,$C$5:$AT$525,3,))*$E332)</f>
        <v>-53748.354162624797</v>
      </c>
      <c r="G332" s="174">
        <f t="shared" ref="G332:G351" si="100">IF(VLOOKUP($D332,$C$5:$AT$525,3,)=0,0,(VLOOKUP($D332,$C$5:$AT$525,5,)/VLOOKUP($D332,$C$5:$AT$525,3,))*$E332)</f>
        <v>-45.849083944792646</v>
      </c>
      <c r="H332" s="174">
        <f t="shared" ref="H332:H351" si="101">IF(VLOOKUP($D332,$C$5:$AT$525,3,)=0,0,(VLOOKUP($D332,$C$5:$AT$525,6,)/VLOOKUP($D332,$C$5:$AT$525,3,))*$E332)</f>
        <v>-5440.6895127459948</v>
      </c>
      <c r="I332" s="174">
        <f t="shared" ref="I332:I351" si="102">IF(VLOOKUP($D332,$C$5:$AT$525,3,)=0,0,(VLOOKUP($D332,$C$5:$AT$525,7,)/VLOOKUP($D332,$C$5:$AT$525,3,))*$E332)</f>
        <v>-3858.6889425751456</v>
      </c>
      <c r="J332" s="174">
        <f t="shared" ref="J332:J351" si="103">IF(VLOOKUP($D332,$C$5:$AT$525,3,)=0,0,(VLOOKUP($D332,$C$5:$AT$525,8,)/VLOOKUP($D332,$C$5:$AT$525,3,))*$E332)</f>
        <v>-556.81215249313266</v>
      </c>
      <c r="K332" s="174">
        <f t="shared" ref="K332:K351" si="104">IF(VLOOKUP($D332,$C$5:$AT$525,3,)=0,0,(VLOOKUP($D332,$C$5:$AT$525,9,)/VLOOKUP($D332,$C$5:$AT$525,3,))*$E332)</f>
        <v>-2545.9761456161277</v>
      </c>
      <c r="L332" s="174">
        <f t="shared" ref="L332:L351" si="105">IF(VLOOKUP($D332,$C$5:$AT$525,3,)=0,0,(VLOOKUP($D332,$C$5:$AT$525,10,)/VLOOKUP($D332,$C$5:$AT$525,3,))*$E332)</f>
        <v>0</v>
      </c>
      <c r="M332" s="174">
        <f t="shared" ref="M332:M351" si="106">IF(VLOOKUP($D332,$C$5:$AT$525,3,)=0,0,(VLOOKUP($D332,$C$5:$AT$525,11,)/VLOOKUP($D332,$C$5:$AT$525,3,))*$E332)</f>
        <v>0</v>
      </c>
      <c r="N332" s="174">
        <f t="shared" ref="N332:N351" si="107">IF(VLOOKUP($D332,$C$5:$AT$525,3,)=0,0,(VLOOKUP($D332,$C$5:$AT$525,12,)/VLOOKUP($D332,$C$5:$AT$525,3,))*$E332)</f>
        <v>0</v>
      </c>
      <c r="O332" s="174">
        <f t="shared" ref="O332:O351" si="108">IF(VLOOKUP($D332,$C$5:$AT$525,3,)=0,0,(VLOOKUP($D332,$C$5:$AT$525,13,)/VLOOKUP($D332,$C$5:$AT$525,3,))*$E332)</f>
        <v>0</v>
      </c>
      <c r="P332" s="174">
        <f t="shared" ref="P332:P351" si="109">IF(VLOOKUP($D332,$C$5:$AT$525,3,)=0,0,(VLOOKUP($D332,$C$5:$AT$525,14,)/VLOOKUP($D332,$C$5:$AT$525,3,))*$E332)</f>
        <v>0</v>
      </c>
      <c r="Q332" s="174">
        <f t="shared" ref="Q332:Q351" si="110">IF(VLOOKUP($D332,$C$5:$AT$525,3,)=0,0,(VLOOKUP($D332,$C$5:$AT$525,15,)/VLOOKUP($D332,$C$5:$AT$525,3,))*$E332)</f>
        <v>0</v>
      </c>
      <c r="R332" s="174">
        <f t="shared" ref="R332:R351" si="111">IF(VLOOKUP($D332,$C$5:$AT$525,3,)=0,0,(VLOOKUP($D332,$C$5:$AT$525,16,)/VLOOKUP($D332,$C$5:$AT$525,3,))*$E332)</f>
        <v>0</v>
      </c>
      <c r="S332" s="174">
        <f t="shared" ref="S332:S351" si="112">IF(VLOOKUP($D332,$C$5:$AT$525,3,)=0,0,(VLOOKUP($D332,$C$5:$AT$525,17,)/VLOOKUP($D332,$C$5:$AT$525,3,))*$E332)</f>
        <v>0</v>
      </c>
      <c r="T332" s="174">
        <f t="shared" ref="T332:T351" si="113">IF(VLOOKUP($D332,$C$5:$AT$525,3,)=0,0,(VLOOKUP($D332,$C$5:$AT$525,18,)/VLOOKUP($D332,$C$5:$AT$525,3,))*$E332)</f>
        <v>0</v>
      </c>
      <c r="U332" s="174">
        <f t="shared" ref="U332:U351" si="114">IF(VLOOKUP($D332,$C$5:$AT$525,3,)=0,0,(VLOOKUP($D332,$C$5:$AT$525,19,)/VLOOKUP($D332,$C$5:$AT$525,3,))*$E332)</f>
        <v>0</v>
      </c>
      <c r="V332" s="174">
        <f t="shared" ref="V332:V351" si="115">IF(VLOOKUP($D332,$C$5:$AT$525,3,)=0,0,(VLOOKUP($D332,$C$5:$AT$525,20,)/VLOOKUP($D332,$C$5:$AT$525,3,))*$E332)</f>
        <v>0</v>
      </c>
      <c r="W332" s="174">
        <f t="shared" ref="W332:W351" si="116">IF(VLOOKUP($D332,$C$5:$AT$525,3,)=0,0,(VLOOKUP($D332,$C$5:$AT$525,21,)/VLOOKUP($D332,$C$5:$AT$525,3,))*$E332)</f>
        <v>0</v>
      </c>
      <c r="X332" s="174">
        <f t="shared" ref="X332:X351" si="117">IF(VLOOKUP($D332,$C$5:$AT$525,3,)=0,0,(VLOOKUP($D332,$C$5:$AT$525,22,)/VLOOKUP($D332,$C$5:$AT$525,3,))*$E332)</f>
        <v>0</v>
      </c>
      <c r="Y332" s="174">
        <f t="shared" ref="Y332:Y351" si="118">IF(VLOOKUP($D332,$C$5:$AT$525,3,)=0,0,(VLOOKUP($D332,$C$5:$AT$525,23,)/VLOOKUP($D332,$C$5:$AT$525,3,))*$E332)</f>
        <v>0</v>
      </c>
      <c r="Z332" s="174">
        <f t="shared" ref="Z332:Z351" si="119">IF(VLOOKUP($D332,$C$5:$AT$525,3,)=0,0,(VLOOKUP($D332,$C$5:$AT$525,24,)/VLOOKUP($D332,$C$5:$AT$525,3,))*$E332)</f>
        <v>0</v>
      </c>
      <c r="AA332" s="174">
        <f t="shared" ref="AA332:AA351" si="120">IF(VLOOKUP($D332,$C$5:$AT$525,3,)=0,0,(VLOOKUP($D332,$C$5:$AT$525,25,)/VLOOKUP($D332,$C$5:$AT$525,3,))*$E332)</f>
        <v>0</v>
      </c>
      <c r="AB332" s="174">
        <f t="shared" ref="AB332:AB351" si="121">IF(VLOOKUP($D332,$C$5:$AT$525,3,)=0,0,(VLOOKUP($D332,$C$5:$AT$525,26,)/VLOOKUP($D332,$C$5:$AT$525,3,))*$E332)</f>
        <v>0</v>
      </c>
      <c r="AC332" s="174">
        <f t="shared" ref="AC332:AC351" si="122">IF(VLOOKUP($D332,$C$5:$AT$525,3,)=0,0,(VLOOKUP($D332,$C$5:$AT$525,27,)/VLOOKUP($D332,$C$5:$AT$525,3,))*$E332)</f>
        <v>0</v>
      </c>
      <c r="AD332" s="174">
        <f t="shared" ref="AD332:AD351" si="123">IF(VLOOKUP($D332,$C$5:$AT$525,3,)=0,0,(VLOOKUP($D332,$C$5:$AT$525,28,)/VLOOKUP($D332,$C$5:$AT$525,3,))*$E332)</f>
        <v>0</v>
      </c>
      <c r="AE332" s="174">
        <f t="shared" ref="AE332:AE351" si="124">IF(VLOOKUP($D332,$C$5:$AT$525,3,)=0,0,(VLOOKUP($D332,$C$5:$AT$525,29,)/VLOOKUP($D332,$C$5:$AT$525,3,))*$E332)</f>
        <v>0</v>
      </c>
      <c r="AF332" s="174">
        <f t="shared" ref="AF332:AF351" si="125">IF(VLOOKUP($D332,$C$5:$AT$525,3,)=0,0,(VLOOKUP($D332,$C$5:$AT$525,30,)/VLOOKUP($D332,$C$5:$AT$525,3,))*$E332)</f>
        <v>0</v>
      </c>
      <c r="AG332" s="175">
        <f t="shared" si="90"/>
        <v>-66196.369999999981</v>
      </c>
      <c r="AH332" s="180" t="str">
        <f t="shared" si="91"/>
        <v>ok</v>
      </c>
      <c r="AJ332" s="167">
        <f t="shared" si="94"/>
        <v>1</v>
      </c>
    </row>
    <row r="333" spans="1:36" s="173" customFormat="1" x14ac:dyDescent="0.25">
      <c r="A333" s="173">
        <v>8</v>
      </c>
      <c r="B333" s="173" t="s">
        <v>1167</v>
      </c>
      <c r="D333" s="173" t="s">
        <v>260</v>
      </c>
      <c r="E333" s="175">
        <f>-207550.83*AJ333</f>
        <v>-207550.83</v>
      </c>
      <c r="F333" s="174">
        <f t="shared" si="99"/>
        <v>-168521.55968048898</v>
      </c>
      <c r="G333" s="174">
        <f t="shared" si="100"/>
        <v>-143.75433921046408</v>
      </c>
      <c r="H333" s="174">
        <f t="shared" si="101"/>
        <v>-17058.63364022418</v>
      </c>
      <c r="I333" s="174">
        <f t="shared" si="102"/>
        <v>-12098.459367836844</v>
      </c>
      <c r="J333" s="174">
        <f t="shared" si="103"/>
        <v>-1745.818152929477</v>
      </c>
      <c r="K333" s="174">
        <f t="shared" si="104"/>
        <v>-7982.6048193100041</v>
      </c>
      <c r="L333" s="174">
        <f t="shared" si="105"/>
        <v>0</v>
      </c>
      <c r="M333" s="174">
        <f t="shared" si="106"/>
        <v>0</v>
      </c>
      <c r="N333" s="174">
        <f t="shared" si="107"/>
        <v>0</v>
      </c>
      <c r="O333" s="174">
        <f t="shared" si="108"/>
        <v>0</v>
      </c>
      <c r="P333" s="174">
        <f t="shared" si="109"/>
        <v>0</v>
      </c>
      <c r="Q333" s="174">
        <f t="shared" si="110"/>
        <v>0</v>
      </c>
      <c r="R333" s="174">
        <f t="shared" si="111"/>
        <v>0</v>
      </c>
      <c r="S333" s="174">
        <f t="shared" si="112"/>
        <v>0</v>
      </c>
      <c r="T333" s="174">
        <f t="shared" si="113"/>
        <v>0</v>
      </c>
      <c r="U333" s="174">
        <f t="shared" si="114"/>
        <v>0</v>
      </c>
      <c r="V333" s="174">
        <f t="shared" si="115"/>
        <v>0</v>
      </c>
      <c r="W333" s="174">
        <f t="shared" si="116"/>
        <v>0</v>
      </c>
      <c r="X333" s="174">
        <f t="shared" si="117"/>
        <v>0</v>
      </c>
      <c r="Y333" s="174">
        <f t="shared" si="118"/>
        <v>0</v>
      </c>
      <c r="Z333" s="174">
        <f t="shared" si="119"/>
        <v>0</v>
      </c>
      <c r="AA333" s="174">
        <f t="shared" si="120"/>
        <v>0</v>
      </c>
      <c r="AB333" s="174">
        <f t="shared" si="121"/>
        <v>0</v>
      </c>
      <c r="AC333" s="174">
        <f t="shared" si="122"/>
        <v>0</v>
      </c>
      <c r="AD333" s="174">
        <f t="shared" si="123"/>
        <v>0</v>
      </c>
      <c r="AE333" s="174">
        <f t="shared" si="124"/>
        <v>0</v>
      </c>
      <c r="AF333" s="174">
        <f t="shared" si="125"/>
        <v>0</v>
      </c>
      <c r="AG333" s="175">
        <f t="shared" si="90"/>
        <v>-207550.82999999996</v>
      </c>
      <c r="AH333" s="180" t="str">
        <f t="shared" si="91"/>
        <v>ok</v>
      </c>
      <c r="AJ333" s="167">
        <f t="shared" si="94"/>
        <v>1</v>
      </c>
    </row>
    <row r="334" spans="1:36" s="173" customFormat="1" x14ac:dyDescent="0.25">
      <c r="A334" s="173">
        <v>9</v>
      </c>
      <c r="B334" s="173" t="s">
        <v>1168</v>
      </c>
      <c r="D334" s="173" t="s">
        <v>284</v>
      </c>
      <c r="E334" s="175">
        <f>-23479.67*AJ334</f>
        <v>-23479.67</v>
      </c>
      <c r="F334" s="174">
        <f t="shared" si="99"/>
        <v>-17873.460478205609</v>
      </c>
      <c r="G334" s="174">
        <f t="shared" si="100"/>
        <v>-15.017571016945057</v>
      </c>
      <c r="H334" s="174">
        <f t="shared" si="101"/>
        <v>-1777.5812034323244</v>
      </c>
      <c r="I334" s="174">
        <f t="shared" si="102"/>
        <v>-1108.8680443791102</v>
      </c>
      <c r="J334" s="174">
        <f t="shared" si="103"/>
        <v>-160.61938792272417</v>
      </c>
      <c r="K334" s="174">
        <f t="shared" si="104"/>
        <v>-2544.1233150432886</v>
      </c>
      <c r="L334" s="174">
        <f t="shared" si="105"/>
        <v>0</v>
      </c>
      <c r="M334" s="174">
        <f t="shared" si="106"/>
        <v>0</v>
      </c>
      <c r="N334" s="174">
        <f t="shared" si="107"/>
        <v>0</v>
      </c>
      <c r="O334" s="174">
        <f t="shared" si="108"/>
        <v>0</v>
      </c>
      <c r="P334" s="174">
        <f t="shared" si="109"/>
        <v>0</v>
      </c>
      <c r="Q334" s="174">
        <f t="shared" si="110"/>
        <v>0</v>
      </c>
      <c r="R334" s="174">
        <f t="shared" si="111"/>
        <v>0</v>
      </c>
      <c r="S334" s="174">
        <f t="shared" si="112"/>
        <v>0</v>
      </c>
      <c r="T334" s="174">
        <f t="shared" si="113"/>
        <v>0</v>
      </c>
      <c r="U334" s="174">
        <f t="shared" si="114"/>
        <v>0</v>
      </c>
      <c r="V334" s="174">
        <f t="shared" si="115"/>
        <v>0</v>
      </c>
      <c r="W334" s="174">
        <f t="shared" si="116"/>
        <v>0</v>
      </c>
      <c r="X334" s="174">
        <f t="shared" si="117"/>
        <v>0</v>
      </c>
      <c r="Y334" s="174">
        <f t="shared" si="118"/>
        <v>0</v>
      </c>
      <c r="Z334" s="174">
        <f t="shared" si="119"/>
        <v>0</v>
      </c>
      <c r="AA334" s="174">
        <f t="shared" si="120"/>
        <v>0</v>
      </c>
      <c r="AB334" s="174">
        <f t="shared" si="121"/>
        <v>0</v>
      </c>
      <c r="AC334" s="174">
        <f t="shared" si="122"/>
        <v>0</v>
      </c>
      <c r="AD334" s="174">
        <f t="shared" si="123"/>
        <v>0</v>
      </c>
      <c r="AE334" s="174">
        <f t="shared" si="124"/>
        <v>0</v>
      </c>
      <c r="AF334" s="174">
        <f t="shared" si="125"/>
        <v>0</v>
      </c>
      <c r="AG334" s="175">
        <f t="shared" si="90"/>
        <v>-23479.670000000002</v>
      </c>
      <c r="AH334" s="180" t="str">
        <f t="shared" si="91"/>
        <v>ok</v>
      </c>
      <c r="AJ334" s="167">
        <f t="shared" si="94"/>
        <v>1</v>
      </c>
    </row>
    <row r="335" spans="1:36" s="173" customFormat="1" x14ac:dyDescent="0.25">
      <c r="A335" s="171">
        <v>10</v>
      </c>
      <c r="B335" s="173" t="s">
        <v>1169</v>
      </c>
      <c r="D335" s="173" t="s">
        <v>284</v>
      </c>
      <c r="E335" s="175">
        <f>584275.309535968*AJ335</f>
        <v>584275.309535968</v>
      </c>
      <c r="F335" s="174">
        <f t="shared" si="99"/>
        <v>444768.67236134375</v>
      </c>
      <c r="G335" s="174">
        <f t="shared" si="100"/>
        <v>373.70184310102974</v>
      </c>
      <c r="H335" s="174">
        <f t="shared" si="101"/>
        <v>44233.875853482605</v>
      </c>
      <c r="I335" s="174">
        <f t="shared" si="102"/>
        <v>27593.412508103742</v>
      </c>
      <c r="J335" s="174">
        <f t="shared" si="103"/>
        <v>3996.9021113170415</v>
      </c>
      <c r="K335" s="174">
        <f t="shared" si="104"/>
        <v>63308.744858619837</v>
      </c>
      <c r="L335" s="174">
        <f t="shared" si="105"/>
        <v>0</v>
      </c>
      <c r="M335" s="174">
        <f t="shared" si="106"/>
        <v>0</v>
      </c>
      <c r="N335" s="174">
        <f t="shared" si="107"/>
        <v>0</v>
      </c>
      <c r="O335" s="174">
        <f t="shared" si="108"/>
        <v>0</v>
      </c>
      <c r="P335" s="174">
        <f t="shared" si="109"/>
        <v>0</v>
      </c>
      <c r="Q335" s="174">
        <f t="shared" si="110"/>
        <v>0</v>
      </c>
      <c r="R335" s="174">
        <f t="shared" si="111"/>
        <v>0</v>
      </c>
      <c r="S335" s="174">
        <f t="shared" si="112"/>
        <v>0</v>
      </c>
      <c r="T335" s="174">
        <f t="shared" si="113"/>
        <v>0</v>
      </c>
      <c r="U335" s="174">
        <f t="shared" si="114"/>
        <v>0</v>
      </c>
      <c r="V335" s="174">
        <f t="shared" si="115"/>
        <v>0</v>
      </c>
      <c r="W335" s="174">
        <f t="shared" si="116"/>
        <v>0</v>
      </c>
      <c r="X335" s="174">
        <f t="shared" si="117"/>
        <v>0</v>
      </c>
      <c r="Y335" s="174">
        <f t="shared" si="118"/>
        <v>0</v>
      </c>
      <c r="Z335" s="174">
        <f t="shared" si="119"/>
        <v>0</v>
      </c>
      <c r="AA335" s="174">
        <f t="shared" si="120"/>
        <v>0</v>
      </c>
      <c r="AB335" s="174">
        <f t="shared" si="121"/>
        <v>0</v>
      </c>
      <c r="AC335" s="174">
        <f t="shared" si="122"/>
        <v>0</v>
      </c>
      <c r="AD335" s="174">
        <f t="shared" si="123"/>
        <v>0</v>
      </c>
      <c r="AE335" s="174">
        <f t="shared" si="124"/>
        <v>0</v>
      </c>
      <c r="AF335" s="174">
        <f t="shared" si="125"/>
        <v>0</v>
      </c>
      <c r="AG335" s="175">
        <f t="shared" si="90"/>
        <v>584275.309535968</v>
      </c>
      <c r="AH335" s="180" t="str">
        <f t="shared" si="91"/>
        <v>ok</v>
      </c>
      <c r="AJ335" s="167">
        <f t="shared" si="94"/>
        <v>1</v>
      </c>
    </row>
    <row r="336" spans="1:36" s="173" customFormat="1" x14ac:dyDescent="0.25">
      <c r="A336" s="171">
        <v>11</v>
      </c>
      <c r="B336" s="173" t="s">
        <v>1170</v>
      </c>
      <c r="D336" s="173" t="s">
        <v>284</v>
      </c>
      <c r="E336" s="175">
        <f>183537.793710527*AJ336</f>
        <v>183537.79371052701</v>
      </c>
      <c r="F336" s="174">
        <f t="shared" si="99"/>
        <v>139714.71925040506</v>
      </c>
      <c r="G336" s="174">
        <f t="shared" si="100"/>
        <v>117.39057028234431</v>
      </c>
      <c r="H336" s="174">
        <f t="shared" si="101"/>
        <v>13895.141295396073</v>
      </c>
      <c r="I336" s="174">
        <f t="shared" si="102"/>
        <v>8667.8898971513936</v>
      </c>
      <c r="J336" s="174">
        <f t="shared" si="103"/>
        <v>1255.5426923151845</v>
      </c>
      <c r="K336" s="174">
        <f t="shared" si="104"/>
        <v>19887.110004976952</v>
      </c>
      <c r="L336" s="174">
        <f t="shared" si="105"/>
        <v>0</v>
      </c>
      <c r="M336" s="174">
        <f t="shared" si="106"/>
        <v>0</v>
      </c>
      <c r="N336" s="174">
        <f t="shared" si="107"/>
        <v>0</v>
      </c>
      <c r="O336" s="174">
        <f t="shared" si="108"/>
        <v>0</v>
      </c>
      <c r="P336" s="174">
        <f t="shared" si="109"/>
        <v>0</v>
      </c>
      <c r="Q336" s="174">
        <f t="shared" si="110"/>
        <v>0</v>
      </c>
      <c r="R336" s="174">
        <f t="shared" si="111"/>
        <v>0</v>
      </c>
      <c r="S336" s="174">
        <f t="shared" si="112"/>
        <v>0</v>
      </c>
      <c r="T336" s="174">
        <f t="shared" si="113"/>
        <v>0</v>
      </c>
      <c r="U336" s="174">
        <f t="shared" si="114"/>
        <v>0</v>
      </c>
      <c r="V336" s="174">
        <f t="shared" si="115"/>
        <v>0</v>
      </c>
      <c r="W336" s="174">
        <f t="shared" si="116"/>
        <v>0</v>
      </c>
      <c r="X336" s="174">
        <f t="shared" si="117"/>
        <v>0</v>
      </c>
      <c r="Y336" s="174">
        <f t="shared" si="118"/>
        <v>0</v>
      </c>
      <c r="Z336" s="174">
        <f t="shared" si="119"/>
        <v>0</v>
      </c>
      <c r="AA336" s="174">
        <f t="shared" si="120"/>
        <v>0</v>
      </c>
      <c r="AB336" s="174">
        <f t="shared" si="121"/>
        <v>0</v>
      </c>
      <c r="AC336" s="174">
        <f t="shared" si="122"/>
        <v>0</v>
      </c>
      <c r="AD336" s="174">
        <f t="shared" si="123"/>
        <v>0</v>
      </c>
      <c r="AE336" s="174">
        <f t="shared" si="124"/>
        <v>0</v>
      </c>
      <c r="AF336" s="174">
        <f t="shared" si="125"/>
        <v>0</v>
      </c>
      <c r="AG336" s="175">
        <f>SUM(F336:AF336)</f>
        <v>183537.79371052701</v>
      </c>
      <c r="AH336" s="180" t="str">
        <f>IF(ABS(E336-AG336)&lt;0.01,"ok","err")</f>
        <v>ok</v>
      </c>
      <c r="AJ336" s="167">
        <f t="shared" si="94"/>
        <v>1</v>
      </c>
    </row>
    <row r="337" spans="1:36" s="173" customFormat="1" x14ac:dyDescent="0.25">
      <c r="A337" s="173">
        <v>12</v>
      </c>
      <c r="B337" s="173" t="s">
        <v>1171</v>
      </c>
      <c r="D337" s="173" t="s">
        <v>284</v>
      </c>
      <c r="E337" s="254">
        <v>-17143.240000000111</v>
      </c>
      <c r="F337" s="174">
        <f t="shared" si="99"/>
        <v>-13049.971426702143</v>
      </c>
      <c r="G337" s="174">
        <f t="shared" si="100"/>
        <v>-10.964797382609502</v>
      </c>
      <c r="H337" s="174">
        <f t="shared" si="101"/>
        <v>-1297.867524966465</v>
      </c>
      <c r="I337" s="174">
        <f t="shared" si="102"/>
        <v>-809.61917323036744</v>
      </c>
      <c r="J337" s="174">
        <f t="shared" si="103"/>
        <v>-117.27322895987807</v>
      </c>
      <c r="K337" s="174">
        <f t="shared" si="104"/>
        <v>-1857.5438487586491</v>
      </c>
      <c r="L337" s="174">
        <f t="shared" si="105"/>
        <v>0</v>
      </c>
      <c r="M337" s="174">
        <f t="shared" si="106"/>
        <v>0</v>
      </c>
      <c r="N337" s="174">
        <f t="shared" si="107"/>
        <v>0</v>
      </c>
      <c r="O337" s="174">
        <f t="shared" si="108"/>
        <v>0</v>
      </c>
      <c r="P337" s="174">
        <f t="shared" si="109"/>
        <v>0</v>
      </c>
      <c r="Q337" s="174">
        <f t="shared" si="110"/>
        <v>0</v>
      </c>
      <c r="R337" s="174">
        <f t="shared" si="111"/>
        <v>0</v>
      </c>
      <c r="S337" s="174">
        <f t="shared" si="112"/>
        <v>0</v>
      </c>
      <c r="T337" s="174">
        <f t="shared" si="113"/>
        <v>0</v>
      </c>
      <c r="U337" s="174">
        <f t="shared" si="114"/>
        <v>0</v>
      </c>
      <c r="V337" s="174">
        <f t="shared" si="115"/>
        <v>0</v>
      </c>
      <c r="W337" s="174">
        <f t="shared" si="116"/>
        <v>0</v>
      </c>
      <c r="X337" s="174">
        <f t="shared" si="117"/>
        <v>0</v>
      </c>
      <c r="Y337" s="174">
        <f t="shared" si="118"/>
        <v>0</v>
      </c>
      <c r="Z337" s="174">
        <f t="shared" si="119"/>
        <v>0</v>
      </c>
      <c r="AA337" s="174">
        <f t="shared" si="120"/>
        <v>0</v>
      </c>
      <c r="AB337" s="174">
        <f t="shared" si="121"/>
        <v>0</v>
      </c>
      <c r="AC337" s="174">
        <f t="shared" si="122"/>
        <v>0</v>
      </c>
      <c r="AD337" s="174">
        <f t="shared" si="123"/>
        <v>0</v>
      </c>
      <c r="AE337" s="174">
        <f t="shared" si="124"/>
        <v>0</v>
      </c>
      <c r="AF337" s="174">
        <f t="shared" si="125"/>
        <v>0</v>
      </c>
      <c r="AG337" s="175">
        <f>SUM(F337:AF337)</f>
        <v>-17143.240000000111</v>
      </c>
      <c r="AH337" s="180" t="str">
        <f>IF(ABS(E337-AG337)&lt;0.01,"ok","err")</f>
        <v>ok</v>
      </c>
      <c r="AJ337" s="167">
        <f t="shared" si="94"/>
        <v>1</v>
      </c>
    </row>
    <row r="338" spans="1:36" s="173" customFormat="1" x14ac:dyDescent="0.25">
      <c r="A338" s="173">
        <v>13</v>
      </c>
      <c r="B338" s="173" t="s">
        <v>1172</v>
      </c>
      <c r="D338" s="173" t="s">
        <v>260</v>
      </c>
      <c r="E338" s="175">
        <f>53333.33*AJ338</f>
        <v>53333.33</v>
      </c>
      <c r="F338" s="174">
        <f t="shared" si="99"/>
        <v>43304.167728715969</v>
      </c>
      <c r="G338" s="174">
        <f t="shared" si="100"/>
        <v>36.939855225072435</v>
      </c>
      <c r="H338" s="174">
        <f t="shared" si="101"/>
        <v>4383.4743387110402</v>
      </c>
      <c r="I338" s="174">
        <f t="shared" si="102"/>
        <v>3108.882416690089</v>
      </c>
      <c r="J338" s="174">
        <f t="shared" si="103"/>
        <v>448.61442216433574</v>
      </c>
      <c r="K338" s="174">
        <f t="shared" si="104"/>
        <v>2051.2512384934853</v>
      </c>
      <c r="L338" s="174">
        <f t="shared" si="105"/>
        <v>0</v>
      </c>
      <c r="M338" s="174">
        <f t="shared" si="106"/>
        <v>0</v>
      </c>
      <c r="N338" s="174">
        <f t="shared" si="107"/>
        <v>0</v>
      </c>
      <c r="O338" s="174">
        <f t="shared" si="108"/>
        <v>0</v>
      </c>
      <c r="P338" s="174">
        <f t="shared" si="109"/>
        <v>0</v>
      </c>
      <c r="Q338" s="174">
        <f t="shared" si="110"/>
        <v>0</v>
      </c>
      <c r="R338" s="174">
        <f t="shared" si="111"/>
        <v>0</v>
      </c>
      <c r="S338" s="174">
        <f t="shared" si="112"/>
        <v>0</v>
      </c>
      <c r="T338" s="174">
        <f t="shared" si="113"/>
        <v>0</v>
      </c>
      <c r="U338" s="174">
        <f t="shared" si="114"/>
        <v>0</v>
      </c>
      <c r="V338" s="174">
        <f t="shared" si="115"/>
        <v>0</v>
      </c>
      <c r="W338" s="174">
        <f t="shared" si="116"/>
        <v>0</v>
      </c>
      <c r="X338" s="174">
        <f t="shared" si="117"/>
        <v>0</v>
      </c>
      <c r="Y338" s="174">
        <f t="shared" si="118"/>
        <v>0</v>
      </c>
      <c r="Z338" s="174">
        <f t="shared" si="119"/>
        <v>0</v>
      </c>
      <c r="AA338" s="174">
        <f t="shared" si="120"/>
        <v>0</v>
      </c>
      <c r="AB338" s="174">
        <f t="shared" si="121"/>
        <v>0</v>
      </c>
      <c r="AC338" s="174">
        <f t="shared" si="122"/>
        <v>0</v>
      </c>
      <c r="AD338" s="174">
        <f t="shared" si="123"/>
        <v>0</v>
      </c>
      <c r="AE338" s="174">
        <f t="shared" si="124"/>
        <v>0</v>
      </c>
      <c r="AF338" s="174">
        <f t="shared" si="125"/>
        <v>0</v>
      </c>
      <c r="AG338" s="175">
        <f t="shared" si="90"/>
        <v>53333.329999999987</v>
      </c>
      <c r="AH338" s="180" t="str">
        <f t="shared" si="91"/>
        <v>ok</v>
      </c>
      <c r="AJ338" s="167">
        <f t="shared" si="94"/>
        <v>1</v>
      </c>
    </row>
    <row r="339" spans="1:36" s="173" customFormat="1" x14ac:dyDescent="0.25">
      <c r="A339" s="171">
        <v>14</v>
      </c>
      <c r="B339" s="173" t="s">
        <v>1179</v>
      </c>
      <c r="D339" s="173" t="s">
        <v>260</v>
      </c>
      <c r="E339" s="175">
        <f>-546054.21*AJ339</f>
        <v>-546054.21</v>
      </c>
      <c r="F339" s="174">
        <f t="shared" si="99"/>
        <v>-443370.46081336925</v>
      </c>
      <c r="G339" s="174">
        <f t="shared" si="100"/>
        <v>-378.20933855885801</v>
      </c>
      <c r="H339" s="174">
        <f t="shared" si="101"/>
        <v>-44880.27687526973</v>
      </c>
      <c r="I339" s="174">
        <f t="shared" si="102"/>
        <v>-31830.345714932802</v>
      </c>
      <c r="J339" s="174">
        <f t="shared" si="103"/>
        <v>-4593.1464225007667</v>
      </c>
      <c r="K339" s="174">
        <f t="shared" si="104"/>
        <v>-21001.770835368457</v>
      </c>
      <c r="L339" s="174">
        <f t="shared" si="105"/>
        <v>0</v>
      </c>
      <c r="M339" s="174">
        <f t="shared" si="106"/>
        <v>0</v>
      </c>
      <c r="N339" s="174">
        <f t="shared" si="107"/>
        <v>0</v>
      </c>
      <c r="O339" s="174">
        <f t="shared" si="108"/>
        <v>0</v>
      </c>
      <c r="P339" s="174">
        <f t="shared" si="109"/>
        <v>0</v>
      </c>
      <c r="Q339" s="174">
        <f t="shared" si="110"/>
        <v>0</v>
      </c>
      <c r="R339" s="174">
        <f t="shared" si="111"/>
        <v>0</v>
      </c>
      <c r="S339" s="174">
        <f t="shared" si="112"/>
        <v>0</v>
      </c>
      <c r="T339" s="174">
        <f t="shared" si="113"/>
        <v>0</v>
      </c>
      <c r="U339" s="174">
        <f t="shared" si="114"/>
        <v>0</v>
      </c>
      <c r="V339" s="174">
        <f t="shared" si="115"/>
        <v>0</v>
      </c>
      <c r="W339" s="174">
        <f t="shared" si="116"/>
        <v>0</v>
      </c>
      <c r="X339" s="174">
        <f t="shared" si="117"/>
        <v>0</v>
      </c>
      <c r="Y339" s="174">
        <f t="shared" si="118"/>
        <v>0</v>
      </c>
      <c r="Z339" s="174">
        <f t="shared" si="119"/>
        <v>0</v>
      </c>
      <c r="AA339" s="174">
        <f t="shared" si="120"/>
        <v>0</v>
      </c>
      <c r="AB339" s="174">
        <f t="shared" si="121"/>
        <v>0</v>
      </c>
      <c r="AC339" s="174">
        <f t="shared" si="122"/>
        <v>0</v>
      </c>
      <c r="AD339" s="174">
        <f t="shared" si="123"/>
        <v>0</v>
      </c>
      <c r="AE339" s="174">
        <f t="shared" si="124"/>
        <v>0</v>
      </c>
      <c r="AF339" s="174">
        <f t="shared" si="125"/>
        <v>0</v>
      </c>
      <c r="AG339" s="175">
        <f t="shared" si="90"/>
        <v>-546054.20999999973</v>
      </c>
      <c r="AH339" s="180" t="str">
        <f t="shared" si="91"/>
        <v>ok</v>
      </c>
      <c r="AJ339" s="167">
        <f t="shared" si="94"/>
        <v>1</v>
      </c>
    </row>
    <row r="340" spans="1:36" s="173" customFormat="1" x14ac:dyDescent="0.25">
      <c r="A340" s="171">
        <v>15</v>
      </c>
      <c r="B340" s="255" t="s">
        <v>1187</v>
      </c>
      <c r="D340" s="173" t="s">
        <v>260</v>
      </c>
      <c r="E340" s="254">
        <v>-10915</v>
      </c>
      <c r="F340" s="174">
        <f t="shared" si="99"/>
        <v>-8862.4691306343484</v>
      </c>
      <c r="G340" s="174">
        <f t="shared" si="100"/>
        <v>-7.5599727184045253</v>
      </c>
      <c r="H340" s="174">
        <f t="shared" si="101"/>
        <v>-897.10547620092359</v>
      </c>
      <c r="I340" s="174">
        <f t="shared" si="102"/>
        <v>-636.25225685649707</v>
      </c>
      <c r="J340" s="174">
        <f t="shared" si="103"/>
        <v>-91.811751074304269</v>
      </c>
      <c r="K340" s="174">
        <f t="shared" si="104"/>
        <v>-419.80141251552067</v>
      </c>
      <c r="L340" s="174">
        <f t="shared" si="105"/>
        <v>0</v>
      </c>
      <c r="M340" s="174">
        <f t="shared" si="106"/>
        <v>0</v>
      </c>
      <c r="N340" s="174">
        <f t="shared" si="107"/>
        <v>0</v>
      </c>
      <c r="O340" s="174">
        <f t="shared" si="108"/>
        <v>0</v>
      </c>
      <c r="P340" s="174">
        <f t="shared" si="109"/>
        <v>0</v>
      </c>
      <c r="Q340" s="174">
        <f t="shared" si="110"/>
        <v>0</v>
      </c>
      <c r="R340" s="174">
        <f t="shared" si="111"/>
        <v>0</v>
      </c>
      <c r="S340" s="174">
        <f t="shared" si="112"/>
        <v>0</v>
      </c>
      <c r="T340" s="174">
        <f t="shared" si="113"/>
        <v>0</v>
      </c>
      <c r="U340" s="174">
        <f t="shared" si="114"/>
        <v>0</v>
      </c>
      <c r="V340" s="174">
        <f t="shared" si="115"/>
        <v>0</v>
      </c>
      <c r="W340" s="174">
        <f t="shared" si="116"/>
        <v>0</v>
      </c>
      <c r="X340" s="174">
        <f t="shared" si="117"/>
        <v>0</v>
      </c>
      <c r="Y340" s="174">
        <f t="shared" si="118"/>
        <v>0</v>
      </c>
      <c r="Z340" s="174">
        <f t="shared" si="119"/>
        <v>0</v>
      </c>
      <c r="AA340" s="174">
        <f t="shared" si="120"/>
        <v>0</v>
      </c>
      <c r="AB340" s="174">
        <f t="shared" si="121"/>
        <v>0</v>
      </c>
      <c r="AC340" s="174">
        <f t="shared" si="122"/>
        <v>0</v>
      </c>
      <c r="AD340" s="174">
        <f t="shared" si="123"/>
        <v>0</v>
      </c>
      <c r="AE340" s="174">
        <f t="shared" si="124"/>
        <v>0</v>
      </c>
      <c r="AF340" s="174">
        <f t="shared" si="125"/>
        <v>0</v>
      </c>
      <c r="AG340" s="175">
        <f t="shared" si="90"/>
        <v>-10915</v>
      </c>
      <c r="AH340" s="180" t="str">
        <f t="shared" si="91"/>
        <v>ok</v>
      </c>
      <c r="AJ340" s="167">
        <f t="shared" si="94"/>
        <v>1</v>
      </c>
    </row>
    <row r="341" spans="1:36" s="173" customFormat="1" x14ac:dyDescent="0.25">
      <c r="A341" s="173">
        <v>16</v>
      </c>
      <c r="B341" s="255" t="s">
        <v>1188</v>
      </c>
      <c r="D341" s="173" t="s">
        <v>260</v>
      </c>
      <c r="E341" s="254">
        <v>-89613</v>
      </c>
      <c r="F341" s="174">
        <f t="shared" si="99"/>
        <v>-72761.561722724306</v>
      </c>
      <c r="G341" s="174">
        <f t="shared" si="100"/>
        <v>-62.067964747080595</v>
      </c>
      <c r="H341" s="174">
        <f t="shared" si="101"/>
        <v>-7365.3058212362221</v>
      </c>
      <c r="I341" s="174">
        <f t="shared" si="102"/>
        <v>-5223.6805766084535</v>
      </c>
      <c r="J341" s="174">
        <f t="shared" si="103"/>
        <v>-753.78162611283813</v>
      </c>
      <c r="K341" s="174">
        <f t="shared" si="104"/>
        <v>-3446.6022885710813</v>
      </c>
      <c r="L341" s="174">
        <f t="shared" si="105"/>
        <v>0</v>
      </c>
      <c r="M341" s="174">
        <f t="shared" si="106"/>
        <v>0</v>
      </c>
      <c r="N341" s="174">
        <f t="shared" si="107"/>
        <v>0</v>
      </c>
      <c r="O341" s="174">
        <f t="shared" si="108"/>
        <v>0</v>
      </c>
      <c r="P341" s="174">
        <f t="shared" si="109"/>
        <v>0</v>
      </c>
      <c r="Q341" s="174">
        <f t="shared" si="110"/>
        <v>0</v>
      </c>
      <c r="R341" s="174">
        <f t="shared" si="111"/>
        <v>0</v>
      </c>
      <c r="S341" s="174">
        <f t="shared" si="112"/>
        <v>0</v>
      </c>
      <c r="T341" s="174">
        <f t="shared" si="113"/>
        <v>0</v>
      </c>
      <c r="U341" s="174">
        <f t="shared" si="114"/>
        <v>0</v>
      </c>
      <c r="V341" s="174">
        <f t="shared" si="115"/>
        <v>0</v>
      </c>
      <c r="W341" s="174">
        <f t="shared" si="116"/>
        <v>0</v>
      </c>
      <c r="X341" s="174">
        <f t="shared" si="117"/>
        <v>0</v>
      </c>
      <c r="Y341" s="174">
        <f t="shared" si="118"/>
        <v>0</v>
      </c>
      <c r="Z341" s="174">
        <f t="shared" si="119"/>
        <v>0</v>
      </c>
      <c r="AA341" s="174">
        <f t="shared" si="120"/>
        <v>0</v>
      </c>
      <c r="AB341" s="174">
        <f t="shared" si="121"/>
        <v>0</v>
      </c>
      <c r="AC341" s="174">
        <f t="shared" si="122"/>
        <v>0</v>
      </c>
      <c r="AD341" s="174">
        <f t="shared" si="123"/>
        <v>0</v>
      </c>
      <c r="AE341" s="174">
        <f t="shared" si="124"/>
        <v>0</v>
      </c>
      <c r="AF341" s="174">
        <f t="shared" si="125"/>
        <v>0</v>
      </c>
      <c r="AG341" s="175">
        <f t="shared" si="90"/>
        <v>-89612.999999999985</v>
      </c>
      <c r="AH341" s="180" t="str">
        <f t="shared" si="91"/>
        <v>ok</v>
      </c>
      <c r="AJ341" s="167"/>
    </row>
    <row r="342" spans="1:36" s="173" customFormat="1" x14ac:dyDescent="0.25">
      <c r="A342" s="173">
        <v>17</v>
      </c>
      <c r="B342" s="255" t="s">
        <v>1189</v>
      </c>
      <c r="D342" s="173" t="s">
        <v>260</v>
      </c>
      <c r="E342" s="254">
        <v>-24600</v>
      </c>
      <c r="F342" s="174">
        <f t="shared" si="99"/>
        <v>-19974.04861324828</v>
      </c>
      <c r="G342" s="174">
        <f t="shared" si="100"/>
        <v>-17.038509287471491</v>
      </c>
      <c r="H342" s="174">
        <f t="shared" si="101"/>
        <v>-2021.8776650978214</v>
      </c>
      <c r="I342" s="174">
        <f t="shared" si="102"/>
        <v>-1433.97210432156</v>
      </c>
      <c r="J342" s="174">
        <f t="shared" si="103"/>
        <v>-206.92341515601328</v>
      </c>
      <c r="K342" s="174">
        <f t="shared" si="104"/>
        <v>-946.13969288885096</v>
      </c>
      <c r="L342" s="174">
        <f t="shared" si="105"/>
        <v>0</v>
      </c>
      <c r="M342" s="174">
        <f t="shared" si="106"/>
        <v>0</v>
      </c>
      <c r="N342" s="174">
        <f t="shared" si="107"/>
        <v>0</v>
      </c>
      <c r="O342" s="174">
        <f t="shared" si="108"/>
        <v>0</v>
      </c>
      <c r="P342" s="174">
        <f t="shared" si="109"/>
        <v>0</v>
      </c>
      <c r="Q342" s="174">
        <f t="shared" si="110"/>
        <v>0</v>
      </c>
      <c r="R342" s="174">
        <f t="shared" si="111"/>
        <v>0</v>
      </c>
      <c r="S342" s="174">
        <f t="shared" si="112"/>
        <v>0</v>
      </c>
      <c r="T342" s="174">
        <f t="shared" si="113"/>
        <v>0</v>
      </c>
      <c r="U342" s="174">
        <f t="shared" si="114"/>
        <v>0</v>
      </c>
      <c r="V342" s="174">
        <f t="shared" si="115"/>
        <v>0</v>
      </c>
      <c r="W342" s="174">
        <f t="shared" si="116"/>
        <v>0</v>
      </c>
      <c r="X342" s="174">
        <f t="shared" si="117"/>
        <v>0</v>
      </c>
      <c r="Y342" s="174">
        <f t="shared" si="118"/>
        <v>0</v>
      </c>
      <c r="Z342" s="174">
        <f t="shared" si="119"/>
        <v>0</v>
      </c>
      <c r="AA342" s="174">
        <f t="shared" si="120"/>
        <v>0</v>
      </c>
      <c r="AB342" s="174">
        <f t="shared" si="121"/>
        <v>0</v>
      </c>
      <c r="AC342" s="174">
        <f t="shared" si="122"/>
        <v>0</v>
      </c>
      <c r="AD342" s="174">
        <f t="shared" si="123"/>
        <v>0</v>
      </c>
      <c r="AE342" s="174">
        <f t="shared" si="124"/>
        <v>0</v>
      </c>
      <c r="AF342" s="174">
        <f t="shared" si="125"/>
        <v>0</v>
      </c>
      <c r="AG342" s="175">
        <f t="shared" ref="AG342" si="126">SUM(F342:AF342)</f>
        <v>-24599.999999999996</v>
      </c>
      <c r="AH342" s="180" t="str">
        <f t="shared" ref="AH342" si="127">IF(ABS(E342-AG342)&lt;0.01,"ok","err")</f>
        <v>ok</v>
      </c>
      <c r="AJ342" s="167"/>
    </row>
    <row r="343" spans="1:36" s="173" customFormat="1" hidden="1" x14ac:dyDescent="0.25">
      <c r="A343" s="171">
        <v>18</v>
      </c>
      <c r="D343" s="173" t="s">
        <v>260</v>
      </c>
      <c r="E343" s="175">
        <v>0</v>
      </c>
      <c r="F343" s="174">
        <f t="shared" si="99"/>
        <v>0</v>
      </c>
      <c r="G343" s="174">
        <f t="shared" si="100"/>
        <v>0</v>
      </c>
      <c r="H343" s="174">
        <f t="shared" si="101"/>
        <v>0</v>
      </c>
      <c r="I343" s="174">
        <f t="shared" si="102"/>
        <v>0</v>
      </c>
      <c r="J343" s="174">
        <f t="shared" si="103"/>
        <v>0</v>
      </c>
      <c r="K343" s="174">
        <f t="shared" si="104"/>
        <v>0</v>
      </c>
      <c r="L343" s="174">
        <f t="shared" si="105"/>
        <v>0</v>
      </c>
      <c r="M343" s="174">
        <f t="shared" si="106"/>
        <v>0</v>
      </c>
      <c r="N343" s="174">
        <f t="shared" si="107"/>
        <v>0</v>
      </c>
      <c r="O343" s="174">
        <f t="shared" si="108"/>
        <v>0</v>
      </c>
      <c r="P343" s="174">
        <f t="shared" si="109"/>
        <v>0</v>
      </c>
      <c r="Q343" s="174">
        <f t="shared" si="110"/>
        <v>0</v>
      </c>
      <c r="R343" s="174">
        <f t="shared" si="111"/>
        <v>0</v>
      </c>
      <c r="S343" s="174">
        <f t="shared" si="112"/>
        <v>0</v>
      </c>
      <c r="T343" s="174">
        <f t="shared" si="113"/>
        <v>0</v>
      </c>
      <c r="U343" s="174">
        <f t="shared" si="114"/>
        <v>0</v>
      </c>
      <c r="V343" s="174">
        <f t="shared" si="115"/>
        <v>0</v>
      </c>
      <c r="W343" s="174">
        <f t="shared" si="116"/>
        <v>0</v>
      </c>
      <c r="X343" s="174">
        <f t="shared" si="117"/>
        <v>0</v>
      </c>
      <c r="Y343" s="174">
        <f t="shared" si="118"/>
        <v>0</v>
      </c>
      <c r="Z343" s="174">
        <f t="shared" si="119"/>
        <v>0</v>
      </c>
      <c r="AA343" s="174">
        <f t="shared" si="120"/>
        <v>0</v>
      </c>
      <c r="AB343" s="174">
        <f t="shared" si="121"/>
        <v>0</v>
      </c>
      <c r="AC343" s="174">
        <f t="shared" si="122"/>
        <v>0</v>
      </c>
      <c r="AD343" s="174">
        <f t="shared" si="123"/>
        <v>0</v>
      </c>
      <c r="AE343" s="174">
        <f t="shared" si="124"/>
        <v>0</v>
      </c>
      <c r="AF343" s="174">
        <f t="shared" si="125"/>
        <v>0</v>
      </c>
      <c r="AG343" s="175">
        <f>SUM(F343:AF343)</f>
        <v>0</v>
      </c>
      <c r="AH343" s="180" t="str">
        <f>IF(ABS(E343-AG343)&lt;0.01,"ok","err")</f>
        <v>ok</v>
      </c>
      <c r="AJ343" s="167"/>
    </row>
    <row r="344" spans="1:36" s="173" customFormat="1" hidden="1" x14ac:dyDescent="0.25">
      <c r="A344" s="171">
        <v>19</v>
      </c>
      <c r="D344" s="173" t="s">
        <v>260</v>
      </c>
      <c r="E344" s="175">
        <v>0</v>
      </c>
      <c r="F344" s="174">
        <f t="shared" si="99"/>
        <v>0</v>
      </c>
      <c r="G344" s="174">
        <f t="shared" si="100"/>
        <v>0</v>
      </c>
      <c r="H344" s="174">
        <f t="shared" si="101"/>
        <v>0</v>
      </c>
      <c r="I344" s="174">
        <f t="shared" si="102"/>
        <v>0</v>
      </c>
      <c r="J344" s="174">
        <f t="shared" si="103"/>
        <v>0</v>
      </c>
      <c r="K344" s="174">
        <f t="shared" si="104"/>
        <v>0</v>
      </c>
      <c r="L344" s="174">
        <f t="shared" si="105"/>
        <v>0</v>
      </c>
      <c r="M344" s="174">
        <f t="shared" si="106"/>
        <v>0</v>
      </c>
      <c r="N344" s="174">
        <f t="shared" si="107"/>
        <v>0</v>
      </c>
      <c r="O344" s="174">
        <f t="shared" si="108"/>
        <v>0</v>
      </c>
      <c r="P344" s="174">
        <f t="shared" si="109"/>
        <v>0</v>
      </c>
      <c r="Q344" s="174">
        <f t="shared" si="110"/>
        <v>0</v>
      </c>
      <c r="R344" s="174">
        <f t="shared" si="111"/>
        <v>0</v>
      </c>
      <c r="S344" s="174">
        <f t="shared" si="112"/>
        <v>0</v>
      </c>
      <c r="T344" s="174">
        <f t="shared" si="113"/>
        <v>0</v>
      </c>
      <c r="U344" s="174">
        <f t="shared" si="114"/>
        <v>0</v>
      </c>
      <c r="V344" s="174">
        <f t="shared" si="115"/>
        <v>0</v>
      </c>
      <c r="W344" s="174">
        <f t="shared" si="116"/>
        <v>0</v>
      </c>
      <c r="X344" s="174">
        <f t="shared" si="117"/>
        <v>0</v>
      </c>
      <c r="Y344" s="174">
        <f t="shared" si="118"/>
        <v>0</v>
      </c>
      <c r="Z344" s="174">
        <f t="shared" si="119"/>
        <v>0</v>
      </c>
      <c r="AA344" s="174">
        <f t="shared" si="120"/>
        <v>0</v>
      </c>
      <c r="AB344" s="174">
        <f t="shared" si="121"/>
        <v>0</v>
      </c>
      <c r="AC344" s="174">
        <f t="shared" si="122"/>
        <v>0</v>
      </c>
      <c r="AD344" s="174">
        <f t="shared" si="123"/>
        <v>0</v>
      </c>
      <c r="AE344" s="174">
        <f t="shared" si="124"/>
        <v>0</v>
      </c>
      <c r="AF344" s="174">
        <f t="shared" si="125"/>
        <v>0</v>
      </c>
      <c r="AG344" s="175">
        <f t="shared" ref="AG344:AG347" si="128">SUM(F344:AF344)</f>
        <v>0</v>
      </c>
      <c r="AH344" s="180" t="str">
        <f t="shared" ref="AH344:AH347" si="129">IF(ABS(E344-AG344)&lt;0.01,"ok","err")</f>
        <v>ok</v>
      </c>
      <c r="AJ344" s="167"/>
    </row>
    <row r="345" spans="1:36" s="173" customFormat="1" hidden="1" x14ac:dyDescent="0.25">
      <c r="A345" s="173">
        <v>20</v>
      </c>
      <c r="D345" s="173" t="s">
        <v>260</v>
      </c>
      <c r="E345" s="174">
        <v>0</v>
      </c>
      <c r="F345" s="174">
        <f t="shared" si="99"/>
        <v>0</v>
      </c>
      <c r="G345" s="174">
        <f t="shared" si="100"/>
        <v>0</v>
      </c>
      <c r="H345" s="174">
        <f t="shared" si="101"/>
        <v>0</v>
      </c>
      <c r="I345" s="174">
        <f t="shared" si="102"/>
        <v>0</v>
      </c>
      <c r="J345" s="174">
        <f t="shared" si="103"/>
        <v>0</v>
      </c>
      <c r="K345" s="174">
        <f t="shared" si="104"/>
        <v>0</v>
      </c>
      <c r="L345" s="174">
        <f t="shared" si="105"/>
        <v>0</v>
      </c>
      <c r="M345" s="174">
        <f t="shared" si="106"/>
        <v>0</v>
      </c>
      <c r="N345" s="174">
        <f t="shared" si="107"/>
        <v>0</v>
      </c>
      <c r="O345" s="174">
        <f t="shared" si="108"/>
        <v>0</v>
      </c>
      <c r="P345" s="174">
        <f t="shared" si="109"/>
        <v>0</v>
      </c>
      <c r="Q345" s="174">
        <f t="shared" si="110"/>
        <v>0</v>
      </c>
      <c r="R345" s="174">
        <f t="shared" si="111"/>
        <v>0</v>
      </c>
      <c r="S345" s="174">
        <f t="shared" si="112"/>
        <v>0</v>
      </c>
      <c r="T345" s="174">
        <f t="shared" si="113"/>
        <v>0</v>
      </c>
      <c r="U345" s="174">
        <f t="shared" si="114"/>
        <v>0</v>
      </c>
      <c r="V345" s="174">
        <f t="shared" si="115"/>
        <v>0</v>
      </c>
      <c r="W345" s="174">
        <f t="shared" si="116"/>
        <v>0</v>
      </c>
      <c r="X345" s="174">
        <f t="shared" si="117"/>
        <v>0</v>
      </c>
      <c r="Y345" s="174">
        <f t="shared" si="118"/>
        <v>0</v>
      </c>
      <c r="Z345" s="174">
        <f t="shared" si="119"/>
        <v>0</v>
      </c>
      <c r="AA345" s="174">
        <f t="shared" si="120"/>
        <v>0</v>
      </c>
      <c r="AB345" s="174">
        <f t="shared" si="121"/>
        <v>0</v>
      </c>
      <c r="AC345" s="174">
        <f t="shared" si="122"/>
        <v>0</v>
      </c>
      <c r="AD345" s="174">
        <f t="shared" si="123"/>
        <v>0</v>
      </c>
      <c r="AE345" s="174">
        <f t="shared" si="124"/>
        <v>0</v>
      </c>
      <c r="AF345" s="174">
        <f t="shared" si="125"/>
        <v>0</v>
      </c>
      <c r="AG345" s="175">
        <f t="shared" si="128"/>
        <v>0</v>
      </c>
      <c r="AH345" s="180" t="str">
        <f t="shared" si="129"/>
        <v>ok</v>
      </c>
      <c r="AJ345" s="167"/>
    </row>
    <row r="346" spans="1:36" s="173" customFormat="1" hidden="1" x14ac:dyDescent="0.25">
      <c r="A346" s="173">
        <v>21</v>
      </c>
      <c r="D346" s="173" t="s">
        <v>260</v>
      </c>
      <c r="E346" s="174">
        <v>0</v>
      </c>
      <c r="F346" s="174">
        <f t="shared" si="99"/>
        <v>0</v>
      </c>
      <c r="G346" s="174">
        <f t="shared" si="100"/>
        <v>0</v>
      </c>
      <c r="H346" s="174">
        <f t="shared" si="101"/>
        <v>0</v>
      </c>
      <c r="I346" s="174">
        <f t="shared" si="102"/>
        <v>0</v>
      </c>
      <c r="J346" s="174">
        <f t="shared" si="103"/>
        <v>0</v>
      </c>
      <c r="K346" s="174">
        <f t="shared" si="104"/>
        <v>0</v>
      </c>
      <c r="L346" s="174">
        <f t="shared" si="105"/>
        <v>0</v>
      </c>
      <c r="M346" s="174">
        <f t="shared" si="106"/>
        <v>0</v>
      </c>
      <c r="N346" s="174">
        <f t="shared" si="107"/>
        <v>0</v>
      </c>
      <c r="O346" s="174">
        <f t="shared" si="108"/>
        <v>0</v>
      </c>
      <c r="P346" s="174">
        <f t="shared" si="109"/>
        <v>0</v>
      </c>
      <c r="Q346" s="174">
        <f t="shared" si="110"/>
        <v>0</v>
      </c>
      <c r="R346" s="174">
        <f t="shared" si="111"/>
        <v>0</v>
      </c>
      <c r="S346" s="174">
        <f t="shared" si="112"/>
        <v>0</v>
      </c>
      <c r="T346" s="174">
        <f t="shared" si="113"/>
        <v>0</v>
      </c>
      <c r="U346" s="174">
        <f t="shared" si="114"/>
        <v>0</v>
      </c>
      <c r="V346" s="174">
        <f t="shared" si="115"/>
        <v>0</v>
      </c>
      <c r="W346" s="174">
        <f t="shared" si="116"/>
        <v>0</v>
      </c>
      <c r="X346" s="174">
        <f t="shared" si="117"/>
        <v>0</v>
      </c>
      <c r="Y346" s="174">
        <f t="shared" si="118"/>
        <v>0</v>
      </c>
      <c r="Z346" s="174">
        <f t="shared" si="119"/>
        <v>0</v>
      </c>
      <c r="AA346" s="174">
        <f t="shared" si="120"/>
        <v>0</v>
      </c>
      <c r="AB346" s="174">
        <f t="shared" si="121"/>
        <v>0</v>
      </c>
      <c r="AC346" s="174">
        <f t="shared" si="122"/>
        <v>0</v>
      </c>
      <c r="AD346" s="174">
        <f t="shared" si="123"/>
        <v>0</v>
      </c>
      <c r="AE346" s="174">
        <f t="shared" si="124"/>
        <v>0</v>
      </c>
      <c r="AF346" s="174">
        <f t="shared" si="125"/>
        <v>0</v>
      </c>
      <c r="AG346" s="175">
        <f t="shared" si="128"/>
        <v>0</v>
      </c>
      <c r="AH346" s="180" t="str">
        <f t="shared" si="129"/>
        <v>ok</v>
      </c>
      <c r="AJ346" s="167"/>
    </row>
    <row r="347" spans="1:36" s="173" customFormat="1" hidden="1" x14ac:dyDescent="0.25">
      <c r="A347" s="171">
        <v>22</v>
      </c>
      <c r="D347" s="173" t="s">
        <v>260</v>
      </c>
      <c r="E347" s="174">
        <v>0</v>
      </c>
      <c r="F347" s="174">
        <f t="shared" si="99"/>
        <v>0</v>
      </c>
      <c r="G347" s="174">
        <f t="shared" si="100"/>
        <v>0</v>
      </c>
      <c r="H347" s="174">
        <f t="shared" si="101"/>
        <v>0</v>
      </c>
      <c r="I347" s="174">
        <f t="shared" si="102"/>
        <v>0</v>
      </c>
      <c r="J347" s="174">
        <f t="shared" si="103"/>
        <v>0</v>
      </c>
      <c r="K347" s="174">
        <f t="shared" si="104"/>
        <v>0</v>
      </c>
      <c r="L347" s="174">
        <f t="shared" si="105"/>
        <v>0</v>
      </c>
      <c r="M347" s="174">
        <f t="shared" si="106"/>
        <v>0</v>
      </c>
      <c r="N347" s="174">
        <f t="shared" si="107"/>
        <v>0</v>
      </c>
      <c r="O347" s="174">
        <f t="shared" si="108"/>
        <v>0</v>
      </c>
      <c r="P347" s="174">
        <f t="shared" si="109"/>
        <v>0</v>
      </c>
      <c r="Q347" s="174">
        <f t="shared" si="110"/>
        <v>0</v>
      </c>
      <c r="R347" s="174">
        <f t="shared" si="111"/>
        <v>0</v>
      </c>
      <c r="S347" s="174">
        <f t="shared" si="112"/>
        <v>0</v>
      </c>
      <c r="T347" s="174">
        <f t="shared" si="113"/>
        <v>0</v>
      </c>
      <c r="U347" s="174">
        <f t="shared" si="114"/>
        <v>0</v>
      </c>
      <c r="V347" s="174">
        <f t="shared" si="115"/>
        <v>0</v>
      </c>
      <c r="W347" s="174">
        <f t="shared" si="116"/>
        <v>0</v>
      </c>
      <c r="X347" s="174">
        <f t="shared" si="117"/>
        <v>0</v>
      </c>
      <c r="Y347" s="174">
        <f t="shared" si="118"/>
        <v>0</v>
      </c>
      <c r="Z347" s="174">
        <f t="shared" si="119"/>
        <v>0</v>
      </c>
      <c r="AA347" s="174">
        <f t="shared" si="120"/>
        <v>0</v>
      </c>
      <c r="AB347" s="174">
        <f t="shared" si="121"/>
        <v>0</v>
      </c>
      <c r="AC347" s="174">
        <f t="shared" si="122"/>
        <v>0</v>
      </c>
      <c r="AD347" s="174">
        <f t="shared" si="123"/>
        <v>0</v>
      </c>
      <c r="AE347" s="174">
        <f t="shared" si="124"/>
        <v>0</v>
      </c>
      <c r="AF347" s="174">
        <f t="shared" si="125"/>
        <v>0</v>
      </c>
      <c r="AG347" s="175">
        <f t="shared" si="128"/>
        <v>0</v>
      </c>
      <c r="AH347" s="180" t="str">
        <f t="shared" si="129"/>
        <v>ok</v>
      </c>
      <c r="AJ347" s="167"/>
    </row>
    <row r="348" spans="1:36" s="173" customFormat="1" hidden="1" x14ac:dyDescent="0.25">
      <c r="A348" s="171">
        <v>23</v>
      </c>
      <c r="D348" s="173" t="s">
        <v>260</v>
      </c>
      <c r="E348" s="174">
        <v>0</v>
      </c>
      <c r="F348" s="174">
        <f t="shared" si="99"/>
        <v>0</v>
      </c>
      <c r="G348" s="174">
        <f t="shared" si="100"/>
        <v>0</v>
      </c>
      <c r="H348" s="174">
        <f t="shared" si="101"/>
        <v>0</v>
      </c>
      <c r="I348" s="174">
        <f t="shared" si="102"/>
        <v>0</v>
      </c>
      <c r="J348" s="174">
        <f t="shared" si="103"/>
        <v>0</v>
      </c>
      <c r="K348" s="174">
        <f t="shared" si="104"/>
        <v>0</v>
      </c>
      <c r="L348" s="174">
        <f t="shared" si="105"/>
        <v>0</v>
      </c>
      <c r="M348" s="174">
        <f t="shared" si="106"/>
        <v>0</v>
      </c>
      <c r="N348" s="174">
        <f t="shared" si="107"/>
        <v>0</v>
      </c>
      <c r="O348" s="174">
        <f t="shared" si="108"/>
        <v>0</v>
      </c>
      <c r="P348" s="174">
        <f t="shared" si="109"/>
        <v>0</v>
      </c>
      <c r="Q348" s="174">
        <f t="shared" si="110"/>
        <v>0</v>
      </c>
      <c r="R348" s="174">
        <f t="shared" si="111"/>
        <v>0</v>
      </c>
      <c r="S348" s="174">
        <f t="shared" si="112"/>
        <v>0</v>
      </c>
      <c r="T348" s="174">
        <f t="shared" si="113"/>
        <v>0</v>
      </c>
      <c r="U348" s="174">
        <f t="shared" si="114"/>
        <v>0</v>
      </c>
      <c r="V348" s="174">
        <f t="shared" si="115"/>
        <v>0</v>
      </c>
      <c r="W348" s="174">
        <f t="shared" si="116"/>
        <v>0</v>
      </c>
      <c r="X348" s="174">
        <f t="shared" si="117"/>
        <v>0</v>
      </c>
      <c r="Y348" s="174">
        <f t="shared" si="118"/>
        <v>0</v>
      </c>
      <c r="Z348" s="174">
        <f t="shared" si="119"/>
        <v>0</v>
      </c>
      <c r="AA348" s="174">
        <f t="shared" si="120"/>
        <v>0</v>
      </c>
      <c r="AB348" s="174">
        <f t="shared" si="121"/>
        <v>0</v>
      </c>
      <c r="AC348" s="174">
        <f t="shared" si="122"/>
        <v>0</v>
      </c>
      <c r="AD348" s="174">
        <f t="shared" si="123"/>
        <v>0</v>
      </c>
      <c r="AE348" s="174">
        <f t="shared" si="124"/>
        <v>0</v>
      </c>
      <c r="AF348" s="174">
        <f t="shared" si="125"/>
        <v>0</v>
      </c>
      <c r="AG348" s="175">
        <f t="shared" ref="AG348:AG349" si="130">SUM(F348:AF348)</f>
        <v>0</v>
      </c>
      <c r="AH348" s="180" t="str">
        <f t="shared" ref="AH348:AH349" si="131">IF(ABS(E348-AG348)&lt;0.01,"ok","err")</f>
        <v>ok</v>
      </c>
      <c r="AJ348" s="167"/>
    </row>
    <row r="349" spans="1:36" s="173" customFormat="1" hidden="1" x14ac:dyDescent="0.25">
      <c r="A349" s="173">
        <v>24</v>
      </c>
      <c r="D349" s="173" t="s">
        <v>260</v>
      </c>
      <c r="E349" s="174">
        <v>0</v>
      </c>
      <c r="F349" s="174">
        <f t="shared" si="99"/>
        <v>0</v>
      </c>
      <c r="G349" s="174">
        <f t="shared" si="100"/>
        <v>0</v>
      </c>
      <c r="H349" s="174">
        <f t="shared" si="101"/>
        <v>0</v>
      </c>
      <c r="I349" s="174">
        <f t="shared" si="102"/>
        <v>0</v>
      </c>
      <c r="J349" s="174">
        <f t="shared" si="103"/>
        <v>0</v>
      </c>
      <c r="K349" s="174">
        <f t="shared" si="104"/>
        <v>0</v>
      </c>
      <c r="L349" s="174">
        <f t="shared" si="105"/>
        <v>0</v>
      </c>
      <c r="M349" s="174">
        <f t="shared" si="106"/>
        <v>0</v>
      </c>
      <c r="N349" s="174">
        <f t="shared" si="107"/>
        <v>0</v>
      </c>
      <c r="O349" s="174">
        <f t="shared" si="108"/>
        <v>0</v>
      </c>
      <c r="P349" s="174">
        <f t="shared" si="109"/>
        <v>0</v>
      </c>
      <c r="Q349" s="174">
        <f t="shared" si="110"/>
        <v>0</v>
      </c>
      <c r="R349" s="174">
        <f t="shared" si="111"/>
        <v>0</v>
      </c>
      <c r="S349" s="174">
        <f t="shared" si="112"/>
        <v>0</v>
      </c>
      <c r="T349" s="174">
        <f t="shared" si="113"/>
        <v>0</v>
      </c>
      <c r="U349" s="174">
        <f t="shared" si="114"/>
        <v>0</v>
      </c>
      <c r="V349" s="174">
        <f t="shared" si="115"/>
        <v>0</v>
      </c>
      <c r="W349" s="174">
        <f t="shared" si="116"/>
        <v>0</v>
      </c>
      <c r="X349" s="174">
        <f t="shared" si="117"/>
        <v>0</v>
      </c>
      <c r="Y349" s="174">
        <f t="shared" si="118"/>
        <v>0</v>
      </c>
      <c r="Z349" s="174">
        <f t="shared" si="119"/>
        <v>0</v>
      </c>
      <c r="AA349" s="174">
        <f t="shared" si="120"/>
        <v>0</v>
      </c>
      <c r="AB349" s="174">
        <f t="shared" si="121"/>
        <v>0</v>
      </c>
      <c r="AC349" s="174">
        <f t="shared" si="122"/>
        <v>0</v>
      </c>
      <c r="AD349" s="174">
        <f t="shared" si="123"/>
        <v>0</v>
      </c>
      <c r="AE349" s="174">
        <f t="shared" si="124"/>
        <v>0</v>
      </c>
      <c r="AF349" s="174">
        <f t="shared" si="125"/>
        <v>0</v>
      </c>
      <c r="AG349" s="175">
        <f t="shared" si="130"/>
        <v>0</v>
      </c>
      <c r="AH349" s="180" t="str">
        <f t="shared" si="131"/>
        <v>ok</v>
      </c>
      <c r="AJ349" s="167"/>
    </row>
    <row r="350" spans="1:36" s="173" customFormat="1" hidden="1" x14ac:dyDescent="0.25">
      <c r="A350" s="173">
        <v>25</v>
      </c>
      <c r="D350" s="173" t="s">
        <v>260</v>
      </c>
      <c r="E350" s="174">
        <v>0</v>
      </c>
      <c r="F350" s="174">
        <f t="shared" si="99"/>
        <v>0</v>
      </c>
      <c r="G350" s="174">
        <f t="shared" si="100"/>
        <v>0</v>
      </c>
      <c r="H350" s="174">
        <f t="shared" si="101"/>
        <v>0</v>
      </c>
      <c r="I350" s="174">
        <f t="shared" si="102"/>
        <v>0</v>
      </c>
      <c r="J350" s="174">
        <f t="shared" si="103"/>
        <v>0</v>
      </c>
      <c r="K350" s="174">
        <f t="shared" si="104"/>
        <v>0</v>
      </c>
      <c r="L350" s="174">
        <f t="shared" si="105"/>
        <v>0</v>
      </c>
      <c r="M350" s="174">
        <f t="shared" si="106"/>
        <v>0</v>
      </c>
      <c r="N350" s="174">
        <f t="shared" si="107"/>
        <v>0</v>
      </c>
      <c r="O350" s="174">
        <f t="shared" si="108"/>
        <v>0</v>
      </c>
      <c r="P350" s="174">
        <f t="shared" si="109"/>
        <v>0</v>
      </c>
      <c r="Q350" s="174">
        <f t="shared" si="110"/>
        <v>0</v>
      </c>
      <c r="R350" s="174">
        <f t="shared" si="111"/>
        <v>0</v>
      </c>
      <c r="S350" s="174">
        <f t="shared" si="112"/>
        <v>0</v>
      </c>
      <c r="T350" s="174">
        <f t="shared" si="113"/>
        <v>0</v>
      </c>
      <c r="U350" s="174">
        <f t="shared" si="114"/>
        <v>0</v>
      </c>
      <c r="V350" s="174">
        <f t="shared" si="115"/>
        <v>0</v>
      </c>
      <c r="W350" s="174">
        <f t="shared" si="116"/>
        <v>0</v>
      </c>
      <c r="X350" s="174">
        <f t="shared" si="117"/>
        <v>0</v>
      </c>
      <c r="Y350" s="174">
        <f t="shared" si="118"/>
        <v>0</v>
      </c>
      <c r="Z350" s="174">
        <f t="shared" si="119"/>
        <v>0</v>
      </c>
      <c r="AA350" s="174">
        <f t="shared" si="120"/>
        <v>0</v>
      </c>
      <c r="AB350" s="174">
        <f t="shared" si="121"/>
        <v>0</v>
      </c>
      <c r="AC350" s="174">
        <f t="shared" si="122"/>
        <v>0</v>
      </c>
      <c r="AD350" s="174">
        <f t="shared" si="123"/>
        <v>0</v>
      </c>
      <c r="AE350" s="174">
        <f t="shared" si="124"/>
        <v>0</v>
      </c>
      <c r="AF350" s="174">
        <f t="shared" si="125"/>
        <v>0</v>
      </c>
      <c r="AG350" s="175">
        <f t="shared" ref="AG350" si="132">SUM(F350:AF350)</f>
        <v>0</v>
      </c>
      <c r="AH350" s="180" t="str">
        <f t="shared" ref="AH350" si="133">IF(ABS(E350-AG350)&lt;0.01,"ok","err")</f>
        <v>ok</v>
      </c>
      <c r="AJ350" s="167"/>
    </row>
    <row r="351" spans="1:36" s="173" customFormat="1" hidden="1" x14ac:dyDescent="0.25">
      <c r="A351" s="171">
        <v>26</v>
      </c>
      <c r="D351" s="173" t="s">
        <v>260</v>
      </c>
      <c r="E351" s="174">
        <v>0</v>
      </c>
      <c r="F351" s="174">
        <f t="shared" si="99"/>
        <v>0</v>
      </c>
      <c r="G351" s="174">
        <f t="shared" si="100"/>
        <v>0</v>
      </c>
      <c r="H351" s="174">
        <f t="shared" si="101"/>
        <v>0</v>
      </c>
      <c r="I351" s="174">
        <f t="shared" si="102"/>
        <v>0</v>
      </c>
      <c r="J351" s="174">
        <f t="shared" si="103"/>
        <v>0</v>
      </c>
      <c r="K351" s="174">
        <f t="shared" si="104"/>
        <v>0</v>
      </c>
      <c r="L351" s="174">
        <f t="shared" si="105"/>
        <v>0</v>
      </c>
      <c r="M351" s="174">
        <f t="shared" si="106"/>
        <v>0</v>
      </c>
      <c r="N351" s="174">
        <f t="shared" si="107"/>
        <v>0</v>
      </c>
      <c r="O351" s="174">
        <f t="shared" si="108"/>
        <v>0</v>
      </c>
      <c r="P351" s="174">
        <f t="shared" si="109"/>
        <v>0</v>
      </c>
      <c r="Q351" s="174">
        <f t="shared" si="110"/>
        <v>0</v>
      </c>
      <c r="R351" s="174">
        <f t="shared" si="111"/>
        <v>0</v>
      </c>
      <c r="S351" s="174">
        <f t="shared" si="112"/>
        <v>0</v>
      </c>
      <c r="T351" s="174">
        <f t="shared" si="113"/>
        <v>0</v>
      </c>
      <c r="U351" s="174">
        <f t="shared" si="114"/>
        <v>0</v>
      </c>
      <c r="V351" s="174">
        <f t="shared" si="115"/>
        <v>0</v>
      </c>
      <c r="W351" s="174">
        <f t="shared" si="116"/>
        <v>0</v>
      </c>
      <c r="X351" s="174">
        <f t="shared" si="117"/>
        <v>0</v>
      </c>
      <c r="Y351" s="174">
        <f t="shared" si="118"/>
        <v>0</v>
      </c>
      <c r="Z351" s="174">
        <f t="shared" si="119"/>
        <v>0</v>
      </c>
      <c r="AA351" s="174">
        <f t="shared" si="120"/>
        <v>0</v>
      </c>
      <c r="AB351" s="174">
        <f t="shared" si="121"/>
        <v>0</v>
      </c>
      <c r="AC351" s="174">
        <f t="shared" si="122"/>
        <v>0</v>
      </c>
      <c r="AD351" s="174">
        <f t="shared" si="123"/>
        <v>0</v>
      </c>
      <c r="AE351" s="174">
        <f t="shared" si="124"/>
        <v>0</v>
      </c>
      <c r="AF351" s="174">
        <f t="shared" si="125"/>
        <v>0</v>
      </c>
      <c r="AG351" s="175">
        <f t="shared" si="90"/>
        <v>0</v>
      </c>
      <c r="AH351" s="180" t="str">
        <f t="shared" si="91"/>
        <v>ok</v>
      </c>
      <c r="AJ351" s="167"/>
    </row>
    <row r="352" spans="1:36" s="173" customFormat="1" x14ac:dyDescent="0.25">
      <c r="B352" s="181" t="s">
        <v>892</v>
      </c>
      <c r="E352" s="182">
        <f>SUM(E326:E351)</f>
        <v>-1185670.0895935055</v>
      </c>
      <c r="F352" s="182">
        <f t="shared" ref="F352:R352" si="134">SUM(F326:F351)</f>
        <v>-249765.79642880382</v>
      </c>
      <c r="G352" s="182">
        <f t="shared" si="134"/>
        <v>3388.8068389645564</v>
      </c>
      <c r="H352" s="182">
        <f t="shared" si="134"/>
        <v>-188428.745648265</v>
      </c>
      <c r="I352" s="182">
        <f t="shared" si="134"/>
        <v>-338285.96053426154</v>
      </c>
      <c r="J352" s="182">
        <f t="shared" si="134"/>
        <v>-56089.674108459716</v>
      </c>
      <c r="K352" s="182">
        <f t="shared" si="134"/>
        <v>60433.402356045422</v>
      </c>
      <c r="L352" s="182">
        <f t="shared" si="134"/>
        <v>-416922.12206872378</v>
      </c>
      <c r="M352" s="182">
        <f t="shared" si="134"/>
        <v>0</v>
      </c>
      <c r="N352" s="182">
        <f t="shared" si="134"/>
        <v>0</v>
      </c>
      <c r="O352" s="182">
        <f t="shared" si="134"/>
        <v>0</v>
      </c>
      <c r="P352" s="182">
        <f t="shared" si="134"/>
        <v>0</v>
      </c>
      <c r="Q352" s="182">
        <f t="shared" si="134"/>
        <v>0</v>
      </c>
      <c r="R352" s="182">
        <f t="shared" si="134"/>
        <v>0</v>
      </c>
      <c r="S352" s="174"/>
      <c r="T352" s="174"/>
      <c r="U352" s="174"/>
      <c r="V352" s="174"/>
      <c r="W352" s="174"/>
      <c r="X352" s="174"/>
      <c r="Y352" s="174"/>
      <c r="Z352" s="174"/>
      <c r="AA352" s="174"/>
      <c r="AB352" s="174"/>
      <c r="AC352" s="174"/>
      <c r="AD352" s="174"/>
      <c r="AE352" s="174"/>
      <c r="AF352" s="174"/>
      <c r="AG352" s="182">
        <f t="shared" si="90"/>
        <v>-1185670.0895935039</v>
      </c>
      <c r="AH352" s="180" t="str">
        <f t="shared" si="91"/>
        <v>ok</v>
      </c>
      <c r="AJ352" s="167"/>
    </row>
    <row r="353" spans="1:34" x14ac:dyDescent="0.25">
      <c r="E353" s="175"/>
    </row>
    <row r="354" spans="1:34" x14ac:dyDescent="0.25">
      <c r="A354" s="14" t="s">
        <v>571</v>
      </c>
      <c r="E354" s="175">
        <f>E323+E352</f>
        <v>48946623.820406489</v>
      </c>
      <c r="F354" s="64">
        <f t="shared" ref="F354:R354" si="135">F323+F352</f>
        <v>33022055.383994594</v>
      </c>
      <c r="G354" s="64">
        <f t="shared" si="135"/>
        <v>28975.154702827858</v>
      </c>
      <c r="H354" s="64">
        <f t="shared" si="135"/>
        <v>3809245.2067136387</v>
      </c>
      <c r="I354" s="64">
        <f t="shared" si="135"/>
        <v>6529191.5666260598</v>
      </c>
      <c r="J354" s="64">
        <f t="shared" si="135"/>
        <v>1798635.3686139805</v>
      </c>
      <c r="K354" s="64">
        <f t="shared" si="135"/>
        <v>322791.25608443446</v>
      </c>
      <c r="L354" s="64">
        <f t="shared" si="135"/>
        <v>3435729.8779312763</v>
      </c>
      <c r="M354" s="64">
        <f t="shared" si="135"/>
        <v>0</v>
      </c>
      <c r="N354" s="64">
        <f t="shared" si="135"/>
        <v>0</v>
      </c>
      <c r="O354" s="64">
        <f t="shared" si="135"/>
        <v>0</v>
      </c>
      <c r="P354" s="64">
        <f t="shared" si="135"/>
        <v>0</v>
      </c>
      <c r="Q354" s="64">
        <f t="shared" si="135"/>
        <v>0</v>
      </c>
      <c r="R354" s="64">
        <f t="shared" si="135"/>
        <v>0</v>
      </c>
      <c r="S354" s="64">
        <f t="shared" ref="S354:AF354" si="136">SUM(S323:S353)</f>
        <v>0</v>
      </c>
      <c r="T354" s="64">
        <f t="shared" si="136"/>
        <v>0</v>
      </c>
      <c r="U354" s="64">
        <f t="shared" si="136"/>
        <v>0</v>
      </c>
      <c r="V354" s="64">
        <f t="shared" si="136"/>
        <v>0</v>
      </c>
      <c r="W354" s="64">
        <f t="shared" si="136"/>
        <v>0</v>
      </c>
      <c r="X354" s="64">
        <f t="shared" si="136"/>
        <v>0</v>
      </c>
      <c r="Y354" s="64">
        <f t="shared" si="136"/>
        <v>0</v>
      </c>
      <c r="Z354" s="64">
        <f t="shared" si="136"/>
        <v>0</v>
      </c>
      <c r="AA354" s="64">
        <f t="shared" si="136"/>
        <v>0</v>
      </c>
      <c r="AB354" s="64">
        <f t="shared" si="136"/>
        <v>0</v>
      </c>
      <c r="AC354" s="64">
        <f t="shared" si="136"/>
        <v>0</v>
      </c>
      <c r="AD354" s="64">
        <f t="shared" si="136"/>
        <v>0</v>
      </c>
      <c r="AE354" s="64">
        <f t="shared" si="136"/>
        <v>0</v>
      </c>
      <c r="AF354" s="64">
        <f t="shared" si="136"/>
        <v>0</v>
      </c>
      <c r="AG354" s="64">
        <f>SUM(F354:AF354)</f>
        <v>48946623.814666808</v>
      </c>
      <c r="AH354" s="21" t="str">
        <f>IF(ABS(E354-AG354)&lt;0.01,"ok","err")</f>
        <v>ok</v>
      </c>
    </row>
    <row r="356" spans="1:34" x14ac:dyDescent="0.25">
      <c r="A356" s="13" t="s">
        <v>572</v>
      </c>
      <c r="E356" s="175">
        <f t="shared" ref="E356:AF356" si="137">E319-E354</f>
        <v>-3422665.880406484</v>
      </c>
      <c r="F356" s="64">
        <f t="shared" si="137"/>
        <v>-4523823.6739217266</v>
      </c>
      <c r="G356" s="64">
        <f t="shared" si="137"/>
        <v>-732.01833607009394</v>
      </c>
      <c r="H356" s="64">
        <f t="shared" si="137"/>
        <v>-41193.81432179315</v>
      </c>
      <c r="I356" s="64">
        <f t="shared" si="137"/>
        <v>531547.70857928786</v>
      </c>
      <c r="J356" s="64">
        <f t="shared" si="137"/>
        <v>114937.42495302693</v>
      </c>
      <c r="K356" s="64">
        <f t="shared" si="137"/>
        <v>168373.54906556552</v>
      </c>
      <c r="L356" s="64">
        <f t="shared" si="137"/>
        <v>328224.94931490626</v>
      </c>
      <c r="M356" s="64">
        <f t="shared" si="137"/>
        <v>0</v>
      </c>
      <c r="N356" s="64">
        <f t="shared" si="137"/>
        <v>0</v>
      </c>
      <c r="O356" s="64">
        <f t="shared" si="137"/>
        <v>0</v>
      </c>
      <c r="P356" s="64">
        <f t="shared" si="137"/>
        <v>0</v>
      </c>
      <c r="Q356" s="64">
        <f t="shared" si="137"/>
        <v>0</v>
      </c>
      <c r="R356" s="64">
        <f t="shared" si="137"/>
        <v>0</v>
      </c>
      <c r="S356" s="64">
        <f t="shared" si="137"/>
        <v>0</v>
      </c>
      <c r="T356" s="64">
        <f t="shared" si="137"/>
        <v>0</v>
      </c>
      <c r="U356" s="64">
        <f t="shared" si="137"/>
        <v>0</v>
      </c>
      <c r="V356" s="64">
        <f t="shared" si="137"/>
        <v>0</v>
      </c>
      <c r="W356" s="64">
        <f t="shared" si="137"/>
        <v>0</v>
      </c>
      <c r="X356" s="64">
        <f t="shared" si="137"/>
        <v>0</v>
      </c>
      <c r="Y356" s="64">
        <f t="shared" si="137"/>
        <v>0</v>
      </c>
      <c r="Z356" s="64">
        <f t="shared" si="137"/>
        <v>0</v>
      </c>
      <c r="AA356" s="64">
        <f t="shared" si="137"/>
        <v>0</v>
      </c>
      <c r="AB356" s="64">
        <f t="shared" si="137"/>
        <v>0</v>
      </c>
      <c r="AC356" s="64">
        <f t="shared" si="137"/>
        <v>0</v>
      </c>
      <c r="AD356" s="64">
        <f t="shared" si="137"/>
        <v>0</v>
      </c>
      <c r="AE356" s="64">
        <f t="shared" si="137"/>
        <v>0</v>
      </c>
      <c r="AF356" s="64">
        <f t="shared" si="137"/>
        <v>0</v>
      </c>
      <c r="AG356" s="64">
        <f>SUM(F356:AF356)</f>
        <v>-3422665.8746668026</v>
      </c>
      <c r="AH356" s="21" t="str">
        <f>IF(ABS(E356-AG356)&lt;0.01,"ok","err")</f>
        <v>ok</v>
      </c>
    </row>
    <row r="358" spans="1:34" x14ac:dyDescent="0.25">
      <c r="A358" s="13" t="s">
        <v>248</v>
      </c>
      <c r="E358" s="175">
        <f t="shared" ref="E358:AF358" si="138">E290</f>
        <v>63080877.98644232</v>
      </c>
      <c r="F358" s="64">
        <f t="shared" si="138"/>
        <v>51218720.466161877</v>
      </c>
      <c r="G358" s="64">
        <f t="shared" si="138"/>
        <v>43691.224611132253</v>
      </c>
      <c r="H358" s="64">
        <f t="shared" si="138"/>
        <v>5184626.759981649</v>
      </c>
      <c r="I358" s="64">
        <f t="shared" si="138"/>
        <v>3677082.0873443196</v>
      </c>
      <c r="J358" s="64">
        <f t="shared" si="138"/>
        <v>530606.12617863517</v>
      </c>
      <c r="K358" s="64">
        <f t="shared" si="138"/>
        <v>2426151.3221646999</v>
      </c>
      <c r="L358" s="64">
        <f t="shared" si="138"/>
        <v>0</v>
      </c>
      <c r="M358" s="64">
        <f t="shared" si="138"/>
        <v>0</v>
      </c>
      <c r="N358" s="64">
        <f t="shared" si="138"/>
        <v>0</v>
      </c>
      <c r="O358" s="64">
        <f t="shared" si="138"/>
        <v>0</v>
      </c>
      <c r="P358" s="64">
        <f t="shared" si="138"/>
        <v>0</v>
      </c>
      <c r="Q358" s="64">
        <f t="shared" si="138"/>
        <v>0</v>
      </c>
      <c r="R358" s="64">
        <f t="shared" si="138"/>
        <v>0</v>
      </c>
      <c r="S358" s="64">
        <f t="shared" si="138"/>
        <v>0</v>
      </c>
      <c r="T358" s="64">
        <f t="shared" si="138"/>
        <v>0</v>
      </c>
      <c r="U358" s="64">
        <f t="shared" si="138"/>
        <v>0</v>
      </c>
      <c r="V358" s="64">
        <f t="shared" si="138"/>
        <v>0</v>
      </c>
      <c r="W358" s="64">
        <f t="shared" si="138"/>
        <v>0</v>
      </c>
      <c r="X358" s="64">
        <f t="shared" si="138"/>
        <v>0</v>
      </c>
      <c r="Y358" s="64">
        <f t="shared" si="138"/>
        <v>0</v>
      </c>
      <c r="Z358" s="64">
        <f t="shared" si="138"/>
        <v>0</v>
      </c>
      <c r="AA358" s="64">
        <f t="shared" si="138"/>
        <v>0</v>
      </c>
      <c r="AB358" s="64">
        <f t="shared" si="138"/>
        <v>0</v>
      </c>
      <c r="AC358" s="64">
        <f t="shared" si="138"/>
        <v>0</v>
      </c>
      <c r="AD358" s="64">
        <f t="shared" si="138"/>
        <v>0</v>
      </c>
      <c r="AE358" s="64">
        <f t="shared" si="138"/>
        <v>0</v>
      </c>
      <c r="AF358" s="64">
        <f t="shared" si="138"/>
        <v>0</v>
      </c>
      <c r="AG358" s="64">
        <f>SUM(F358:AF358)</f>
        <v>63080877.986442313</v>
      </c>
      <c r="AH358" s="21" t="str">
        <f>IF(ABS(E358-AG358)&lt;0.01,"ok","err")</f>
        <v>ok</v>
      </c>
    </row>
    <row r="359" spans="1:34" hidden="1" x14ac:dyDescent="0.25">
      <c r="A359" s="14" t="s">
        <v>747</v>
      </c>
      <c r="E359" s="175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21"/>
    </row>
    <row r="360" spans="1:34" hidden="1" x14ac:dyDescent="0.25">
      <c r="A360" s="13"/>
      <c r="B360" s="14" t="s">
        <v>1185</v>
      </c>
      <c r="D360" s="14" t="s">
        <v>260</v>
      </c>
      <c r="E360" s="175">
        <v>0</v>
      </c>
      <c r="F360" s="40">
        <f>IF(VLOOKUP($D360,$C$5:$AT$525,3,)=0,0,(VLOOKUP($D360,$C$5:$AT$525,4,)/VLOOKUP($D360,$C$5:$AT$525,3,))*$E360)</f>
        <v>0</v>
      </c>
      <c r="G360" s="40">
        <f>IF(VLOOKUP($D360,$C$5:$AT$525,3,)=0,0,(VLOOKUP($D360,$C$5:$AT$525,5,)/VLOOKUP($D360,$C$5:$AT$525,3,))*$E360)</f>
        <v>0</v>
      </c>
      <c r="H360" s="40">
        <f>IF(VLOOKUP($D360,$C$5:$AT$525,3,)=0,0,(VLOOKUP($D360,$C$5:$AT$525,6,)/VLOOKUP($D360,$C$5:$AT$525,3,))*$E360)</f>
        <v>0</v>
      </c>
      <c r="I360" s="40">
        <f>IF(VLOOKUP($D360,$C$5:$AT$525,3,)=0,0,(VLOOKUP($D360,$C$5:$AT$525,7,)/VLOOKUP($D360,$C$5:$AT$525,3,))*$E360)</f>
        <v>0</v>
      </c>
      <c r="J360" s="40">
        <f>IF(VLOOKUP($D360,$C$5:$AT$525,3,)=0,0,(VLOOKUP($D360,$C$5:$AT$525,8,)/VLOOKUP($D360,$C$5:$AT$525,3,))*$E360)</f>
        <v>0</v>
      </c>
      <c r="K360" s="40">
        <f>IF(VLOOKUP($D360,$C$5:$AT$525,3,)=0,0,(VLOOKUP($D360,$C$5:$AT$525,9,)/VLOOKUP($D360,$C$5:$AT$525,3,))*$E360)</f>
        <v>0</v>
      </c>
      <c r="L360" s="40">
        <f>IF(VLOOKUP($D360,$C$5:$AT$525,3,)=0,0,(VLOOKUP($D360,$C$5:$AT$525,10,)/VLOOKUP($D360,$C$5:$AT$525,3,))*$E360)</f>
        <v>0</v>
      </c>
      <c r="M360" s="40">
        <f>IF(VLOOKUP($D360,$C$5:$AT$525,3,)=0,0,(VLOOKUP($D360,$C$5:$AT$525,11,)/VLOOKUP($D360,$C$5:$AT$525,3,))*$E360)</f>
        <v>0</v>
      </c>
      <c r="N360" s="40">
        <f>IF(VLOOKUP($D360,$C$5:$AT$525,3,)=0,0,(VLOOKUP($D360,$C$5:$AT$525,12,)/VLOOKUP($D360,$C$5:$AT$525,3,))*$E360)</f>
        <v>0</v>
      </c>
      <c r="O360" s="40">
        <f>IF(VLOOKUP($D360,$C$5:$AT$525,3,)=0,0,(VLOOKUP($D360,$C$5:$AT$525,13,)/VLOOKUP($D360,$C$5:$AT$525,3,))*$E360)</f>
        <v>0</v>
      </c>
      <c r="P360" s="40">
        <f>IF(VLOOKUP($D360,$C$5:$AT$525,3,)=0,0,(VLOOKUP($D360,$C$5:$AT$525,14,)/VLOOKUP($D360,$C$5:$AT$525,3,))*$E360)</f>
        <v>0</v>
      </c>
      <c r="Q360" s="40">
        <f>IF(VLOOKUP($D360,$C$5:$AT$525,3,)=0,0,(VLOOKUP($D360,$C$5:$AT$525,15,)/VLOOKUP($D360,$C$5:$AT$525,3,))*$E360)</f>
        <v>0</v>
      </c>
      <c r="R360" s="40">
        <f>IF(VLOOKUP($D360,$C$5:$AT$525,3,)=0,0,(VLOOKUP($D360,$C$5:$AT$525,16,)/VLOOKUP($D360,$C$5:$AT$525,3,))*$E360)</f>
        <v>0</v>
      </c>
      <c r="S360" s="40">
        <f>IF(VLOOKUP($D360,$C$5:$AT$525,3,)=0,0,(VLOOKUP($D360,$C$5:$AT$525,17,)/VLOOKUP($D360,$C$5:$AT$525,3,))*$E360)</f>
        <v>0</v>
      </c>
      <c r="T360" s="40">
        <f>IF(VLOOKUP($D360,$C$5:$AT$525,3,)=0,0,(VLOOKUP($D360,$C$5:$AT$525,18,)/VLOOKUP($D360,$C$5:$AT$525,3,))*$E360)</f>
        <v>0</v>
      </c>
      <c r="U360" s="40">
        <f>IF(VLOOKUP($D360,$C$5:$AT$525,3,)=0,0,(VLOOKUP($D360,$C$5:$AT$525,19,)/VLOOKUP($D360,$C$5:$AT$525,3,))*$E360)</f>
        <v>0</v>
      </c>
      <c r="V360" s="40">
        <f>IF(VLOOKUP($D360,$C$5:$AT$525,3,)=0,0,(VLOOKUP($D360,$C$5:$AT$525,20,)/VLOOKUP($D360,$C$5:$AT$525,3,))*$E360)</f>
        <v>0</v>
      </c>
      <c r="W360" s="40">
        <f>IF(VLOOKUP($D360,$C$5:$AT$525,3,)=0,0,(VLOOKUP($D360,$C$5:$AT$525,21,)/VLOOKUP($D360,$C$5:$AT$525,3,))*$E360)</f>
        <v>0</v>
      </c>
      <c r="X360" s="40">
        <f>IF(VLOOKUP($D360,$C$5:$AT$525,3,)=0,0,(VLOOKUP($D360,$C$5:$AT$525,22,)/VLOOKUP($D360,$C$5:$AT$525,3,))*$E360)</f>
        <v>0</v>
      </c>
      <c r="Y360" s="40">
        <f>IF(VLOOKUP($D360,$C$5:$AT$525,3,)=0,0,(VLOOKUP($D360,$C$5:$AT$525,23,)/VLOOKUP($D360,$C$5:$AT$525,3,))*$E360)</f>
        <v>0</v>
      </c>
      <c r="Z360" s="40">
        <f>IF(VLOOKUP($D360,$C$5:$AT$525,3,)=0,0,(VLOOKUP($D360,$C$5:$AT$525,24,)/VLOOKUP($D360,$C$5:$AT$525,3,))*$E360)</f>
        <v>0</v>
      </c>
      <c r="AA360" s="40">
        <f>IF(VLOOKUP($D360,$C$5:$AT$525,3,)=0,0,(VLOOKUP($D360,$C$5:$AT$525,25,)/VLOOKUP($D360,$C$5:$AT$525,3,))*$E360)</f>
        <v>0</v>
      </c>
      <c r="AB360" s="40">
        <f>IF(VLOOKUP($D360,$C$5:$AT$525,3,)=0,0,(VLOOKUP($D360,$C$5:$AT$525,26,)/VLOOKUP($D360,$C$5:$AT$525,3,))*$E360)</f>
        <v>0</v>
      </c>
      <c r="AC360" s="40">
        <f>IF(VLOOKUP($D360,$C$5:$AT$525,3,)=0,0,(VLOOKUP($D360,$C$5:$AT$525,27,)/VLOOKUP($D360,$C$5:$AT$525,3,))*$E360)</f>
        <v>0</v>
      </c>
      <c r="AD360" s="40">
        <f>IF(VLOOKUP($D360,$C$5:$AT$525,3,)=0,0,(VLOOKUP($D360,$C$5:$AT$525,28,)/VLOOKUP($D360,$C$5:$AT$525,3,))*$E360)</f>
        <v>0</v>
      </c>
      <c r="AE360" s="40">
        <f>IF(VLOOKUP($D360,$C$5:$AT$525,3,)=0,0,(VLOOKUP($D360,$C$5:$AT$525,29,)/VLOOKUP($D360,$C$5:$AT$525,3,))*$E360)</f>
        <v>0</v>
      </c>
      <c r="AF360" s="40">
        <f>IF(VLOOKUP($D360,$C$5:$AT$525,3,)=0,0,(VLOOKUP($D360,$C$5:$AT$525,30,)/VLOOKUP($D360,$C$5:$AT$525,3,))*$E360)</f>
        <v>0</v>
      </c>
      <c r="AG360" s="64">
        <f>SUM(F360:AF360)</f>
        <v>0</v>
      </c>
      <c r="AH360" s="21" t="str">
        <f>IF(ABS(E360-AG360)&lt;0.01,"ok","err")</f>
        <v>ok</v>
      </c>
    </row>
    <row r="361" spans="1:34" x14ac:dyDescent="0.25">
      <c r="A361" s="13"/>
      <c r="E361" s="175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64"/>
      <c r="AH361" s="21"/>
    </row>
    <row r="362" spans="1:34" x14ac:dyDescent="0.25">
      <c r="A362" s="14" t="s">
        <v>746</v>
      </c>
      <c r="E362" s="175">
        <f>E358+E360</f>
        <v>63080877.98644232</v>
      </c>
      <c r="F362" s="64">
        <f t="shared" ref="F362:U362" si="139">F358+F360</f>
        <v>51218720.466161877</v>
      </c>
      <c r="G362" s="64">
        <f t="shared" si="139"/>
        <v>43691.224611132253</v>
      </c>
      <c r="H362" s="64">
        <f t="shared" si="139"/>
        <v>5184626.759981649</v>
      </c>
      <c r="I362" s="64">
        <f t="shared" si="139"/>
        <v>3677082.0873443196</v>
      </c>
      <c r="J362" s="64">
        <f t="shared" si="139"/>
        <v>530606.12617863517</v>
      </c>
      <c r="K362" s="64">
        <f t="shared" si="139"/>
        <v>2426151.3221646999</v>
      </c>
      <c r="L362" s="64">
        <f t="shared" si="139"/>
        <v>0</v>
      </c>
      <c r="M362" s="64">
        <f t="shared" si="139"/>
        <v>0</v>
      </c>
      <c r="N362" s="64">
        <f t="shared" si="139"/>
        <v>0</v>
      </c>
      <c r="O362" s="64">
        <f t="shared" si="139"/>
        <v>0</v>
      </c>
      <c r="P362" s="64">
        <f>P358+P360</f>
        <v>0</v>
      </c>
      <c r="Q362" s="64">
        <f t="shared" si="139"/>
        <v>0</v>
      </c>
      <c r="R362" s="64">
        <f t="shared" si="139"/>
        <v>0</v>
      </c>
      <c r="S362" s="40">
        <f t="shared" si="139"/>
        <v>0</v>
      </c>
      <c r="T362" s="40">
        <f t="shared" si="139"/>
        <v>0</v>
      </c>
      <c r="U362" s="40">
        <f t="shared" si="139"/>
        <v>0</v>
      </c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64">
        <f>SUM(F362:AF362)</f>
        <v>63080877.986442313</v>
      </c>
      <c r="AH362" s="21" t="str">
        <f>IF(ABS(E362-AG362)&lt;0.01,"ok","err")</f>
        <v>ok</v>
      </c>
    </row>
    <row r="363" spans="1:34" ht="13.8" thickBot="1" x14ac:dyDescent="0.3">
      <c r="AG363" s="64"/>
      <c r="AH363" s="21"/>
    </row>
    <row r="364" spans="1:34" ht="13.8" thickBot="1" x14ac:dyDescent="0.3">
      <c r="A364" s="120" t="s">
        <v>333</v>
      </c>
      <c r="B364" s="121"/>
      <c r="C364" s="121"/>
      <c r="D364" s="121"/>
      <c r="E364" s="185">
        <f>IF(E362=0,"NA",E356/E362)</f>
        <v>-5.4258374164387849E-2</v>
      </c>
      <c r="F364" s="74">
        <f t="shared" ref="F364:O364" si="140">IF(F362=0,"NA",F356/F362)</f>
        <v>-8.8323636997344218E-2</v>
      </c>
      <c r="G364" s="74">
        <f t="shared" si="140"/>
        <v>-1.675435611121736E-2</v>
      </c>
      <c r="H364" s="74">
        <f t="shared" si="140"/>
        <v>-7.9453770211105716E-3</v>
      </c>
      <c r="I364" s="74">
        <f t="shared" si="140"/>
        <v>0.14455693290306307</v>
      </c>
      <c r="J364" s="74">
        <f t="shared" si="140"/>
        <v>0.21661533721970599</v>
      </c>
      <c r="K364" s="74">
        <f t="shared" si="140"/>
        <v>6.9399442453299473E-2</v>
      </c>
      <c r="L364" s="160" t="str">
        <f t="shared" si="140"/>
        <v>NA</v>
      </c>
      <c r="M364" s="160" t="str">
        <f t="shared" si="140"/>
        <v>NA</v>
      </c>
      <c r="N364" s="160" t="str">
        <f t="shared" si="140"/>
        <v>NA</v>
      </c>
      <c r="O364" s="160" t="str">
        <f t="shared" si="140"/>
        <v>NA</v>
      </c>
      <c r="P364" s="74" t="e">
        <f t="shared" ref="P364:R364" si="141">P356/P362</f>
        <v>#DIV/0!</v>
      </c>
      <c r="Q364" s="74" t="e">
        <f t="shared" si="141"/>
        <v>#DIV/0!</v>
      </c>
      <c r="R364" s="74" t="e">
        <f t="shared" si="141"/>
        <v>#DIV/0!</v>
      </c>
      <c r="S364" s="74" t="e">
        <f t="shared" ref="S364:AF364" si="142">S356/S358</f>
        <v>#DIV/0!</v>
      </c>
      <c r="T364" s="74" t="e">
        <f t="shared" si="142"/>
        <v>#DIV/0!</v>
      </c>
      <c r="U364" s="74" t="e">
        <f t="shared" si="142"/>
        <v>#DIV/0!</v>
      </c>
      <c r="V364" s="74" t="e">
        <f t="shared" si="142"/>
        <v>#DIV/0!</v>
      </c>
      <c r="W364" s="74" t="e">
        <f t="shared" si="142"/>
        <v>#DIV/0!</v>
      </c>
      <c r="X364" s="74" t="e">
        <f t="shared" si="142"/>
        <v>#DIV/0!</v>
      </c>
      <c r="Y364" s="74" t="e">
        <f t="shared" si="142"/>
        <v>#DIV/0!</v>
      </c>
      <c r="Z364" s="74" t="e">
        <f t="shared" si="142"/>
        <v>#DIV/0!</v>
      </c>
      <c r="AA364" s="74" t="e">
        <f t="shared" si="142"/>
        <v>#DIV/0!</v>
      </c>
      <c r="AB364" s="74" t="e">
        <f t="shared" si="142"/>
        <v>#DIV/0!</v>
      </c>
      <c r="AC364" s="74" t="e">
        <f t="shared" si="142"/>
        <v>#DIV/0!</v>
      </c>
      <c r="AD364" s="74" t="e">
        <f t="shared" si="142"/>
        <v>#DIV/0!</v>
      </c>
      <c r="AE364" s="74" t="e">
        <f t="shared" si="142"/>
        <v>#DIV/0!</v>
      </c>
      <c r="AF364" s="74" t="e">
        <f t="shared" si="142"/>
        <v>#DIV/0!</v>
      </c>
      <c r="AG364" s="64"/>
      <c r="AH364" s="21"/>
    </row>
    <row r="365" spans="1:34" x14ac:dyDescent="0.25">
      <c r="A365" s="13" t="s">
        <v>935</v>
      </c>
      <c r="B365" s="13"/>
      <c r="C365" s="13"/>
      <c r="D365" s="13"/>
      <c r="E365" s="196">
        <f>IF(E364="NA","NA",E364/$E$364)</f>
        <v>1</v>
      </c>
      <c r="F365" s="112">
        <f t="shared" ref="F365:O365" si="143">IF(F364="NA","NA",F364/$E$364)</f>
        <v>1.6278341980861435</v>
      </c>
      <c r="G365" s="112">
        <f t="shared" si="143"/>
        <v>0.30878839200850916</v>
      </c>
      <c r="H365" s="112">
        <f t="shared" si="143"/>
        <v>0.14643595838382992</v>
      </c>
      <c r="I365" s="112">
        <f t="shared" si="143"/>
        <v>-2.6642326669261336</v>
      </c>
      <c r="J365" s="112">
        <f t="shared" si="143"/>
        <v>-3.992293181572701</v>
      </c>
      <c r="K365" s="112">
        <f t="shared" si="143"/>
        <v>-1.2790549573608376</v>
      </c>
      <c r="L365" s="197" t="str">
        <f t="shared" si="143"/>
        <v>NA</v>
      </c>
      <c r="M365" s="30" t="str">
        <f t="shared" si="143"/>
        <v>NA</v>
      </c>
      <c r="N365" s="30" t="str">
        <f t="shared" si="143"/>
        <v>NA</v>
      </c>
      <c r="O365" s="30" t="str">
        <f t="shared" si="143"/>
        <v>NA</v>
      </c>
      <c r="P365" s="123" t="e">
        <f t="shared" ref="P365:AF365" si="144">P364/$E$364</f>
        <v>#DIV/0!</v>
      </c>
      <c r="Q365" s="123" t="e">
        <f t="shared" si="144"/>
        <v>#DIV/0!</v>
      </c>
      <c r="R365" s="123" t="e">
        <f t="shared" si="144"/>
        <v>#DIV/0!</v>
      </c>
      <c r="S365" s="123" t="e">
        <f t="shared" si="144"/>
        <v>#DIV/0!</v>
      </c>
      <c r="T365" s="123" t="e">
        <f t="shared" si="144"/>
        <v>#DIV/0!</v>
      </c>
      <c r="U365" s="123" t="e">
        <f t="shared" si="144"/>
        <v>#DIV/0!</v>
      </c>
      <c r="V365" s="123" t="e">
        <f t="shared" si="144"/>
        <v>#DIV/0!</v>
      </c>
      <c r="W365" s="123" t="e">
        <f t="shared" si="144"/>
        <v>#DIV/0!</v>
      </c>
      <c r="X365" s="123" t="e">
        <f t="shared" si="144"/>
        <v>#DIV/0!</v>
      </c>
      <c r="Y365" s="123" t="e">
        <f t="shared" si="144"/>
        <v>#DIV/0!</v>
      </c>
      <c r="Z365" s="123" t="e">
        <f t="shared" si="144"/>
        <v>#DIV/0!</v>
      </c>
      <c r="AA365" s="123" t="e">
        <f t="shared" si="144"/>
        <v>#DIV/0!</v>
      </c>
      <c r="AB365" s="123" t="e">
        <f t="shared" si="144"/>
        <v>#DIV/0!</v>
      </c>
      <c r="AC365" s="123" t="e">
        <f t="shared" si="144"/>
        <v>#DIV/0!</v>
      </c>
      <c r="AD365" s="123" t="e">
        <f t="shared" si="144"/>
        <v>#DIV/0!</v>
      </c>
      <c r="AE365" s="123" t="e">
        <f t="shared" si="144"/>
        <v>#DIV/0!</v>
      </c>
      <c r="AF365" s="123" t="e">
        <f t="shared" si="144"/>
        <v>#DIV/0!</v>
      </c>
      <c r="AG365" s="64"/>
      <c r="AH365" s="21"/>
    </row>
    <row r="367" spans="1:34" x14ac:dyDescent="0.25">
      <c r="A367" s="19" t="s">
        <v>566</v>
      </c>
    </row>
    <row r="369" spans="1:34" x14ac:dyDescent="0.25">
      <c r="A369" s="13" t="s">
        <v>334</v>
      </c>
    </row>
    <row r="370" spans="1:34" x14ac:dyDescent="0.25">
      <c r="A370" s="14" t="s">
        <v>335</v>
      </c>
      <c r="C370" s="14" t="s">
        <v>213</v>
      </c>
      <c r="D370" s="14" t="s">
        <v>11</v>
      </c>
      <c r="E370" s="186">
        <v>1</v>
      </c>
      <c r="F370" s="26">
        <f>IF(VLOOKUP($D370,$C$5:$AT$507,3,)=0,0,(VLOOKUP($D370,$C$5:$AT$507,4,)/VLOOKUP($D370,$C$5:$AT$507,3,))*$E370)</f>
        <v>0.55609596088373325</v>
      </c>
      <c r="G370" s="26">
        <f>IF(VLOOKUP($D370,$C$5:$AT$507,3,)=0,0,(VLOOKUP($D370,$C$5:$AT$507,5,)/VLOOKUP($D370,$C$5:$AT$507,3,))*$E370)</f>
        <v>5.4890039313805212E-4</v>
      </c>
      <c r="H370" s="26">
        <f>IF(VLOOKUP($D370,$C$5:$AT$507,3,)=0,0,(VLOOKUP($D370,$C$5:$AT$507,6,)/VLOOKUP($D370,$C$5:$AT$507,3,))*$E370)</f>
        <v>7.0705713509675014E-2</v>
      </c>
      <c r="I370" s="26">
        <f>IF(VLOOKUP($D370,$C$5:$AT$507,3,)=0,0,(VLOOKUP($D370,$C$5:$AT$507,7,)/VLOOKUP($D370,$C$5:$AT$507,3,))*$E370)</f>
        <v>0.14501479223217817</v>
      </c>
      <c r="J370" s="26">
        <f>IF(VLOOKUP($D370,$C$5:$AT$507,3,)=0,0,(VLOOKUP($D370,$C$5:$AT$507,8,)/VLOOKUP($D370,$C$5:$AT$507,3,))*$E370)</f>
        <v>4.8266883832726787E-2</v>
      </c>
      <c r="K370" s="26">
        <f>IF(VLOOKUP($D370,$C$5:$AT$507,3,)=0,0,(VLOOKUP($D370,$C$5:$AT$507,9,)/VLOOKUP($D370,$C$5:$AT$507,3,))*$E370)</f>
        <v>0</v>
      </c>
      <c r="L370" s="26">
        <f>IF(VLOOKUP($D370,$C$5:$AT$507,3,)=0,0,(VLOOKUP($D370,$C$5:$AT$507,10,)/VLOOKUP($D370,$C$5:$AT$507,3,))*$E370)</f>
        <v>0.17936774914854867</v>
      </c>
      <c r="M370" s="26">
        <f>IF(VLOOKUP($D370,$C$5:$AT$507,3,)=0,0,(VLOOKUP($D370,$C$5:$AT$507,11,)/VLOOKUP($D370,$C$5:$AT$507,3,))*$E370)</f>
        <v>0</v>
      </c>
      <c r="N370" s="26">
        <f>IF(VLOOKUP($D370,$C$5:$AT$507,3,)=0,0,(VLOOKUP($D370,$C$5:$AT$507,12,)/VLOOKUP($D370,$C$5:$AT$507,3,))*$E370)</f>
        <v>0</v>
      </c>
      <c r="O370" s="26">
        <f>IF(VLOOKUP($D370,$C$5:$AT$507,3,)=0,0,(VLOOKUP($D370,$C$5:$AT$507,13,)/VLOOKUP($D370,$C$5:$AT$507,3,))*$E370)</f>
        <v>0</v>
      </c>
      <c r="P370" s="26">
        <f>IF(VLOOKUP($D370,$C$5:$AT$507,3,)=0,0,(VLOOKUP($D370,$C$5:$AT$507,14,)/VLOOKUP($D370,$C$5:$AT$507,3,))*$E370)</f>
        <v>0</v>
      </c>
      <c r="Q370" s="26">
        <f>IF(VLOOKUP($D370,$C$5:$AT$507,3,)=0,0,(VLOOKUP($D370,$C$5:$AT$507,15,)/VLOOKUP($D370,$C$5:$AT$507,3,))*$E370)</f>
        <v>0</v>
      </c>
      <c r="R370" s="26">
        <f>IF(VLOOKUP($D370,$C$5:$AT$507,3,)=0,0,(VLOOKUP($D370,$C$5:$AT$507,16,)/VLOOKUP($D370,$C$5:$AT$507,3,))*$E370)</f>
        <v>0</v>
      </c>
      <c r="S370" s="26">
        <f>IF(VLOOKUP($D370,$C$5:$AT$507,3,)=0,0,(VLOOKUP($D370,$C$5:$AT$507,17,)/VLOOKUP($D370,$C$5:$AT$507,3,))*$E370)</f>
        <v>0</v>
      </c>
      <c r="T370" s="26">
        <f>IF(VLOOKUP($D370,$C$5:$AT$507,3,)=0,0,(VLOOKUP($D370,$C$5:$AT$507,18,)/VLOOKUP($D370,$C$5:$AT$507,3,))*$E370)</f>
        <v>0</v>
      </c>
      <c r="U370" s="26">
        <f>IF(VLOOKUP($D370,$C$5:$AT$507,3,)=0,0,(VLOOKUP($D370,$C$5:$AT$507,19,)/VLOOKUP($D370,$C$5:$AT$507,3,))*$E370)</f>
        <v>0</v>
      </c>
      <c r="V370" s="26">
        <f>IF(VLOOKUP($D370,$C$5:$AT$507,3,)=0,0,(VLOOKUP($D370,$C$5:$AT$507,20,)/VLOOKUP($D370,$C$5:$AT$507,3,))*$E370)</f>
        <v>0</v>
      </c>
      <c r="W370" s="26">
        <f>IF(VLOOKUP($D370,$C$5:$AT$507,3,)=0,0,(VLOOKUP($D370,$C$5:$AT$507,21,)/VLOOKUP($D370,$C$5:$AT$507,3,))*$E370)</f>
        <v>0</v>
      </c>
      <c r="X370" s="26">
        <f>IF(VLOOKUP($D370,$C$5:$AT$507,3,)=0,0,(VLOOKUP($D370,$C$5:$AT$507,22,)/VLOOKUP($D370,$C$5:$AT$507,3,))*$E370)</f>
        <v>0</v>
      </c>
      <c r="Y370" s="26">
        <f>IF(VLOOKUP($D370,$C$5:$AT$507,3,)=0,0,(VLOOKUP($D370,$C$5:$AT$507,23,)/VLOOKUP($D370,$C$5:$AT$507,3,))*$E370)</f>
        <v>0</v>
      </c>
      <c r="Z370" s="26">
        <f>IF(VLOOKUP($D370,$C$5:$AT$507,3,)=0,0,(VLOOKUP($D370,$C$5:$AT$507,24,)/VLOOKUP($D370,$C$5:$AT$507,3,))*$E370)</f>
        <v>0</v>
      </c>
      <c r="AA370" s="26">
        <f>IF(VLOOKUP($D370,$C$5:$AT$507,3,)=0,0,(VLOOKUP($D370,$C$5:$AT$507,25,)/VLOOKUP($D370,$C$5:$AT$507,3,))*$E370)</f>
        <v>0</v>
      </c>
      <c r="AB370" s="26">
        <f>IF(VLOOKUP($D370,$C$5:$AT$507,3,)=0,0,(VLOOKUP($D370,$C$5:$AT$507,26,)/VLOOKUP($D370,$C$5:$AT$507,3,))*$E370)</f>
        <v>0</v>
      </c>
      <c r="AC370" s="26">
        <f>IF(VLOOKUP($D370,$C$5:$AT$507,3,)=0,0,(VLOOKUP($D370,$C$5:$AT$507,27,)/VLOOKUP($D370,$C$5:$AT$507,3,))*$E370)</f>
        <v>0</v>
      </c>
      <c r="AD370" s="26">
        <f>IF(VLOOKUP($D370,$C$5:$AT$507,3,)=0,0,(VLOOKUP($D370,$C$5:$AT$507,28,)/VLOOKUP($D370,$C$5:$AT$507,3,))*$E370)</f>
        <v>0</v>
      </c>
      <c r="AE370" s="26">
        <f>IF(VLOOKUP($D370,$C$5:$AT$507,3,)=0,0,(VLOOKUP($D370,$C$5:$AT$507,29,)/VLOOKUP($D370,$C$5:$AT$507,3,))*$E370)</f>
        <v>0</v>
      </c>
      <c r="AF370" s="26">
        <f>IF(VLOOKUP($D370,$C$5:$AT$507,3,)=0,0,(VLOOKUP($D370,$C$5:$AT$507,30,)/VLOOKUP($D370,$C$5:$AT$507,3,))*$E370)</f>
        <v>0</v>
      </c>
      <c r="AG370" s="26">
        <f>SUM(F370:AF370)</f>
        <v>1</v>
      </c>
      <c r="AH370" s="21" t="str">
        <f>IF(ABS(E370-AG370)&lt;0.01,"ok","err")</f>
        <v>ok</v>
      </c>
    </row>
    <row r="372" spans="1:34" x14ac:dyDescent="0.25">
      <c r="A372" s="13" t="s">
        <v>336</v>
      </c>
    </row>
    <row r="373" spans="1:34" x14ac:dyDescent="0.25">
      <c r="A373" s="14" t="s">
        <v>337</v>
      </c>
      <c r="C373" s="14" t="s">
        <v>210</v>
      </c>
      <c r="D373" s="14" t="s">
        <v>939</v>
      </c>
      <c r="E373" s="176">
        <v>1</v>
      </c>
      <c r="F373" s="26">
        <f>IF(VLOOKUP($D373,$C$5:$AT$507,3,)=0,0,(VLOOKUP($D373,$C$5:$AT$507,4,)/VLOOKUP($D373,$C$5:$AT$507,3,))*$E373)</f>
        <v>0.64216673565702942</v>
      </c>
      <c r="G373" s="26">
        <f>IF(VLOOKUP($D373,$C$5:$AT$507,3,)=0,0,(VLOOKUP($D373,$C$5:$AT$507,5,)/VLOOKUP($D373,$C$5:$AT$507,3,))*$E373)</f>
        <v>0</v>
      </c>
      <c r="H373" s="26">
        <f>IF(VLOOKUP($D373,$C$5:$AT$507,3,)=0,0,(VLOOKUP($D373,$C$5:$AT$507,6,)/VLOOKUP($D373,$C$5:$AT$507,3,))*$E373)</f>
        <v>7.1147171999002751E-2</v>
      </c>
      <c r="I373" s="26">
        <f>IF(VLOOKUP($D373,$C$5:$AT$507,3,)=0,0,(VLOOKUP($D373,$C$5:$AT$507,7,)/VLOOKUP($D373,$C$5:$AT$507,3,))*$E373)</f>
        <v>0.15253850654895182</v>
      </c>
      <c r="J373" s="26">
        <f>IF(VLOOKUP($D373,$C$5:$AT$507,3,)=0,0,(VLOOKUP($D373,$C$5:$AT$507,8,)/VLOOKUP($D373,$C$5:$AT$507,3,))*$E373)</f>
        <v>2.9515231249296024E-2</v>
      </c>
      <c r="K373" s="26">
        <f>IF(VLOOKUP($D373,$C$5:$AT$507,3,)=0,0,(VLOOKUP($D373,$C$5:$AT$507,9,)/VLOOKUP($D373,$C$5:$AT$507,3,))*$E373)</f>
        <v>0</v>
      </c>
      <c r="L373" s="26">
        <f>IF(VLOOKUP($D373,$C$5:$AT$507,3,)=0,0,(VLOOKUP($D373,$C$5:$AT$507,10,)/VLOOKUP($D373,$C$5:$AT$507,3,))*$E373)</f>
        <v>0.10463235454571981</v>
      </c>
      <c r="M373" s="26">
        <f>IF(VLOOKUP($D373,$C$5:$AT$507,3,)=0,0,(VLOOKUP($D373,$C$5:$AT$507,11,)/VLOOKUP($D373,$C$5:$AT$507,3,))*$E373)</f>
        <v>0</v>
      </c>
      <c r="N373" s="26">
        <f>IF(VLOOKUP($D373,$C$5:$AT$507,3,)=0,0,(VLOOKUP($D373,$C$5:$AT$507,12,)/VLOOKUP($D373,$C$5:$AT$507,3,))*$E373)</f>
        <v>0</v>
      </c>
      <c r="O373" s="26">
        <f>IF(VLOOKUP($D373,$C$5:$AT$507,3,)=0,0,(VLOOKUP($D373,$C$5:$AT$507,13,)/VLOOKUP($D373,$C$5:$AT$507,3,))*$E373)</f>
        <v>0</v>
      </c>
      <c r="P373" s="26">
        <f>IF(VLOOKUP($D373,$C$5:$AT$507,3,)=0,0,(VLOOKUP($D373,$C$5:$AT$507,14,)/VLOOKUP($D373,$C$5:$AT$507,3,))*$E373)</f>
        <v>0</v>
      </c>
      <c r="Q373" s="26">
        <f>IF(VLOOKUP($D373,$C$5:$AT$507,3,)=0,0,(VLOOKUP($D373,$C$5:$AT$507,15,)/VLOOKUP($D373,$C$5:$AT$507,3,))*$E373)</f>
        <v>0</v>
      </c>
      <c r="R373" s="26">
        <f>IF(VLOOKUP($D373,$C$5:$AT$507,3,)=0,0,(VLOOKUP($D373,$C$5:$AT$507,16,)/VLOOKUP($D373,$C$5:$AT$507,3,))*$E373)</f>
        <v>0</v>
      </c>
      <c r="S373" s="26">
        <f>IF(VLOOKUP($D373,$C$5:$AT$507,3,)=0,0,(VLOOKUP($D373,$C$5:$AT$507,17,)/VLOOKUP($D373,$C$5:$AT$507,3,))*$E373)</f>
        <v>0</v>
      </c>
      <c r="T373" s="26">
        <f>IF(VLOOKUP($D373,$C$5:$AT$507,3,)=0,0,(VLOOKUP($D373,$C$5:$AT$507,18,)/VLOOKUP($D373,$C$5:$AT$507,3,))*$E373)</f>
        <v>0</v>
      </c>
      <c r="U373" s="26">
        <f>IF(VLOOKUP($D373,$C$5:$AT$507,3,)=0,0,(VLOOKUP($D373,$C$5:$AT$507,19,)/VLOOKUP($D373,$C$5:$AT$507,3,))*$E373)</f>
        <v>0</v>
      </c>
      <c r="V373" s="26">
        <f>IF(VLOOKUP($D373,$C$5:$AT$507,3,)=0,0,(VLOOKUP($D373,$C$5:$AT$507,20,)/VLOOKUP($D373,$C$5:$AT$507,3,))*$E373)</f>
        <v>0</v>
      </c>
      <c r="W373" s="26">
        <f>IF(VLOOKUP($D373,$C$5:$AT$507,3,)=0,0,(VLOOKUP($D373,$C$5:$AT$507,21,)/VLOOKUP($D373,$C$5:$AT$507,3,))*$E373)</f>
        <v>0</v>
      </c>
      <c r="X373" s="26">
        <f>IF(VLOOKUP($D373,$C$5:$AT$507,3,)=0,0,(VLOOKUP($D373,$C$5:$AT$507,22,)/VLOOKUP($D373,$C$5:$AT$507,3,))*$E373)</f>
        <v>0</v>
      </c>
      <c r="Y373" s="26">
        <f>IF(VLOOKUP($D373,$C$5:$AT$507,3,)=0,0,(VLOOKUP($D373,$C$5:$AT$507,23,)/VLOOKUP($D373,$C$5:$AT$507,3,))*$E373)</f>
        <v>0</v>
      </c>
      <c r="Z373" s="26">
        <f>IF(VLOOKUP($D373,$C$5:$AT$507,3,)=0,0,(VLOOKUP($D373,$C$5:$AT$507,24,)/VLOOKUP($D373,$C$5:$AT$507,3,))*$E373)</f>
        <v>0</v>
      </c>
      <c r="AA373" s="26">
        <f>IF(VLOOKUP($D373,$C$5:$AT$507,3,)=0,0,(VLOOKUP($D373,$C$5:$AT$507,25,)/VLOOKUP($D373,$C$5:$AT$507,3,))*$E373)</f>
        <v>0</v>
      </c>
      <c r="AB373" s="26">
        <f>IF(VLOOKUP($D373,$C$5:$AT$507,3,)=0,0,(VLOOKUP($D373,$C$5:$AT$507,26,)/VLOOKUP($D373,$C$5:$AT$507,3,))*$E373)</f>
        <v>0</v>
      </c>
      <c r="AC373" s="26">
        <f>IF(VLOOKUP($D373,$C$5:$AT$507,3,)=0,0,(VLOOKUP($D373,$C$5:$AT$507,27,)/VLOOKUP($D373,$C$5:$AT$507,3,))*$E373)</f>
        <v>0</v>
      </c>
      <c r="AD373" s="26">
        <f>IF(VLOOKUP($D373,$C$5:$AT$507,3,)=0,0,(VLOOKUP($D373,$C$5:$AT$507,28,)/VLOOKUP($D373,$C$5:$AT$507,3,))*$E373)</f>
        <v>0</v>
      </c>
      <c r="AE373" s="26">
        <f>IF(VLOOKUP($D373,$C$5:$AT$507,3,)=0,0,(VLOOKUP($D373,$C$5:$AT$507,29,)/VLOOKUP($D373,$C$5:$AT$507,3,))*$E373)</f>
        <v>0</v>
      </c>
      <c r="AF373" s="26">
        <f>IF(VLOOKUP($D373,$C$5:$AT$507,3,)=0,0,(VLOOKUP($D373,$C$5:$AT$507,30,)/VLOOKUP($D373,$C$5:$AT$507,3,))*$E373)</f>
        <v>0</v>
      </c>
      <c r="AG373" s="26">
        <f>SUM(F373:AF373)</f>
        <v>0.99999999999999989</v>
      </c>
      <c r="AH373" s="21" t="str">
        <f t="shared" ref="AH373:AH378" si="145">IF(ABS(E373-AG373)&lt;0.01,"ok","err")</f>
        <v>ok</v>
      </c>
    </row>
    <row r="374" spans="1:34" x14ac:dyDescent="0.25">
      <c r="A374" s="14" t="s">
        <v>338</v>
      </c>
      <c r="C374" s="14" t="s">
        <v>217</v>
      </c>
      <c r="D374" s="14" t="s">
        <v>565</v>
      </c>
      <c r="E374" s="176">
        <v>1</v>
      </c>
      <c r="F374" s="26">
        <f>IF(VLOOKUP($D374,$C$5:$AT$507,3,)=0,0,(VLOOKUP($D374,$C$5:$AT$507,4,)/VLOOKUP($D374,$C$5:$AT$507,3,))*$E374)</f>
        <v>0.68226089076444763</v>
      </c>
      <c r="G374" s="26">
        <f>IF(VLOOKUP($D374,$C$5:$AT$507,3,)=0,0,(VLOOKUP($D374,$C$5:$AT$507,5,)/VLOOKUP($D374,$C$5:$AT$507,3,))*$E374)</f>
        <v>8.2997082384856063E-4</v>
      </c>
      <c r="H374" s="26">
        <f>IF(VLOOKUP($D374,$C$5:$AT$507,3,)=0,0,(VLOOKUP($D374,$C$5:$AT$507,6,)/VLOOKUP($D374,$C$5:$AT$507,3,))*$E374)</f>
        <v>7.3925352705273548E-2</v>
      </c>
      <c r="I374" s="26">
        <f>IF(VLOOKUP($D374,$C$5:$AT$507,3,)=0,0,(VLOOKUP($D374,$C$5:$AT$507,7,)/VLOOKUP($D374,$C$5:$AT$507,3,))*$E374)</f>
        <v>0.14041691406465329</v>
      </c>
      <c r="J374" s="26">
        <f>IF(VLOOKUP($D374,$C$5:$AT$507,3,)=0,0,(VLOOKUP($D374,$C$5:$AT$507,8,)/VLOOKUP($D374,$C$5:$AT$507,3,))*$E374)</f>
        <v>2.6659702759945364E-2</v>
      </c>
      <c r="K374" s="26">
        <f>IF(VLOOKUP($D374,$C$5:$AT$507,3,)=0,0,(VLOOKUP($D374,$C$5:$AT$507,9,)/VLOOKUP($D374,$C$5:$AT$507,3,))*$E374)</f>
        <v>0</v>
      </c>
      <c r="L374" s="26">
        <f>IF(VLOOKUP($D374,$C$5:$AT$507,3,)=0,0,(VLOOKUP($D374,$C$5:$AT$507,10,)/VLOOKUP($D374,$C$5:$AT$507,3,))*$E374)</f>
        <v>7.5907168881831646E-2</v>
      </c>
      <c r="M374" s="26">
        <f>IF(VLOOKUP($D374,$C$5:$AT$507,3,)=0,0,(VLOOKUP($D374,$C$5:$AT$507,11,)/VLOOKUP($D374,$C$5:$AT$507,3,))*$E374)</f>
        <v>0</v>
      </c>
      <c r="N374" s="26">
        <f>IF(VLOOKUP($D374,$C$5:$AT$507,3,)=0,0,(VLOOKUP($D374,$C$5:$AT$507,12,)/VLOOKUP($D374,$C$5:$AT$507,3,))*$E374)</f>
        <v>0</v>
      </c>
      <c r="O374" s="26">
        <f>IF(VLOOKUP($D374,$C$5:$AT$507,3,)=0,0,(VLOOKUP($D374,$C$5:$AT$507,13,)/VLOOKUP($D374,$C$5:$AT$507,3,))*$E374)</f>
        <v>0</v>
      </c>
      <c r="P374" s="26">
        <f>IF(VLOOKUP($D374,$C$5:$AT$507,3,)=0,0,(VLOOKUP($D374,$C$5:$AT$507,14,)/VLOOKUP($D374,$C$5:$AT$507,3,))*$E374)</f>
        <v>0</v>
      </c>
      <c r="Q374" s="26">
        <f>IF(VLOOKUP($D374,$C$5:$AT$507,3,)=0,0,(VLOOKUP($D374,$C$5:$AT$507,15,)/VLOOKUP($D374,$C$5:$AT$507,3,))*$E374)</f>
        <v>0</v>
      </c>
      <c r="R374" s="26">
        <f>IF(VLOOKUP($D374,$C$5:$AT$507,3,)=0,0,(VLOOKUP($D374,$C$5:$AT$507,16,)/VLOOKUP($D374,$C$5:$AT$507,3,))*$E374)</f>
        <v>0</v>
      </c>
      <c r="S374" s="26">
        <f>IF(VLOOKUP($D374,$C$5:$AT$507,3,)=0,0,(VLOOKUP($D374,$C$5:$AT$507,17,)/VLOOKUP($D374,$C$5:$AT$507,3,))*$E374)</f>
        <v>0</v>
      </c>
      <c r="T374" s="26">
        <f>IF(VLOOKUP($D374,$C$5:$AT$507,3,)=0,0,(VLOOKUP($D374,$C$5:$AT$507,18,)/VLOOKUP($D374,$C$5:$AT$507,3,))*$E374)</f>
        <v>0</v>
      </c>
      <c r="U374" s="26">
        <f>IF(VLOOKUP($D374,$C$5:$AT$507,3,)=0,0,(VLOOKUP($D374,$C$5:$AT$507,19,)/VLOOKUP($D374,$C$5:$AT$507,3,))*$E374)</f>
        <v>0</v>
      </c>
      <c r="V374" s="26">
        <f>IF(VLOOKUP($D374,$C$5:$AT$507,3,)=0,0,(VLOOKUP($D374,$C$5:$AT$507,20,)/VLOOKUP($D374,$C$5:$AT$507,3,))*$E374)</f>
        <v>0</v>
      </c>
      <c r="W374" s="26">
        <f>IF(VLOOKUP($D374,$C$5:$AT$507,3,)=0,0,(VLOOKUP($D374,$C$5:$AT$507,21,)/VLOOKUP($D374,$C$5:$AT$507,3,))*$E374)</f>
        <v>0</v>
      </c>
      <c r="X374" s="26">
        <f>IF(VLOOKUP($D374,$C$5:$AT$507,3,)=0,0,(VLOOKUP($D374,$C$5:$AT$507,22,)/VLOOKUP($D374,$C$5:$AT$507,3,))*$E374)</f>
        <v>0</v>
      </c>
      <c r="Y374" s="26">
        <f>IF(VLOOKUP($D374,$C$5:$AT$507,3,)=0,0,(VLOOKUP($D374,$C$5:$AT$507,23,)/VLOOKUP($D374,$C$5:$AT$507,3,))*$E374)</f>
        <v>0</v>
      </c>
      <c r="Z374" s="26">
        <f>IF(VLOOKUP($D374,$C$5:$AT$507,3,)=0,0,(VLOOKUP($D374,$C$5:$AT$507,24,)/VLOOKUP($D374,$C$5:$AT$507,3,))*$E374)</f>
        <v>0</v>
      </c>
      <c r="AA374" s="26">
        <f>IF(VLOOKUP($D374,$C$5:$AT$507,3,)=0,0,(VLOOKUP($D374,$C$5:$AT$507,25,)/VLOOKUP($D374,$C$5:$AT$507,3,))*$E374)</f>
        <v>0</v>
      </c>
      <c r="AB374" s="26">
        <f>IF(VLOOKUP($D374,$C$5:$AT$507,3,)=0,0,(VLOOKUP($D374,$C$5:$AT$507,26,)/VLOOKUP($D374,$C$5:$AT$507,3,))*$E374)</f>
        <v>0</v>
      </c>
      <c r="AC374" s="26">
        <f>IF(VLOOKUP($D374,$C$5:$AT$507,3,)=0,0,(VLOOKUP($D374,$C$5:$AT$507,27,)/VLOOKUP($D374,$C$5:$AT$507,3,))*$E374)</f>
        <v>0</v>
      </c>
      <c r="AD374" s="26">
        <f>IF(VLOOKUP($D374,$C$5:$AT$507,3,)=0,0,(VLOOKUP($D374,$C$5:$AT$507,28,)/VLOOKUP($D374,$C$5:$AT$507,3,))*$E374)</f>
        <v>0</v>
      </c>
      <c r="AE374" s="26">
        <f>IF(VLOOKUP($D374,$C$5:$AT$507,3,)=0,0,(VLOOKUP($D374,$C$5:$AT$507,29,)/VLOOKUP($D374,$C$5:$AT$507,3,))*$E374)</f>
        <v>0</v>
      </c>
      <c r="AF374" s="26">
        <f>IF(VLOOKUP($D374,$C$5:$AT$507,3,)=0,0,(VLOOKUP($D374,$C$5:$AT$507,30,)/VLOOKUP($D374,$C$5:$AT$507,3,))*$E374)</f>
        <v>0</v>
      </c>
      <c r="AG374" s="26">
        <f>SUM(F374:AF374)</f>
        <v>1</v>
      </c>
      <c r="AH374" s="21" t="str">
        <f t="shared" si="145"/>
        <v>ok</v>
      </c>
    </row>
    <row r="375" spans="1:34" x14ac:dyDescent="0.25">
      <c r="A375" s="14" t="s">
        <v>339</v>
      </c>
      <c r="C375" s="14" t="s">
        <v>219</v>
      </c>
      <c r="D375" s="14" t="s">
        <v>565</v>
      </c>
      <c r="E375" s="176">
        <v>1</v>
      </c>
      <c r="F375" s="26">
        <f>IF(VLOOKUP($D375,$C$5:$AT$507,3,)=0,0,(VLOOKUP($D375,$C$5:$AT$507,4,)/VLOOKUP($D375,$C$5:$AT$507,3,))*$E375)</f>
        <v>0.68226089076444763</v>
      </c>
      <c r="G375" s="26">
        <f>IF(VLOOKUP($D375,$C$5:$AT$507,3,)=0,0,(VLOOKUP($D375,$C$5:$AT$507,5,)/VLOOKUP($D375,$C$5:$AT$507,3,))*$E375)</f>
        <v>8.2997082384856063E-4</v>
      </c>
      <c r="H375" s="26">
        <f>IF(VLOOKUP($D375,$C$5:$AT$507,3,)=0,0,(VLOOKUP($D375,$C$5:$AT$507,6,)/VLOOKUP($D375,$C$5:$AT$507,3,))*$E375)</f>
        <v>7.3925352705273548E-2</v>
      </c>
      <c r="I375" s="26">
        <f>IF(VLOOKUP($D375,$C$5:$AT$507,3,)=0,0,(VLOOKUP($D375,$C$5:$AT$507,7,)/VLOOKUP($D375,$C$5:$AT$507,3,))*$E375)</f>
        <v>0.14041691406465329</v>
      </c>
      <c r="J375" s="26">
        <f>IF(VLOOKUP($D375,$C$5:$AT$507,3,)=0,0,(VLOOKUP($D375,$C$5:$AT$507,8,)/VLOOKUP($D375,$C$5:$AT$507,3,))*$E375)</f>
        <v>2.6659702759945364E-2</v>
      </c>
      <c r="K375" s="26">
        <f>IF(VLOOKUP($D375,$C$5:$AT$507,3,)=0,0,(VLOOKUP($D375,$C$5:$AT$507,9,)/VLOOKUP($D375,$C$5:$AT$507,3,))*$E375)</f>
        <v>0</v>
      </c>
      <c r="L375" s="26">
        <f>IF(VLOOKUP($D375,$C$5:$AT$507,3,)=0,0,(VLOOKUP($D375,$C$5:$AT$507,10,)/VLOOKUP($D375,$C$5:$AT$507,3,))*$E375)</f>
        <v>7.5907168881831646E-2</v>
      </c>
      <c r="M375" s="26">
        <f>IF(VLOOKUP($D375,$C$5:$AT$507,3,)=0,0,(VLOOKUP($D375,$C$5:$AT$507,11,)/VLOOKUP($D375,$C$5:$AT$507,3,))*$E375)</f>
        <v>0</v>
      </c>
      <c r="N375" s="26">
        <f>IF(VLOOKUP($D375,$C$5:$AT$507,3,)=0,0,(VLOOKUP($D375,$C$5:$AT$507,12,)/VLOOKUP($D375,$C$5:$AT$507,3,))*$E375)</f>
        <v>0</v>
      </c>
      <c r="O375" s="26">
        <f>IF(VLOOKUP($D375,$C$5:$AT$507,3,)=0,0,(VLOOKUP($D375,$C$5:$AT$507,13,)/VLOOKUP($D375,$C$5:$AT$507,3,))*$E375)</f>
        <v>0</v>
      </c>
      <c r="P375" s="26">
        <f>IF(VLOOKUP($D375,$C$5:$AT$507,3,)=0,0,(VLOOKUP($D375,$C$5:$AT$507,14,)/VLOOKUP($D375,$C$5:$AT$507,3,))*$E375)</f>
        <v>0</v>
      </c>
      <c r="Q375" s="26">
        <f>IF(VLOOKUP($D375,$C$5:$AT$507,3,)=0,0,(VLOOKUP($D375,$C$5:$AT$507,15,)/VLOOKUP($D375,$C$5:$AT$507,3,))*$E375)</f>
        <v>0</v>
      </c>
      <c r="R375" s="26">
        <f>IF(VLOOKUP($D375,$C$5:$AT$507,3,)=0,0,(VLOOKUP($D375,$C$5:$AT$507,16,)/VLOOKUP($D375,$C$5:$AT$507,3,))*$E375)</f>
        <v>0</v>
      </c>
      <c r="S375" s="26">
        <f>IF(VLOOKUP($D375,$C$5:$AT$507,3,)=0,0,(VLOOKUP($D375,$C$5:$AT$507,17,)/VLOOKUP($D375,$C$5:$AT$507,3,))*$E375)</f>
        <v>0</v>
      </c>
      <c r="T375" s="26">
        <f>IF(VLOOKUP($D375,$C$5:$AT$507,3,)=0,0,(VLOOKUP($D375,$C$5:$AT$507,18,)/VLOOKUP($D375,$C$5:$AT$507,3,))*$E375)</f>
        <v>0</v>
      </c>
      <c r="U375" s="26">
        <f>IF(VLOOKUP($D375,$C$5:$AT$507,3,)=0,0,(VLOOKUP($D375,$C$5:$AT$507,19,)/VLOOKUP($D375,$C$5:$AT$507,3,))*$E375)</f>
        <v>0</v>
      </c>
      <c r="V375" s="26">
        <f>IF(VLOOKUP($D375,$C$5:$AT$507,3,)=0,0,(VLOOKUP($D375,$C$5:$AT$507,20,)/VLOOKUP($D375,$C$5:$AT$507,3,))*$E375)</f>
        <v>0</v>
      </c>
      <c r="W375" s="26">
        <f>IF(VLOOKUP($D375,$C$5:$AT$507,3,)=0,0,(VLOOKUP($D375,$C$5:$AT$507,21,)/VLOOKUP($D375,$C$5:$AT$507,3,))*$E375)</f>
        <v>0</v>
      </c>
      <c r="X375" s="26">
        <f>IF(VLOOKUP($D375,$C$5:$AT$507,3,)=0,0,(VLOOKUP($D375,$C$5:$AT$507,22,)/VLOOKUP($D375,$C$5:$AT$507,3,))*$E375)</f>
        <v>0</v>
      </c>
      <c r="Y375" s="26">
        <f>IF(VLOOKUP($D375,$C$5:$AT$507,3,)=0,0,(VLOOKUP($D375,$C$5:$AT$507,23,)/VLOOKUP($D375,$C$5:$AT$507,3,))*$E375)</f>
        <v>0</v>
      </c>
      <c r="Z375" s="26">
        <f>IF(VLOOKUP($D375,$C$5:$AT$507,3,)=0,0,(VLOOKUP($D375,$C$5:$AT$507,24,)/VLOOKUP($D375,$C$5:$AT$507,3,))*$E375)</f>
        <v>0</v>
      </c>
      <c r="AA375" s="26">
        <f>IF(VLOOKUP($D375,$C$5:$AT$507,3,)=0,0,(VLOOKUP($D375,$C$5:$AT$507,25,)/VLOOKUP($D375,$C$5:$AT$507,3,))*$E375)</f>
        <v>0</v>
      </c>
      <c r="AB375" s="26">
        <f>IF(VLOOKUP($D375,$C$5:$AT$507,3,)=0,0,(VLOOKUP($D375,$C$5:$AT$507,26,)/VLOOKUP($D375,$C$5:$AT$507,3,))*$E375)</f>
        <v>0</v>
      </c>
      <c r="AC375" s="26">
        <f>IF(VLOOKUP($D375,$C$5:$AT$507,3,)=0,0,(VLOOKUP($D375,$C$5:$AT$507,27,)/VLOOKUP($D375,$C$5:$AT$507,3,))*$E375)</f>
        <v>0</v>
      </c>
      <c r="AD375" s="26">
        <f>IF(VLOOKUP($D375,$C$5:$AT$507,3,)=0,0,(VLOOKUP($D375,$C$5:$AT$507,28,)/VLOOKUP($D375,$C$5:$AT$507,3,))*$E375)</f>
        <v>0</v>
      </c>
      <c r="AE375" s="26">
        <f>IF(VLOOKUP($D375,$C$5:$AT$507,3,)=0,0,(VLOOKUP($D375,$C$5:$AT$507,29,)/VLOOKUP($D375,$C$5:$AT$507,3,))*$E375)</f>
        <v>0</v>
      </c>
      <c r="AF375" s="26">
        <f>IF(VLOOKUP($D375,$C$5:$AT$507,3,)=0,0,(VLOOKUP($D375,$C$5:$AT$507,30,)/VLOOKUP($D375,$C$5:$AT$507,3,))*$E375)</f>
        <v>0</v>
      </c>
      <c r="AG375" s="26">
        <f>SUM(F375:AF375)</f>
        <v>1</v>
      </c>
      <c r="AH375" s="21" t="str">
        <f t="shared" si="145"/>
        <v>ok</v>
      </c>
    </row>
    <row r="376" spans="1:34" x14ac:dyDescent="0.25">
      <c r="A376" s="14" t="s">
        <v>697</v>
      </c>
      <c r="C376" s="14" t="s">
        <v>698</v>
      </c>
      <c r="E376" s="176">
        <f>Services!G33</f>
        <v>1</v>
      </c>
      <c r="F376" s="26">
        <f>Services!G6</f>
        <v>0.86064453124999996</v>
      </c>
      <c r="G376" s="26">
        <f>Services!G7</f>
        <v>6.4761513157894732E-4</v>
      </c>
      <c r="H376" s="26">
        <f>Services!G8</f>
        <v>0.12023026315789474</v>
      </c>
      <c r="I376" s="26">
        <f>Services!G9</f>
        <v>1.8092105263157895E-2</v>
      </c>
      <c r="J376" s="26">
        <f>Services!G10</f>
        <v>3.8548519736842106E-4</v>
      </c>
      <c r="K376" s="26">
        <f>Services!G11</f>
        <v>0</v>
      </c>
      <c r="L376" s="26">
        <f>Services!G12</f>
        <v>0</v>
      </c>
      <c r="M376" s="26">
        <f>Services!G13</f>
        <v>0</v>
      </c>
      <c r="N376" s="26">
        <f>Services!G14</f>
        <v>0</v>
      </c>
      <c r="O376" s="26">
        <f>Services!G15</f>
        <v>0</v>
      </c>
      <c r="P376" s="26">
        <f>Services!G26</f>
        <v>0</v>
      </c>
      <c r="Q376" s="26">
        <f>Services!G28</f>
        <v>0</v>
      </c>
      <c r="R376" s="26">
        <f>Services!G30</f>
        <v>0</v>
      </c>
      <c r="S376" s="26">
        <v>0</v>
      </c>
      <c r="T376" s="26">
        <v>0</v>
      </c>
      <c r="U376" s="26">
        <v>0</v>
      </c>
      <c r="V376" s="26">
        <f>Services!W6</f>
        <v>0</v>
      </c>
      <c r="W376" s="26">
        <f>Services!X6</f>
        <v>0</v>
      </c>
      <c r="X376" s="26">
        <f>Services!Y6</f>
        <v>0</v>
      </c>
      <c r="Y376" s="26">
        <f>Services!Z6</f>
        <v>0</v>
      </c>
      <c r="Z376" s="26">
        <f>Services!AA6</f>
        <v>0</v>
      </c>
      <c r="AA376" s="26">
        <f>Services!AB6</f>
        <v>0</v>
      </c>
      <c r="AB376" s="26">
        <f>Services!AC6</f>
        <v>0</v>
      </c>
      <c r="AC376" s="26">
        <f>Services!AD6</f>
        <v>0</v>
      </c>
      <c r="AD376" s="26">
        <f>Services!AE6</f>
        <v>0</v>
      </c>
      <c r="AE376" s="26">
        <f>Services!AF6</f>
        <v>0</v>
      </c>
      <c r="AF376" s="26">
        <f>Services!AG6</f>
        <v>0</v>
      </c>
      <c r="AG376" s="26">
        <f>SUM(F376:AF376)</f>
        <v>1</v>
      </c>
      <c r="AH376" s="21" t="str">
        <f t="shared" si="145"/>
        <v>ok</v>
      </c>
    </row>
    <row r="377" spans="1:34" x14ac:dyDescent="0.25">
      <c r="A377" s="14" t="s">
        <v>744</v>
      </c>
      <c r="C377" s="14" t="s">
        <v>745</v>
      </c>
      <c r="E377" s="176">
        <v>1</v>
      </c>
      <c r="F377" s="26">
        <f t="shared" ref="F377:AF377" si="146">F376</f>
        <v>0.86064453124999996</v>
      </c>
      <c r="G377" s="26">
        <f t="shared" si="146"/>
        <v>6.4761513157894732E-4</v>
      </c>
      <c r="H377" s="26">
        <f t="shared" si="146"/>
        <v>0.12023026315789474</v>
      </c>
      <c r="I377" s="26">
        <f t="shared" si="146"/>
        <v>1.8092105263157895E-2</v>
      </c>
      <c r="J377" s="26">
        <f t="shared" si="146"/>
        <v>3.8548519736842106E-4</v>
      </c>
      <c r="K377" s="26">
        <f t="shared" si="146"/>
        <v>0</v>
      </c>
      <c r="L377" s="26">
        <f t="shared" si="146"/>
        <v>0</v>
      </c>
      <c r="M377" s="26">
        <f t="shared" si="146"/>
        <v>0</v>
      </c>
      <c r="N377" s="26">
        <f t="shared" si="146"/>
        <v>0</v>
      </c>
      <c r="O377" s="26">
        <f t="shared" si="146"/>
        <v>0</v>
      </c>
      <c r="P377" s="26">
        <f t="shared" si="146"/>
        <v>0</v>
      </c>
      <c r="Q377" s="26">
        <f t="shared" si="146"/>
        <v>0</v>
      </c>
      <c r="R377" s="26">
        <f t="shared" si="146"/>
        <v>0</v>
      </c>
      <c r="S377" s="26">
        <f t="shared" si="146"/>
        <v>0</v>
      </c>
      <c r="T377" s="26">
        <f t="shared" si="146"/>
        <v>0</v>
      </c>
      <c r="U377" s="26">
        <f t="shared" si="146"/>
        <v>0</v>
      </c>
      <c r="V377" s="26">
        <f t="shared" si="146"/>
        <v>0</v>
      </c>
      <c r="W377" s="26">
        <f t="shared" si="146"/>
        <v>0</v>
      </c>
      <c r="X377" s="26">
        <f t="shared" si="146"/>
        <v>0</v>
      </c>
      <c r="Y377" s="26">
        <f t="shared" si="146"/>
        <v>0</v>
      </c>
      <c r="Z377" s="26">
        <f t="shared" si="146"/>
        <v>0</v>
      </c>
      <c r="AA377" s="26">
        <f t="shared" si="146"/>
        <v>0</v>
      </c>
      <c r="AB377" s="26">
        <f t="shared" si="146"/>
        <v>0</v>
      </c>
      <c r="AC377" s="26">
        <f t="shared" si="146"/>
        <v>0</v>
      </c>
      <c r="AD377" s="26">
        <f t="shared" si="146"/>
        <v>0</v>
      </c>
      <c r="AE377" s="26">
        <f t="shared" si="146"/>
        <v>0</v>
      </c>
      <c r="AF377" s="26">
        <f t="shared" si="146"/>
        <v>0</v>
      </c>
      <c r="AG377" s="26">
        <f>SUM(F377:R377)</f>
        <v>1</v>
      </c>
      <c r="AH377" s="21" t="str">
        <f t="shared" si="145"/>
        <v>ok</v>
      </c>
    </row>
    <row r="378" spans="1:34" x14ac:dyDescent="0.25">
      <c r="A378" s="14" t="s">
        <v>937</v>
      </c>
      <c r="C378" s="14" t="s">
        <v>938</v>
      </c>
      <c r="E378" s="167">
        <f>F378+G378+K378</f>
        <v>31041482.808170006</v>
      </c>
      <c r="F378" s="27">
        <f>F275</f>
        <v>30523492.903020006</v>
      </c>
      <c r="G378" s="27">
        <f>G275</f>
        <v>26825.100000000006</v>
      </c>
      <c r="H378" s="27">
        <v>0</v>
      </c>
      <c r="I378" s="27">
        <v>0</v>
      </c>
      <c r="J378" s="27">
        <v>0</v>
      </c>
      <c r="K378" s="27">
        <f>K275</f>
        <v>491164.80514999997</v>
      </c>
      <c r="L378" s="27">
        <v>0</v>
      </c>
      <c r="M378" s="27">
        <v>0</v>
      </c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7">
        <f>SUM(F378:R378)</f>
        <v>31041482.808170006</v>
      </c>
      <c r="AH378" s="21" t="str">
        <f t="shared" si="145"/>
        <v>ok</v>
      </c>
    </row>
    <row r="379" spans="1:34" x14ac:dyDescent="0.25">
      <c r="F379" s="76"/>
    </row>
    <row r="380" spans="1:34" x14ac:dyDescent="0.25">
      <c r="A380" s="13" t="s">
        <v>340</v>
      </c>
    </row>
    <row r="381" spans="1:34" x14ac:dyDescent="0.25">
      <c r="A381" s="14" t="s">
        <v>341</v>
      </c>
      <c r="C381" s="14" t="s">
        <v>222</v>
      </c>
      <c r="D381" s="14" t="s">
        <v>563</v>
      </c>
      <c r="E381" s="176">
        <v>1</v>
      </c>
      <c r="F381" s="26">
        <f>IF(VLOOKUP($D381,$C$5:$AT$507,3,)=0,0,(VLOOKUP($D381,$C$5:$AT$507,4,)/VLOOKUP($D381,$C$5:$AT$507,3,))*$E381)</f>
        <v>0.87367896481000074</v>
      </c>
      <c r="G381" s="26">
        <f>IF(VLOOKUP($D381,$C$5:$AT$507,3,)=0,0,(VLOOKUP($D381,$C$5:$AT$507,5,)/VLOOKUP($D381,$C$5:$AT$507,3,))*$E381)</f>
        <v>6.5742324177835425E-4</v>
      </c>
      <c r="H381" s="26">
        <f>IF(VLOOKUP($D381,$C$5:$AT$507,3,)=0,0,(VLOOKUP($D381,$C$5:$AT$507,6,)/VLOOKUP($D381,$C$5:$AT$507,3,))*$E381)</f>
        <v>0.10679475327555044</v>
      </c>
      <c r="I381" s="26">
        <f>IF(VLOOKUP($D381,$C$5:$AT$507,3,)=0,0,(VLOOKUP($D381,$C$5:$AT$507,7,)/VLOOKUP($D381,$C$5:$AT$507,3,))*$E381)</f>
        <v>1.2856276728110039E-2</v>
      </c>
      <c r="J381" s="26">
        <f>IF(VLOOKUP($D381,$C$5:$AT$507,3,)=0,0,(VLOOKUP($D381,$C$5:$AT$507,8,)/VLOOKUP($D381,$C$5:$AT$507,3,))*$E381)</f>
        <v>1.8261756716065396E-4</v>
      </c>
      <c r="K381" s="26">
        <f>IF(VLOOKUP($D381,$C$5:$AT$507,3,)=0,0,(VLOOKUP($D381,$C$5:$AT$507,9,)/VLOOKUP($D381,$C$5:$AT$507,3,))*$E381)</f>
        <v>5.8299643773999004E-3</v>
      </c>
      <c r="L381" s="26">
        <f>IF(VLOOKUP($D381,$C$5:$AT$507,3,)=0,0,(VLOOKUP($D381,$C$5:$AT$507,10,)/VLOOKUP($D381,$C$5:$AT$507,3,))*$E381)</f>
        <v>0</v>
      </c>
      <c r="M381" s="26">
        <f>IF(VLOOKUP($D381,$C$5:$AT$507,3,)=0,0,(VLOOKUP($D381,$C$5:$AT$507,11,)/VLOOKUP($D381,$C$5:$AT$507,3,))*$E381)</f>
        <v>0</v>
      </c>
      <c r="N381" s="26">
        <f>IF(VLOOKUP($D381,$C$5:$AT$507,3,)=0,0,(VLOOKUP($D381,$C$5:$AT$507,12,)/VLOOKUP($D381,$C$5:$AT$507,3,))*$E381)</f>
        <v>0</v>
      </c>
      <c r="O381" s="26">
        <f>IF(VLOOKUP($D381,$C$5:$AT$507,3,)=0,0,(VLOOKUP($D381,$C$5:$AT$507,13,)/VLOOKUP($D381,$C$5:$AT$507,3,))*$E381)</f>
        <v>0</v>
      </c>
      <c r="P381" s="26">
        <f>IF(VLOOKUP($D381,$C$5:$AT$507,3,)=0,0,(VLOOKUP($D381,$C$5:$AT$507,14,)/VLOOKUP($D381,$C$5:$AT$507,3,))*$E381)</f>
        <v>0</v>
      </c>
      <c r="Q381" s="26">
        <f>IF(VLOOKUP($D381,$C$5:$AT$507,3,)=0,0,(VLOOKUP($D381,$C$5:$AT$507,15,)/VLOOKUP($D381,$C$5:$AT$507,3,))*$E381)</f>
        <v>0</v>
      </c>
      <c r="R381" s="26">
        <f>IF(VLOOKUP($D381,$C$5:$AT$507,3,)=0,0,(VLOOKUP($D381,$C$5:$AT$507,16,)/VLOOKUP($D381,$C$5:$AT$507,3,))*$E381)</f>
        <v>0</v>
      </c>
      <c r="S381" s="26">
        <f>IF(VLOOKUP($D381,$C$5:$AT$507,3,)=0,0,(VLOOKUP($D381,$C$5:$AT$507,17,)/VLOOKUP($D381,$C$5:$AT$507,3,))*$E381)</f>
        <v>0</v>
      </c>
      <c r="T381" s="26">
        <f>IF(VLOOKUP($D381,$C$5:$AT$507,3,)=0,0,(VLOOKUP($D381,$C$5:$AT$507,18,)/VLOOKUP($D381,$C$5:$AT$507,3,))*$E381)</f>
        <v>0</v>
      </c>
      <c r="U381" s="26">
        <f>IF(VLOOKUP($D381,$C$5:$AT$507,3,)=0,0,(VLOOKUP($D381,$C$5:$AT$507,19,)/VLOOKUP($D381,$C$5:$AT$507,3,))*$E381)</f>
        <v>0</v>
      </c>
      <c r="V381" s="26">
        <f>IF(VLOOKUP($D381,$C$5:$AT$507,3,)=0,0,(VLOOKUP($D381,$C$5:$AT$507,20,)/VLOOKUP($D381,$C$5:$AT$507,3,))*$E381)</f>
        <v>0</v>
      </c>
      <c r="W381" s="26">
        <f>IF(VLOOKUP($D381,$C$5:$AT$507,3,)=0,0,(VLOOKUP($D381,$C$5:$AT$507,21,)/VLOOKUP($D381,$C$5:$AT$507,3,))*$E381)</f>
        <v>0</v>
      </c>
      <c r="X381" s="26">
        <f>IF(VLOOKUP($D381,$C$5:$AT$507,3,)=0,0,(VLOOKUP($D381,$C$5:$AT$507,22,)/VLOOKUP($D381,$C$5:$AT$507,3,))*$E381)</f>
        <v>0</v>
      </c>
      <c r="Y381" s="26">
        <f>IF(VLOOKUP($D381,$C$5:$AT$507,3,)=0,0,(VLOOKUP($D381,$C$5:$AT$507,23,)/VLOOKUP($D381,$C$5:$AT$507,3,))*$E381)</f>
        <v>0</v>
      </c>
      <c r="Z381" s="26">
        <f>IF(VLOOKUP($D381,$C$5:$AT$507,3,)=0,0,(VLOOKUP($D381,$C$5:$AT$507,24,)/VLOOKUP($D381,$C$5:$AT$507,3,))*$E381)</f>
        <v>0</v>
      </c>
      <c r="AA381" s="26">
        <f>IF(VLOOKUP($D381,$C$5:$AT$507,3,)=0,0,(VLOOKUP($D381,$C$5:$AT$507,25,)/VLOOKUP($D381,$C$5:$AT$507,3,))*$E381)</f>
        <v>0</v>
      </c>
      <c r="AB381" s="26">
        <f>IF(VLOOKUP($D381,$C$5:$AT$507,3,)=0,0,(VLOOKUP($D381,$C$5:$AT$507,26,)/VLOOKUP($D381,$C$5:$AT$507,3,))*$E381)</f>
        <v>0</v>
      </c>
      <c r="AC381" s="26">
        <f>IF(VLOOKUP($D381,$C$5:$AT$507,3,)=0,0,(VLOOKUP($D381,$C$5:$AT$507,27,)/VLOOKUP($D381,$C$5:$AT$507,3,))*$E381)</f>
        <v>0</v>
      </c>
      <c r="AD381" s="26">
        <f>IF(VLOOKUP($D381,$C$5:$AT$507,3,)=0,0,(VLOOKUP($D381,$C$5:$AT$507,28,)/VLOOKUP($D381,$C$5:$AT$507,3,))*$E381)</f>
        <v>0</v>
      </c>
      <c r="AE381" s="26">
        <f>IF(VLOOKUP($D381,$C$5:$AT$507,3,)=0,0,(VLOOKUP($D381,$C$5:$AT$507,29,)/VLOOKUP($D381,$C$5:$AT$507,3,))*$E381)</f>
        <v>0</v>
      </c>
      <c r="AF381" s="26">
        <f>IF(VLOOKUP($D381,$C$5:$AT$507,3,)=0,0,(VLOOKUP($D381,$C$5:$AT$507,30,)/VLOOKUP($D381,$C$5:$AT$507,3,))*$E381)</f>
        <v>0</v>
      </c>
      <c r="AG381" s="72">
        <f t="shared" ref="AG381:AG386" si="147">SUM(F381:AF381)</f>
        <v>1</v>
      </c>
      <c r="AH381" s="21" t="str">
        <f t="shared" ref="AH381:AH386" si="148">IF(ABS(E381-AG381)&lt;0.01,"ok","err")</f>
        <v>ok</v>
      </c>
    </row>
    <row r="382" spans="1:34" x14ac:dyDescent="0.25">
      <c r="A382" s="14" t="s">
        <v>342</v>
      </c>
      <c r="C382" s="14" t="s">
        <v>226</v>
      </c>
      <c r="D382" s="14" t="s">
        <v>563</v>
      </c>
      <c r="E382" s="176">
        <v>1</v>
      </c>
      <c r="F382" s="26">
        <f>IF(VLOOKUP($D382,$C$5:$AT$507,3,)=0,0,(VLOOKUP($D382,$C$5:$AT$507,4,)/VLOOKUP($D382,$C$5:$AT$507,3,))*$E382)</f>
        <v>0.87367896481000074</v>
      </c>
      <c r="G382" s="26">
        <f>IF(VLOOKUP($D382,$C$5:$AT$507,3,)=0,0,(VLOOKUP($D382,$C$5:$AT$507,5,)/VLOOKUP($D382,$C$5:$AT$507,3,))*$E382)</f>
        <v>6.5742324177835425E-4</v>
      </c>
      <c r="H382" s="26">
        <f>IF(VLOOKUP($D382,$C$5:$AT$507,3,)=0,0,(VLOOKUP($D382,$C$5:$AT$507,6,)/VLOOKUP($D382,$C$5:$AT$507,3,))*$E382)</f>
        <v>0.10679475327555044</v>
      </c>
      <c r="I382" s="26">
        <f>IF(VLOOKUP($D382,$C$5:$AT$507,3,)=0,0,(VLOOKUP($D382,$C$5:$AT$507,7,)/VLOOKUP($D382,$C$5:$AT$507,3,))*$E382)</f>
        <v>1.2856276728110039E-2</v>
      </c>
      <c r="J382" s="26">
        <f>IF(VLOOKUP($D382,$C$5:$AT$507,3,)=0,0,(VLOOKUP($D382,$C$5:$AT$507,8,)/VLOOKUP($D382,$C$5:$AT$507,3,))*$E382)</f>
        <v>1.8261756716065396E-4</v>
      </c>
      <c r="K382" s="26">
        <f>IF(VLOOKUP($D382,$C$5:$AT$507,3,)=0,0,(VLOOKUP($D382,$C$5:$AT$507,9,)/VLOOKUP($D382,$C$5:$AT$507,3,))*$E382)</f>
        <v>5.8299643773999004E-3</v>
      </c>
      <c r="L382" s="26">
        <f>IF(VLOOKUP($D382,$C$5:$AT$507,3,)=0,0,(VLOOKUP($D382,$C$5:$AT$507,10,)/VLOOKUP($D382,$C$5:$AT$507,3,))*$E382)</f>
        <v>0</v>
      </c>
      <c r="M382" s="26">
        <f>IF(VLOOKUP($D382,$C$5:$AT$507,3,)=0,0,(VLOOKUP($D382,$C$5:$AT$507,11,)/VLOOKUP($D382,$C$5:$AT$507,3,))*$E382)</f>
        <v>0</v>
      </c>
      <c r="N382" s="26">
        <f>IF(VLOOKUP($D382,$C$5:$AT$507,3,)=0,0,(VLOOKUP($D382,$C$5:$AT$507,12,)/VLOOKUP($D382,$C$5:$AT$507,3,))*$E382)</f>
        <v>0</v>
      </c>
      <c r="O382" s="26">
        <f>IF(VLOOKUP($D382,$C$5:$AT$507,3,)=0,0,(VLOOKUP($D382,$C$5:$AT$507,13,)/VLOOKUP($D382,$C$5:$AT$507,3,))*$E382)</f>
        <v>0</v>
      </c>
      <c r="P382" s="26">
        <f>IF(VLOOKUP($D382,$C$5:$AT$507,3,)=0,0,(VLOOKUP($D382,$C$5:$AT$507,14,)/VLOOKUP($D382,$C$5:$AT$507,3,))*$E382)</f>
        <v>0</v>
      </c>
      <c r="Q382" s="26">
        <f>IF(VLOOKUP($D382,$C$5:$AT$507,3,)=0,0,(VLOOKUP($D382,$C$5:$AT$507,15,)/VLOOKUP($D382,$C$5:$AT$507,3,))*$E382)</f>
        <v>0</v>
      </c>
      <c r="R382" s="26">
        <f>IF(VLOOKUP($D382,$C$5:$AT$507,3,)=0,0,(VLOOKUP($D382,$C$5:$AT$507,16,)/VLOOKUP($D382,$C$5:$AT$507,3,))*$E382)</f>
        <v>0</v>
      </c>
      <c r="S382" s="26">
        <f>IF(VLOOKUP($D382,$C$5:$AT$507,3,)=0,0,(VLOOKUP($D382,$C$5:$AT$507,17,)/VLOOKUP($D382,$C$5:$AT$507,3,))*$E382)</f>
        <v>0</v>
      </c>
      <c r="T382" s="26">
        <f>IF(VLOOKUP($D382,$C$5:$AT$507,3,)=0,0,(VLOOKUP($D382,$C$5:$AT$507,18,)/VLOOKUP($D382,$C$5:$AT$507,3,))*$E382)</f>
        <v>0</v>
      </c>
      <c r="U382" s="26">
        <f>IF(VLOOKUP($D382,$C$5:$AT$507,3,)=0,0,(VLOOKUP($D382,$C$5:$AT$507,19,)/VLOOKUP($D382,$C$5:$AT$507,3,))*$E382)</f>
        <v>0</v>
      </c>
      <c r="V382" s="26">
        <f>IF(VLOOKUP($D382,$C$5:$AT$507,3,)=0,0,(VLOOKUP($D382,$C$5:$AT$507,20,)/VLOOKUP($D382,$C$5:$AT$507,3,))*$E382)</f>
        <v>0</v>
      </c>
      <c r="W382" s="26">
        <f>IF(VLOOKUP($D382,$C$5:$AT$507,3,)=0,0,(VLOOKUP($D382,$C$5:$AT$507,21,)/VLOOKUP($D382,$C$5:$AT$507,3,))*$E382)</f>
        <v>0</v>
      </c>
      <c r="X382" s="26">
        <f>IF(VLOOKUP($D382,$C$5:$AT$507,3,)=0,0,(VLOOKUP($D382,$C$5:$AT$507,22,)/VLOOKUP($D382,$C$5:$AT$507,3,))*$E382)</f>
        <v>0</v>
      </c>
      <c r="Y382" s="26">
        <f>IF(VLOOKUP($D382,$C$5:$AT$507,3,)=0,0,(VLOOKUP($D382,$C$5:$AT$507,23,)/VLOOKUP($D382,$C$5:$AT$507,3,))*$E382)</f>
        <v>0</v>
      </c>
      <c r="Z382" s="26">
        <f>IF(VLOOKUP($D382,$C$5:$AT$507,3,)=0,0,(VLOOKUP($D382,$C$5:$AT$507,24,)/VLOOKUP($D382,$C$5:$AT$507,3,))*$E382)</f>
        <v>0</v>
      </c>
      <c r="AA382" s="26">
        <f>IF(VLOOKUP($D382,$C$5:$AT$507,3,)=0,0,(VLOOKUP($D382,$C$5:$AT$507,25,)/VLOOKUP($D382,$C$5:$AT$507,3,))*$E382)</f>
        <v>0</v>
      </c>
      <c r="AB382" s="26">
        <f>IF(VLOOKUP($D382,$C$5:$AT$507,3,)=0,0,(VLOOKUP($D382,$C$5:$AT$507,26,)/VLOOKUP($D382,$C$5:$AT$507,3,))*$E382)</f>
        <v>0</v>
      </c>
      <c r="AC382" s="26">
        <f>IF(VLOOKUP($D382,$C$5:$AT$507,3,)=0,0,(VLOOKUP($D382,$C$5:$AT$507,27,)/VLOOKUP($D382,$C$5:$AT$507,3,))*$E382)</f>
        <v>0</v>
      </c>
      <c r="AD382" s="26">
        <f>IF(VLOOKUP($D382,$C$5:$AT$507,3,)=0,0,(VLOOKUP($D382,$C$5:$AT$507,28,)/VLOOKUP($D382,$C$5:$AT$507,3,))*$E382)</f>
        <v>0</v>
      </c>
      <c r="AE382" s="26">
        <f>IF(VLOOKUP($D382,$C$5:$AT$507,3,)=0,0,(VLOOKUP($D382,$C$5:$AT$507,29,)/VLOOKUP($D382,$C$5:$AT$507,3,))*$E382)</f>
        <v>0</v>
      </c>
      <c r="AF382" s="26">
        <f>IF(VLOOKUP($D382,$C$5:$AT$507,3,)=0,0,(VLOOKUP($D382,$C$5:$AT$507,30,)/VLOOKUP($D382,$C$5:$AT$507,3,))*$E382)</f>
        <v>0</v>
      </c>
      <c r="AG382" s="72">
        <f t="shared" si="147"/>
        <v>1</v>
      </c>
      <c r="AH382" s="21" t="str">
        <f t="shared" si="148"/>
        <v>ok</v>
      </c>
    </row>
    <row r="383" spans="1:34" x14ac:dyDescent="0.25">
      <c r="A383" s="14" t="s">
        <v>343</v>
      </c>
      <c r="C383" s="14" t="s">
        <v>229</v>
      </c>
      <c r="E383" s="176">
        <f>Meters!$G32</f>
        <v>1</v>
      </c>
      <c r="F383" s="26">
        <f>Meters!$G6</f>
        <v>0.7484902531368316</v>
      </c>
      <c r="G383" s="26">
        <f>Meters!$G7</f>
        <v>5.6322162771050405E-4</v>
      </c>
      <c r="H383" s="26">
        <f>Meters!$G8</f>
        <v>0.1829844488250571</v>
      </c>
      <c r="I383" s="26">
        <f>Meters!$G9</f>
        <v>6.608467098469914E-2</v>
      </c>
      <c r="J383" s="26">
        <f>Meters!$G10</f>
        <v>1.8774054257016802E-3</v>
      </c>
      <c r="K383" s="26">
        <f>Meters!$G11</f>
        <v>0</v>
      </c>
      <c r="L383" s="26">
        <f>Meters!$G12</f>
        <v>0</v>
      </c>
      <c r="M383" s="26">
        <f>Meters!$G13</f>
        <v>0</v>
      </c>
      <c r="N383" s="26">
        <f>Meters!$G14</f>
        <v>0</v>
      </c>
      <c r="O383" s="26">
        <f>Meters!$G15</f>
        <v>0</v>
      </c>
      <c r="P383" s="26">
        <f>Meters!$G26</f>
        <v>0</v>
      </c>
      <c r="Q383" s="26">
        <f>Meters!$G28</f>
        <v>0</v>
      </c>
      <c r="R383" s="26">
        <f>Meters!$G30</f>
        <v>0</v>
      </c>
      <c r="S383" s="26">
        <v>0</v>
      </c>
      <c r="T383" s="26">
        <v>0</v>
      </c>
      <c r="U383" s="26">
        <v>0</v>
      </c>
      <c r="V383" s="26">
        <f>Meters!X6</f>
        <v>0</v>
      </c>
      <c r="W383" s="26">
        <f>Meters!Y6</f>
        <v>0</v>
      </c>
      <c r="X383" s="26">
        <f>Meters!Z6</f>
        <v>0</v>
      </c>
      <c r="Y383" s="26">
        <f>Meters!AA6</f>
        <v>0</v>
      </c>
      <c r="Z383" s="26">
        <f>Meters!AB6</f>
        <v>0</v>
      </c>
      <c r="AA383" s="26">
        <f>Meters!AC6</f>
        <v>0</v>
      </c>
      <c r="AB383" s="26">
        <f>Meters!AD6</f>
        <v>0</v>
      </c>
      <c r="AC383" s="26">
        <f>Meters!AE6</f>
        <v>0</v>
      </c>
      <c r="AD383" s="26">
        <f>Meters!AF6</f>
        <v>0</v>
      </c>
      <c r="AE383" s="26">
        <f>Meters!AG6</f>
        <v>0</v>
      </c>
      <c r="AF383" s="26">
        <f>Meters!AH6</f>
        <v>0</v>
      </c>
      <c r="AG383" s="72">
        <f t="shared" si="147"/>
        <v>1</v>
      </c>
      <c r="AH383" s="21" t="str">
        <f t="shared" si="148"/>
        <v>ok</v>
      </c>
    </row>
    <row r="384" spans="1:34" x14ac:dyDescent="0.25">
      <c r="A384" s="14" t="s">
        <v>344</v>
      </c>
      <c r="C384" s="14" t="s">
        <v>231</v>
      </c>
      <c r="D384" s="14" t="s">
        <v>564</v>
      </c>
      <c r="E384" s="176">
        <v>1</v>
      </c>
      <c r="F384" s="26">
        <f>IF(VLOOKUP($D384,$C$5:$AT$507,3,)=0,0,(VLOOKUP($D384,$C$5:$AT$507,4,)/VLOOKUP($D384,$C$5:$AT$507,3,))*$E384)</f>
        <v>0</v>
      </c>
      <c r="G384" s="26">
        <f>IF(VLOOKUP($D384,$C$5:$AT$507,3,)=0,0,(VLOOKUP($D384,$C$5:$AT$507,5,)/VLOOKUP($D384,$C$5:$AT$507,3,))*$E384)</f>
        <v>0</v>
      </c>
      <c r="H384" s="26">
        <f>IF(VLOOKUP($D384,$C$5:$AT$507,3,)=0,0,(VLOOKUP($D384,$C$5:$AT$507,6,)/VLOOKUP($D384,$C$5:$AT$507,3,))*$E384)</f>
        <v>0</v>
      </c>
      <c r="I384" s="26">
        <f>IF(VLOOKUP($D384,$C$5:$AT$507,3,)=0,0,(VLOOKUP($D384,$C$5:$AT$507,7,)/VLOOKUP($D384,$C$5:$AT$507,3,))*$E384)</f>
        <v>0</v>
      </c>
      <c r="J384" s="26">
        <f>IF(VLOOKUP($D384,$C$5:$AT$507,3,)=0,0,(VLOOKUP($D384,$C$5:$AT$507,8,)/VLOOKUP($D384,$C$5:$AT$507,3,))*$E384)</f>
        <v>0</v>
      </c>
      <c r="K384" s="26">
        <v>1</v>
      </c>
      <c r="L384" s="26">
        <f>IF(VLOOKUP($D384,$C$5:$AT$507,3,)=0,0,(VLOOKUP($D384,$C$5:$AT$507,10,)/VLOOKUP($D384,$C$5:$AT$507,3,))*$E384)</f>
        <v>0</v>
      </c>
      <c r="M384" s="26">
        <v>0</v>
      </c>
      <c r="N384" s="26">
        <f>IF(VLOOKUP($D384,$C$5:$AT$507,3,)=0,0,(VLOOKUP($D384,$C$5:$AT$507,12,)/VLOOKUP($D384,$C$5:$AT$507,3,))*$E384)</f>
        <v>0</v>
      </c>
      <c r="O384" s="26">
        <f>IF(VLOOKUP($D384,$C$5:$AT$507,3,)=0,0,(VLOOKUP($D384,$C$5:$AT$507,13,)/VLOOKUP($D384,$C$5:$AT$507,3,))*$E384)</f>
        <v>0</v>
      </c>
      <c r="P384" s="26">
        <f>IF(VLOOKUP($D384,$C$5:$AT$507,3,)=0,0,(VLOOKUP($D384,$C$5:$AT$507,14,)/VLOOKUP($D384,$C$5:$AT$507,3,))*$E384)</f>
        <v>0</v>
      </c>
      <c r="Q384" s="26">
        <f>IF(VLOOKUP($D384,$C$5:$AT$507,3,)=0,0,(VLOOKUP($D384,$C$5:$AT$507,15,)/VLOOKUP($D384,$C$5:$AT$507,3,))*$E384)</f>
        <v>0</v>
      </c>
      <c r="R384" s="26">
        <f>IF(VLOOKUP($D384,$C$5:$AT$507,3,)=0,0,(VLOOKUP($D384,$C$5:$AT$507,16,)/VLOOKUP($D384,$C$5:$AT$507,3,))*$E384)</f>
        <v>0</v>
      </c>
      <c r="S384" s="26">
        <f>IF(VLOOKUP($D384,$C$5:$AT$507,3,)=0,0,(VLOOKUP($D384,$C$5:$AT$507,17,)/VLOOKUP($D384,$C$5:$AT$507,3,))*$E384)</f>
        <v>0</v>
      </c>
      <c r="T384" s="26">
        <f>IF(VLOOKUP($D384,$C$5:$AT$507,3,)=0,0,(VLOOKUP($D384,$C$5:$AT$507,18,)/VLOOKUP($D384,$C$5:$AT$507,3,))*$E384)</f>
        <v>0</v>
      </c>
      <c r="U384" s="26">
        <f>IF(VLOOKUP($D384,$C$5:$AT$507,3,)=0,0,(VLOOKUP($D384,$C$5:$AT$507,19,)/VLOOKUP($D384,$C$5:$AT$507,3,))*$E384)</f>
        <v>0</v>
      </c>
      <c r="V384" s="26">
        <f>IF(VLOOKUP($D384,$C$5:$AT$507,3,)=0,0,(VLOOKUP($D384,$C$5:$AT$507,20,)/VLOOKUP($D384,$C$5:$AT$507,3,))*$E384)</f>
        <v>0</v>
      </c>
      <c r="W384" s="26">
        <f>IF(VLOOKUP($D384,$C$5:$AT$507,3,)=0,0,(VLOOKUP($D384,$C$5:$AT$507,21,)/VLOOKUP($D384,$C$5:$AT$507,3,))*$E384)</f>
        <v>0</v>
      </c>
      <c r="X384" s="26">
        <f>IF(VLOOKUP($D384,$C$5:$AT$507,3,)=0,0,(VLOOKUP($D384,$C$5:$AT$507,22,)/VLOOKUP($D384,$C$5:$AT$507,3,))*$E384)</f>
        <v>0</v>
      </c>
      <c r="Y384" s="26">
        <f>IF(VLOOKUP($D384,$C$5:$AT$507,3,)=0,0,(VLOOKUP($D384,$C$5:$AT$507,23,)/VLOOKUP($D384,$C$5:$AT$507,3,))*$E384)</f>
        <v>0</v>
      </c>
      <c r="Z384" s="26">
        <f>IF(VLOOKUP($D384,$C$5:$AT$507,3,)=0,0,(VLOOKUP($D384,$C$5:$AT$507,24,)/VLOOKUP($D384,$C$5:$AT$507,3,))*$E384)</f>
        <v>0</v>
      </c>
      <c r="AA384" s="26">
        <f>IF(VLOOKUP($D384,$C$5:$AT$507,3,)=0,0,(VLOOKUP($D384,$C$5:$AT$507,25,)/VLOOKUP($D384,$C$5:$AT$507,3,))*$E384)</f>
        <v>0</v>
      </c>
      <c r="AB384" s="26">
        <f>IF(VLOOKUP($D384,$C$5:$AT$507,3,)=0,0,(VLOOKUP($D384,$C$5:$AT$507,26,)/VLOOKUP($D384,$C$5:$AT$507,3,))*$E384)</f>
        <v>0</v>
      </c>
      <c r="AC384" s="26">
        <f>IF(VLOOKUP($D384,$C$5:$AT$507,3,)=0,0,(VLOOKUP($D384,$C$5:$AT$507,27,)/VLOOKUP($D384,$C$5:$AT$507,3,))*$E384)</f>
        <v>0</v>
      </c>
      <c r="AD384" s="26">
        <f>IF(VLOOKUP($D384,$C$5:$AT$507,3,)=0,0,(VLOOKUP($D384,$C$5:$AT$507,28,)/VLOOKUP($D384,$C$5:$AT$507,3,))*$E384)</f>
        <v>0</v>
      </c>
      <c r="AE384" s="26">
        <f>IF(VLOOKUP($D384,$C$5:$AT$507,3,)=0,0,(VLOOKUP($D384,$C$5:$AT$507,29,)/VLOOKUP($D384,$C$5:$AT$507,3,))*$E384)</f>
        <v>0</v>
      </c>
      <c r="AF384" s="26">
        <f>IF(VLOOKUP($D384,$C$5:$AT$507,3,)=0,0,(VLOOKUP($D384,$C$5:$AT$507,30,)/VLOOKUP($D384,$C$5:$AT$507,3,))*$E384)</f>
        <v>0</v>
      </c>
      <c r="AG384" s="72">
        <f t="shared" si="147"/>
        <v>1</v>
      </c>
      <c r="AH384" s="21" t="str">
        <f t="shared" si="148"/>
        <v>ok</v>
      </c>
    </row>
    <row r="385" spans="1:34" x14ac:dyDescent="0.25">
      <c r="A385" s="14" t="s">
        <v>345</v>
      </c>
      <c r="C385" s="14" t="s">
        <v>233</v>
      </c>
      <c r="D385" s="14" t="s">
        <v>614</v>
      </c>
      <c r="E385" s="176">
        <v>1</v>
      </c>
      <c r="F385" s="26">
        <f>IF(VLOOKUP($D385,$C$5:$AT$507,3,)=0,0,(VLOOKUP($D385,$C$5:$AT$507,4,)/VLOOKUP($D385,$C$5:$AT$507,3,))*$E385)</f>
        <v>0.87367896481000074</v>
      </c>
      <c r="G385" s="26">
        <f>IF(VLOOKUP($D385,$C$5:$AT$507,3,)=0,0,(VLOOKUP($D385,$C$5:$AT$507,5,)/VLOOKUP($D385,$C$5:$AT$507,3,))*$E385)</f>
        <v>6.5742324177835425E-4</v>
      </c>
      <c r="H385" s="26">
        <f>IF(VLOOKUP($D385,$C$5:$AT$507,3,)=0,0,(VLOOKUP($D385,$C$5:$AT$507,6,)/VLOOKUP($D385,$C$5:$AT$507,3,))*$E385)</f>
        <v>0.10679475327555044</v>
      </c>
      <c r="I385" s="26">
        <f>IF(VLOOKUP($D385,$C$5:$AT$507,3,)=0,0,(VLOOKUP($D385,$C$5:$AT$507,7,)/VLOOKUP($D385,$C$5:$AT$507,3,))*$E385)</f>
        <v>1.2856276728110039E-2</v>
      </c>
      <c r="J385" s="26">
        <f>IF(VLOOKUP($D385,$C$5:$AT$507,3,)=0,0,(VLOOKUP($D385,$C$5:$AT$507,8,)/VLOOKUP($D385,$C$5:$AT$507,3,))*$E385)</f>
        <v>1.8261756716065396E-4</v>
      </c>
      <c r="K385" s="26">
        <f>IF(VLOOKUP($D385,$C$5:$AT$507,3,)=0,0,(VLOOKUP($D385,$C$5:$AT$507,9,)/VLOOKUP($D385,$C$5:$AT$507,3,))*$E385)</f>
        <v>5.8299643773999004E-3</v>
      </c>
      <c r="L385" s="26">
        <f>IF(VLOOKUP($D385,$C$5:$AT$507,3,)=0,0,(VLOOKUP($D385,$C$5:$AT$507,10,)/VLOOKUP($D385,$C$5:$AT$507,3,))*$E385)</f>
        <v>0</v>
      </c>
      <c r="M385" s="26">
        <f>IF(VLOOKUP($D385,$C$5:$AT$507,3,)=0,0,(VLOOKUP($D385,$C$5:$AT$507,11,)/VLOOKUP($D385,$C$5:$AT$507,3,))*$E385)</f>
        <v>0</v>
      </c>
      <c r="N385" s="26">
        <f>IF(VLOOKUP($D385,$C$5:$AT$507,3,)=0,0,(VLOOKUP($D385,$C$5:$AT$507,12,)/VLOOKUP($D385,$C$5:$AT$507,3,))*$E385)</f>
        <v>0</v>
      </c>
      <c r="O385" s="26">
        <f>IF(VLOOKUP($D385,$C$5:$AT$507,3,)=0,0,(VLOOKUP($D385,$C$5:$AT$507,13,)/VLOOKUP($D385,$C$5:$AT$507,3,))*$E385)</f>
        <v>0</v>
      </c>
      <c r="P385" s="26">
        <f>IF(VLOOKUP($D385,$C$5:$AT$507,3,)=0,0,(VLOOKUP($D385,$C$5:$AT$507,14,)/VLOOKUP($D385,$C$5:$AT$507,3,))*$E385)</f>
        <v>0</v>
      </c>
      <c r="Q385" s="26">
        <f>IF(VLOOKUP($D385,$C$5:$AT$507,3,)=0,0,(VLOOKUP($D385,$C$5:$AT$507,15,)/VLOOKUP($D385,$C$5:$AT$507,3,))*$E385)</f>
        <v>0</v>
      </c>
      <c r="R385" s="26">
        <f>IF(VLOOKUP($D385,$C$5:$AT$507,3,)=0,0,(VLOOKUP($D385,$C$5:$AT$507,16,)/VLOOKUP($D385,$C$5:$AT$507,3,))*$E385)</f>
        <v>0</v>
      </c>
      <c r="S385" s="26">
        <f>IF(VLOOKUP($D385,$C$5:$AT$507,3,)=0,0,(VLOOKUP($D385,$C$5:$AT$507,17,)/VLOOKUP($D385,$C$5:$AT$507,3,))*$E385)</f>
        <v>0</v>
      </c>
      <c r="T385" s="26">
        <f>IF(VLOOKUP($D385,$C$5:$AT$507,3,)=0,0,(VLOOKUP($D385,$C$5:$AT$507,18,)/VLOOKUP($D385,$C$5:$AT$507,3,))*$E385)</f>
        <v>0</v>
      </c>
      <c r="U385" s="26">
        <f>IF(VLOOKUP($D385,$C$5:$AT$507,3,)=0,0,(VLOOKUP($D385,$C$5:$AT$507,19,)/VLOOKUP($D385,$C$5:$AT$507,3,))*$E385)</f>
        <v>0</v>
      </c>
      <c r="V385" s="26">
        <f>IF(VLOOKUP($D385,$C$5:$AT$507,3,)=0,0,(VLOOKUP($D385,$C$5:$AT$507,20,)/VLOOKUP($D385,$C$5:$AT$507,3,))*$E385)</f>
        <v>0</v>
      </c>
      <c r="W385" s="26">
        <f>IF(VLOOKUP($D385,$C$5:$AT$507,3,)=0,0,(VLOOKUP($D385,$C$5:$AT$507,21,)/VLOOKUP($D385,$C$5:$AT$507,3,))*$E385)</f>
        <v>0</v>
      </c>
      <c r="X385" s="26">
        <f>IF(VLOOKUP($D385,$C$5:$AT$507,3,)=0,0,(VLOOKUP($D385,$C$5:$AT$507,22,)/VLOOKUP($D385,$C$5:$AT$507,3,))*$E385)</f>
        <v>0</v>
      </c>
      <c r="Y385" s="26">
        <f>IF(VLOOKUP($D385,$C$5:$AT$507,3,)=0,0,(VLOOKUP($D385,$C$5:$AT$507,23,)/VLOOKUP($D385,$C$5:$AT$507,3,))*$E385)</f>
        <v>0</v>
      </c>
      <c r="Z385" s="26">
        <f>IF(VLOOKUP($D385,$C$5:$AT$507,3,)=0,0,(VLOOKUP($D385,$C$5:$AT$507,24,)/VLOOKUP($D385,$C$5:$AT$507,3,))*$E385)</f>
        <v>0</v>
      </c>
      <c r="AA385" s="26">
        <f>IF(VLOOKUP($D385,$C$5:$AT$507,3,)=0,0,(VLOOKUP($D385,$C$5:$AT$507,25,)/VLOOKUP($D385,$C$5:$AT$507,3,))*$E385)</f>
        <v>0</v>
      </c>
      <c r="AB385" s="26">
        <f>IF(VLOOKUP($D385,$C$5:$AT$507,3,)=0,0,(VLOOKUP($D385,$C$5:$AT$507,26,)/VLOOKUP($D385,$C$5:$AT$507,3,))*$E385)</f>
        <v>0</v>
      </c>
      <c r="AC385" s="26">
        <f>IF(VLOOKUP($D385,$C$5:$AT$507,3,)=0,0,(VLOOKUP($D385,$C$5:$AT$507,27,)/VLOOKUP($D385,$C$5:$AT$507,3,))*$E385)</f>
        <v>0</v>
      </c>
      <c r="AD385" s="26">
        <f>IF(VLOOKUP($D385,$C$5:$AT$507,3,)=0,0,(VLOOKUP($D385,$C$5:$AT$507,28,)/VLOOKUP($D385,$C$5:$AT$507,3,))*$E385)</f>
        <v>0</v>
      </c>
      <c r="AE385" s="26">
        <f>IF(VLOOKUP($D385,$C$5:$AT$507,3,)=0,0,(VLOOKUP($D385,$C$5:$AT$507,29,)/VLOOKUP($D385,$C$5:$AT$507,3,))*$E385)</f>
        <v>0</v>
      </c>
      <c r="AF385" s="26">
        <f>IF(VLOOKUP($D385,$C$5:$AT$507,3,)=0,0,(VLOOKUP($D385,$C$5:$AT$507,30,)/VLOOKUP($D385,$C$5:$AT$507,3,))*$E385)</f>
        <v>0</v>
      </c>
      <c r="AG385" s="72">
        <f t="shared" si="147"/>
        <v>1</v>
      </c>
      <c r="AH385" s="21" t="str">
        <f t="shared" si="148"/>
        <v>ok</v>
      </c>
    </row>
    <row r="386" spans="1:34" x14ac:dyDescent="0.25">
      <c r="A386" s="14" t="s">
        <v>469</v>
      </c>
      <c r="C386" s="14" t="s">
        <v>234</v>
      </c>
      <c r="D386" s="14" t="s">
        <v>563</v>
      </c>
      <c r="E386" s="176">
        <v>1</v>
      </c>
      <c r="F386" s="26">
        <f>IF(VLOOKUP($D386,$C$5:$AT$507,3,)=0,0,(VLOOKUP($D386,$C$5:$AT$507,4,)/VLOOKUP($D386,$C$5:$AT$507,3,))*$E386)</f>
        <v>0.87367896481000074</v>
      </c>
      <c r="G386" s="26">
        <f>IF(VLOOKUP($D386,$C$5:$AT$507,3,)=0,0,(VLOOKUP($D386,$C$5:$AT$507,5,)/VLOOKUP($D386,$C$5:$AT$507,3,))*$E386)</f>
        <v>6.5742324177835425E-4</v>
      </c>
      <c r="H386" s="26">
        <f>IF(VLOOKUP($D386,$C$5:$AT$507,3,)=0,0,(VLOOKUP($D386,$C$5:$AT$507,6,)/VLOOKUP($D386,$C$5:$AT$507,3,))*$E386)</f>
        <v>0.10679475327555044</v>
      </c>
      <c r="I386" s="26">
        <f>IF(VLOOKUP($D386,$C$5:$AT$507,3,)=0,0,(VLOOKUP($D386,$C$5:$AT$507,7,)/VLOOKUP($D386,$C$5:$AT$507,3,))*$E386)</f>
        <v>1.2856276728110039E-2</v>
      </c>
      <c r="J386" s="26">
        <f>IF(VLOOKUP($D386,$C$5:$AT$507,3,)=0,0,(VLOOKUP($D386,$C$5:$AT$507,8,)/VLOOKUP($D386,$C$5:$AT$507,3,))*$E386)</f>
        <v>1.8261756716065396E-4</v>
      </c>
      <c r="K386" s="26">
        <f>IF(VLOOKUP($D386,$C$5:$AT$507,3,)=0,0,(VLOOKUP($D386,$C$5:$AT$507,9,)/VLOOKUP($D386,$C$5:$AT$507,3,))*$E386)</f>
        <v>5.8299643773999004E-3</v>
      </c>
      <c r="L386" s="26">
        <f>IF(VLOOKUP($D386,$C$5:$AT$507,3,)=0,0,(VLOOKUP($D386,$C$5:$AT$507,10,)/VLOOKUP($D386,$C$5:$AT$507,3,))*$E386)</f>
        <v>0</v>
      </c>
      <c r="M386" s="26">
        <f>IF(VLOOKUP($D386,$C$5:$AT$507,3,)=0,0,(VLOOKUP($D386,$C$5:$AT$507,11,)/VLOOKUP($D386,$C$5:$AT$507,3,))*$E386)</f>
        <v>0</v>
      </c>
      <c r="N386" s="26">
        <f>IF(VLOOKUP($D386,$C$5:$AT$507,3,)=0,0,(VLOOKUP($D386,$C$5:$AT$507,12,)/VLOOKUP($D386,$C$5:$AT$507,3,))*$E386)</f>
        <v>0</v>
      </c>
      <c r="O386" s="26">
        <f>IF(VLOOKUP($D386,$C$5:$AT$507,3,)=0,0,(VLOOKUP($D386,$C$5:$AT$507,13,)/VLOOKUP($D386,$C$5:$AT$507,3,))*$E386)</f>
        <v>0</v>
      </c>
      <c r="P386" s="26">
        <f>IF(VLOOKUP($D386,$C$5:$AT$507,3,)=0,0,(VLOOKUP($D386,$C$5:$AT$507,14,)/VLOOKUP($D386,$C$5:$AT$507,3,))*$E386)</f>
        <v>0</v>
      </c>
      <c r="Q386" s="26">
        <f>IF(VLOOKUP($D386,$C$5:$AT$507,3,)=0,0,(VLOOKUP($D386,$C$5:$AT$507,15,)/VLOOKUP($D386,$C$5:$AT$507,3,))*$E386)</f>
        <v>0</v>
      </c>
      <c r="R386" s="26">
        <f>IF(VLOOKUP($D386,$C$5:$AT$507,3,)=0,0,(VLOOKUP($D386,$C$5:$AT$507,16,)/VLOOKUP($D386,$C$5:$AT$507,3,))*$E386)</f>
        <v>0</v>
      </c>
      <c r="S386" s="26">
        <f>IF(VLOOKUP($D386,$C$5:$AT$507,3,)=0,0,(VLOOKUP($D386,$C$5:$AT$507,17,)/VLOOKUP($D386,$C$5:$AT$507,3,))*$E386)</f>
        <v>0</v>
      </c>
      <c r="T386" s="26">
        <f>IF(VLOOKUP($D386,$C$5:$AT$507,3,)=0,0,(VLOOKUP($D386,$C$5:$AT$507,18,)/VLOOKUP($D386,$C$5:$AT$507,3,))*$E386)</f>
        <v>0</v>
      </c>
      <c r="U386" s="26">
        <f>IF(VLOOKUP($D386,$C$5:$AT$507,3,)=0,0,(VLOOKUP($D386,$C$5:$AT$507,19,)/VLOOKUP($D386,$C$5:$AT$507,3,))*$E386)</f>
        <v>0</v>
      </c>
      <c r="V386" s="26">
        <f>IF(VLOOKUP($D386,$C$5:$AT$507,3,)=0,0,(VLOOKUP($D386,$C$5:$AT$507,20,)/VLOOKUP($D386,$C$5:$AT$507,3,))*$E386)</f>
        <v>0</v>
      </c>
      <c r="W386" s="26">
        <f>IF(VLOOKUP($D386,$C$5:$AT$507,3,)=0,0,(VLOOKUP($D386,$C$5:$AT$507,21,)/VLOOKUP($D386,$C$5:$AT$507,3,))*$E386)</f>
        <v>0</v>
      </c>
      <c r="X386" s="26">
        <f>IF(VLOOKUP($D386,$C$5:$AT$507,3,)=0,0,(VLOOKUP($D386,$C$5:$AT$507,22,)/VLOOKUP($D386,$C$5:$AT$507,3,))*$E386)</f>
        <v>0</v>
      </c>
      <c r="Y386" s="26">
        <f>IF(VLOOKUP($D386,$C$5:$AT$507,3,)=0,0,(VLOOKUP($D386,$C$5:$AT$507,23,)/VLOOKUP($D386,$C$5:$AT$507,3,))*$E386)</f>
        <v>0</v>
      </c>
      <c r="Z386" s="26">
        <f>IF(VLOOKUP($D386,$C$5:$AT$507,3,)=0,0,(VLOOKUP($D386,$C$5:$AT$507,24,)/VLOOKUP($D386,$C$5:$AT$507,3,))*$E386)</f>
        <v>0</v>
      </c>
      <c r="AA386" s="26">
        <f>IF(VLOOKUP($D386,$C$5:$AT$507,3,)=0,0,(VLOOKUP($D386,$C$5:$AT$507,25,)/VLOOKUP($D386,$C$5:$AT$507,3,))*$E386)</f>
        <v>0</v>
      </c>
      <c r="AB386" s="26">
        <f>IF(VLOOKUP($D386,$C$5:$AT$507,3,)=0,0,(VLOOKUP($D386,$C$5:$AT$507,26,)/VLOOKUP($D386,$C$5:$AT$507,3,))*$E386)</f>
        <v>0</v>
      </c>
      <c r="AC386" s="26">
        <f>IF(VLOOKUP($D386,$C$5:$AT$507,3,)=0,0,(VLOOKUP($D386,$C$5:$AT$507,27,)/VLOOKUP($D386,$C$5:$AT$507,3,))*$E386)</f>
        <v>0</v>
      </c>
      <c r="AD386" s="26">
        <f>IF(VLOOKUP($D386,$C$5:$AT$507,3,)=0,0,(VLOOKUP($D386,$C$5:$AT$507,28,)/VLOOKUP($D386,$C$5:$AT$507,3,))*$E386)</f>
        <v>0</v>
      </c>
      <c r="AE386" s="26">
        <f>IF(VLOOKUP($D386,$C$5:$AT$507,3,)=0,0,(VLOOKUP($D386,$C$5:$AT$507,29,)/VLOOKUP($D386,$C$5:$AT$507,3,))*$E386)</f>
        <v>0</v>
      </c>
      <c r="AF386" s="26">
        <f>IF(VLOOKUP($D386,$C$5:$AT$507,3,)=0,0,(VLOOKUP($D386,$C$5:$AT$507,30,)/VLOOKUP($D386,$C$5:$AT$507,3,))*$E386)</f>
        <v>0</v>
      </c>
      <c r="AG386" s="72">
        <f t="shared" si="147"/>
        <v>1</v>
      </c>
      <c r="AH386" s="21" t="str">
        <f t="shared" si="148"/>
        <v>ok</v>
      </c>
    </row>
    <row r="388" spans="1:34" x14ac:dyDescent="0.25">
      <c r="A388" s="13" t="s">
        <v>861</v>
      </c>
      <c r="D388" s="24"/>
    </row>
    <row r="389" spans="1:34" x14ac:dyDescent="0.25">
      <c r="A389" s="14" t="s">
        <v>348</v>
      </c>
      <c r="C389" s="14" t="s">
        <v>560</v>
      </c>
      <c r="E389" s="167">
        <f>'Billing Det'!E25</f>
        <v>48709047.080000006</v>
      </c>
      <c r="F389" s="27">
        <f>'Billing Det'!$E8</f>
        <v>30523492.903020002</v>
      </c>
      <c r="G389" s="27">
        <f>'Billing Det'!$E9</f>
        <v>26825.100000000006</v>
      </c>
      <c r="H389" s="27">
        <f>'Billing Det'!$E10</f>
        <v>3978193.8882800001</v>
      </c>
      <c r="I389" s="27">
        <f>'Billing Det'!$E11</f>
        <v>7641981.4635499995</v>
      </c>
      <c r="J389" s="27">
        <f>'Billing Det'!$E12</f>
        <v>1998139.34</v>
      </c>
      <c r="K389" s="27">
        <f>'Billing Det'!$E13</f>
        <v>491164.80514999997</v>
      </c>
      <c r="L389" s="27">
        <f>'Billing Det'!$E14</f>
        <v>4049249.58</v>
      </c>
      <c r="M389" s="27">
        <f>'Billing Det'!$E15</f>
        <v>0</v>
      </c>
      <c r="N389" s="27">
        <f>'Billing Det'!$E16</f>
        <v>0</v>
      </c>
      <c r="O389" s="27">
        <f>'Billing Det'!$E17</f>
        <v>0</v>
      </c>
      <c r="P389" s="27">
        <f>'Billing Det'!$E18</f>
        <v>0</v>
      </c>
      <c r="Q389" s="27">
        <f>'Billing Det'!$E19</f>
        <v>0</v>
      </c>
      <c r="R389" s="27">
        <f>'Billing Det'!$E20</f>
        <v>0</v>
      </c>
      <c r="S389" s="27">
        <f>'Billing Det'!$E21</f>
        <v>0</v>
      </c>
      <c r="T389" s="27">
        <f>'Billing Det'!$E22</f>
        <v>0</v>
      </c>
      <c r="U389" s="27">
        <f>'Billing Det'!$E23</f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27">
        <v>0</v>
      </c>
      <c r="AC389" s="27">
        <v>0</v>
      </c>
      <c r="AD389" s="27">
        <v>0</v>
      </c>
      <c r="AE389" s="27"/>
      <c r="AF389" s="27"/>
      <c r="AG389" s="27">
        <f t="shared" ref="AG389:AG399" si="149">SUM(F389:AF389)</f>
        <v>48709047.080000006</v>
      </c>
      <c r="AH389" s="21" t="str">
        <f t="shared" ref="AH389:AH399" si="150">IF(ABS(E389-AG389)&lt;0.01,"ok","err")</f>
        <v>ok</v>
      </c>
    </row>
    <row r="390" spans="1:34" x14ac:dyDescent="0.25">
      <c r="A390" s="14" t="s">
        <v>11</v>
      </c>
      <c r="C390" s="14" t="s">
        <v>213</v>
      </c>
      <c r="E390" s="167">
        <f>'Billing Det'!D25</f>
        <v>583862229</v>
      </c>
      <c r="F390" s="27">
        <f>'Billing Det'!D8</f>
        <v>319448483</v>
      </c>
      <c r="G390" s="27">
        <f>'Billing Det'!D9</f>
        <v>315315</v>
      </c>
      <c r="H390" s="27">
        <f>'Billing Det'!D10</f>
        <v>41685653</v>
      </c>
      <c r="I390" s="27">
        <f>'Billing Det'!D11</f>
        <v>85495726</v>
      </c>
      <c r="J390" s="27">
        <f>'Billing Det'!D12</f>
        <v>28456492</v>
      </c>
      <c r="K390" s="27">
        <f>'Billing Det'!D13</f>
        <v>0</v>
      </c>
      <c r="L390" s="27">
        <f>'Billing Det'!D14</f>
        <v>108460560</v>
      </c>
      <c r="M390" s="27">
        <f>'Billing Det'!D15</f>
        <v>0</v>
      </c>
      <c r="N390" s="27">
        <f>'Billing Det'!D16</f>
        <v>0</v>
      </c>
      <c r="O390" s="27">
        <f>'Billing Det'!D17</f>
        <v>0</v>
      </c>
      <c r="P390" s="27">
        <f>'Billing Det'!D18</f>
        <v>0</v>
      </c>
      <c r="Q390" s="27">
        <f>'Billing Det'!D19</f>
        <v>0</v>
      </c>
      <c r="R390" s="27">
        <f>'Billing Det'!D20</f>
        <v>0</v>
      </c>
      <c r="S390" s="27">
        <f>'Billing Det'!$D21</f>
        <v>0</v>
      </c>
      <c r="T390" s="27">
        <f>'Billing Det'!$D22</f>
        <v>0</v>
      </c>
      <c r="U390" s="27">
        <f>'Billing Det'!$D23</f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0</v>
      </c>
      <c r="AC390" s="27">
        <v>0</v>
      </c>
      <c r="AD390" s="27">
        <v>0</v>
      </c>
      <c r="AE390" s="27"/>
      <c r="AF390" s="27"/>
      <c r="AG390" s="27">
        <f>SUM(F390:AF390)</f>
        <v>583862229</v>
      </c>
      <c r="AH390" s="21" t="str">
        <f t="shared" si="150"/>
        <v>ok</v>
      </c>
    </row>
    <row r="391" spans="1:34" x14ac:dyDescent="0.25">
      <c r="A391" s="14" t="s">
        <v>741</v>
      </c>
      <c r="E391" s="187">
        <v>0.05</v>
      </c>
      <c r="F391" s="77">
        <v>0.05</v>
      </c>
      <c r="G391" s="77">
        <v>0.05</v>
      </c>
      <c r="H391" s="77">
        <v>2.5000000000000001E-2</v>
      </c>
      <c r="I391" s="77">
        <v>2.5000000000000001E-2</v>
      </c>
      <c r="J391" s="131">
        <v>2.5000000000000001E-2</v>
      </c>
      <c r="K391" s="131">
        <v>0.05</v>
      </c>
      <c r="L391" s="27">
        <v>0</v>
      </c>
      <c r="M391" s="27">
        <v>0</v>
      </c>
      <c r="N391" s="77">
        <v>0.05</v>
      </c>
      <c r="O391" s="77">
        <v>0.05</v>
      </c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107"/>
      <c r="AH391" s="21"/>
    </row>
    <row r="392" spans="1:34" x14ac:dyDescent="0.25">
      <c r="A392" s="14" t="s">
        <v>742</v>
      </c>
      <c r="C392" s="14" t="s">
        <v>11</v>
      </c>
      <c r="E392" s="167">
        <v>604682617.21997309</v>
      </c>
      <c r="F392" s="27">
        <f t="shared" ref="F392:AF392" si="151">F390/(1-F391)</f>
        <v>336261561.05263162</v>
      </c>
      <c r="G392" s="27">
        <f t="shared" si="151"/>
        <v>331910.5263157895</v>
      </c>
      <c r="H392" s="27">
        <f t="shared" si="151"/>
        <v>42754515.897435896</v>
      </c>
      <c r="I392" s="27">
        <f t="shared" si="151"/>
        <v>87687924.102564111</v>
      </c>
      <c r="J392" s="27">
        <f t="shared" si="151"/>
        <v>29186145.64102564</v>
      </c>
      <c r="K392" s="27">
        <f t="shared" si="151"/>
        <v>0</v>
      </c>
      <c r="L392" s="27">
        <f t="shared" si="151"/>
        <v>108460560</v>
      </c>
      <c r="M392" s="27">
        <f t="shared" si="151"/>
        <v>0</v>
      </c>
      <c r="N392" s="27">
        <f t="shared" si="151"/>
        <v>0</v>
      </c>
      <c r="O392" s="27">
        <f t="shared" si="151"/>
        <v>0</v>
      </c>
      <c r="P392" s="27">
        <f t="shared" si="151"/>
        <v>0</v>
      </c>
      <c r="Q392" s="27">
        <f t="shared" si="151"/>
        <v>0</v>
      </c>
      <c r="R392" s="27">
        <f t="shared" si="151"/>
        <v>0</v>
      </c>
      <c r="S392" s="27">
        <f t="shared" si="151"/>
        <v>0</v>
      </c>
      <c r="T392" s="27">
        <f t="shared" si="151"/>
        <v>0</v>
      </c>
      <c r="U392" s="27">
        <f t="shared" si="151"/>
        <v>0</v>
      </c>
      <c r="V392" s="27">
        <f t="shared" si="151"/>
        <v>0</v>
      </c>
      <c r="W392" s="27">
        <f t="shared" si="151"/>
        <v>0</v>
      </c>
      <c r="X392" s="27">
        <f t="shared" si="151"/>
        <v>0</v>
      </c>
      <c r="Y392" s="27">
        <f t="shared" si="151"/>
        <v>0</v>
      </c>
      <c r="Z392" s="27">
        <f t="shared" si="151"/>
        <v>0</v>
      </c>
      <c r="AA392" s="27">
        <f t="shared" si="151"/>
        <v>0</v>
      </c>
      <c r="AB392" s="27">
        <f t="shared" si="151"/>
        <v>0</v>
      </c>
      <c r="AC392" s="27">
        <f t="shared" si="151"/>
        <v>0</v>
      </c>
      <c r="AD392" s="27">
        <f t="shared" si="151"/>
        <v>0</v>
      </c>
      <c r="AE392" s="27">
        <f t="shared" si="151"/>
        <v>0</v>
      </c>
      <c r="AF392" s="27">
        <f t="shared" si="151"/>
        <v>0</v>
      </c>
      <c r="AG392" s="27">
        <f t="shared" si="149"/>
        <v>604682617.21997309</v>
      </c>
      <c r="AH392" s="21" t="str">
        <f t="shared" si="150"/>
        <v>ok</v>
      </c>
    </row>
    <row r="393" spans="1:34" x14ac:dyDescent="0.25">
      <c r="A393" s="14" t="s">
        <v>557</v>
      </c>
      <c r="E393" s="167">
        <f>'Billing Det'!C25*12</f>
        <v>412848</v>
      </c>
      <c r="F393" s="27">
        <f>'Billing Det'!$C8*12</f>
        <v>287052</v>
      </c>
      <c r="G393" s="27">
        <f>'Billing Det'!$C9*12</f>
        <v>216</v>
      </c>
      <c r="H393" s="27">
        <f>'Billing Det'!$C10*12</f>
        <v>35088</v>
      </c>
      <c r="I393" s="27">
        <f>'Billing Det'!$C11*12</f>
        <v>4224</v>
      </c>
      <c r="J393" s="27">
        <f>'Billing Det'!$C12*12</f>
        <v>60</v>
      </c>
      <c r="K393" s="27">
        <f>'Billing Det'!$C13*12</f>
        <v>86196</v>
      </c>
      <c r="L393" s="27">
        <f>'Billing Det'!$C14*12</f>
        <v>12</v>
      </c>
      <c r="M393" s="27">
        <f>'Billing Det'!$C15*12</f>
        <v>0</v>
      </c>
      <c r="N393" s="27">
        <f>'Billing Det'!$C16*12</f>
        <v>0</v>
      </c>
      <c r="O393" s="27">
        <f>'Billing Det'!$C17*12</f>
        <v>0</v>
      </c>
      <c r="P393" s="27">
        <f>'Billing Det'!$C18*12</f>
        <v>0</v>
      </c>
      <c r="Q393" s="27">
        <f>'Billing Det'!$C19*12</f>
        <v>0</v>
      </c>
      <c r="R393" s="27">
        <f>'Billing Det'!$C20*12</f>
        <v>0</v>
      </c>
      <c r="S393" s="27">
        <f>'Billing Det'!$C21*12</f>
        <v>0</v>
      </c>
      <c r="T393" s="27">
        <f>'Billing Det'!$C22*12</f>
        <v>0</v>
      </c>
      <c r="U393" s="27">
        <f>'Billing Det'!$C23*12</f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27">
        <v>0</v>
      </c>
      <c r="AD393" s="27">
        <v>0</v>
      </c>
      <c r="AE393" s="27"/>
      <c r="AF393" s="27"/>
      <c r="AG393" s="27">
        <f t="shared" si="149"/>
        <v>412848</v>
      </c>
      <c r="AH393" s="21" t="str">
        <f t="shared" si="150"/>
        <v>ok</v>
      </c>
    </row>
    <row r="394" spans="1:34" x14ac:dyDescent="0.25">
      <c r="A394" s="14" t="s">
        <v>558</v>
      </c>
      <c r="C394" s="14" t="s">
        <v>561</v>
      </c>
      <c r="E394" s="167">
        <f>'Billing Det'!C25</f>
        <v>34404</v>
      </c>
      <c r="F394" s="27">
        <f>F393/12</f>
        <v>23921</v>
      </c>
      <c r="G394" s="27">
        <f t="shared" ref="G394:AF394" si="152">G393/12</f>
        <v>18</v>
      </c>
      <c r="H394" s="27">
        <f>H393/12</f>
        <v>2924</v>
      </c>
      <c r="I394" s="27">
        <f t="shared" si="152"/>
        <v>352</v>
      </c>
      <c r="J394" s="27">
        <f t="shared" si="152"/>
        <v>5</v>
      </c>
      <c r="K394" s="27">
        <f t="shared" si="152"/>
        <v>7183</v>
      </c>
      <c r="L394" s="27">
        <f t="shared" si="152"/>
        <v>1</v>
      </c>
      <c r="M394" s="27">
        <f t="shared" si="152"/>
        <v>0</v>
      </c>
      <c r="N394" s="27">
        <f t="shared" si="152"/>
        <v>0</v>
      </c>
      <c r="O394" s="27">
        <f t="shared" si="152"/>
        <v>0</v>
      </c>
      <c r="P394" s="27">
        <f t="shared" si="152"/>
        <v>0</v>
      </c>
      <c r="Q394" s="27">
        <f t="shared" si="152"/>
        <v>0</v>
      </c>
      <c r="R394" s="27">
        <f t="shared" si="152"/>
        <v>0</v>
      </c>
      <c r="S394" s="27">
        <f t="shared" si="152"/>
        <v>0</v>
      </c>
      <c r="T394" s="27">
        <f t="shared" si="152"/>
        <v>0</v>
      </c>
      <c r="U394" s="27">
        <f t="shared" si="152"/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f t="shared" si="152"/>
        <v>0</v>
      </c>
      <c r="AA394" s="27">
        <f t="shared" si="152"/>
        <v>0</v>
      </c>
      <c r="AB394" s="27">
        <f t="shared" si="152"/>
        <v>0</v>
      </c>
      <c r="AC394" s="27">
        <f t="shared" si="152"/>
        <v>0</v>
      </c>
      <c r="AD394" s="27">
        <f t="shared" si="152"/>
        <v>0</v>
      </c>
      <c r="AE394" s="27">
        <f t="shared" si="152"/>
        <v>0</v>
      </c>
      <c r="AF394" s="27">
        <f t="shared" si="152"/>
        <v>0</v>
      </c>
      <c r="AG394" s="27">
        <f t="shared" si="149"/>
        <v>34404</v>
      </c>
      <c r="AH394" s="21" t="str">
        <f t="shared" si="150"/>
        <v>ok</v>
      </c>
    </row>
    <row r="395" spans="1:34" x14ac:dyDescent="0.25">
      <c r="A395" s="14" t="s">
        <v>559</v>
      </c>
      <c r="C395" s="14" t="s">
        <v>562</v>
      </c>
      <c r="E395" s="167">
        <f>E394</f>
        <v>34404</v>
      </c>
      <c r="F395" s="27">
        <f t="shared" ref="F395:O395" si="153">F394</f>
        <v>23921</v>
      </c>
      <c r="G395" s="27">
        <f t="shared" si="153"/>
        <v>18</v>
      </c>
      <c r="H395" s="27">
        <f t="shared" si="153"/>
        <v>2924</v>
      </c>
      <c r="I395" s="27">
        <f t="shared" si="153"/>
        <v>352</v>
      </c>
      <c r="J395" s="27">
        <f t="shared" si="153"/>
        <v>5</v>
      </c>
      <c r="K395" s="27">
        <f t="shared" si="153"/>
        <v>7183</v>
      </c>
      <c r="L395" s="27">
        <f t="shared" si="153"/>
        <v>1</v>
      </c>
      <c r="M395" s="27">
        <f t="shared" si="153"/>
        <v>0</v>
      </c>
      <c r="N395" s="27">
        <f t="shared" si="153"/>
        <v>0</v>
      </c>
      <c r="O395" s="27">
        <f t="shared" si="153"/>
        <v>0</v>
      </c>
      <c r="P395" s="27">
        <f t="shared" ref="P395:U395" si="154">P394</f>
        <v>0</v>
      </c>
      <c r="Q395" s="27">
        <f t="shared" si="154"/>
        <v>0</v>
      </c>
      <c r="R395" s="27">
        <f t="shared" si="154"/>
        <v>0</v>
      </c>
      <c r="S395" s="27">
        <f t="shared" si="154"/>
        <v>0</v>
      </c>
      <c r="T395" s="27">
        <f t="shared" si="154"/>
        <v>0</v>
      </c>
      <c r="U395" s="27">
        <f t="shared" si="154"/>
        <v>0</v>
      </c>
      <c r="V395" s="27">
        <v>0</v>
      </c>
      <c r="W395" s="27">
        <v>0</v>
      </c>
      <c r="X395" s="27">
        <v>0</v>
      </c>
      <c r="Y395" s="27">
        <v>0</v>
      </c>
      <c r="Z395" s="23">
        <f t="shared" ref="Z395:AF395" si="155">Z394</f>
        <v>0</v>
      </c>
      <c r="AA395" s="23">
        <f t="shared" si="155"/>
        <v>0</v>
      </c>
      <c r="AB395" s="23">
        <f t="shared" si="155"/>
        <v>0</v>
      </c>
      <c r="AC395" s="23">
        <f t="shared" si="155"/>
        <v>0</v>
      </c>
      <c r="AD395" s="23">
        <f t="shared" si="155"/>
        <v>0</v>
      </c>
      <c r="AE395" s="23">
        <f t="shared" si="155"/>
        <v>0</v>
      </c>
      <c r="AF395" s="23">
        <f t="shared" si="155"/>
        <v>0</v>
      </c>
      <c r="AG395" s="27">
        <f t="shared" si="149"/>
        <v>34404</v>
      </c>
      <c r="AH395" s="21" t="str">
        <f t="shared" si="150"/>
        <v>ok</v>
      </c>
    </row>
    <row r="396" spans="1:34" x14ac:dyDescent="0.25">
      <c r="A396" s="14" t="s">
        <v>893</v>
      </c>
      <c r="C396" s="14" t="s">
        <v>563</v>
      </c>
      <c r="E396" s="167">
        <v>27379.62222222222</v>
      </c>
      <c r="F396" s="23">
        <f>F394</f>
        <v>23921</v>
      </c>
      <c r="G396" s="23">
        <f t="shared" ref="G396:J396" si="156">G394</f>
        <v>18</v>
      </c>
      <c r="H396" s="23">
        <f t="shared" si="156"/>
        <v>2924</v>
      </c>
      <c r="I396" s="23">
        <f t="shared" si="156"/>
        <v>352</v>
      </c>
      <c r="J396" s="23">
        <f t="shared" si="156"/>
        <v>5</v>
      </c>
      <c r="K396" s="23">
        <f>K394/45</f>
        <v>159.62222222222223</v>
      </c>
      <c r="L396" s="23">
        <v>0</v>
      </c>
      <c r="M396" s="23">
        <f>M394/45</f>
        <v>0</v>
      </c>
      <c r="N396" s="23">
        <f>N394/45</f>
        <v>0</v>
      </c>
      <c r="O396" s="23">
        <f>O394/45</f>
        <v>0</v>
      </c>
      <c r="P396" s="23">
        <f>P394/45</f>
        <v>0</v>
      </c>
      <c r="Q396" s="23">
        <f t="shared" ref="Q396:R396" si="157">Q394</f>
        <v>0</v>
      </c>
      <c r="R396" s="23">
        <f t="shared" si="157"/>
        <v>0</v>
      </c>
      <c r="S396" s="27">
        <f>S394</f>
        <v>0</v>
      </c>
      <c r="T396" s="27">
        <f>T394</f>
        <v>0</v>
      </c>
      <c r="U396" s="27">
        <f>U394</f>
        <v>0</v>
      </c>
      <c r="V396" s="27">
        <v>0</v>
      </c>
      <c r="W396" s="27">
        <v>0</v>
      </c>
      <c r="X396" s="27">
        <v>0</v>
      </c>
      <c r="Y396" s="27">
        <v>0</v>
      </c>
      <c r="Z396" s="23">
        <f t="shared" ref="Z396:AF396" si="158">Z394</f>
        <v>0</v>
      </c>
      <c r="AA396" s="23">
        <f t="shared" si="158"/>
        <v>0</v>
      </c>
      <c r="AB396" s="23">
        <f t="shared" si="158"/>
        <v>0</v>
      </c>
      <c r="AC396" s="23">
        <f t="shared" si="158"/>
        <v>0</v>
      </c>
      <c r="AD396" s="23">
        <f t="shared" si="158"/>
        <v>0</v>
      </c>
      <c r="AE396" s="23">
        <f t="shared" si="158"/>
        <v>0</v>
      </c>
      <c r="AF396" s="23">
        <f t="shared" si="158"/>
        <v>0</v>
      </c>
      <c r="AG396" s="27">
        <f>SUM(F396:AF396)</f>
        <v>27379.62222222222</v>
      </c>
      <c r="AH396" s="21" t="str">
        <f t="shared" si="150"/>
        <v>ok</v>
      </c>
    </row>
    <row r="397" spans="1:34" x14ac:dyDescent="0.25">
      <c r="A397" s="14" t="s">
        <v>751</v>
      </c>
      <c r="C397" s="14" t="s">
        <v>564</v>
      </c>
      <c r="E397" s="167">
        <v>1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1</v>
      </c>
      <c r="L397" s="27">
        <v>0</v>
      </c>
      <c r="M397" s="27">
        <v>0</v>
      </c>
      <c r="N397" s="27">
        <f>N390</f>
        <v>0</v>
      </c>
      <c r="O397" s="27">
        <f>O390</f>
        <v>0</v>
      </c>
      <c r="P397" s="27">
        <f>'Billing Det'!C18</f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3"/>
      <c r="AA397" s="23"/>
      <c r="AB397" s="23"/>
      <c r="AC397" s="23"/>
      <c r="AD397" s="23"/>
      <c r="AE397" s="23"/>
      <c r="AF397" s="23"/>
      <c r="AG397" s="27">
        <f t="shared" si="149"/>
        <v>1</v>
      </c>
      <c r="AH397" s="21" t="str">
        <f t="shared" si="150"/>
        <v>ok</v>
      </c>
    </row>
    <row r="398" spans="1:34" x14ac:dyDescent="0.25">
      <c r="A398" s="14" t="s">
        <v>613</v>
      </c>
      <c r="C398" s="14" t="s">
        <v>614</v>
      </c>
      <c r="E398" s="167">
        <f>E396</f>
        <v>27379.62222222222</v>
      </c>
      <c r="F398" s="23">
        <f>F396</f>
        <v>23921</v>
      </c>
      <c r="G398" s="23">
        <f t="shared" ref="G398:O398" si="159">G396</f>
        <v>18</v>
      </c>
      <c r="H398" s="23">
        <f t="shared" si="159"/>
        <v>2924</v>
      </c>
      <c r="I398" s="23">
        <f t="shared" si="159"/>
        <v>352</v>
      </c>
      <c r="J398" s="23">
        <f t="shared" si="159"/>
        <v>5</v>
      </c>
      <c r="K398" s="23">
        <f t="shared" si="159"/>
        <v>159.62222222222223</v>
      </c>
      <c r="L398" s="23">
        <f t="shared" si="159"/>
        <v>0</v>
      </c>
      <c r="M398" s="23">
        <f t="shared" si="159"/>
        <v>0</v>
      </c>
      <c r="N398" s="23">
        <f t="shared" si="159"/>
        <v>0</v>
      </c>
      <c r="O398" s="23">
        <f t="shared" si="159"/>
        <v>0</v>
      </c>
      <c r="P398" s="23">
        <f>P396</f>
        <v>0</v>
      </c>
      <c r="Q398" s="27">
        <f>Q393/12*2.11</f>
        <v>0</v>
      </c>
      <c r="R398" s="27">
        <f>R393/12*2.11</f>
        <v>0</v>
      </c>
      <c r="S398" s="27">
        <f>S396</f>
        <v>0</v>
      </c>
      <c r="T398" s="27">
        <f>T396</f>
        <v>0</v>
      </c>
      <c r="U398" s="27">
        <f>U396</f>
        <v>0</v>
      </c>
      <c r="V398" s="27">
        <v>0</v>
      </c>
      <c r="W398" s="27">
        <v>0</v>
      </c>
      <c r="X398" s="27">
        <v>0</v>
      </c>
      <c r="Y398" s="27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7">
        <f t="shared" si="149"/>
        <v>27379.62222222222</v>
      </c>
      <c r="AH398" s="21" t="str">
        <f t="shared" si="150"/>
        <v>ok</v>
      </c>
    </row>
    <row r="399" spans="1:34" x14ac:dyDescent="0.25">
      <c r="A399" s="14" t="s">
        <v>469</v>
      </c>
      <c r="C399" s="14" t="s">
        <v>615</v>
      </c>
      <c r="E399" s="167">
        <f>E395</f>
        <v>34404</v>
      </c>
      <c r="F399" s="23">
        <f>F395</f>
        <v>23921</v>
      </c>
      <c r="G399" s="23">
        <f t="shared" ref="G399:O399" si="160">G395</f>
        <v>18</v>
      </c>
      <c r="H399" s="23">
        <f t="shared" si="160"/>
        <v>2924</v>
      </c>
      <c r="I399" s="23">
        <f t="shared" si="160"/>
        <v>352</v>
      </c>
      <c r="J399" s="23">
        <f t="shared" si="160"/>
        <v>5</v>
      </c>
      <c r="K399" s="23">
        <f t="shared" si="160"/>
        <v>7183</v>
      </c>
      <c r="L399" s="23">
        <f t="shared" si="160"/>
        <v>1</v>
      </c>
      <c r="M399" s="23">
        <f t="shared" si="160"/>
        <v>0</v>
      </c>
      <c r="N399" s="23">
        <f t="shared" si="160"/>
        <v>0</v>
      </c>
      <c r="O399" s="23">
        <f t="shared" si="160"/>
        <v>0</v>
      </c>
      <c r="P399" s="23">
        <f t="shared" ref="P399:Q399" si="161">P395</f>
        <v>0</v>
      </c>
      <c r="Q399" s="23">
        <f t="shared" si="161"/>
        <v>0</v>
      </c>
      <c r="R399" s="23">
        <f>R395</f>
        <v>0</v>
      </c>
      <c r="S399" s="27">
        <f>S395</f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3"/>
      <c r="AA399" s="23"/>
      <c r="AB399" s="23"/>
      <c r="AC399" s="23"/>
      <c r="AD399" s="23"/>
      <c r="AE399" s="23"/>
      <c r="AF399" s="23"/>
      <c r="AG399" s="27">
        <f t="shared" si="149"/>
        <v>34404</v>
      </c>
      <c r="AH399" s="21" t="str">
        <f t="shared" si="150"/>
        <v>ok</v>
      </c>
    </row>
    <row r="401" spans="1:34" x14ac:dyDescent="0.25">
      <c r="A401" s="14" t="s">
        <v>688</v>
      </c>
      <c r="C401" s="14" t="s">
        <v>940</v>
      </c>
      <c r="E401" s="167">
        <f>'Billing Det'!$K$25</f>
        <v>976795.00000049418</v>
      </c>
      <c r="F401" s="27">
        <f>'Billing Det'!$K$8</f>
        <v>636376.56459540222</v>
      </c>
      <c r="G401" s="27">
        <f>'Billing Det'!$K$9</f>
        <v>0</v>
      </c>
      <c r="H401" s="27">
        <f>'Billing Det'!$K$10</f>
        <v>69002.343341765198</v>
      </c>
      <c r="I401" s="27">
        <f>'Billing Det'!$K$11</f>
        <v>144847.66344592095</v>
      </c>
      <c r="J401" s="27">
        <f>'Billing Det'!$K$12</f>
        <v>27887.028617405835</v>
      </c>
      <c r="K401" s="27">
        <f>'Billing Det'!$K$13</f>
        <v>0</v>
      </c>
      <c r="L401" s="27">
        <f>'Billing Det'!$K$14</f>
        <v>98681.400000000009</v>
      </c>
      <c r="M401" s="27">
        <f>'Billing Det'!$K$15</f>
        <v>0</v>
      </c>
      <c r="N401" s="27">
        <f>'Billing Det'!$K$16</f>
        <v>0</v>
      </c>
      <c r="O401" s="27">
        <f>'Billing Det'!$K$17</f>
        <v>0</v>
      </c>
      <c r="P401" s="27">
        <f>'Billing Det'!$K$18</f>
        <v>0</v>
      </c>
      <c r="Q401" s="27">
        <f>'Billing Det'!$K$19</f>
        <v>0</v>
      </c>
      <c r="R401" s="27">
        <f>'Billing Det'!$K$20</f>
        <v>0</v>
      </c>
      <c r="S401" s="27">
        <f>'Billing Det'!$K$21</f>
        <v>0</v>
      </c>
      <c r="T401" s="27">
        <f>'Billing Det'!$K$22</f>
        <v>0</v>
      </c>
      <c r="U401" s="27">
        <f>'Billing Det'!$K$23</f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0</v>
      </c>
      <c r="AD401" s="27">
        <v>0</v>
      </c>
      <c r="AE401" s="27"/>
      <c r="AF401" s="27"/>
      <c r="AG401" s="64">
        <f>SUM(F401:AF401)</f>
        <v>976795.00000049418</v>
      </c>
      <c r="AH401" s="21" t="str">
        <f>IF(ABS(E401-AG401)&lt;0.01,"ok","err")</f>
        <v>ok</v>
      </c>
    </row>
    <row r="402" spans="1:34" x14ac:dyDescent="0.25">
      <c r="A402" s="14" t="s">
        <v>689</v>
      </c>
      <c r="C402" s="14" t="s">
        <v>941</v>
      </c>
      <c r="E402" s="167">
        <f>'Billing Det'!$J$25</f>
        <v>306289.00000007544</v>
      </c>
      <c r="F402" s="27">
        <f>'Billing Det'!$J$8</f>
        <v>187577.29925872764</v>
      </c>
      <c r="G402" s="27">
        <f>'Billing Det'!$J$9</f>
        <v>0</v>
      </c>
      <c r="H402" s="27">
        <f>'Billing Det'!$J$10</f>
        <v>22285.454695443801</v>
      </c>
      <c r="I402" s="27">
        <f>'Billing Det'!$J$11</f>
        <v>50872.053691021283</v>
      </c>
      <c r="J402" s="27">
        <f>'Billing Det'!$J$12</f>
        <v>9983.4923548827301</v>
      </c>
      <c r="K402" s="27">
        <f>'Billing Det'!$J$13</f>
        <v>0</v>
      </c>
      <c r="L402" s="27">
        <f>'Billing Det'!$J$14</f>
        <v>35570.699999999997</v>
      </c>
      <c r="M402" s="27">
        <f>'Billing Det'!$J$15</f>
        <v>0</v>
      </c>
      <c r="N402" s="27">
        <f>'Billing Det'!$J$16</f>
        <v>0</v>
      </c>
      <c r="O402" s="27">
        <f>'Billing Det'!$J$17</f>
        <v>0</v>
      </c>
      <c r="P402" s="27">
        <f>'Billing Det'!$J$18</f>
        <v>0</v>
      </c>
      <c r="Q402" s="27">
        <f>'Billing Det'!$J$19</f>
        <v>0</v>
      </c>
      <c r="R402" s="27">
        <f>'Billing Det'!$J$20</f>
        <v>0</v>
      </c>
      <c r="S402" s="27">
        <f>'Billing Det'!$J$21</f>
        <v>0</v>
      </c>
      <c r="T402" s="27">
        <f>'Billing Det'!$J$22</f>
        <v>0</v>
      </c>
      <c r="U402" s="27">
        <f>'Billing Det'!$J$23</f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0</v>
      </c>
      <c r="AC402" s="27">
        <v>0</v>
      </c>
      <c r="AD402" s="27">
        <v>0</v>
      </c>
      <c r="AE402" s="27"/>
      <c r="AF402" s="27"/>
      <c r="AG402" s="64">
        <f>SUM(F402:AF402)</f>
        <v>306289.00000007544</v>
      </c>
      <c r="AH402" s="21" t="str">
        <f>IF(ABS(E402-AG402)&lt;0.01,"ok","err")</f>
        <v>ok</v>
      </c>
    </row>
    <row r="403" spans="1:34" x14ac:dyDescent="0.25">
      <c r="A403" s="14" t="s">
        <v>882</v>
      </c>
      <c r="C403" s="14" t="s">
        <v>939</v>
      </c>
      <c r="E403" s="167">
        <f>'Billing Det'!$I$25</f>
        <v>1283084.00000057</v>
      </c>
      <c r="F403" s="27">
        <f>'Billing Det'!$I$8</f>
        <v>823953.86385412992</v>
      </c>
      <c r="G403" s="27">
        <f>'Billing Det'!$I$9</f>
        <v>0</v>
      </c>
      <c r="H403" s="27">
        <f>'Billing Det'!$I$10</f>
        <v>91287.798037208995</v>
      </c>
      <c r="I403" s="27">
        <f>'Billing Det'!$I$11</f>
        <v>195719.71713694223</v>
      </c>
      <c r="J403" s="27">
        <f>'Billing Det'!$I$12</f>
        <v>37870.520972288563</v>
      </c>
      <c r="K403" s="27">
        <f>'Billing Det'!$I$13</f>
        <v>0</v>
      </c>
      <c r="L403" s="27">
        <f>'Billing Det'!$I$14</f>
        <v>134252.1</v>
      </c>
      <c r="M403" s="27">
        <f>'Billing Det'!$I$15</f>
        <v>0</v>
      </c>
      <c r="N403" s="27">
        <f>'Billing Det'!$I$16</f>
        <v>0</v>
      </c>
      <c r="O403" s="27">
        <f>'Billing Det'!$I$17</f>
        <v>0</v>
      </c>
      <c r="P403" s="27">
        <f>'Billing Det'!$I$18</f>
        <v>0</v>
      </c>
      <c r="Q403" s="27">
        <f>'Billing Det'!$I$19</f>
        <v>0</v>
      </c>
      <c r="R403" s="27">
        <f>'Billing Det'!$I$20</f>
        <v>0</v>
      </c>
      <c r="S403" s="27">
        <f>'Billing Det'!$I$21</f>
        <v>0</v>
      </c>
      <c r="T403" s="27">
        <f>'Billing Det'!$I$22</f>
        <v>0</v>
      </c>
      <c r="U403" s="27">
        <f>'Billing Det'!$I$23</f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/>
      <c r="AF403" s="27"/>
      <c r="AG403" s="64">
        <f>SUM(F403:AF403)</f>
        <v>1283084.00000057</v>
      </c>
      <c r="AH403" s="21" t="str">
        <f>IF(ABS(E403-AG403)&lt;0.01,"ok","err")</f>
        <v>ok</v>
      </c>
    </row>
    <row r="404" spans="1:34" x14ac:dyDescent="0.25">
      <c r="A404" s="14" t="s">
        <v>690</v>
      </c>
      <c r="C404" s="14" t="s">
        <v>565</v>
      </c>
      <c r="E404" s="167">
        <f>'Billing Det'!$H$25</f>
        <v>174423.57810250239</v>
      </c>
      <c r="F404" s="27">
        <f>'Billing Det'!$H$8</f>
        <v>119002.38576653547</v>
      </c>
      <c r="G404" s="27">
        <f>'Billing Det'!$H$9</f>
        <v>144.76648081634767</v>
      </c>
      <c r="H404" s="27">
        <f>'Billing Det'!$H$10</f>
        <v>12894.324531343316</v>
      </c>
      <c r="I404" s="27">
        <f>'Billing Det'!$H$11</f>
        <v>24492.020577268417</v>
      </c>
      <c r="J404" s="27">
        <f>'Billing Det'!$H$12</f>
        <v>4650.0807465388289</v>
      </c>
      <c r="K404" s="27">
        <f>'Billing Det'!$H$13</f>
        <v>0</v>
      </c>
      <c r="L404" s="27">
        <f>'Billing Det'!$H$14</f>
        <v>13240</v>
      </c>
      <c r="M404" s="27">
        <f>'Billing Det'!$H$15</f>
        <v>0</v>
      </c>
      <c r="N404" s="27">
        <f>'Billing Det'!$H$16</f>
        <v>0</v>
      </c>
      <c r="O404" s="27">
        <f>'Billing Det'!$H$17</f>
        <v>0</v>
      </c>
      <c r="P404" s="27">
        <f>'Billing Det'!$H$18</f>
        <v>0</v>
      </c>
      <c r="Q404" s="27">
        <f>'Billing Det'!$H$19</f>
        <v>0</v>
      </c>
      <c r="R404" s="27">
        <f>'Billing Det'!$H$20</f>
        <v>0</v>
      </c>
      <c r="S404" s="27">
        <f>'Billing Det'!$H$21</f>
        <v>0</v>
      </c>
      <c r="T404" s="27">
        <f>'Billing Det'!$H$22</f>
        <v>0</v>
      </c>
      <c r="U404" s="27">
        <f>'Billing Det'!$H$23</f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27">
        <v>0</v>
      </c>
      <c r="AC404" s="27">
        <v>0</v>
      </c>
      <c r="AD404" s="27">
        <v>0</v>
      </c>
      <c r="AE404" s="27"/>
      <c r="AF404" s="27"/>
      <c r="AG404" s="64">
        <f>SUM(F404:AF404)</f>
        <v>174423.57810250239</v>
      </c>
      <c r="AH404" s="21" t="str">
        <f>IF(ABS(E404-AG404)&lt;0.01,"ok","err")</f>
        <v>ok</v>
      </c>
    </row>
    <row r="405" spans="1:34" x14ac:dyDescent="0.25">
      <c r="A405" s="14" t="s">
        <v>743</v>
      </c>
      <c r="C405" s="14" t="s">
        <v>883</v>
      </c>
      <c r="E405" s="167">
        <f>'Billing Det'!$F$25</f>
        <v>3110540.1757233604</v>
      </c>
      <c r="F405" s="27">
        <f>'Billing Det'!$F$8</f>
        <v>2437463.8206889685</v>
      </c>
      <c r="G405" s="27">
        <f>'Billing Det'!$F$9</f>
        <v>2412.8290343915346</v>
      </c>
      <c r="H405" s="27">
        <f>'Billing Det'!$F$10</f>
        <v>127345.35</v>
      </c>
      <c r="I405" s="27">
        <f>'Billing Det'!$F$11</f>
        <v>336121.95600000001</v>
      </c>
      <c r="J405" s="27">
        <f>'Billing Det'!$F$12</f>
        <v>58027.22</v>
      </c>
      <c r="K405" s="27">
        <f>'Billing Det'!$F$13</f>
        <v>0</v>
      </c>
      <c r="L405" s="27">
        <f>'Billing Det'!$F$14</f>
        <v>149169</v>
      </c>
      <c r="M405" s="27">
        <f>'Billing Det'!$F$15</f>
        <v>0</v>
      </c>
      <c r="N405" s="27">
        <f>'Billing Det'!$F$16</f>
        <v>0</v>
      </c>
      <c r="O405" s="27">
        <f>'Billing Det'!$F$17</f>
        <v>0</v>
      </c>
      <c r="P405" s="27">
        <f>'Billing Det'!$F$18</f>
        <v>0</v>
      </c>
      <c r="Q405" s="27">
        <f>'Billing Det'!$F$19</f>
        <v>0</v>
      </c>
      <c r="R405" s="27">
        <f>'Billing Det'!$F$20</f>
        <v>0</v>
      </c>
      <c r="S405" s="27">
        <f>'Billing Det'!$F$21</f>
        <v>0</v>
      </c>
      <c r="T405" s="27">
        <f>'Billing Det'!$F$22</f>
        <v>0</v>
      </c>
      <c r="U405" s="27">
        <f>'Billing Det'!$F$23</f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/>
      <c r="AF405" s="27"/>
      <c r="AG405" s="64">
        <f>SUM(F405:AF405)</f>
        <v>3110540.1757233604</v>
      </c>
      <c r="AH405" s="21" t="str">
        <f>IF(ABS(E405-AG405)&lt;0.01,"ok","err")</f>
        <v>ok</v>
      </c>
    </row>
    <row r="407" spans="1:34" x14ac:dyDescent="0.25">
      <c r="A407" s="19" t="s">
        <v>894</v>
      </c>
    </row>
    <row r="408" spans="1:34" x14ac:dyDescent="0.25">
      <c r="E408" s="16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1"/>
    </row>
    <row r="409" spans="1:34" x14ac:dyDescent="0.25">
      <c r="A409" s="14" t="s">
        <v>594</v>
      </c>
      <c r="C409" s="14" t="s">
        <v>595</v>
      </c>
      <c r="E409" s="167">
        <v>1148831.9007890793</v>
      </c>
      <c r="F409" s="27">
        <f t="shared" ref="F409:S409" si="162">F403</f>
        <v>823953.86385412992</v>
      </c>
      <c r="G409" s="27">
        <f t="shared" si="162"/>
        <v>0</v>
      </c>
      <c r="H409" s="27">
        <f t="shared" si="162"/>
        <v>91287.798037208995</v>
      </c>
      <c r="I409" s="27">
        <f t="shared" si="162"/>
        <v>195719.71713694223</v>
      </c>
      <c r="J409" s="27">
        <f t="shared" si="162"/>
        <v>37870.520972288563</v>
      </c>
      <c r="K409" s="27">
        <f t="shared" si="162"/>
        <v>0</v>
      </c>
      <c r="L409" s="27">
        <v>0</v>
      </c>
      <c r="M409" s="27">
        <f t="shared" si="162"/>
        <v>0</v>
      </c>
      <c r="N409" s="27">
        <f t="shared" si="162"/>
        <v>0</v>
      </c>
      <c r="O409" s="27">
        <f t="shared" si="162"/>
        <v>0</v>
      </c>
      <c r="P409" s="27">
        <f t="shared" si="162"/>
        <v>0</v>
      </c>
      <c r="Q409" s="27">
        <f t="shared" si="162"/>
        <v>0</v>
      </c>
      <c r="R409" s="27">
        <f t="shared" si="162"/>
        <v>0</v>
      </c>
      <c r="S409" s="27">
        <f t="shared" si="162"/>
        <v>0</v>
      </c>
      <c r="T409" s="27">
        <f t="shared" ref="T409:AF409" si="163">T404</f>
        <v>0</v>
      </c>
      <c r="U409" s="27">
        <f t="shared" si="163"/>
        <v>0</v>
      </c>
      <c r="V409" s="27">
        <f t="shared" si="163"/>
        <v>0</v>
      </c>
      <c r="W409" s="27">
        <f t="shared" si="163"/>
        <v>0</v>
      </c>
      <c r="X409" s="27">
        <f t="shared" si="163"/>
        <v>0</v>
      </c>
      <c r="Y409" s="27">
        <f t="shared" si="163"/>
        <v>0</v>
      </c>
      <c r="Z409" s="27">
        <f t="shared" si="163"/>
        <v>0</v>
      </c>
      <c r="AA409" s="27">
        <f t="shared" si="163"/>
        <v>0</v>
      </c>
      <c r="AB409" s="27">
        <f t="shared" si="163"/>
        <v>0</v>
      </c>
      <c r="AC409" s="27">
        <f t="shared" si="163"/>
        <v>0</v>
      </c>
      <c r="AD409" s="27">
        <f t="shared" si="163"/>
        <v>0</v>
      </c>
      <c r="AE409" s="27">
        <f t="shared" si="163"/>
        <v>0</v>
      </c>
      <c r="AF409" s="27">
        <f t="shared" si="163"/>
        <v>0</v>
      </c>
      <c r="AG409" s="27">
        <f>SUM(F409:AF409)</f>
        <v>1148831.9000005699</v>
      </c>
      <c r="AH409" s="21" t="str">
        <f t="shared" ref="AH409:AH414" si="164">IF(ABS(E409-AG409)&lt;0.01,"ok","err")</f>
        <v>ok</v>
      </c>
    </row>
    <row r="410" spans="1:34" x14ac:dyDescent="0.25">
      <c r="A410" s="14" t="s">
        <v>593</v>
      </c>
      <c r="E410" s="175">
        <f>'Func &amp; Classif'!K35</f>
        <v>0</v>
      </c>
      <c r="AG410" s="64">
        <f>E410</f>
        <v>0</v>
      </c>
      <c r="AH410" s="21" t="str">
        <f t="shared" si="164"/>
        <v>ok</v>
      </c>
    </row>
    <row r="411" spans="1:34" x14ac:dyDescent="0.25">
      <c r="A411" s="14" t="s">
        <v>591</v>
      </c>
      <c r="E411" s="174"/>
      <c r="M411" s="27">
        <v>0</v>
      </c>
      <c r="N411" s="27">
        <v>0</v>
      </c>
      <c r="O411" s="27"/>
      <c r="P411" s="27"/>
      <c r="AG411" s="64">
        <f>SUM(F411:AF411)</f>
        <v>0</v>
      </c>
      <c r="AH411" s="21" t="str">
        <f t="shared" si="164"/>
        <v>ok</v>
      </c>
    </row>
    <row r="412" spans="1:34" x14ac:dyDescent="0.25">
      <c r="A412" s="14" t="s">
        <v>592</v>
      </c>
      <c r="D412" s="14" t="s">
        <v>595</v>
      </c>
      <c r="E412" s="175">
        <f>E410-E411</f>
        <v>0</v>
      </c>
      <c r="F412" s="40">
        <f>IF(VLOOKUP($D412,$C$5:$AT$525,3,)=0,0,(VLOOKUP($D412,$C$5:$AT$525,4,)/VLOOKUP($D412,$C$5:$AT$525,3,))*$E412)</f>
        <v>0</v>
      </c>
      <c r="G412" s="40">
        <f>IF(VLOOKUP($D412,$C$5:$AT$525,3,)=0,0,(VLOOKUP($D412,$C$5:$AT$525,5,)/VLOOKUP($D412,$C$5:$AT$525,3,))*$E412)</f>
        <v>0</v>
      </c>
      <c r="H412" s="40">
        <f>IF(VLOOKUP($D412,$C$5:$AT$525,3,)=0,0,(VLOOKUP($D412,$C$5:$AT$525,6,)/VLOOKUP($D412,$C$5:$AT$525,3,))*$E412)</f>
        <v>0</v>
      </c>
      <c r="I412" s="40">
        <f>IF(VLOOKUP($D412,$C$5:$AT$525,3,)=0,0,(VLOOKUP($D412,$C$5:$AT$525,7,)/VLOOKUP($D412,$C$5:$AT$525,3,))*$E412)</f>
        <v>0</v>
      </c>
      <c r="J412" s="40">
        <f>IF(VLOOKUP($D412,$C$5:$AT$525,3,)=0,0,(VLOOKUP($D412,$C$5:$AT$525,8,)/VLOOKUP($D412,$C$5:$AT$525,3,))*$E412)</f>
        <v>0</v>
      </c>
      <c r="K412" s="40">
        <f>IF(VLOOKUP($D412,$C$5:$AT$525,3,)=0,0,(VLOOKUP($D412,$C$5:$AT$525,9,)/VLOOKUP($D412,$C$5:$AT$525,3,))*$E412)</f>
        <v>0</v>
      </c>
      <c r="L412" s="40">
        <f>IF(VLOOKUP($D412,$C$5:$AT$525,3,)=0,0,(VLOOKUP($D412,$C$5:$AT$525,10,)/VLOOKUP($D412,$C$5:$AT$525,3,))*$E412)</f>
        <v>0</v>
      </c>
      <c r="M412" s="40">
        <f>IF(VLOOKUP($D412,$C$5:$AT$525,3,)=0,0,(VLOOKUP($D412,$C$5:$AT$525,11,)/VLOOKUP($D412,$C$5:$AT$525,3,))*$E412)</f>
        <v>0</v>
      </c>
      <c r="N412" s="40">
        <f>IF(VLOOKUP($D412,$C$5:$AT$525,3,)=0,0,(VLOOKUP($D412,$C$5:$AT$525,12,)/VLOOKUP($D412,$C$5:$AT$525,3,))*$E412)</f>
        <v>0</v>
      </c>
      <c r="O412" s="40">
        <f>IF(VLOOKUP($D412,$C$5:$AT$525,3,)=0,0,(VLOOKUP($D412,$C$5:$AT$525,13,)/VLOOKUP($D412,$C$5:$AT$525,3,))*$E412)</f>
        <v>0</v>
      </c>
      <c r="P412" s="40">
        <f>IF(VLOOKUP($D412,$C$5:$AT$525,3,)=0,0,(VLOOKUP($D412,$C$5:$AT$525,14,)/VLOOKUP($D412,$C$5:$AT$525,3,))*$E412)</f>
        <v>0</v>
      </c>
      <c r="Q412" s="40">
        <f>IF(VLOOKUP($D412,$C$5:$AT$525,3,)=0,0,(VLOOKUP($D412,$C$5:$AT$525,15,)/VLOOKUP($D412,$C$5:$AT$525,3,))*$E412)</f>
        <v>0</v>
      </c>
      <c r="R412" s="40">
        <f>IF(VLOOKUP($D412,$C$5:$AT$525,3,)=0,0,(VLOOKUP($D412,$C$5:$AT$525,16,)/VLOOKUP($D412,$C$5:$AT$525,3,))*$E412)</f>
        <v>0</v>
      </c>
      <c r="S412" s="40">
        <f>IF(VLOOKUP($D412,$C$5:$AT$525,3,)=0,0,(VLOOKUP($D412,$C$5:$AT$525,17,)/VLOOKUP($D412,$C$5:$AT$525,3,))*$E412)</f>
        <v>0</v>
      </c>
      <c r="T412" s="40">
        <f>IF(VLOOKUP($D412,$C$5:$AT$525,3,)=0,0,(VLOOKUP($D412,$C$5:$AT$525,18,)/VLOOKUP($D412,$C$5:$AT$525,3,))*$E412)</f>
        <v>0</v>
      </c>
      <c r="U412" s="40">
        <f>IF(VLOOKUP($D412,$C$5:$AT$525,3,)=0,0,(VLOOKUP($D412,$C$5:$AT$525,19,)/VLOOKUP($D412,$C$5:$AT$525,3,))*$E412)</f>
        <v>0</v>
      </c>
      <c r="V412" s="40">
        <f>IF(VLOOKUP($D412,$C$5:$AT$525,3,)=0,0,(VLOOKUP($D412,$C$5:$AT$525,20,)/VLOOKUP($D412,$C$5:$AT$525,3,))*$E412)</f>
        <v>0</v>
      </c>
      <c r="W412" s="40">
        <f>IF(VLOOKUP($D412,$C$5:$AT$525,3,)=0,0,(VLOOKUP($D412,$C$5:$AT$525,21,)/VLOOKUP($D412,$C$5:$AT$525,3,))*$E412)</f>
        <v>0</v>
      </c>
      <c r="X412" s="40">
        <f>IF(VLOOKUP($D412,$C$5:$AT$525,3,)=0,0,(VLOOKUP($D412,$C$5:$AT$525,22,)/VLOOKUP($D412,$C$5:$AT$525,3,))*$E412)</f>
        <v>0</v>
      </c>
      <c r="Y412" s="40">
        <f>IF(VLOOKUP($D412,$C$5:$AT$525,3,)=0,0,(VLOOKUP($D412,$C$5:$AT$525,23,)/VLOOKUP($D412,$C$5:$AT$525,3,))*$E412)</f>
        <v>0</v>
      </c>
      <c r="Z412" s="40">
        <f>IF(VLOOKUP($D412,$C$5:$AT$525,3,)=0,0,(VLOOKUP($D412,$C$5:$AT$525,24,)/VLOOKUP($D412,$C$5:$AT$525,3,))*$E412)</f>
        <v>0</v>
      </c>
      <c r="AA412" s="40">
        <f>IF(VLOOKUP($D412,$C$5:$AT$525,3,)=0,0,(VLOOKUP($D412,$C$5:$AT$525,25,)/VLOOKUP($D412,$C$5:$AT$525,3,))*$E412)</f>
        <v>0</v>
      </c>
      <c r="AB412" s="40">
        <f>IF(VLOOKUP($D412,$C$5:$AT$525,3,)=0,0,(VLOOKUP($D412,$C$5:$AT$525,26,)/VLOOKUP($D412,$C$5:$AT$525,3,))*$E412)</f>
        <v>0</v>
      </c>
      <c r="AC412" s="40">
        <f>IF(VLOOKUP($D412,$C$5:$AT$525,3,)=0,0,(VLOOKUP($D412,$C$5:$AT$525,27,)/VLOOKUP($D412,$C$5:$AT$525,3,))*$E412)</f>
        <v>0</v>
      </c>
      <c r="AD412" s="40">
        <f>IF(VLOOKUP($D412,$C$5:$AT$525,3,)=0,0,(VLOOKUP($D412,$C$5:$AT$525,28,)/VLOOKUP($D412,$C$5:$AT$525,3,))*$E412)</f>
        <v>0</v>
      </c>
      <c r="AE412" s="40">
        <f>IF(VLOOKUP($D412,$C$5:$AT$525,3,)=0,0,(VLOOKUP($D412,$C$5:$AT$525,29,)/VLOOKUP($D412,$C$5:$AT$525,3,))*$E412)</f>
        <v>0</v>
      </c>
      <c r="AF412" s="40">
        <f>IF(VLOOKUP($D412,$C$5:$AT$525,3,)=0,0,(VLOOKUP($D412,$C$5:$AT$525,30,)/VLOOKUP($D412,$C$5:$AT$525,3,))*$E412)</f>
        <v>0</v>
      </c>
      <c r="AG412" s="64">
        <f>SUM(F412:AF412)</f>
        <v>0</v>
      </c>
      <c r="AH412" s="21" t="str">
        <f t="shared" si="164"/>
        <v>ok</v>
      </c>
    </row>
    <row r="413" spans="1:34" x14ac:dyDescent="0.25">
      <c r="A413" s="14" t="s">
        <v>597</v>
      </c>
      <c r="C413" s="14" t="s">
        <v>596</v>
      </c>
      <c r="E413" s="175">
        <f>E411+E412</f>
        <v>0</v>
      </c>
      <c r="F413" s="64">
        <f t="shared" ref="F413:U413" si="165">F411+F412</f>
        <v>0</v>
      </c>
      <c r="G413" s="64">
        <f t="shared" si="165"/>
        <v>0</v>
      </c>
      <c r="H413" s="64">
        <f t="shared" si="165"/>
        <v>0</v>
      </c>
      <c r="I413" s="64">
        <f t="shared" si="165"/>
        <v>0</v>
      </c>
      <c r="J413" s="64">
        <f t="shared" si="165"/>
        <v>0</v>
      </c>
      <c r="K413" s="64">
        <f t="shared" si="165"/>
        <v>0</v>
      </c>
      <c r="L413" s="64">
        <f t="shared" si="165"/>
        <v>0</v>
      </c>
      <c r="M413" s="64">
        <f t="shared" si="165"/>
        <v>0</v>
      </c>
      <c r="N413" s="64">
        <f t="shared" si="165"/>
        <v>0</v>
      </c>
      <c r="O413" s="64">
        <f t="shared" si="165"/>
        <v>0</v>
      </c>
      <c r="P413" s="64">
        <f t="shared" si="165"/>
        <v>0</v>
      </c>
      <c r="Q413" s="64">
        <f t="shared" si="165"/>
        <v>0</v>
      </c>
      <c r="R413" s="64">
        <f t="shared" si="165"/>
        <v>0</v>
      </c>
      <c r="S413" s="64">
        <f t="shared" si="165"/>
        <v>0</v>
      </c>
      <c r="T413" s="64">
        <f t="shared" si="165"/>
        <v>0</v>
      </c>
      <c r="U413" s="64">
        <f t="shared" si="165"/>
        <v>0</v>
      </c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>
        <f>SUM(F413:AF413)</f>
        <v>0</v>
      </c>
      <c r="AH413" s="21" t="str">
        <f t="shared" si="164"/>
        <v>ok</v>
      </c>
    </row>
    <row r="414" spans="1:34" x14ac:dyDescent="0.25">
      <c r="A414" s="14" t="s">
        <v>620</v>
      </c>
      <c r="C414" s="14" t="s">
        <v>598</v>
      </c>
      <c r="D414" s="14" t="s">
        <v>596</v>
      </c>
      <c r="E414" s="186">
        <v>0</v>
      </c>
      <c r="F414" s="72">
        <f>IF(VLOOKUP($D414,$C$5:$AT$525,3,)=0,0,(VLOOKUP($D414,$C$5:$AT$525,4,)/VLOOKUP($D414,$C$5:$AT$525,3,))*$E414)</f>
        <v>0</v>
      </c>
      <c r="G414" s="72">
        <f>IF(VLOOKUP($D414,$C$5:$AT$525,3,)=0,0,(VLOOKUP($D414,$C$5:$AT$525,5,)/VLOOKUP($D414,$C$5:$AT$525,3,))*$E414)</f>
        <v>0</v>
      </c>
      <c r="H414" s="72">
        <f>IF(VLOOKUP($D414,$C$5:$AT$525,3,)=0,0,(VLOOKUP($D414,$C$5:$AT$525,6,)/VLOOKUP($D414,$C$5:$AT$525,3,))*$E414)</f>
        <v>0</v>
      </c>
      <c r="I414" s="72">
        <f>IF(VLOOKUP($D414,$C$5:$AT$525,3,)=0,0,(VLOOKUP($D414,$C$5:$AT$525,7,)/VLOOKUP($D414,$C$5:$AT$525,3,))*$E414)</f>
        <v>0</v>
      </c>
      <c r="J414" s="72">
        <f>IF(VLOOKUP($D414,$C$5:$AT$525,3,)=0,0,(VLOOKUP($D414,$C$5:$AT$525,8,)/VLOOKUP($D414,$C$5:$AT$525,3,))*$E414)</f>
        <v>0</v>
      </c>
      <c r="K414" s="72">
        <f>IF(VLOOKUP($D414,$C$5:$AT$525,3,)=0,0,(VLOOKUP($D414,$C$5:$AT$525,9,)/VLOOKUP($D414,$C$5:$AT$525,3,))*$E414)</f>
        <v>0</v>
      </c>
      <c r="L414" s="72">
        <f>IF(VLOOKUP($D414,$C$5:$AT$525,3,)=0,0,(VLOOKUP($D414,$C$5:$AT$525,10,)/VLOOKUP($D414,$C$5:$AT$525,3,))*$E414)</f>
        <v>0</v>
      </c>
      <c r="M414" s="72">
        <f>IF(VLOOKUP($D414,$C$5:$AT$525,3,)=0,0,(VLOOKUP($D414,$C$5:$AT$525,11,)/VLOOKUP($D414,$C$5:$AT$525,3,))*$E414)</f>
        <v>0</v>
      </c>
      <c r="N414" s="72">
        <f>IF(VLOOKUP($D414,$C$5:$AT$525,3,)=0,0,(VLOOKUP($D414,$C$5:$AT$525,12,)/VLOOKUP($D414,$C$5:$AT$525,3,))*$E414)</f>
        <v>0</v>
      </c>
      <c r="O414" s="72">
        <f>IF(VLOOKUP($D414,$C$5:$AT$525,3,)=0,0,(VLOOKUP($D414,$C$5:$AT$525,13,)/VLOOKUP($D414,$C$5:$AT$525,3,))*$E414)</f>
        <v>0</v>
      </c>
      <c r="P414" s="72">
        <f>IF(VLOOKUP($D414,$C$5:$AT$525,3,)=0,0,(VLOOKUP($D414,$C$5:$AT$525,14,)/VLOOKUP($D414,$C$5:$AT$525,3,))*$E414)</f>
        <v>0</v>
      </c>
      <c r="Q414" s="72">
        <f>IF(VLOOKUP($D414,$C$5:$AT$525,3,)=0,0,(VLOOKUP($D414,$C$5:$AT$525,15,)/VLOOKUP($D414,$C$5:$AT$525,3,))*$E414)</f>
        <v>0</v>
      </c>
      <c r="R414" s="72">
        <f>IF(VLOOKUP($D414,$C$5:$AT$525,3,)=0,0,(VLOOKUP($D414,$C$5:$AT$525,16,)/VLOOKUP($D414,$C$5:$AT$525,3,))*$E414)</f>
        <v>0</v>
      </c>
      <c r="S414" s="72">
        <f>IF(VLOOKUP($D414,$C$5:$AT$525,3,)=0,0,(VLOOKUP($D414,$C$5:$AT$525,17,)/VLOOKUP($D414,$C$5:$AT$525,3,))*$E414)</f>
        <v>0</v>
      </c>
      <c r="T414" s="72">
        <f>IF(VLOOKUP($D414,$C$5:$AT$525,3,)=0,0,(VLOOKUP($D414,$C$5:$AT$525,18,)/VLOOKUP($D414,$C$5:$AT$525,3,))*$E414)</f>
        <v>0</v>
      </c>
      <c r="U414" s="72">
        <f>IF(VLOOKUP($D414,$C$5:$AT$525,3,)=0,0,(VLOOKUP($D414,$C$5:$AT$525,19,)/VLOOKUP($D414,$C$5:$AT$525,3,))*$E414)</f>
        <v>0</v>
      </c>
      <c r="V414" s="72">
        <f>IF(VLOOKUP($D414,$C$5:$AT$525,3,)=0,0,(VLOOKUP($D414,$C$5:$AT$525,20,)/VLOOKUP($D414,$C$5:$AT$525,3,))*$E414)</f>
        <v>0</v>
      </c>
      <c r="W414" s="72">
        <f>IF(VLOOKUP($D414,$C$5:$AT$525,3,)=0,0,(VLOOKUP($D414,$C$5:$AT$525,21,)/VLOOKUP($D414,$C$5:$AT$525,3,))*$E414)</f>
        <v>0</v>
      </c>
      <c r="X414" s="72">
        <f>IF(VLOOKUP($D414,$C$5:$AT$525,3,)=0,0,(VLOOKUP($D414,$C$5:$AT$525,22,)/VLOOKUP($D414,$C$5:$AT$525,3,))*$E414)</f>
        <v>0</v>
      </c>
      <c r="Y414" s="72">
        <f>IF(VLOOKUP($D414,$C$5:$AT$525,3,)=0,0,(VLOOKUP($D414,$C$5:$AT$525,23,)/VLOOKUP($D414,$C$5:$AT$525,3,))*$E414)</f>
        <v>0</v>
      </c>
      <c r="Z414" s="72">
        <f>IF(VLOOKUP($D414,$C$5:$AT$525,3,)=0,0,(VLOOKUP($D414,$C$5:$AT$525,24,)/VLOOKUP($D414,$C$5:$AT$525,3,))*$E414)</f>
        <v>0</v>
      </c>
      <c r="AA414" s="72">
        <f>IF(VLOOKUP($D414,$C$5:$AT$525,3,)=0,0,(VLOOKUP($D414,$C$5:$AT$525,25,)/VLOOKUP($D414,$C$5:$AT$525,3,))*$E414)</f>
        <v>0</v>
      </c>
      <c r="AB414" s="72">
        <f>IF(VLOOKUP($D414,$C$5:$AT$525,3,)=0,0,(VLOOKUP($D414,$C$5:$AT$525,26,)/VLOOKUP($D414,$C$5:$AT$525,3,))*$E414)</f>
        <v>0</v>
      </c>
      <c r="AC414" s="72">
        <f>IF(VLOOKUP($D414,$C$5:$AT$525,3,)=0,0,(VLOOKUP($D414,$C$5:$AT$525,27,)/VLOOKUP($D414,$C$5:$AT$525,3,))*$E414)</f>
        <v>0</v>
      </c>
      <c r="AD414" s="72">
        <f>IF(VLOOKUP($D414,$C$5:$AT$525,3,)=0,0,(VLOOKUP($D414,$C$5:$AT$525,28,)/VLOOKUP($D414,$C$5:$AT$525,3,))*$E414)</f>
        <v>0</v>
      </c>
      <c r="AE414" s="72">
        <f>IF(VLOOKUP($D414,$C$5:$AT$525,3,)=0,0,(VLOOKUP($D414,$C$5:$AT$525,29,)/VLOOKUP($D414,$C$5:$AT$525,3,))*$E414)</f>
        <v>0</v>
      </c>
      <c r="AF414" s="72">
        <f>IF(VLOOKUP($D414,$C$5:$AT$525,3,)=0,0,(VLOOKUP($D414,$C$5:$AT$525,30,)/VLOOKUP($D414,$C$5:$AT$525,3,))*$E414)</f>
        <v>0</v>
      </c>
      <c r="AG414" s="72">
        <f>SUM(F414:AF414)</f>
        <v>0</v>
      </c>
      <c r="AH414" s="21" t="str">
        <f t="shared" si="164"/>
        <v>ok</v>
      </c>
    </row>
    <row r="415" spans="1:34" x14ac:dyDescent="0.25">
      <c r="E415" s="18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1"/>
    </row>
    <row r="416" spans="1:34" x14ac:dyDescent="0.25">
      <c r="A416" s="14" t="s">
        <v>594</v>
      </c>
      <c r="C416" s="14" t="s">
        <v>621</v>
      </c>
      <c r="E416" s="167">
        <f t="shared" ref="E416:AF416" si="166">E409</f>
        <v>1148831.9007890793</v>
      </c>
      <c r="F416" s="27">
        <f t="shared" si="166"/>
        <v>823953.86385412992</v>
      </c>
      <c r="G416" s="27">
        <f t="shared" si="166"/>
        <v>0</v>
      </c>
      <c r="H416" s="27">
        <f t="shared" si="166"/>
        <v>91287.798037208995</v>
      </c>
      <c r="I416" s="27">
        <f t="shared" si="166"/>
        <v>195719.71713694223</v>
      </c>
      <c r="J416" s="27">
        <f t="shared" si="166"/>
        <v>37870.520972288563</v>
      </c>
      <c r="K416" s="27">
        <f t="shared" si="166"/>
        <v>0</v>
      </c>
      <c r="L416" s="27">
        <f t="shared" si="166"/>
        <v>0</v>
      </c>
      <c r="M416" s="27">
        <f t="shared" si="166"/>
        <v>0</v>
      </c>
      <c r="N416" s="27">
        <f t="shared" si="166"/>
        <v>0</v>
      </c>
      <c r="O416" s="27">
        <f t="shared" si="166"/>
        <v>0</v>
      </c>
      <c r="P416" s="27">
        <f t="shared" si="166"/>
        <v>0</v>
      </c>
      <c r="Q416" s="27">
        <f t="shared" si="166"/>
        <v>0</v>
      </c>
      <c r="R416" s="27">
        <f t="shared" si="166"/>
        <v>0</v>
      </c>
      <c r="S416" s="27">
        <f t="shared" si="166"/>
        <v>0</v>
      </c>
      <c r="T416" s="27">
        <f t="shared" si="166"/>
        <v>0</v>
      </c>
      <c r="U416" s="27">
        <f t="shared" si="166"/>
        <v>0</v>
      </c>
      <c r="V416" s="27">
        <f t="shared" si="166"/>
        <v>0</v>
      </c>
      <c r="W416" s="27">
        <f t="shared" si="166"/>
        <v>0</v>
      </c>
      <c r="X416" s="27">
        <f t="shared" si="166"/>
        <v>0</v>
      </c>
      <c r="Y416" s="27">
        <f t="shared" si="166"/>
        <v>0</v>
      </c>
      <c r="Z416" s="27">
        <f t="shared" si="166"/>
        <v>0</v>
      </c>
      <c r="AA416" s="27">
        <f t="shared" si="166"/>
        <v>0</v>
      </c>
      <c r="AB416" s="27">
        <f t="shared" si="166"/>
        <v>0</v>
      </c>
      <c r="AC416" s="27">
        <f t="shared" si="166"/>
        <v>0</v>
      </c>
      <c r="AD416" s="27">
        <f t="shared" si="166"/>
        <v>0</v>
      </c>
      <c r="AE416" s="27">
        <f t="shared" si="166"/>
        <v>0</v>
      </c>
      <c r="AF416" s="27">
        <f t="shared" si="166"/>
        <v>0</v>
      </c>
      <c r="AG416" s="27">
        <f>SUM(F416:AF416)</f>
        <v>1148831.9000005699</v>
      </c>
      <c r="AH416" s="21" t="str">
        <f t="shared" ref="AH416:AH421" si="167">IF(ABS(E416-AG416)&lt;0.01,"ok","err")</f>
        <v>ok</v>
      </c>
    </row>
    <row r="417" spans="1:34" x14ac:dyDescent="0.25">
      <c r="A417" s="14" t="s">
        <v>593</v>
      </c>
      <c r="E417" s="175">
        <f>E410</f>
        <v>0</v>
      </c>
      <c r="AG417" s="64">
        <f>E417</f>
        <v>0</v>
      </c>
      <c r="AH417" s="21" t="str">
        <f t="shared" si="167"/>
        <v>ok</v>
      </c>
    </row>
    <row r="418" spans="1:34" x14ac:dyDescent="0.25">
      <c r="A418" s="14" t="s">
        <v>591</v>
      </c>
      <c r="E418" s="174">
        <f>E411</f>
        <v>0</v>
      </c>
      <c r="F418" s="25">
        <f>F411</f>
        <v>0</v>
      </c>
      <c r="G418" s="25">
        <f t="shared" ref="G418:S418" si="168">G411</f>
        <v>0</v>
      </c>
      <c r="H418" s="25">
        <f t="shared" si="168"/>
        <v>0</v>
      </c>
      <c r="I418" s="25">
        <f t="shared" si="168"/>
        <v>0</v>
      </c>
      <c r="J418" s="25">
        <f t="shared" si="168"/>
        <v>0</v>
      </c>
      <c r="K418" s="25">
        <f t="shared" si="168"/>
        <v>0</v>
      </c>
      <c r="L418" s="25">
        <f t="shared" si="168"/>
        <v>0</v>
      </c>
      <c r="M418" s="25">
        <f t="shared" si="168"/>
        <v>0</v>
      </c>
      <c r="N418" s="25">
        <f t="shared" si="168"/>
        <v>0</v>
      </c>
      <c r="O418" s="27">
        <f t="shared" si="168"/>
        <v>0</v>
      </c>
      <c r="P418" s="27">
        <f t="shared" si="168"/>
        <v>0</v>
      </c>
      <c r="Q418" s="14">
        <f t="shared" si="168"/>
        <v>0</v>
      </c>
      <c r="R418" s="14">
        <f t="shared" si="168"/>
        <v>0</v>
      </c>
      <c r="S418" s="14">
        <f t="shared" si="168"/>
        <v>0</v>
      </c>
      <c r="AG418" s="64">
        <f>SUM(F418:AF418)</f>
        <v>0</v>
      </c>
      <c r="AH418" s="21" t="str">
        <f t="shared" si="167"/>
        <v>ok</v>
      </c>
    </row>
    <row r="419" spans="1:34" x14ac:dyDescent="0.25">
      <c r="A419" s="14" t="s">
        <v>592</v>
      </c>
      <c r="D419" s="14" t="s">
        <v>621</v>
      </c>
      <c r="E419" s="175">
        <f>E417-E418</f>
        <v>0</v>
      </c>
      <c r="F419" s="40">
        <f>IF(VLOOKUP($D419,$C$5:$AT$525,3,)=0,0,(VLOOKUP($D419,$C$5:$AT$525,4,)/VLOOKUP($D419,$C$5:$AT$525,3,))*$E419)</f>
        <v>0</v>
      </c>
      <c r="G419" s="40">
        <f>IF(VLOOKUP($D419,$C$5:$AT$525,3,)=0,0,(VLOOKUP($D419,$C$5:$AT$525,5,)/VLOOKUP($D419,$C$5:$AT$525,3,))*$E419)</f>
        <v>0</v>
      </c>
      <c r="H419" s="40">
        <f>IF(VLOOKUP($D419,$C$5:$AT$525,3,)=0,0,(VLOOKUP($D419,$C$5:$AT$525,6,)/VLOOKUP($D419,$C$5:$AT$525,3,))*$E419)</f>
        <v>0</v>
      </c>
      <c r="I419" s="40">
        <f>IF(VLOOKUP($D419,$C$5:$AT$525,3,)=0,0,(VLOOKUP($D419,$C$5:$AT$525,7,)/VLOOKUP($D419,$C$5:$AT$525,3,))*$E419)</f>
        <v>0</v>
      </c>
      <c r="J419" s="40">
        <f>IF(VLOOKUP($D419,$C$5:$AT$525,3,)=0,0,(VLOOKUP($D419,$C$5:$AT$525,8,)/VLOOKUP($D419,$C$5:$AT$525,3,))*$E419)</f>
        <v>0</v>
      </c>
      <c r="K419" s="40">
        <f>IF(VLOOKUP($D419,$C$5:$AT$525,3,)=0,0,(VLOOKUP($D419,$C$5:$AT$525,9,)/VLOOKUP($D419,$C$5:$AT$525,3,))*$E419)</f>
        <v>0</v>
      </c>
      <c r="L419" s="40">
        <f>IF(VLOOKUP($D419,$C$5:$AT$525,3,)=0,0,(VLOOKUP($D419,$C$5:$AT$525,10,)/VLOOKUP($D419,$C$5:$AT$525,3,))*$E419)</f>
        <v>0</v>
      </c>
      <c r="M419" s="40">
        <f>IF(VLOOKUP($D419,$C$5:$AT$525,3,)=0,0,(VLOOKUP($D419,$C$5:$AT$525,11,)/VLOOKUP($D419,$C$5:$AT$525,3,))*$E419)</f>
        <v>0</v>
      </c>
      <c r="N419" s="40">
        <f>IF(VLOOKUP($D419,$C$5:$AT$525,3,)=0,0,(VLOOKUP($D419,$C$5:$AT$525,12,)/VLOOKUP($D419,$C$5:$AT$525,3,))*$E419)</f>
        <v>0</v>
      </c>
      <c r="O419" s="40">
        <f>IF(VLOOKUP($D419,$C$5:$AT$525,3,)=0,0,(VLOOKUP($D419,$C$5:$AT$525,13,)/VLOOKUP($D419,$C$5:$AT$525,3,))*$E419)</f>
        <v>0</v>
      </c>
      <c r="P419" s="40">
        <f>IF(VLOOKUP($D419,$C$5:$AT$525,3,)=0,0,(VLOOKUP($D419,$C$5:$AT$525,14,)/VLOOKUP($D419,$C$5:$AT$525,3,))*$E419)</f>
        <v>0</v>
      </c>
      <c r="Q419" s="40">
        <f>IF(VLOOKUP($D419,$C$5:$AT$525,3,)=0,0,(VLOOKUP($D419,$C$5:$AT$525,15,)/VLOOKUP($D419,$C$5:$AT$525,3,))*$E419)</f>
        <v>0</v>
      </c>
      <c r="R419" s="40">
        <f>IF(VLOOKUP($D419,$C$5:$AT$525,3,)=0,0,(VLOOKUP($D419,$C$5:$AT$525,16,)/VLOOKUP($D419,$C$5:$AT$525,3,))*$E419)</f>
        <v>0</v>
      </c>
      <c r="S419" s="40">
        <f>IF(VLOOKUP($D419,$C$5:$AT$525,3,)=0,0,(VLOOKUP($D419,$C$5:$AT$525,17,)/VLOOKUP($D419,$C$5:$AT$525,3,))*$E419)</f>
        <v>0</v>
      </c>
      <c r="T419" s="40">
        <f>IF(VLOOKUP($D419,$C$5:$AT$525,3,)=0,0,(VLOOKUP($D419,$C$5:$AT$525,18,)/VLOOKUP($D419,$C$5:$AT$525,3,))*$E419)</f>
        <v>0</v>
      </c>
      <c r="U419" s="40">
        <f>IF(VLOOKUP($D419,$C$5:$AT$525,3,)=0,0,(VLOOKUP($D419,$C$5:$AT$525,19,)/VLOOKUP($D419,$C$5:$AT$525,3,))*$E419)</f>
        <v>0</v>
      </c>
      <c r="V419" s="40">
        <f>IF(VLOOKUP($D419,$C$5:$AT$525,3,)=0,0,(VLOOKUP($D419,$C$5:$AT$525,20,)/VLOOKUP($D419,$C$5:$AT$525,3,))*$E419)</f>
        <v>0</v>
      </c>
      <c r="W419" s="40">
        <f>IF(VLOOKUP($D419,$C$5:$AT$525,3,)=0,0,(VLOOKUP($D419,$C$5:$AT$525,21,)/VLOOKUP($D419,$C$5:$AT$525,3,))*$E419)</f>
        <v>0</v>
      </c>
      <c r="X419" s="40">
        <f>IF(VLOOKUP($D419,$C$5:$AT$525,3,)=0,0,(VLOOKUP($D419,$C$5:$AT$525,22,)/VLOOKUP($D419,$C$5:$AT$525,3,))*$E419)</f>
        <v>0</v>
      </c>
      <c r="Y419" s="40">
        <f>IF(VLOOKUP($D419,$C$5:$AT$525,3,)=0,0,(VLOOKUP($D419,$C$5:$AT$525,23,)/VLOOKUP($D419,$C$5:$AT$525,3,))*$E419)</f>
        <v>0</v>
      </c>
      <c r="Z419" s="40">
        <f>IF(VLOOKUP($D419,$C$5:$AT$525,3,)=0,0,(VLOOKUP($D419,$C$5:$AT$525,24,)/VLOOKUP($D419,$C$5:$AT$525,3,))*$E419)</f>
        <v>0</v>
      </c>
      <c r="AA419" s="40">
        <f>IF(VLOOKUP($D419,$C$5:$AT$525,3,)=0,0,(VLOOKUP($D419,$C$5:$AT$525,25,)/VLOOKUP($D419,$C$5:$AT$525,3,))*$E419)</f>
        <v>0</v>
      </c>
      <c r="AB419" s="40">
        <f>IF(VLOOKUP($D419,$C$5:$AT$525,3,)=0,0,(VLOOKUP($D419,$C$5:$AT$525,26,)/VLOOKUP($D419,$C$5:$AT$525,3,))*$E419)</f>
        <v>0</v>
      </c>
      <c r="AC419" s="40">
        <f>IF(VLOOKUP($D419,$C$5:$AT$525,3,)=0,0,(VLOOKUP($D419,$C$5:$AT$525,27,)/VLOOKUP($D419,$C$5:$AT$525,3,))*$E419)</f>
        <v>0</v>
      </c>
      <c r="AD419" s="40">
        <f>IF(VLOOKUP($D419,$C$5:$AT$525,3,)=0,0,(VLOOKUP($D419,$C$5:$AT$525,28,)/VLOOKUP($D419,$C$5:$AT$525,3,))*$E419)</f>
        <v>0</v>
      </c>
      <c r="AE419" s="40">
        <f>IF(VLOOKUP($D419,$C$5:$AT$525,3,)=0,0,(VLOOKUP($D419,$C$5:$AT$525,29,)/VLOOKUP($D419,$C$5:$AT$525,3,))*$E419)</f>
        <v>0</v>
      </c>
      <c r="AF419" s="40">
        <f>IF(VLOOKUP($D419,$C$5:$AT$525,3,)=0,0,(VLOOKUP($D419,$C$5:$AT$525,30,)/VLOOKUP($D419,$C$5:$AT$525,3,))*$E419)</f>
        <v>0</v>
      </c>
      <c r="AG419" s="64">
        <f>SUM(F419:AF419)</f>
        <v>0</v>
      </c>
      <c r="AH419" s="21" t="str">
        <f t="shared" si="167"/>
        <v>ok</v>
      </c>
    </row>
    <row r="420" spans="1:34" x14ac:dyDescent="0.25">
      <c r="A420" s="14" t="s">
        <v>597</v>
      </c>
      <c r="C420" s="14" t="s">
        <v>622</v>
      </c>
      <c r="E420" s="175">
        <f t="shared" ref="E420:U420" si="169">E418+E419</f>
        <v>0</v>
      </c>
      <c r="F420" s="64">
        <f t="shared" si="169"/>
        <v>0</v>
      </c>
      <c r="G420" s="64">
        <f t="shared" si="169"/>
        <v>0</v>
      </c>
      <c r="H420" s="64">
        <f t="shared" si="169"/>
        <v>0</v>
      </c>
      <c r="I420" s="64">
        <f t="shared" si="169"/>
        <v>0</v>
      </c>
      <c r="J420" s="64">
        <f t="shared" si="169"/>
        <v>0</v>
      </c>
      <c r="K420" s="64">
        <f t="shared" si="169"/>
        <v>0</v>
      </c>
      <c r="L420" s="64">
        <f t="shared" si="169"/>
        <v>0</v>
      </c>
      <c r="M420" s="64">
        <f t="shared" si="169"/>
        <v>0</v>
      </c>
      <c r="N420" s="64">
        <f t="shared" si="169"/>
        <v>0</v>
      </c>
      <c r="O420" s="64">
        <f t="shared" si="169"/>
        <v>0</v>
      </c>
      <c r="P420" s="64">
        <f t="shared" si="169"/>
        <v>0</v>
      </c>
      <c r="Q420" s="64">
        <f t="shared" si="169"/>
        <v>0</v>
      </c>
      <c r="R420" s="64">
        <f t="shared" si="169"/>
        <v>0</v>
      </c>
      <c r="S420" s="64">
        <f t="shared" si="169"/>
        <v>0</v>
      </c>
      <c r="T420" s="64">
        <f t="shared" si="169"/>
        <v>0</v>
      </c>
      <c r="U420" s="64">
        <f t="shared" si="169"/>
        <v>0</v>
      </c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>
        <f>SUM(F420:AF420)</f>
        <v>0</v>
      </c>
      <c r="AH420" s="21" t="str">
        <f t="shared" si="167"/>
        <v>ok</v>
      </c>
    </row>
    <row r="421" spans="1:34" x14ac:dyDescent="0.25">
      <c r="A421" s="14" t="s">
        <v>630</v>
      </c>
      <c r="C421" s="14" t="s">
        <v>623</v>
      </c>
      <c r="D421" s="14" t="s">
        <v>622</v>
      </c>
      <c r="E421" s="186">
        <v>0</v>
      </c>
      <c r="F421" s="72">
        <f>IF(VLOOKUP($D421,$C$5:$AT$525,3,)=0,0,(VLOOKUP($D421,$C$5:$AT$525,4,)/VLOOKUP($D421,$C$5:$AT$525,3,))*$E421)</f>
        <v>0</v>
      </c>
      <c r="G421" s="72">
        <f>IF(VLOOKUP($D421,$C$5:$AT$525,3,)=0,0,(VLOOKUP($D421,$C$5:$AT$525,5,)/VLOOKUP($D421,$C$5:$AT$525,3,))*$E421)</f>
        <v>0</v>
      </c>
      <c r="H421" s="72">
        <f>IF(VLOOKUP($D421,$C$5:$AT$525,3,)=0,0,(VLOOKUP($D421,$C$5:$AT$525,6,)/VLOOKUP($D421,$C$5:$AT$525,3,))*$E421)</f>
        <v>0</v>
      </c>
      <c r="I421" s="72">
        <f>IF(VLOOKUP($D421,$C$5:$AT$525,3,)=0,0,(VLOOKUP($D421,$C$5:$AT$525,7,)/VLOOKUP($D421,$C$5:$AT$525,3,))*$E421)</f>
        <v>0</v>
      </c>
      <c r="J421" s="72">
        <f>IF(VLOOKUP($D421,$C$5:$AT$525,3,)=0,0,(VLOOKUP($D421,$C$5:$AT$525,8,)/VLOOKUP($D421,$C$5:$AT$525,3,))*$E421)</f>
        <v>0</v>
      </c>
      <c r="K421" s="72">
        <f>IF(VLOOKUP($D421,$C$5:$AT$525,3,)=0,0,(VLOOKUP($D421,$C$5:$AT$525,9,)/VLOOKUP($D421,$C$5:$AT$525,3,))*$E421)</f>
        <v>0</v>
      </c>
      <c r="L421" s="72">
        <f>IF(VLOOKUP($D421,$C$5:$AT$525,3,)=0,0,(VLOOKUP($D421,$C$5:$AT$525,10,)/VLOOKUP($D421,$C$5:$AT$525,3,))*$E421)</f>
        <v>0</v>
      </c>
      <c r="M421" s="72">
        <f>IF(VLOOKUP($D421,$C$5:$AT$525,3,)=0,0,(VLOOKUP($D421,$C$5:$AT$525,11,)/VLOOKUP($D421,$C$5:$AT$525,3,))*$E421)</f>
        <v>0</v>
      </c>
      <c r="N421" s="72">
        <f>IF(VLOOKUP($D421,$C$5:$AT$525,3,)=0,0,(VLOOKUP($D421,$C$5:$AT$525,12,)/VLOOKUP($D421,$C$5:$AT$525,3,))*$E421)</f>
        <v>0</v>
      </c>
      <c r="O421" s="72">
        <f>IF(VLOOKUP($D421,$C$5:$AT$525,3,)=0,0,(VLOOKUP($D421,$C$5:$AT$525,13,)/VLOOKUP($D421,$C$5:$AT$525,3,))*$E421)</f>
        <v>0</v>
      </c>
      <c r="P421" s="72">
        <f>IF(VLOOKUP($D421,$C$5:$AT$525,3,)=0,0,(VLOOKUP($D421,$C$5:$AT$525,14,)/VLOOKUP($D421,$C$5:$AT$525,3,))*$E421)</f>
        <v>0</v>
      </c>
      <c r="Q421" s="72">
        <f>IF(VLOOKUP($D421,$C$5:$AT$525,3,)=0,0,(VLOOKUP($D421,$C$5:$AT$525,15,)/VLOOKUP($D421,$C$5:$AT$525,3,))*$E421)</f>
        <v>0</v>
      </c>
      <c r="R421" s="72">
        <f>IF(VLOOKUP($D421,$C$5:$AT$525,3,)=0,0,(VLOOKUP($D421,$C$5:$AT$525,16,)/VLOOKUP($D421,$C$5:$AT$525,3,))*$E421)</f>
        <v>0</v>
      </c>
      <c r="S421" s="72">
        <f>IF(VLOOKUP($D421,$C$5:$AT$525,3,)=0,0,(VLOOKUP($D421,$C$5:$AT$525,17,)/VLOOKUP($D421,$C$5:$AT$525,3,))*$E421)</f>
        <v>0</v>
      </c>
      <c r="T421" s="72">
        <f>IF(VLOOKUP($D421,$C$5:$AT$525,3,)=0,0,(VLOOKUP($D421,$C$5:$AT$525,18,)/VLOOKUP($D421,$C$5:$AT$525,3,))*$E421)</f>
        <v>0</v>
      </c>
      <c r="U421" s="72">
        <f>IF(VLOOKUP($D421,$C$5:$AT$525,3,)=0,0,(VLOOKUP($D421,$C$5:$AT$525,19,)/VLOOKUP($D421,$C$5:$AT$525,3,))*$E421)</f>
        <v>0</v>
      </c>
      <c r="V421" s="72">
        <f>IF(VLOOKUP($D421,$C$5:$AT$525,3,)=0,0,(VLOOKUP($D421,$C$5:$AT$525,20,)/VLOOKUP($D421,$C$5:$AT$525,3,))*$E421)</f>
        <v>0</v>
      </c>
      <c r="W421" s="72">
        <f>IF(VLOOKUP($D421,$C$5:$AT$525,3,)=0,0,(VLOOKUP($D421,$C$5:$AT$525,21,)/VLOOKUP($D421,$C$5:$AT$525,3,))*$E421)</f>
        <v>0</v>
      </c>
      <c r="X421" s="72">
        <f>IF(VLOOKUP($D421,$C$5:$AT$525,3,)=0,0,(VLOOKUP($D421,$C$5:$AT$525,22,)/VLOOKUP($D421,$C$5:$AT$525,3,))*$E421)</f>
        <v>0</v>
      </c>
      <c r="Y421" s="72">
        <f>IF(VLOOKUP($D421,$C$5:$AT$525,3,)=0,0,(VLOOKUP($D421,$C$5:$AT$525,23,)/VLOOKUP($D421,$C$5:$AT$525,3,))*$E421)</f>
        <v>0</v>
      </c>
      <c r="Z421" s="72">
        <f>IF(VLOOKUP($D421,$C$5:$AT$525,3,)=0,0,(VLOOKUP($D421,$C$5:$AT$525,24,)/VLOOKUP($D421,$C$5:$AT$525,3,))*$E421)</f>
        <v>0</v>
      </c>
      <c r="AA421" s="72">
        <f>IF(VLOOKUP($D421,$C$5:$AT$525,3,)=0,0,(VLOOKUP($D421,$C$5:$AT$525,25,)/VLOOKUP($D421,$C$5:$AT$525,3,))*$E421)</f>
        <v>0</v>
      </c>
      <c r="AB421" s="72">
        <f>IF(VLOOKUP($D421,$C$5:$AT$525,3,)=0,0,(VLOOKUP($D421,$C$5:$AT$525,26,)/VLOOKUP($D421,$C$5:$AT$525,3,))*$E421)</f>
        <v>0</v>
      </c>
      <c r="AC421" s="72">
        <f>IF(VLOOKUP($D421,$C$5:$AT$525,3,)=0,0,(VLOOKUP($D421,$C$5:$AT$525,27,)/VLOOKUP($D421,$C$5:$AT$525,3,))*$E421)</f>
        <v>0</v>
      </c>
      <c r="AD421" s="72">
        <f>IF(VLOOKUP($D421,$C$5:$AT$525,3,)=0,0,(VLOOKUP($D421,$C$5:$AT$525,28,)/VLOOKUP($D421,$C$5:$AT$525,3,))*$E421)</f>
        <v>0</v>
      </c>
      <c r="AE421" s="72">
        <f>IF(VLOOKUP($D421,$C$5:$AT$525,3,)=0,0,(VLOOKUP($D421,$C$5:$AT$525,29,)/VLOOKUP($D421,$C$5:$AT$525,3,))*$E421)</f>
        <v>0</v>
      </c>
      <c r="AF421" s="72">
        <f>IF(VLOOKUP($D421,$C$5:$AT$525,3,)=0,0,(VLOOKUP($D421,$C$5:$AT$525,30,)/VLOOKUP($D421,$C$5:$AT$525,3,))*$E421)</f>
        <v>0</v>
      </c>
      <c r="AG421" s="72">
        <f>SUM(F421:AF421)</f>
        <v>0</v>
      </c>
      <c r="AH421" s="21" t="str">
        <f t="shared" si="167"/>
        <v>ok</v>
      </c>
    </row>
    <row r="422" spans="1:34" x14ac:dyDescent="0.25">
      <c r="E422" s="18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1"/>
    </row>
    <row r="423" spans="1:34" x14ac:dyDescent="0.25">
      <c r="A423" s="14" t="s">
        <v>599</v>
      </c>
      <c r="B423" s="27"/>
      <c r="C423" s="14" t="s">
        <v>603</v>
      </c>
      <c r="E423" s="167">
        <v>2961371.1757233604</v>
      </c>
      <c r="F423" s="27">
        <f>F405</f>
        <v>2437463.8206889685</v>
      </c>
      <c r="G423" s="27">
        <f t="shared" ref="G423:M423" si="170">G405</f>
        <v>2412.8290343915346</v>
      </c>
      <c r="H423" s="27">
        <f t="shared" si="170"/>
        <v>127345.35</v>
      </c>
      <c r="I423" s="27">
        <f t="shared" si="170"/>
        <v>336121.95600000001</v>
      </c>
      <c r="J423" s="27">
        <f t="shared" si="170"/>
        <v>58027.22</v>
      </c>
      <c r="K423" s="27">
        <f t="shared" si="170"/>
        <v>0</v>
      </c>
      <c r="L423" s="27">
        <v>0</v>
      </c>
      <c r="M423" s="27">
        <f t="shared" si="170"/>
        <v>0</v>
      </c>
      <c r="N423" s="27">
        <f t="shared" ref="N423:O423" si="171">N405</f>
        <v>0</v>
      </c>
      <c r="O423" s="27">
        <f t="shared" si="171"/>
        <v>0</v>
      </c>
      <c r="P423" s="27">
        <f>P405</f>
        <v>0</v>
      </c>
      <c r="Q423" s="27">
        <f>Q405*2.11</f>
        <v>0</v>
      </c>
      <c r="R423" s="27">
        <f>R405*2.11</f>
        <v>0</v>
      </c>
      <c r="S423" s="27">
        <f>S405</f>
        <v>0</v>
      </c>
      <c r="T423" s="27">
        <f>T405*0.9</f>
        <v>0</v>
      </c>
      <c r="U423" s="27">
        <f t="shared" ref="U423:Z423" si="172">U405</f>
        <v>0</v>
      </c>
      <c r="V423" s="27">
        <f t="shared" si="172"/>
        <v>0</v>
      </c>
      <c r="W423" s="27">
        <f t="shared" si="172"/>
        <v>0</v>
      </c>
      <c r="X423" s="27">
        <f t="shared" si="172"/>
        <v>0</v>
      </c>
      <c r="Y423" s="27">
        <f t="shared" si="172"/>
        <v>0</v>
      </c>
      <c r="Z423" s="27">
        <f t="shared" si="172"/>
        <v>0</v>
      </c>
      <c r="AA423" s="27">
        <f>AA405*0.5</f>
        <v>0</v>
      </c>
      <c r="AB423" s="27">
        <f>AB405*0.1</f>
        <v>0</v>
      </c>
      <c r="AC423" s="27">
        <f>AC405*0.5</f>
        <v>0</v>
      </c>
      <c r="AD423" s="27">
        <f>AD405*0.07</f>
        <v>0</v>
      </c>
      <c r="AE423" s="27">
        <f>AE405*0.07</f>
        <v>0</v>
      </c>
      <c r="AF423" s="27">
        <f>AF405</f>
        <v>0</v>
      </c>
      <c r="AG423" s="27">
        <f>SUM(F423:AF423)</f>
        <v>2961371.1757233604</v>
      </c>
      <c r="AH423" s="21" t="str">
        <f t="shared" ref="AH423:AH428" si="173">IF(ABS(E423-AG423)&lt;0.01,"ok","err")</f>
        <v>ok</v>
      </c>
    </row>
    <row r="424" spans="1:34" x14ac:dyDescent="0.25">
      <c r="A424" s="14" t="s">
        <v>600</v>
      </c>
      <c r="E424" s="175">
        <f>'Func &amp; Classif'!O54</f>
        <v>40588537.71726957</v>
      </c>
      <c r="AG424" s="64">
        <f>E424</f>
        <v>40588537.71726957</v>
      </c>
      <c r="AH424" s="21" t="str">
        <f t="shared" si="173"/>
        <v>ok</v>
      </c>
    </row>
    <row r="425" spans="1:34" x14ac:dyDescent="0.25">
      <c r="A425" s="14" t="s">
        <v>591</v>
      </c>
      <c r="E425" s="174"/>
      <c r="M425" s="27">
        <v>0</v>
      </c>
      <c r="N425" s="27">
        <v>0</v>
      </c>
      <c r="P425" s="27"/>
      <c r="Q425" s="27">
        <f>(1/70)*'Func &amp; Classif'!F53</f>
        <v>0</v>
      </c>
      <c r="AA425" s="40">
        <v>0</v>
      </c>
      <c r="AB425" s="40">
        <v>0</v>
      </c>
      <c r="AC425" s="40">
        <v>0</v>
      </c>
      <c r="AD425" s="40">
        <v>0</v>
      </c>
      <c r="AE425" s="40">
        <v>0</v>
      </c>
      <c r="AG425" s="64">
        <f>SUM(F425:AF425)</f>
        <v>0</v>
      </c>
      <c r="AH425" s="21" t="str">
        <f t="shared" si="173"/>
        <v>ok</v>
      </c>
    </row>
    <row r="426" spans="1:34" x14ac:dyDescent="0.25">
      <c r="A426" s="14" t="s">
        <v>601</v>
      </c>
      <c r="D426" s="14" t="s">
        <v>624</v>
      </c>
      <c r="E426" s="175">
        <f>E424-E425</f>
        <v>40588537.71726957</v>
      </c>
      <c r="F426" s="78">
        <f>IF(VLOOKUP($D426,$C$5:$AT$525,3,)=0,0,(VLOOKUP($D426,$C$5:$AT$525,4,)/VLOOKUP($D426,$C$5:$AT$525,3,))*$E426)</f>
        <v>33407866.272065088</v>
      </c>
      <c r="G426" s="40">
        <f>IF(VLOOKUP($D426,$C$5:$AT$525,3,)=0,0,(VLOOKUP($D426,$C$5:$AT$525,5,)/VLOOKUP($D426,$C$5:$AT$525,3,))*$E426)</f>
        <v>33070.22202098737</v>
      </c>
      <c r="H426" s="40">
        <f>IF(VLOOKUP($D426,$C$5:$AT$525,3,)=0,0,(VLOOKUP($D426,$C$5:$AT$525,6,)/VLOOKUP($D426,$C$5:$AT$525,3,))*$E426)</f>
        <v>1745394.6955269277</v>
      </c>
      <c r="I426" s="40">
        <f>IF(VLOOKUP($D426,$C$5:$AT$525,3,)=0,0,(VLOOKUP($D426,$C$5:$AT$525,7,)/VLOOKUP($D426,$C$5:$AT$525,3,))*$E426)</f>
        <v>4606885.7563510202</v>
      </c>
      <c r="J426" s="40">
        <f>IF(VLOOKUP($D426,$C$5:$AT$525,3,)=0,0,(VLOOKUP($D426,$C$5:$AT$525,8,)/VLOOKUP($D426,$C$5:$AT$525,3,))*$E426)</f>
        <v>795320.77130554081</v>
      </c>
      <c r="K426" s="40">
        <f>IF(VLOOKUP($D426,$C$5:$AT$525,3,)=0,0,(VLOOKUP($D426,$C$5:$AT$525,9,)/VLOOKUP($D426,$C$5:$AT$525,3,))*$E426)</f>
        <v>0</v>
      </c>
      <c r="L426" s="40">
        <f>IF(VLOOKUP($D426,$C$5:$AT$525,3,)=0,0,(VLOOKUP($D426,$C$5:$AT$525,10,)/VLOOKUP($D426,$C$5:$AT$525,3,))*$E426)</f>
        <v>0</v>
      </c>
      <c r="M426" s="40">
        <f>IF(VLOOKUP($D426,$C$5:$AT$525,3,)=0,0,(VLOOKUP($D426,$C$5:$AT$525,11,)/VLOOKUP($D426,$C$5:$AT$525,3,))*$E426)</f>
        <v>0</v>
      </c>
      <c r="N426" s="40">
        <f>IF(VLOOKUP($D426,$C$5:$AT$525,3,)=0,0,(VLOOKUP($D426,$C$5:$AT$525,12,)/VLOOKUP($D426,$C$5:$AT$525,3,))*$E426)</f>
        <v>0</v>
      </c>
      <c r="O426" s="40">
        <f>IF(VLOOKUP($D426,$C$5:$AT$525,3,)=0,0,(VLOOKUP($D426,$C$5:$AT$525,13,)/VLOOKUP($D426,$C$5:$AT$525,3,))*$E426)</f>
        <v>0</v>
      </c>
      <c r="P426" s="40">
        <f>IF(VLOOKUP($D426,$C$5:$AT$525,3,)=0,0,(VLOOKUP($D426,$C$5:$AT$525,14,)/VLOOKUP($D426,$C$5:$AT$525,3,))*$E426)</f>
        <v>0</v>
      </c>
      <c r="Q426" s="40">
        <f>IF(VLOOKUP($D426,$C$5:$AT$525,3,)=0,0,(VLOOKUP($D426,$C$5:$AT$525,15,)/VLOOKUP($D426,$C$5:$AT$525,3,))*$E426)</f>
        <v>0</v>
      </c>
      <c r="R426" s="40">
        <f>IF(VLOOKUP($D426,$C$5:$AT$525,3,)=0,0,(VLOOKUP($D426,$C$5:$AT$525,16,)/VLOOKUP($D426,$C$5:$AT$525,3,))*$E426)</f>
        <v>0</v>
      </c>
      <c r="S426" s="40">
        <f>IF(VLOOKUP($D426,$C$5:$AT$525,3,)=0,0,(VLOOKUP($D426,$C$5:$AT$525,17,)/VLOOKUP($D426,$C$5:$AT$525,3,))*$E426)</f>
        <v>0</v>
      </c>
      <c r="T426" s="40">
        <f>IF(VLOOKUP($D426,$C$5:$AT$525,3,)=0,0,(VLOOKUP($D426,$C$5:$AT$525,18,)/VLOOKUP($D426,$C$5:$AT$525,3,))*$E426)</f>
        <v>0</v>
      </c>
      <c r="U426" s="40">
        <f>IF(VLOOKUP($D426,$C$5:$AT$525,3,)=0,0,(VLOOKUP($D426,$C$5:$AT$525,19,)/VLOOKUP($D426,$C$5:$AT$525,3,))*$E426)</f>
        <v>0</v>
      </c>
      <c r="V426" s="40">
        <f>IF(VLOOKUP($D426,$C$5:$AT$525,3,)=0,0,(VLOOKUP($D426,$C$5:$AT$525,20,)/VLOOKUP($D426,$C$5:$AT$525,3,))*$E426)</f>
        <v>0</v>
      </c>
      <c r="W426" s="40">
        <f>IF(VLOOKUP($D426,$C$5:$AT$525,3,)=0,0,(VLOOKUP($D426,$C$5:$AT$525,21,)/VLOOKUP($D426,$C$5:$AT$525,3,))*$E426)</f>
        <v>0</v>
      </c>
      <c r="X426" s="40">
        <f>IF(VLOOKUP($D426,$C$5:$AT$525,3,)=0,0,(VLOOKUP($D426,$C$5:$AT$525,22,)/VLOOKUP($D426,$C$5:$AT$525,3,))*$E426)</f>
        <v>0</v>
      </c>
      <c r="Y426" s="40">
        <f>IF(VLOOKUP($D426,$C$5:$AT$525,3,)=0,0,(VLOOKUP($D426,$C$5:$AT$525,23,)/VLOOKUP($D426,$C$5:$AT$525,3,))*$E426)</f>
        <v>0</v>
      </c>
      <c r="Z426" s="40">
        <f>IF(VLOOKUP($D426,$C$5:$AT$525,3,)=0,0,(VLOOKUP($D426,$C$5:$AT$525,24,)/VLOOKUP($D426,$C$5:$AT$525,3,))*$E426)</f>
        <v>0</v>
      </c>
      <c r="AA426" s="40">
        <f>IF(VLOOKUP($D426,$C$5:$AT$525,3,)=0,0,(VLOOKUP($D426,$C$5:$AT$525,25,)/VLOOKUP($D426,$C$5:$AT$525,3,))*$E426)</f>
        <v>0</v>
      </c>
      <c r="AB426" s="40">
        <f>IF(VLOOKUP($D426,$C$5:$AT$525,3,)=0,0,(VLOOKUP($D426,$C$5:$AT$525,26,)/VLOOKUP($D426,$C$5:$AT$525,3,))*$E426)</f>
        <v>0</v>
      </c>
      <c r="AC426" s="40">
        <f>IF(VLOOKUP($D426,$C$5:$AT$525,3,)=0,0,(VLOOKUP($D426,$C$5:$AT$525,27,)/VLOOKUP($D426,$C$5:$AT$525,3,))*$E426)</f>
        <v>0</v>
      </c>
      <c r="AD426" s="40">
        <f>IF(VLOOKUP($D426,$C$5:$AT$525,3,)=0,0,(VLOOKUP($D426,$C$5:$AT$525,28,)/VLOOKUP($D426,$C$5:$AT$525,3,))*$E426)</f>
        <v>0</v>
      </c>
      <c r="AE426" s="40">
        <f>IF(VLOOKUP($D426,$C$5:$AT$525,3,)=0,0,(VLOOKUP($D426,$C$5:$AT$525,29,)/VLOOKUP($D426,$C$5:$AT$525,3,))*$E426)</f>
        <v>0</v>
      </c>
      <c r="AF426" s="40">
        <f>IF(VLOOKUP($D426,$C$5:$AT$525,3,)=0,0,(VLOOKUP($D426,$C$5:$AT$525,30,)/VLOOKUP($D426,$C$5:$AT$525,3,))*$E426)</f>
        <v>0</v>
      </c>
      <c r="AG426" s="64">
        <f>SUM(F426:AF426)</f>
        <v>40588537.717269562</v>
      </c>
      <c r="AH426" s="21" t="str">
        <f t="shared" si="173"/>
        <v>ok</v>
      </c>
    </row>
    <row r="427" spans="1:34" x14ac:dyDescent="0.25">
      <c r="A427" s="14" t="s">
        <v>602</v>
      </c>
      <c r="C427" s="14" t="s">
        <v>605</v>
      </c>
      <c r="E427" s="175">
        <f t="shared" ref="E427:AF427" si="174">E425+E426</f>
        <v>40588537.71726957</v>
      </c>
      <c r="F427" s="79">
        <f t="shared" si="174"/>
        <v>33407866.272065088</v>
      </c>
      <c r="G427" s="64">
        <f t="shared" si="174"/>
        <v>33070.22202098737</v>
      </c>
      <c r="H427" s="64">
        <f t="shared" si="174"/>
        <v>1745394.6955269277</v>
      </c>
      <c r="I427" s="64">
        <f t="shared" si="174"/>
        <v>4606885.7563510202</v>
      </c>
      <c r="J427" s="64">
        <f t="shared" si="174"/>
        <v>795320.77130554081</v>
      </c>
      <c r="K427" s="64">
        <f t="shared" si="174"/>
        <v>0</v>
      </c>
      <c r="L427" s="64">
        <f t="shared" si="174"/>
        <v>0</v>
      </c>
      <c r="M427" s="64">
        <f t="shared" si="174"/>
        <v>0</v>
      </c>
      <c r="N427" s="64">
        <f t="shared" si="174"/>
        <v>0</v>
      </c>
      <c r="O427" s="64">
        <f t="shared" si="174"/>
        <v>0</v>
      </c>
      <c r="P427" s="64">
        <f>P425+P426</f>
        <v>0</v>
      </c>
      <c r="Q427" s="64">
        <f t="shared" si="174"/>
        <v>0</v>
      </c>
      <c r="R427" s="64">
        <f t="shared" si="174"/>
        <v>0</v>
      </c>
      <c r="S427" s="64">
        <f t="shared" si="174"/>
        <v>0</v>
      </c>
      <c r="T427" s="64">
        <f t="shared" si="174"/>
        <v>0</v>
      </c>
      <c r="U427" s="64">
        <f t="shared" si="174"/>
        <v>0</v>
      </c>
      <c r="V427" s="64">
        <f t="shared" si="174"/>
        <v>0</v>
      </c>
      <c r="W427" s="64">
        <f t="shared" si="174"/>
        <v>0</v>
      </c>
      <c r="X427" s="64">
        <f t="shared" si="174"/>
        <v>0</v>
      </c>
      <c r="Y427" s="64">
        <f t="shared" si="174"/>
        <v>0</v>
      </c>
      <c r="Z427" s="64">
        <f t="shared" si="174"/>
        <v>0</v>
      </c>
      <c r="AA427" s="64">
        <f t="shared" si="174"/>
        <v>0</v>
      </c>
      <c r="AB427" s="64">
        <f t="shared" si="174"/>
        <v>0</v>
      </c>
      <c r="AC427" s="64">
        <f t="shared" si="174"/>
        <v>0</v>
      </c>
      <c r="AD427" s="64">
        <f t="shared" si="174"/>
        <v>0</v>
      </c>
      <c r="AE427" s="64">
        <f t="shared" si="174"/>
        <v>0</v>
      </c>
      <c r="AF427" s="64">
        <f t="shared" si="174"/>
        <v>0</v>
      </c>
      <c r="AG427" s="64">
        <f>SUM(F427:AF427)</f>
        <v>40588537.717269562</v>
      </c>
      <c r="AH427" s="21" t="str">
        <f t="shared" si="173"/>
        <v>ok</v>
      </c>
    </row>
    <row r="428" spans="1:34" x14ac:dyDescent="0.25">
      <c r="A428" s="14" t="s">
        <v>632</v>
      </c>
      <c r="C428" s="14" t="s">
        <v>604</v>
      </c>
      <c r="D428" s="14" t="s">
        <v>605</v>
      </c>
      <c r="E428" s="186">
        <v>1</v>
      </c>
      <c r="F428" s="72">
        <f>IF(VLOOKUP($D428,$C$5:$AT$525,3,)=0,0,(VLOOKUP($D428,$C$5:$AT$525,4,)/VLOOKUP($D428,$C$5:$AT$525,3,))*$E428)</f>
        <v>0.82308622460795733</v>
      </c>
      <c r="G428" s="72">
        <f>IF(VLOOKUP($D428,$C$5:$AT$525,3,)=0,0,(VLOOKUP($D428,$C$5:$AT$525,5,)/VLOOKUP($D428,$C$5:$AT$525,3,))*$E428)</f>
        <v>8.1476751518734037E-4</v>
      </c>
      <c r="H428" s="72">
        <f>IF(VLOOKUP($D428,$C$5:$AT$525,3,)=0,0,(VLOOKUP($D428,$C$5:$AT$525,6,)/VLOOKUP($D428,$C$5:$AT$525,3,))*$E428)</f>
        <v>4.3002157596436372E-2</v>
      </c>
      <c r="I428" s="72">
        <f>IF(VLOOKUP($D428,$C$5:$AT$525,3,)=0,0,(VLOOKUP($D428,$C$5:$AT$525,7,)/VLOOKUP($D428,$C$5:$AT$525,3,))*$E428)</f>
        <v>0.11350213669784134</v>
      </c>
      <c r="J428" s="72">
        <f>IF(VLOOKUP($D428,$C$5:$AT$525,3,)=0,0,(VLOOKUP($D428,$C$5:$AT$525,8,)/VLOOKUP($D428,$C$5:$AT$525,3,))*$E428)</f>
        <v>1.9594713582577489E-2</v>
      </c>
      <c r="K428" s="72">
        <f>IF(VLOOKUP($D428,$C$5:$AT$525,3,)=0,0,(VLOOKUP($D428,$C$5:$AT$525,9,)/VLOOKUP($D428,$C$5:$AT$525,3,))*$E428)</f>
        <v>0</v>
      </c>
      <c r="L428" s="72">
        <f>IF(VLOOKUP($D428,$C$5:$AT$525,3,)=0,0,(VLOOKUP($D428,$C$5:$AT$525,10,)/VLOOKUP($D428,$C$5:$AT$525,3,))*$E428)</f>
        <v>0</v>
      </c>
      <c r="M428" s="72">
        <f>IF(VLOOKUP($D428,$C$5:$AT$525,3,)=0,0,(VLOOKUP($D428,$C$5:$AT$525,11,)/VLOOKUP($D428,$C$5:$AT$525,3,))*$E428)</f>
        <v>0</v>
      </c>
      <c r="N428" s="72">
        <f>IF(VLOOKUP($D428,$C$5:$AT$525,3,)=0,0,(VLOOKUP($D428,$C$5:$AT$525,12,)/VLOOKUP($D428,$C$5:$AT$525,3,))*$E428)</f>
        <v>0</v>
      </c>
      <c r="O428" s="72">
        <f>IF(VLOOKUP($D428,$C$5:$AT$525,3,)=0,0,(VLOOKUP($D428,$C$5:$AT$525,13,)/VLOOKUP($D428,$C$5:$AT$525,3,))*$E428)</f>
        <v>0</v>
      </c>
      <c r="P428" s="72">
        <f>IF(VLOOKUP($D428,$C$5:$AT$525,3,)=0,0,(VLOOKUP($D428,$C$5:$AT$525,14,)/VLOOKUP($D428,$C$5:$AT$525,3,))*$E428)</f>
        <v>0</v>
      </c>
      <c r="Q428" s="72">
        <f>IF(VLOOKUP($D428,$C$5:$AT$525,3,)=0,0,(VLOOKUP($D428,$C$5:$AT$525,15,)/VLOOKUP($D428,$C$5:$AT$525,3,))*$E428)</f>
        <v>0</v>
      </c>
      <c r="R428" s="72">
        <f>IF(VLOOKUP($D428,$C$5:$AT$525,3,)=0,0,(VLOOKUP($D428,$C$5:$AT$525,16,)/VLOOKUP($D428,$C$5:$AT$525,3,))*$E428)</f>
        <v>0</v>
      </c>
      <c r="S428" s="72">
        <f>IF(VLOOKUP($D428,$C$5:$AT$525,3,)=0,0,(VLOOKUP($D428,$C$5:$AT$525,17,)/VLOOKUP($D428,$C$5:$AT$525,3,))*$E428)</f>
        <v>0</v>
      </c>
      <c r="T428" s="72">
        <f>IF(VLOOKUP($D428,$C$5:$AT$525,3,)=0,0,(VLOOKUP($D428,$C$5:$AT$525,18,)/VLOOKUP($D428,$C$5:$AT$525,3,))*$E428)</f>
        <v>0</v>
      </c>
      <c r="U428" s="72">
        <f>IF(VLOOKUP($D428,$C$5:$AT$525,3,)=0,0,(VLOOKUP($D428,$C$5:$AT$525,19,)/VLOOKUP($D428,$C$5:$AT$525,3,))*$E428)</f>
        <v>0</v>
      </c>
      <c r="V428" s="72">
        <f>IF(VLOOKUP($D428,$C$5:$AT$525,3,)=0,0,(VLOOKUP($D428,$C$5:$AT$525,20,)/VLOOKUP($D428,$C$5:$AT$525,3,))*$E428)</f>
        <v>0</v>
      </c>
      <c r="W428" s="72">
        <f>IF(VLOOKUP($D428,$C$5:$AT$525,3,)=0,0,(VLOOKUP($D428,$C$5:$AT$525,21,)/VLOOKUP($D428,$C$5:$AT$525,3,))*$E428)</f>
        <v>0</v>
      </c>
      <c r="X428" s="72">
        <f>IF(VLOOKUP($D428,$C$5:$AT$525,3,)=0,0,(VLOOKUP($D428,$C$5:$AT$525,22,)/VLOOKUP($D428,$C$5:$AT$525,3,))*$E428)</f>
        <v>0</v>
      </c>
      <c r="Y428" s="72">
        <f>IF(VLOOKUP($D428,$C$5:$AT$525,3,)=0,0,(VLOOKUP($D428,$C$5:$AT$525,23,)/VLOOKUP($D428,$C$5:$AT$525,3,))*$E428)</f>
        <v>0</v>
      </c>
      <c r="Z428" s="72">
        <f>IF(VLOOKUP($D428,$C$5:$AT$525,3,)=0,0,(VLOOKUP($D428,$C$5:$AT$525,24,)/VLOOKUP($D428,$C$5:$AT$525,3,))*$E428)</f>
        <v>0</v>
      </c>
      <c r="AA428" s="72">
        <f>IF(VLOOKUP($D428,$C$5:$AT$525,3,)=0,0,(VLOOKUP($D428,$C$5:$AT$525,25,)/VLOOKUP($D428,$C$5:$AT$525,3,))*$E428)</f>
        <v>0</v>
      </c>
      <c r="AB428" s="72">
        <f>IF(VLOOKUP($D428,$C$5:$AT$525,3,)=0,0,(VLOOKUP($D428,$C$5:$AT$525,26,)/VLOOKUP($D428,$C$5:$AT$525,3,))*$E428)</f>
        <v>0</v>
      </c>
      <c r="AC428" s="72">
        <f>IF(VLOOKUP($D428,$C$5:$AT$525,3,)=0,0,(VLOOKUP($D428,$C$5:$AT$525,27,)/VLOOKUP($D428,$C$5:$AT$525,3,))*$E428)</f>
        <v>0</v>
      </c>
      <c r="AD428" s="72">
        <f>IF(VLOOKUP($D428,$C$5:$AT$525,3,)=0,0,(VLOOKUP($D428,$C$5:$AT$525,28,)/VLOOKUP($D428,$C$5:$AT$525,3,))*$E428)</f>
        <v>0</v>
      </c>
      <c r="AE428" s="72">
        <f>IF(VLOOKUP($D428,$C$5:$AT$525,3,)=0,0,(VLOOKUP($D428,$C$5:$AT$525,29,)/VLOOKUP($D428,$C$5:$AT$525,3,))*$E428)</f>
        <v>0</v>
      </c>
      <c r="AF428" s="72">
        <f>IF(VLOOKUP($D428,$C$5:$AT$525,3,)=0,0,(VLOOKUP($D428,$C$5:$AT$525,30,)/VLOOKUP($D428,$C$5:$AT$525,3,))*$E428)</f>
        <v>0</v>
      </c>
      <c r="AG428" s="72">
        <f>SUM(F428:AF428)</f>
        <v>0.99999999999999989</v>
      </c>
      <c r="AH428" s="21" t="str">
        <f t="shared" si="173"/>
        <v>ok</v>
      </c>
    </row>
    <row r="430" spans="1:34" x14ac:dyDescent="0.25">
      <c r="A430" s="14" t="s">
        <v>599</v>
      </c>
      <c r="C430" s="14" t="s">
        <v>624</v>
      </c>
      <c r="E430" s="167">
        <f>E423</f>
        <v>2961371.1757233604</v>
      </c>
      <c r="F430" s="25">
        <f>F423</f>
        <v>2437463.8206889685</v>
      </c>
      <c r="G430" s="27">
        <f t="shared" ref="G430:Q430" si="175">G423</f>
        <v>2412.8290343915346</v>
      </c>
      <c r="H430" s="27">
        <f t="shared" si="175"/>
        <v>127345.35</v>
      </c>
      <c r="I430" s="27">
        <f t="shared" si="175"/>
        <v>336121.95600000001</v>
      </c>
      <c r="J430" s="27">
        <f t="shared" si="175"/>
        <v>58027.22</v>
      </c>
      <c r="K430" s="27">
        <f t="shared" si="175"/>
        <v>0</v>
      </c>
      <c r="L430" s="27">
        <f t="shared" si="175"/>
        <v>0</v>
      </c>
      <c r="M430" s="27">
        <f t="shared" si="175"/>
        <v>0</v>
      </c>
      <c r="N430" s="27">
        <f t="shared" si="175"/>
        <v>0</v>
      </c>
      <c r="O430" s="27">
        <f t="shared" si="175"/>
        <v>0</v>
      </c>
      <c r="P430" s="27">
        <f t="shared" si="175"/>
        <v>0</v>
      </c>
      <c r="Q430" s="27">
        <f t="shared" si="175"/>
        <v>0</v>
      </c>
      <c r="R430" s="27">
        <f>R423</f>
        <v>0</v>
      </c>
      <c r="S430" s="27">
        <f>S423</f>
        <v>0</v>
      </c>
      <c r="T430" s="27">
        <f>T423</f>
        <v>0</v>
      </c>
      <c r="U430" s="27">
        <f t="shared" ref="U430:AF430" si="176">U423</f>
        <v>0</v>
      </c>
      <c r="V430" s="27">
        <f t="shared" si="176"/>
        <v>0</v>
      </c>
      <c r="W430" s="27">
        <f t="shared" si="176"/>
        <v>0</v>
      </c>
      <c r="X430" s="27">
        <f t="shared" si="176"/>
        <v>0</v>
      </c>
      <c r="Y430" s="27">
        <f t="shared" si="176"/>
        <v>0</v>
      </c>
      <c r="Z430" s="27">
        <f t="shared" si="176"/>
        <v>0</v>
      </c>
      <c r="AA430" s="27">
        <f t="shared" si="176"/>
        <v>0</v>
      </c>
      <c r="AB430" s="27">
        <f t="shared" si="176"/>
        <v>0</v>
      </c>
      <c r="AC430" s="27">
        <f t="shared" si="176"/>
        <v>0</v>
      </c>
      <c r="AD430" s="27">
        <f t="shared" si="176"/>
        <v>0</v>
      </c>
      <c r="AE430" s="27">
        <f t="shared" si="176"/>
        <v>0</v>
      </c>
      <c r="AF430" s="27">
        <f t="shared" si="176"/>
        <v>0</v>
      </c>
      <c r="AG430" s="27">
        <f>SUM(F430:AF430)</f>
        <v>2961371.1757233604</v>
      </c>
      <c r="AH430" s="21" t="str">
        <f t="shared" ref="AH430:AH435" si="177">IF(ABS(E430-AG430)&lt;0.01,"ok","err")</f>
        <v>ok</v>
      </c>
    </row>
    <row r="431" spans="1:34" x14ac:dyDescent="0.25">
      <c r="A431" s="14" t="s">
        <v>600</v>
      </c>
      <c r="E431" s="175">
        <f>E424</f>
        <v>40588537.71726957</v>
      </c>
      <c r="AG431" s="64">
        <f>E431</f>
        <v>40588537.71726957</v>
      </c>
      <c r="AH431" s="21" t="str">
        <f t="shared" si="177"/>
        <v>ok</v>
      </c>
    </row>
    <row r="432" spans="1:34" x14ac:dyDescent="0.25">
      <c r="A432" s="14" t="s">
        <v>591</v>
      </c>
      <c r="E432" s="174"/>
      <c r="M432" s="27">
        <v>0</v>
      </c>
      <c r="N432" s="27">
        <v>0</v>
      </c>
      <c r="P432" s="27"/>
      <c r="Q432" s="92"/>
      <c r="R432" s="14">
        <v>0</v>
      </c>
      <c r="S432" s="14">
        <v>0</v>
      </c>
      <c r="AA432" s="40">
        <v>0</v>
      </c>
      <c r="AB432" s="40">
        <v>0</v>
      </c>
      <c r="AC432" s="40">
        <v>0</v>
      </c>
      <c r="AD432" s="64">
        <f>AD425</f>
        <v>0</v>
      </c>
      <c r="AE432" s="40">
        <v>0</v>
      </c>
      <c r="AG432" s="64">
        <f>SUM(F432:AF432)</f>
        <v>0</v>
      </c>
      <c r="AH432" s="21" t="str">
        <f t="shared" si="177"/>
        <v>ok</v>
      </c>
    </row>
    <row r="433" spans="1:34" x14ac:dyDescent="0.25">
      <c r="A433" s="14" t="s">
        <v>601</v>
      </c>
      <c r="D433" s="14" t="s">
        <v>624</v>
      </c>
      <c r="E433" s="175">
        <f>E431-E432</f>
        <v>40588537.71726957</v>
      </c>
      <c r="F433" s="78">
        <f>IF(VLOOKUP($D433,$C$5:$AT$525,3,)=0,0,(VLOOKUP($D433,$C$5:$AT$525,4,)/VLOOKUP($D433,$C$5:$AT$525,3,))*$E433)</f>
        <v>33407866.272065088</v>
      </c>
      <c r="G433" s="40">
        <f>IF(VLOOKUP($D433,$C$5:$AT$525,3,)=0,0,(VLOOKUP($D433,$C$5:$AT$525,5,)/VLOOKUP($D433,$C$5:$AT$525,3,))*$E433)</f>
        <v>33070.22202098737</v>
      </c>
      <c r="H433" s="40">
        <f>IF(VLOOKUP($D433,$C$5:$AT$525,3,)=0,0,(VLOOKUP($D433,$C$5:$AT$525,6,)/VLOOKUP($D433,$C$5:$AT$525,3,))*$E433)</f>
        <v>1745394.6955269277</v>
      </c>
      <c r="I433" s="40">
        <f>IF(VLOOKUP($D433,$C$5:$AT$525,3,)=0,0,(VLOOKUP($D433,$C$5:$AT$525,7,)/VLOOKUP($D433,$C$5:$AT$525,3,))*$E433)</f>
        <v>4606885.7563510202</v>
      </c>
      <c r="J433" s="40">
        <f>IF(VLOOKUP($D433,$C$5:$AT$525,3,)=0,0,(VLOOKUP($D433,$C$5:$AT$525,8,)/VLOOKUP($D433,$C$5:$AT$525,3,))*$E433)</f>
        <v>795320.77130554081</v>
      </c>
      <c r="K433" s="40">
        <f>IF(VLOOKUP($D433,$C$5:$AT$525,3,)=0,0,(VLOOKUP($D433,$C$5:$AT$525,9,)/VLOOKUP($D433,$C$5:$AT$525,3,))*$E433)</f>
        <v>0</v>
      </c>
      <c r="L433" s="40">
        <f>IF(VLOOKUP($D433,$C$5:$AT$525,3,)=0,0,(VLOOKUP($D433,$C$5:$AT$525,10,)/VLOOKUP($D433,$C$5:$AT$525,3,))*$E433)</f>
        <v>0</v>
      </c>
      <c r="M433" s="40">
        <f>IF(VLOOKUP($D433,$C$5:$AT$525,3,)=0,0,(VLOOKUP($D433,$C$5:$AT$525,11,)/VLOOKUP($D433,$C$5:$AT$525,3,))*$E433)</f>
        <v>0</v>
      </c>
      <c r="N433" s="40">
        <f>IF(VLOOKUP($D433,$C$5:$AT$525,3,)=0,0,(VLOOKUP($D433,$C$5:$AT$525,12,)/VLOOKUP($D433,$C$5:$AT$525,3,))*$E433)</f>
        <v>0</v>
      </c>
      <c r="O433" s="40">
        <f>IF(VLOOKUP($D433,$C$5:$AT$525,3,)=0,0,(VLOOKUP($D433,$C$5:$AT$525,13,)/VLOOKUP($D433,$C$5:$AT$525,3,))*$E433)</f>
        <v>0</v>
      </c>
      <c r="P433" s="40">
        <f>IF(VLOOKUP($D433,$C$5:$AT$525,3,)=0,0,(VLOOKUP($D433,$C$5:$AT$525,14,)/VLOOKUP($D433,$C$5:$AT$525,3,))*$E433)</f>
        <v>0</v>
      </c>
      <c r="Q433" s="40">
        <f>IF(VLOOKUP($D433,$C$5:$AT$525,3,)=0,0,(VLOOKUP($D433,$C$5:$AT$525,15,)/VLOOKUP($D433,$C$5:$AT$525,3,))*$E433)</f>
        <v>0</v>
      </c>
      <c r="R433" s="40">
        <f>IF(VLOOKUP($D433,$C$5:$AT$525,3,)=0,0,(VLOOKUP($D433,$C$5:$AT$525,16,)/VLOOKUP($D433,$C$5:$AT$525,3,))*$E433)</f>
        <v>0</v>
      </c>
      <c r="S433" s="40">
        <f>IF(VLOOKUP($D433,$C$5:$AT$525,3,)=0,0,(VLOOKUP($D433,$C$5:$AT$525,17,)/VLOOKUP($D433,$C$5:$AT$525,3,))*$E433)</f>
        <v>0</v>
      </c>
      <c r="T433" s="40">
        <f>IF(VLOOKUP($D433,$C$5:$AT$525,3,)=0,0,(VLOOKUP($D433,$C$5:$AT$525,18,)/VLOOKUP($D433,$C$5:$AT$525,3,))*$E433)</f>
        <v>0</v>
      </c>
      <c r="U433" s="40">
        <f>IF(VLOOKUP($D433,$C$5:$AT$525,3,)=0,0,(VLOOKUP($D433,$C$5:$AT$525,19,)/VLOOKUP($D433,$C$5:$AT$525,3,))*$E433)</f>
        <v>0</v>
      </c>
      <c r="V433" s="40">
        <f>IF(VLOOKUP($D433,$C$5:$AT$525,3,)=0,0,(VLOOKUP($D433,$C$5:$AT$525,20,)/VLOOKUP($D433,$C$5:$AT$525,3,))*$E433)</f>
        <v>0</v>
      </c>
      <c r="W433" s="40">
        <f>IF(VLOOKUP($D433,$C$5:$AT$525,3,)=0,0,(VLOOKUP($D433,$C$5:$AT$525,21,)/VLOOKUP($D433,$C$5:$AT$525,3,))*$E433)</f>
        <v>0</v>
      </c>
      <c r="X433" s="40">
        <f>IF(VLOOKUP($D433,$C$5:$AT$525,3,)=0,0,(VLOOKUP($D433,$C$5:$AT$525,22,)/VLOOKUP($D433,$C$5:$AT$525,3,))*$E433)</f>
        <v>0</v>
      </c>
      <c r="Y433" s="40">
        <f>IF(VLOOKUP($D433,$C$5:$AT$525,3,)=0,0,(VLOOKUP($D433,$C$5:$AT$525,23,)/VLOOKUP($D433,$C$5:$AT$525,3,))*$E433)</f>
        <v>0</v>
      </c>
      <c r="Z433" s="40">
        <f>IF(VLOOKUP($D433,$C$5:$AT$525,3,)=0,0,(VLOOKUP($D433,$C$5:$AT$525,24,)/VLOOKUP($D433,$C$5:$AT$525,3,))*$E433)</f>
        <v>0</v>
      </c>
      <c r="AA433" s="40">
        <f>IF(VLOOKUP($D433,$C$5:$AT$525,3,)=0,0,(VLOOKUP($D433,$C$5:$AT$525,25,)/VLOOKUP($D433,$C$5:$AT$525,3,))*$E433)</f>
        <v>0</v>
      </c>
      <c r="AB433" s="40">
        <f>IF(VLOOKUP($D433,$C$5:$AT$525,3,)=0,0,(VLOOKUP($D433,$C$5:$AT$525,26,)/VLOOKUP($D433,$C$5:$AT$525,3,))*$E433)</f>
        <v>0</v>
      </c>
      <c r="AC433" s="40">
        <f>IF(VLOOKUP($D433,$C$5:$AT$525,3,)=0,0,(VLOOKUP($D433,$C$5:$AT$525,27,)/VLOOKUP($D433,$C$5:$AT$525,3,))*$E433)</f>
        <v>0</v>
      </c>
      <c r="AD433" s="40">
        <f>IF(VLOOKUP($D433,$C$5:$AT$525,3,)=0,0,(VLOOKUP($D433,$C$5:$AT$525,28,)/VLOOKUP($D433,$C$5:$AT$525,3,))*$E433)</f>
        <v>0</v>
      </c>
      <c r="AE433" s="40">
        <f>IF(VLOOKUP($D433,$C$5:$AT$525,3,)=0,0,(VLOOKUP($D433,$C$5:$AT$525,29,)/VLOOKUP($D433,$C$5:$AT$525,3,))*$E433)</f>
        <v>0</v>
      </c>
      <c r="AF433" s="40">
        <f>IF(VLOOKUP($D433,$C$5:$AT$525,3,)=0,0,(VLOOKUP($D433,$C$5:$AT$525,30,)/VLOOKUP($D433,$C$5:$AT$525,3,))*$E433)</f>
        <v>0</v>
      </c>
      <c r="AG433" s="64">
        <f>SUM(F433:AF433)</f>
        <v>40588537.717269562</v>
      </c>
      <c r="AH433" s="21" t="str">
        <f t="shared" si="177"/>
        <v>ok</v>
      </c>
    </row>
    <row r="434" spans="1:34" x14ac:dyDescent="0.25">
      <c r="A434" s="14" t="s">
        <v>602</v>
      </c>
      <c r="C434" s="14" t="s">
        <v>625</v>
      </c>
      <c r="E434" s="175">
        <f t="shared" ref="E434:AF434" si="178">E432+E433</f>
        <v>40588537.71726957</v>
      </c>
      <c r="F434" s="79">
        <f t="shared" si="178"/>
        <v>33407866.272065088</v>
      </c>
      <c r="G434" s="64">
        <f t="shared" si="178"/>
        <v>33070.22202098737</v>
      </c>
      <c r="H434" s="64">
        <f t="shared" si="178"/>
        <v>1745394.6955269277</v>
      </c>
      <c r="I434" s="64">
        <f t="shared" si="178"/>
        <v>4606885.7563510202</v>
      </c>
      <c r="J434" s="64">
        <f t="shared" si="178"/>
        <v>795320.77130554081</v>
      </c>
      <c r="K434" s="64">
        <f t="shared" si="178"/>
        <v>0</v>
      </c>
      <c r="L434" s="64">
        <f t="shared" si="178"/>
        <v>0</v>
      </c>
      <c r="M434" s="64">
        <f t="shared" si="178"/>
        <v>0</v>
      </c>
      <c r="N434" s="64">
        <f t="shared" si="178"/>
        <v>0</v>
      </c>
      <c r="O434" s="64">
        <f t="shared" si="178"/>
        <v>0</v>
      </c>
      <c r="P434" s="64">
        <f t="shared" si="178"/>
        <v>0</v>
      </c>
      <c r="Q434" s="64">
        <f t="shared" si="178"/>
        <v>0</v>
      </c>
      <c r="R434" s="64">
        <f t="shared" si="178"/>
        <v>0</v>
      </c>
      <c r="S434" s="64">
        <f t="shared" si="178"/>
        <v>0</v>
      </c>
      <c r="T434" s="64">
        <f t="shared" si="178"/>
        <v>0</v>
      </c>
      <c r="U434" s="64">
        <f t="shared" si="178"/>
        <v>0</v>
      </c>
      <c r="V434" s="64">
        <f t="shared" si="178"/>
        <v>0</v>
      </c>
      <c r="W434" s="64">
        <f t="shared" si="178"/>
        <v>0</v>
      </c>
      <c r="X434" s="64">
        <f t="shared" si="178"/>
        <v>0</v>
      </c>
      <c r="Y434" s="64">
        <f t="shared" si="178"/>
        <v>0</v>
      </c>
      <c r="Z434" s="64">
        <f t="shared" si="178"/>
        <v>0</v>
      </c>
      <c r="AA434" s="64">
        <f t="shared" si="178"/>
        <v>0</v>
      </c>
      <c r="AB434" s="64">
        <f t="shared" si="178"/>
        <v>0</v>
      </c>
      <c r="AC434" s="64">
        <f t="shared" si="178"/>
        <v>0</v>
      </c>
      <c r="AD434" s="64">
        <f t="shared" si="178"/>
        <v>0</v>
      </c>
      <c r="AE434" s="64">
        <f t="shared" si="178"/>
        <v>0</v>
      </c>
      <c r="AF434" s="64">
        <f t="shared" si="178"/>
        <v>0</v>
      </c>
      <c r="AG434" s="64">
        <f>SUM(F434:AF434)</f>
        <v>40588537.717269562</v>
      </c>
      <c r="AH434" s="21" t="str">
        <f t="shared" si="177"/>
        <v>ok</v>
      </c>
    </row>
    <row r="435" spans="1:34" x14ac:dyDescent="0.25">
      <c r="A435" s="14" t="s">
        <v>631</v>
      </c>
      <c r="C435" s="14" t="s">
        <v>626</v>
      </c>
      <c r="D435" s="14" t="s">
        <v>625</v>
      </c>
      <c r="E435" s="186">
        <v>1</v>
      </c>
      <c r="F435" s="72">
        <f>IF(VLOOKUP($D435,$C$5:$AT$525,3,)=0,0,(VLOOKUP($D435,$C$5:$AT$525,4,)/VLOOKUP($D435,$C$5:$AT$525,3,))*$E435)</f>
        <v>0.82308622460795733</v>
      </c>
      <c r="G435" s="72">
        <f>IF(VLOOKUP($D435,$C$5:$AT$525,3,)=0,0,(VLOOKUP($D435,$C$5:$AT$525,5,)/VLOOKUP($D435,$C$5:$AT$525,3,))*$E435)</f>
        <v>8.1476751518734037E-4</v>
      </c>
      <c r="H435" s="72">
        <f>IF(VLOOKUP($D435,$C$5:$AT$525,3,)=0,0,(VLOOKUP($D435,$C$5:$AT$525,6,)/VLOOKUP($D435,$C$5:$AT$525,3,))*$E435)</f>
        <v>4.3002157596436372E-2</v>
      </c>
      <c r="I435" s="72">
        <f>IF(VLOOKUP($D435,$C$5:$AT$525,3,)=0,0,(VLOOKUP($D435,$C$5:$AT$525,7,)/VLOOKUP($D435,$C$5:$AT$525,3,))*$E435)</f>
        <v>0.11350213669784134</v>
      </c>
      <c r="J435" s="72">
        <f>IF(VLOOKUP($D435,$C$5:$AT$525,3,)=0,0,(VLOOKUP($D435,$C$5:$AT$525,8,)/VLOOKUP($D435,$C$5:$AT$525,3,))*$E435)</f>
        <v>1.9594713582577489E-2</v>
      </c>
      <c r="K435" s="72">
        <f>IF(VLOOKUP($D435,$C$5:$AT$525,3,)=0,0,(VLOOKUP($D435,$C$5:$AT$525,9,)/VLOOKUP($D435,$C$5:$AT$525,3,))*$E435)</f>
        <v>0</v>
      </c>
      <c r="L435" s="72">
        <f>IF(VLOOKUP($D435,$C$5:$AT$525,3,)=0,0,(VLOOKUP($D435,$C$5:$AT$525,10,)/VLOOKUP($D435,$C$5:$AT$525,3,))*$E435)</f>
        <v>0</v>
      </c>
      <c r="M435" s="72">
        <f>IF(VLOOKUP($D435,$C$5:$AT$525,3,)=0,0,(VLOOKUP($D435,$C$5:$AT$525,11,)/VLOOKUP($D435,$C$5:$AT$525,3,))*$E435)</f>
        <v>0</v>
      </c>
      <c r="N435" s="72">
        <f>IF(VLOOKUP($D435,$C$5:$AT$525,3,)=0,0,(VLOOKUP($D435,$C$5:$AT$525,12,)/VLOOKUP($D435,$C$5:$AT$525,3,))*$E435)</f>
        <v>0</v>
      </c>
      <c r="O435" s="72">
        <f>IF(VLOOKUP($D435,$C$5:$AT$525,3,)=0,0,(VLOOKUP($D435,$C$5:$AT$525,13,)/VLOOKUP($D435,$C$5:$AT$525,3,))*$E435)</f>
        <v>0</v>
      </c>
      <c r="P435" s="72">
        <f>IF(VLOOKUP($D435,$C$5:$AT$525,3,)=0,0,(VLOOKUP($D435,$C$5:$AT$525,14,)/VLOOKUP($D435,$C$5:$AT$525,3,))*$E435)</f>
        <v>0</v>
      </c>
      <c r="Q435" s="72">
        <f>IF(VLOOKUP($D435,$C$5:$AT$525,3,)=0,0,(VLOOKUP($D435,$C$5:$AT$525,15,)/VLOOKUP($D435,$C$5:$AT$525,3,))*$E435)</f>
        <v>0</v>
      </c>
      <c r="R435" s="72">
        <f>IF(VLOOKUP($D435,$C$5:$AT$525,3,)=0,0,(VLOOKUP($D435,$C$5:$AT$525,16,)/VLOOKUP($D435,$C$5:$AT$525,3,))*$E435)</f>
        <v>0</v>
      </c>
      <c r="S435" s="72">
        <f>IF(VLOOKUP($D435,$C$5:$AT$525,3,)=0,0,(VLOOKUP($D435,$C$5:$AT$525,17,)/VLOOKUP($D435,$C$5:$AT$525,3,))*$E435)</f>
        <v>0</v>
      </c>
      <c r="T435" s="72">
        <f>IF(VLOOKUP($D435,$C$5:$AT$525,3,)=0,0,(VLOOKUP($D435,$C$5:$AT$525,18,)/VLOOKUP($D435,$C$5:$AT$525,3,))*$E435)</f>
        <v>0</v>
      </c>
      <c r="U435" s="72">
        <f>IF(VLOOKUP($D435,$C$5:$AT$525,3,)=0,0,(VLOOKUP($D435,$C$5:$AT$525,19,)/VLOOKUP($D435,$C$5:$AT$525,3,))*$E435)</f>
        <v>0</v>
      </c>
      <c r="V435" s="72">
        <f>IF(VLOOKUP($D435,$C$5:$AT$525,3,)=0,0,(VLOOKUP($D435,$C$5:$AT$525,20,)/VLOOKUP($D435,$C$5:$AT$525,3,))*$E435)</f>
        <v>0</v>
      </c>
      <c r="W435" s="72">
        <f>IF(VLOOKUP($D435,$C$5:$AT$525,3,)=0,0,(VLOOKUP($D435,$C$5:$AT$525,21,)/VLOOKUP($D435,$C$5:$AT$525,3,))*$E435)</f>
        <v>0</v>
      </c>
      <c r="X435" s="72">
        <f>IF(VLOOKUP($D435,$C$5:$AT$525,3,)=0,0,(VLOOKUP($D435,$C$5:$AT$525,22,)/VLOOKUP($D435,$C$5:$AT$525,3,))*$E435)</f>
        <v>0</v>
      </c>
      <c r="Y435" s="72">
        <f>IF(VLOOKUP($D435,$C$5:$AT$525,3,)=0,0,(VLOOKUP($D435,$C$5:$AT$525,23,)/VLOOKUP($D435,$C$5:$AT$525,3,))*$E435)</f>
        <v>0</v>
      </c>
      <c r="Z435" s="72">
        <f>IF(VLOOKUP($D435,$C$5:$AT$525,3,)=0,0,(VLOOKUP($D435,$C$5:$AT$525,24,)/VLOOKUP($D435,$C$5:$AT$525,3,))*$E435)</f>
        <v>0</v>
      </c>
      <c r="AA435" s="72">
        <f>IF(VLOOKUP($D435,$C$5:$AT$525,3,)=0,0,(VLOOKUP($D435,$C$5:$AT$525,25,)/VLOOKUP($D435,$C$5:$AT$525,3,))*$E435)</f>
        <v>0</v>
      </c>
      <c r="AB435" s="72">
        <f>IF(VLOOKUP($D435,$C$5:$AT$525,3,)=0,0,(VLOOKUP($D435,$C$5:$AT$525,26,)/VLOOKUP($D435,$C$5:$AT$525,3,))*$E435)</f>
        <v>0</v>
      </c>
      <c r="AC435" s="72">
        <f>IF(VLOOKUP($D435,$C$5:$AT$525,3,)=0,0,(VLOOKUP($D435,$C$5:$AT$525,27,)/VLOOKUP($D435,$C$5:$AT$525,3,))*$E435)</f>
        <v>0</v>
      </c>
      <c r="AD435" s="72">
        <f>IF(VLOOKUP($D435,$C$5:$AT$525,3,)=0,0,(VLOOKUP($D435,$C$5:$AT$525,28,)/VLOOKUP($D435,$C$5:$AT$525,3,))*$E435)</f>
        <v>0</v>
      </c>
      <c r="AE435" s="72">
        <f>IF(VLOOKUP($D435,$C$5:$AT$525,3,)=0,0,(VLOOKUP($D435,$C$5:$AT$525,29,)/VLOOKUP($D435,$C$5:$AT$525,3,))*$E435)</f>
        <v>0</v>
      </c>
      <c r="AF435" s="72">
        <f>IF(VLOOKUP($D435,$C$5:$AT$525,3,)=0,0,(VLOOKUP($D435,$C$5:$AT$525,30,)/VLOOKUP($D435,$C$5:$AT$525,3,))*$E435)</f>
        <v>0</v>
      </c>
      <c r="AG435" s="72">
        <f>SUM(F435:AF435)</f>
        <v>0.99999999999999989</v>
      </c>
      <c r="AH435" s="21" t="str">
        <f t="shared" si="177"/>
        <v>ok</v>
      </c>
    </row>
    <row r="437" spans="1:34" x14ac:dyDescent="0.25">
      <c r="A437" s="14" t="s">
        <v>606</v>
      </c>
      <c r="C437" s="14" t="s">
        <v>610</v>
      </c>
      <c r="E437" s="167">
        <v>1148831.9007890793</v>
      </c>
      <c r="F437" s="27">
        <f t="shared" ref="F437:M437" si="179">F416</f>
        <v>823953.86385412992</v>
      </c>
      <c r="G437" s="27">
        <f t="shared" si="179"/>
        <v>0</v>
      </c>
      <c r="H437" s="27">
        <f t="shared" si="179"/>
        <v>91287.798037208995</v>
      </c>
      <c r="I437" s="27">
        <f t="shared" si="179"/>
        <v>195719.71713694223</v>
      </c>
      <c r="J437" s="27">
        <f t="shared" si="179"/>
        <v>37870.520972288563</v>
      </c>
      <c r="K437" s="27">
        <f>K416*0</f>
        <v>0</v>
      </c>
      <c r="L437" s="27">
        <f t="shared" si="179"/>
        <v>0</v>
      </c>
      <c r="M437" s="27">
        <f t="shared" si="179"/>
        <v>0</v>
      </c>
      <c r="N437" s="27">
        <f t="shared" ref="N437:S437" si="180">N416</f>
        <v>0</v>
      </c>
      <c r="O437" s="27">
        <f t="shared" si="180"/>
        <v>0</v>
      </c>
      <c r="P437" s="27">
        <f t="shared" si="180"/>
        <v>0</v>
      </c>
      <c r="Q437" s="27">
        <f t="shared" si="180"/>
        <v>0</v>
      </c>
      <c r="R437" s="27">
        <f t="shared" si="180"/>
        <v>0</v>
      </c>
      <c r="S437" s="27">
        <f t="shared" si="180"/>
        <v>0</v>
      </c>
      <c r="T437" s="27">
        <f t="shared" ref="T437:AC437" si="181">T404</f>
        <v>0</v>
      </c>
      <c r="U437" s="27">
        <f t="shared" si="181"/>
        <v>0</v>
      </c>
      <c r="V437" s="27">
        <f t="shared" si="181"/>
        <v>0</v>
      </c>
      <c r="W437" s="27">
        <f t="shared" si="181"/>
        <v>0</v>
      </c>
      <c r="X437" s="27">
        <f t="shared" si="181"/>
        <v>0</v>
      </c>
      <c r="Y437" s="27">
        <f t="shared" si="181"/>
        <v>0</v>
      </c>
      <c r="Z437" s="27">
        <f t="shared" si="181"/>
        <v>0</v>
      </c>
      <c r="AA437" s="27">
        <f t="shared" si="181"/>
        <v>0</v>
      </c>
      <c r="AB437" s="27">
        <f t="shared" si="181"/>
        <v>0</v>
      </c>
      <c r="AC437" s="27">
        <f t="shared" si="181"/>
        <v>0</v>
      </c>
      <c r="AD437" s="27">
        <v>0</v>
      </c>
      <c r="AE437" s="27">
        <v>0</v>
      </c>
      <c r="AF437" s="27">
        <f>AF404</f>
        <v>0</v>
      </c>
      <c r="AG437" s="64">
        <f>SUM(F437:AF437)</f>
        <v>1148831.9000005699</v>
      </c>
      <c r="AH437" s="21" t="str">
        <f t="shared" ref="AH437:AH442" si="182">IF(ABS(E437-AG437)&lt;0.01,"ok","err")</f>
        <v>ok</v>
      </c>
    </row>
    <row r="438" spans="1:34" x14ac:dyDescent="0.25">
      <c r="A438" s="14" t="s">
        <v>607</v>
      </c>
      <c r="E438" s="175">
        <f>'[1]Func &amp; Classif'!M56</f>
        <v>1411560.02</v>
      </c>
      <c r="AG438" s="64">
        <f>E438</f>
        <v>1411560.02</v>
      </c>
      <c r="AH438" s="21" t="str">
        <f t="shared" si="182"/>
        <v>ok</v>
      </c>
    </row>
    <row r="439" spans="1:34" x14ac:dyDescent="0.25">
      <c r="A439" s="14" t="s">
        <v>591</v>
      </c>
      <c r="E439" s="167"/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40"/>
      <c r="P439" s="27"/>
      <c r="Q439" s="14">
        <v>0</v>
      </c>
      <c r="R439" s="14">
        <v>0</v>
      </c>
      <c r="S439" s="14">
        <v>0</v>
      </c>
      <c r="AG439" s="64">
        <f>SUM(F439:AF439)</f>
        <v>0</v>
      </c>
      <c r="AH439" s="21" t="str">
        <f t="shared" si="182"/>
        <v>ok</v>
      </c>
    </row>
    <row r="440" spans="1:34" x14ac:dyDescent="0.25">
      <c r="A440" s="14" t="s">
        <v>608</v>
      </c>
      <c r="D440" s="14" t="s">
        <v>610</v>
      </c>
      <c r="E440" s="175">
        <f>E438-E439</f>
        <v>1411560.02</v>
      </c>
      <c r="F440" s="40">
        <f>IF(VLOOKUP($D440,$C$5:$AU$525,3,)=0,0,(VLOOKUP($D440,$C$5:$AU$525,4,)/VLOOKUP($D440,$C$5:$AU$525,3,))*$E440)</f>
        <v>1012385.1294015781</v>
      </c>
      <c r="G440" s="40">
        <f>IF(VLOOKUP($D440,$C$5:$AU$525,3,)=0,0,(VLOOKUP($D440,$C$5:$AU$525,5,)/VLOOKUP($D440,$C$5:$AU$525,3,))*$E440)</f>
        <v>0</v>
      </c>
      <c r="H440" s="40">
        <f>IF(VLOOKUP($D440,$C$5:$AU$525,3,)=0,0,(VLOOKUP($D440,$C$5:$AU$525,6,)/VLOOKUP($D440,$C$5:$AU$525,3,))*$E440)</f>
        <v>112164.54377237608</v>
      </c>
      <c r="I440" s="40">
        <f>IF(VLOOKUP($D440,$C$5:$AU$525,3,)=0,0,(VLOOKUP($D440,$C$5:$AU$525,7,)/VLOOKUP($D440,$C$5:$AU$525,3,))*$E440)</f>
        <v>240479.15769614285</v>
      </c>
      <c r="J440" s="40">
        <f>IF(VLOOKUP($D440,$C$5:$AU$525,3,)=0,0,(VLOOKUP($D440,$C$5:$AU$525,8,)/VLOOKUP($D440,$C$5:$AU$525,3,))*$E440)</f>
        <v>46531.188161068014</v>
      </c>
      <c r="K440" s="40">
        <f>IF(VLOOKUP($D440,$C$5:$AU$525,3,)=0,0,(VLOOKUP($D440,$C$5:$AU$525,9,)/VLOOKUP($D440,$C$5:$AU$525,3,))*$E440)</f>
        <v>0</v>
      </c>
      <c r="L440" s="40">
        <f>IF(VLOOKUP($D440,$C$5:$AU$525,3,)=0,0,(VLOOKUP($D440,$C$5:$AU$525,10,)/VLOOKUP($D440,$C$5:$AU$525,3,))*$E440)</f>
        <v>0</v>
      </c>
      <c r="M440" s="40">
        <f>IF(VLOOKUP($D440,$C$5:$AU$525,3,)=0,0,(VLOOKUP($D440,$C$5:$AU$525,11,)/VLOOKUP($D440,$C$5:$AU$525,3,))*$E440)</f>
        <v>0</v>
      </c>
      <c r="N440" s="40">
        <f>IF(VLOOKUP($D440,$C$5:$AT$525,3,)=0,0,(VLOOKUP($D440,$C$5:$AT$525,12,)/VLOOKUP($D440,$C$5:$AT$525,3,))*$E440)</f>
        <v>0</v>
      </c>
      <c r="O440" s="40">
        <f>IF(VLOOKUP($D440,$C$5:$AT$525,3,)=0,0,(VLOOKUP($D440,$C$5:$AT$525,13,)/VLOOKUP($D440,$C$5:$AT$525,3,))*$E440)</f>
        <v>0</v>
      </c>
      <c r="P440" s="40">
        <f>IF(VLOOKUP($D440,$C$5:$AT$525,3,)=0,0,(VLOOKUP($D440,$C$5:$AT$525,14,)/VLOOKUP($D440,$C$5:$AT$525,3,))*$E440)</f>
        <v>0</v>
      </c>
      <c r="Q440" s="40">
        <f>IF(VLOOKUP($D440,$C$5:$AT$525,3,)=0,0,(VLOOKUP($D440,$C$5:$AT$525,15,)/VLOOKUP($D440,$C$5:$AT$525,3,))*$E440)</f>
        <v>0</v>
      </c>
      <c r="R440" s="40">
        <f>IF(VLOOKUP($D440,$C$5:$AT$525,3,)=0,0,(VLOOKUP($D440,$C$5:$AT$525,16,)/VLOOKUP($D440,$C$5:$AT$525,3,))*$E440)</f>
        <v>0</v>
      </c>
      <c r="S440" s="40">
        <f>IF(VLOOKUP($D440,$C$5:$AT$525,3,)=0,0,(VLOOKUP($D440,$C$5:$AT$525,17,)/VLOOKUP($D440,$C$5:$AT$525,3,))*$E440)</f>
        <v>0</v>
      </c>
      <c r="T440" s="40">
        <f>IF(VLOOKUP($D440,$C$5:$AT$525,3,)=0,0,(VLOOKUP($D440,$C$5:$AT$525,18,)/VLOOKUP($D440,$C$5:$AT$525,3,))*$E440)</f>
        <v>0</v>
      </c>
      <c r="U440" s="40">
        <f>IF(VLOOKUP($D440,$C$5:$AT$525,3,)=0,0,(VLOOKUP($D440,$C$5:$AT$525,19,)/VLOOKUP($D440,$C$5:$AT$525,3,))*$E440)</f>
        <v>0</v>
      </c>
      <c r="V440" s="40">
        <f>IF(VLOOKUP($D440,$C$5:$AT$525,3,)=0,0,(VLOOKUP($D440,$C$5:$AT$525,20,)/VLOOKUP($D440,$C$5:$AT$525,3,))*$E440)</f>
        <v>0</v>
      </c>
      <c r="W440" s="40">
        <f>IF(VLOOKUP($D440,$C$5:$AT$525,3,)=0,0,(VLOOKUP($D440,$C$5:$AT$525,21,)/VLOOKUP($D440,$C$5:$AT$525,3,))*$E440)</f>
        <v>0</v>
      </c>
      <c r="X440" s="40">
        <f>IF(VLOOKUP($D440,$C$5:$AT$525,3,)=0,0,(VLOOKUP($D440,$C$5:$AT$525,22,)/VLOOKUP($D440,$C$5:$AT$525,3,))*$E440)</f>
        <v>0</v>
      </c>
      <c r="Y440" s="40">
        <f>IF(VLOOKUP($D440,$C$5:$AT$525,3,)=0,0,(VLOOKUP($D440,$C$5:$AT$525,23,)/VLOOKUP($D440,$C$5:$AT$525,3,))*$E440)</f>
        <v>0</v>
      </c>
      <c r="Z440" s="40">
        <f>IF(VLOOKUP($D440,$C$5:$AT$525,3,)=0,0,(VLOOKUP($D440,$C$5:$AT$525,24,)/VLOOKUP($D440,$C$5:$AT$525,3,))*$E440)</f>
        <v>0</v>
      </c>
      <c r="AA440" s="40">
        <f>IF(VLOOKUP($D440,$C$5:$AT$525,3,)=0,0,(VLOOKUP($D440,$C$5:$AT$525,25,)/VLOOKUP($D440,$C$5:$AT$525,3,))*$E440)</f>
        <v>0</v>
      </c>
      <c r="AB440" s="40">
        <f>IF(VLOOKUP($D440,$C$5:$AT$525,3,)=0,0,(VLOOKUP($D440,$C$5:$AT$525,26,)/VLOOKUP($D440,$C$5:$AT$525,3,))*$E440)</f>
        <v>0</v>
      </c>
      <c r="AC440" s="40">
        <f>IF(VLOOKUP($D440,$C$5:$AT$525,3,)=0,0,(VLOOKUP($D440,$C$5:$AT$525,27,)/VLOOKUP($D440,$C$5:$AT$525,3,))*$E440)</f>
        <v>0</v>
      </c>
      <c r="AD440" s="40">
        <f>IF(VLOOKUP($D440,$C$5:$AT$525,3,)=0,0,(VLOOKUP($D440,$C$5:$AT$525,28,)/VLOOKUP($D440,$C$5:$AT$525,3,))*$E440)</f>
        <v>0</v>
      </c>
      <c r="AE440" s="40">
        <f>IF(VLOOKUP($D440,$C$5:$AT$525,3,)=0,0,(VLOOKUP($D440,$C$5:$AT$525,29,)/VLOOKUP($D440,$C$5:$AT$525,3,))*$E440)</f>
        <v>0</v>
      </c>
      <c r="AF440" s="40">
        <f>IF(VLOOKUP($D440,$C$5:$AT$525,3,)=0,0,(VLOOKUP($D440,$C$5:$AT$525,30,)/VLOOKUP($D440,$C$5:$AT$525,3,))*$E440)</f>
        <v>0</v>
      </c>
      <c r="AG440" s="64">
        <f>SUM(F440:AF440)</f>
        <v>1411560.0190311652</v>
      </c>
      <c r="AH440" s="21" t="str">
        <f t="shared" si="182"/>
        <v>ok</v>
      </c>
    </row>
    <row r="441" spans="1:34" x14ac:dyDescent="0.25">
      <c r="A441" s="14" t="s">
        <v>609</v>
      </c>
      <c r="C441" s="14" t="s">
        <v>611</v>
      </c>
      <c r="E441" s="175">
        <f t="shared" ref="E441:M441" si="183">E439+E440</f>
        <v>1411560.02</v>
      </c>
      <c r="F441" s="64">
        <f t="shared" si="183"/>
        <v>1012385.1294015781</v>
      </c>
      <c r="G441" s="64">
        <f t="shared" si="183"/>
        <v>0</v>
      </c>
      <c r="H441" s="64">
        <f t="shared" si="183"/>
        <v>112164.54377237608</v>
      </c>
      <c r="I441" s="64">
        <f t="shared" si="183"/>
        <v>240479.15769614285</v>
      </c>
      <c r="J441" s="64">
        <f t="shared" si="183"/>
        <v>46531.188161068014</v>
      </c>
      <c r="K441" s="64">
        <f t="shared" si="183"/>
        <v>0</v>
      </c>
      <c r="L441" s="64">
        <f t="shared" si="183"/>
        <v>0</v>
      </c>
      <c r="M441" s="64">
        <f t="shared" si="183"/>
        <v>0</v>
      </c>
      <c r="N441" s="64">
        <f t="shared" ref="N441:AF441" si="184">N439+N440</f>
        <v>0</v>
      </c>
      <c r="O441" s="64">
        <f t="shared" si="184"/>
        <v>0</v>
      </c>
      <c r="P441" s="64">
        <f t="shared" si="184"/>
        <v>0</v>
      </c>
      <c r="Q441" s="64">
        <f t="shared" si="184"/>
        <v>0</v>
      </c>
      <c r="R441" s="64">
        <f t="shared" si="184"/>
        <v>0</v>
      </c>
      <c r="S441" s="64">
        <f t="shared" si="184"/>
        <v>0</v>
      </c>
      <c r="T441" s="64">
        <f t="shared" si="184"/>
        <v>0</v>
      </c>
      <c r="U441" s="64">
        <f t="shared" si="184"/>
        <v>0</v>
      </c>
      <c r="V441" s="64">
        <f t="shared" si="184"/>
        <v>0</v>
      </c>
      <c r="W441" s="64">
        <f t="shared" si="184"/>
        <v>0</v>
      </c>
      <c r="X441" s="64">
        <f t="shared" si="184"/>
        <v>0</v>
      </c>
      <c r="Y441" s="64">
        <f t="shared" si="184"/>
        <v>0</v>
      </c>
      <c r="Z441" s="64">
        <f t="shared" si="184"/>
        <v>0</v>
      </c>
      <c r="AA441" s="64">
        <f t="shared" si="184"/>
        <v>0</v>
      </c>
      <c r="AB441" s="64">
        <f t="shared" si="184"/>
        <v>0</v>
      </c>
      <c r="AC441" s="64">
        <f t="shared" si="184"/>
        <v>0</v>
      </c>
      <c r="AD441" s="64">
        <f t="shared" si="184"/>
        <v>0</v>
      </c>
      <c r="AE441" s="64">
        <f t="shared" si="184"/>
        <v>0</v>
      </c>
      <c r="AF441" s="64">
        <f t="shared" si="184"/>
        <v>0</v>
      </c>
      <c r="AG441" s="64">
        <f>SUM(F441:AF441)</f>
        <v>1411560.0190311652</v>
      </c>
      <c r="AH441" s="21" t="str">
        <f t="shared" si="182"/>
        <v>ok</v>
      </c>
    </row>
    <row r="442" spans="1:34" x14ac:dyDescent="0.25">
      <c r="A442" s="14" t="s">
        <v>633</v>
      </c>
      <c r="C442" s="14" t="s">
        <v>612</v>
      </c>
      <c r="D442" s="14" t="s">
        <v>611</v>
      </c>
      <c r="E442" s="186">
        <v>1</v>
      </c>
      <c r="F442" s="72">
        <f>IF(VLOOKUP($D442,$C$5:$AU$525,3,)=0,0,(VLOOKUP($D442,$C$5:$AU$525,4,)/VLOOKUP($D442,$C$5:$AU$525,3,))*$E442)</f>
        <v>0.7172101186328429</v>
      </c>
      <c r="G442" s="72">
        <f>IF(VLOOKUP($D442,$C$5:$AU$525,3,)=0,0,(VLOOKUP($D442,$C$5:$AU$525,5,)/VLOOKUP($D442,$C$5:$AU$525,3,))*$E442)</f>
        <v>0</v>
      </c>
      <c r="H442" s="72">
        <f>IF(VLOOKUP($D442,$C$5:$AU$525,3,)=0,0,(VLOOKUP($D442,$C$5:$AU$525,6,)/VLOOKUP($D442,$C$5:$AU$525,3,))*$E442)</f>
        <v>7.9461405950259259E-2</v>
      </c>
      <c r="I442" s="72">
        <f>IF(VLOOKUP($D442,$C$5:$AU$525,3,)=0,0,(VLOOKUP($D442,$C$5:$AU$525,7,)/VLOOKUP($D442,$C$5:$AU$525,3,))*$E442)</f>
        <v>0.17036410374965341</v>
      </c>
      <c r="J442" s="72">
        <f>IF(VLOOKUP($D442,$C$5:$AU$525,3,)=0,0,(VLOOKUP($D442,$C$5:$AU$525,8,)/VLOOKUP($D442,$C$5:$AU$525,3,))*$E442)</f>
        <v>3.2964370980886816E-2</v>
      </c>
      <c r="K442" s="72">
        <f>IF(VLOOKUP($D442,$C$5:$AU$525,3,)=0,0,(VLOOKUP($D442,$C$5:$AU$525,9,)/VLOOKUP($D442,$C$5:$AU$525,3,))*$E442)</f>
        <v>0</v>
      </c>
      <c r="L442" s="72">
        <f>IF(VLOOKUP($D442,$C$5:$AU$525,3,)=0,0,(VLOOKUP($D442,$C$5:$AU$525,10,)/VLOOKUP($D442,$C$5:$AU$525,3,))*$E442)</f>
        <v>0</v>
      </c>
      <c r="M442" s="72">
        <f>IF(VLOOKUP($D442,$C$5:$AU$525,3,)=0,0,(VLOOKUP($D442,$C$5:$AU$525,11,)/VLOOKUP($D442,$C$5:$AU$525,3,))*$E442)</f>
        <v>0</v>
      </c>
      <c r="N442" s="72">
        <f>IF(VLOOKUP($D442,$C$5:$AT$525,3,)=0,0,(VLOOKUP($D442,$C$5:$AT$525,12,)/VLOOKUP($D442,$C$5:$AT$525,3,))*$E442)</f>
        <v>0</v>
      </c>
      <c r="O442" s="72">
        <f>IF(VLOOKUP($D442,$C$5:$AT$525,3,)=0,0,(VLOOKUP($D442,$C$5:$AT$525,13,)/VLOOKUP($D442,$C$5:$AT$525,3,))*$E442)</f>
        <v>0</v>
      </c>
      <c r="P442" s="72">
        <f>IF(VLOOKUP($D442,$C$5:$AT$525,3,)=0,0,(VLOOKUP($D442,$C$5:$AT$525,14,)/VLOOKUP($D442,$C$5:$AT$525,3,))*$E442)</f>
        <v>0</v>
      </c>
      <c r="Q442" s="72">
        <f>IF(VLOOKUP($D442,$C$5:$AT$525,3,)=0,0,(VLOOKUP($D442,$C$5:$AT$525,15,)/VLOOKUP($D442,$C$5:$AT$525,3,))*$E442)</f>
        <v>0</v>
      </c>
      <c r="R442" s="72">
        <f>IF(VLOOKUP($D442,$C$5:$AT$525,3,)=0,0,(VLOOKUP($D442,$C$5:$AT$525,16,)/VLOOKUP($D442,$C$5:$AT$525,3,))*$E442)</f>
        <v>0</v>
      </c>
      <c r="S442" s="72">
        <f>IF(VLOOKUP($D442,$C$5:$AT$525,3,)=0,0,(VLOOKUP($D442,$C$5:$AT$525,17,)/VLOOKUP($D442,$C$5:$AT$525,3,))*$E442)</f>
        <v>0</v>
      </c>
      <c r="T442" s="72">
        <f>IF(VLOOKUP($D442,$C$5:$AT$525,3,)=0,0,(VLOOKUP($D442,$C$5:$AT$525,18,)/VLOOKUP($D442,$C$5:$AT$525,3,))*$E442)</f>
        <v>0</v>
      </c>
      <c r="U442" s="72">
        <f>IF(VLOOKUP($D442,$C$5:$AT$525,3,)=0,0,(VLOOKUP($D442,$C$5:$AT$525,19,)/VLOOKUP($D442,$C$5:$AT$525,3,))*$E442)</f>
        <v>0</v>
      </c>
      <c r="V442" s="72">
        <f>IF(VLOOKUP($D442,$C$5:$AT$525,3,)=0,0,(VLOOKUP($D442,$C$5:$AT$525,20,)/VLOOKUP($D442,$C$5:$AT$525,3,))*$E442)</f>
        <v>0</v>
      </c>
      <c r="W442" s="72">
        <f>IF(VLOOKUP($D442,$C$5:$AT$525,3,)=0,0,(VLOOKUP($D442,$C$5:$AT$525,21,)/VLOOKUP($D442,$C$5:$AT$525,3,))*$E442)</f>
        <v>0</v>
      </c>
      <c r="X442" s="72">
        <f>IF(VLOOKUP($D442,$C$5:$AT$525,3,)=0,0,(VLOOKUP($D442,$C$5:$AT$525,22,)/VLOOKUP($D442,$C$5:$AT$525,3,))*$E442)</f>
        <v>0</v>
      </c>
      <c r="Y442" s="72">
        <f>IF(VLOOKUP($D442,$C$5:$AT$525,3,)=0,0,(VLOOKUP($D442,$C$5:$AT$525,23,)/VLOOKUP($D442,$C$5:$AT$525,3,))*$E442)</f>
        <v>0</v>
      </c>
      <c r="Z442" s="72">
        <f>IF(VLOOKUP($D442,$C$5:$AT$525,3,)=0,0,(VLOOKUP($D442,$C$5:$AT$525,24,)/VLOOKUP($D442,$C$5:$AT$525,3,))*$E442)</f>
        <v>0</v>
      </c>
      <c r="AA442" s="72">
        <f>IF(VLOOKUP($D442,$C$5:$AT$525,3,)=0,0,(VLOOKUP($D442,$C$5:$AT$525,25,)/VLOOKUP($D442,$C$5:$AT$525,3,))*$E442)</f>
        <v>0</v>
      </c>
      <c r="AB442" s="72">
        <f>IF(VLOOKUP($D442,$C$5:$AT$525,3,)=0,0,(VLOOKUP($D442,$C$5:$AT$525,26,)/VLOOKUP($D442,$C$5:$AT$525,3,))*$E442)</f>
        <v>0</v>
      </c>
      <c r="AC442" s="72">
        <f>IF(VLOOKUP($D442,$C$5:$AT$525,3,)=0,0,(VLOOKUP($D442,$C$5:$AT$525,27,)/VLOOKUP($D442,$C$5:$AT$525,3,))*$E442)</f>
        <v>0</v>
      </c>
      <c r="AD442" s="72">
        <f>IF(VLOOKUP($D442,$C$5:$AT$525,3,)=0,0,(VLOOKUP($D442,$C$5:$AT$525,28,)/VLOOKUP($D442,$C$5:$AT$525,3,))*$E442)</f>
        <v>0</v>
      </c>
      <c r="AE442" s="72">
        <f>IF(VLOOKUP($D442,$C$5:$AT$525,3,)=0,0,(VLOOKUP($D442,$C$5:$AT$525,29,)/VLOOKUP($D442,$C$5:$AT$525,3,))*$E442)</f>
        <v>0</v>
      </c>
      <c r="AF442" s="72">
        <f>IF(VLOOKUP($D442,$C$5:$AT$525,3,)=0,0,(VLOOKUP($D442,$C$5:$AT$525,30,)/VLOOKUP($D442,$C$5:$AT$525,3,))*$E442)</f>
        <v>0</v>
      </c>
      <c r="AG442" s="72">
        <f>SUM(F442:AF442)</f>
        <v>0.99999999931364236</v>
      </c>
      <c r="AH442" s="21" t="str">
        <f t="shared" si="182"/>
        <v>ok</v>
      </c>
    </row>
    <row r="444" spans="1:34" x14ac:dyDescent="0.25">
      <c r="A444" s="14" t="s">
        <v>606</v>
      </c>
      <c r="C444" s="14" t="s">
        <v>627</v>
      </c>
      <c r="E444" s="174">
        <f>E437</f>
        <v>1148831.9007890793</v>
      </c>
      <c r="F444" s="27">
        <f>F437</f>
        <v>823953.86385412992</v>
      </c>
      <c r="G444" s="27">
        <f t="shared" ref="G444:M444" si="185">G437</f>
        <v>0</v>
      </c>
      <c r="H444" s="27">
        <f t="shared" si="185"/>
        <v>91287.798037208995</v>
      </c>
      <c r="I444" s="27">
        <f t="shared" si="185"/>
        <v>195719.71713694223</v>
      </c>
      <c r="J444" s="27">
        <f t="shared" si="185"/>
        <v>37870.520972288563</v>
      </c>
      <c r="K444" s="27">
        <f t="shared" si="185"/>
        <v>0</v>
      </c>
      <c r="L444" s="27">
        <f t="shared" si="185"/>
        <v>0</v>
      </c>
      <c r="M444" s="27">
        <f t="shared" si="185"/>
        <v>0</v>
      </c>
      <c r="N444" s="27">
        <f t="shared" ref="N444:AF444" si="186">N437</f>
        <v>0</v>
      </c>
      <c r="O444" s="27">
        <f t="shared" si="186"/>
        <v>0</v>
      </c>
      <c r="P444" s="27">
        <f t="shared" si="186"/>
        <v>0</v>
      </c>
      <c r="Q444" s="27">
        <f t="shared" si="186"/>
        <v>0</v>
      </c>
      <c r="R444" s="27">
        <f t="shared" si="186"/>
        <v>0</v>
      </c>
      <c r="S444" s="27">
        <f t="shared" si="186"/>
        <v>0</v>
      </c>
      <c r="T444" s="27">
        <f t="shared" si="186"/>
        <v>0</v>
      </c>
      <c r="U444" s="27">
        <f t="shared" si="186"/>
        <v>0</v>
      </c>
      <c r="V444" s="27">
        <f t="shared" si="186"/>
        <v>0</v>
      </c>
      <c r="W444" s="27">
        <f t="shared" si="186"/>
        <v>0</v>
      </c>
      <c r="X444" s="27">
        <f t="shared" si="186"/>
        <v>0</v>
      </c>
      <c r="Y444" s="27">
        <f t="shared" si="186"/>
        <v>0</v>
      </c>
      <c r="Z444" s="27">
        <f t="shared" si="186"/>
        <v>0</v>
      </c>
      <c r="AA444" s="27">
        <f t="shared" si="186"/>
        <v>0</v>
      </c>
      <c r="AB444" s="27">
        <f t="shared" si="186"/>
        <v>0</v>
      </c>
      <c r="AC444" s="27">
        <f t="shared" si="186"/>
        <v>0</v>
      </c>
      <c r="AD444" s="27">
        <f t="shared" si="186"/>
        <v>0</v>
      </c>
      <c r="AE444" s="27">
        <f t="shared" si="186"/>
        <v>0</v>
      </c>
      <c r="AF444" s="27">
        <f t="shared" si="186"/>
        <v>0</v>
      </c>
      <c r="AG444" s="64">
        <f>SUM(F444:AF444)</f>
        <v>1148831.9000005699</v>
      </c>
      <c r="AH444" s="21" t="str">
        <f t="shared" ref="AH444:AH449" si="187">IF(ABS(E444-AG444)&lt;0.01,"ok","err")</f>
        <v>ok</v>
      </c>
    </row>
    <row r="445" spans="1:34" x14ac:dyDescent="0.25">
      <c r="A445" s="14" t="s">
        <v>607</v>
      </c>
      <c r="E445" s="175">
        <f>E438</f>
        <v>1411560.02</v>
      </c>
      <c r="AG445" s="64">
        <f>E445</f>
        <v>1411560.02</v>
      </c>
      <c r="AH445" s="21" t="str">
        <f t="shared" si="187"/>
        <v>ok</v>
      </c>
    </row>
    <row r="446" spans="1:34" x14ac:dyDescent="0.25">
      <c r="A446" s="14" t="s">
        <v>591</v>
      </c>
      <c r="E446" s="167"/>
      <c r="M446" s="27">
        <v>0</v>
      </c>
      <c r="N446" s="27">
        <v>0</v>
      </c>
      <c r="O446" s="27"/>
      <c r="P446" s="27"/>
      <c r="Q446" s="14">
        <v>0</v>
      </c>
      <c r="R446" s="14">
        <v>0</v>
      </c>
      <c r="S446" s="14">
        <v>0</v>
      </c>
      <c r="AD446" s="40">
        <v>0</v>
      </c>
      <c r="AE446" s="40"/>
      <c r="AG446" s="64">
        <f>SUM(F446:AF446)</f>
        <v>0</v>
      </c>
      <c r="AH446" s="21" t="str">
        <f t="shared" si="187"/>
        <v>ok</v>
      </c>
    </row>
    <row r="447" spans="1:34" x14ac:dyDescent="0.25">
      <c r="A447" s="14" t="s">
        <v>608</v>
      </c>
      <c r="D447" s="14" t="s">
        <v>627</v>
      </c>
      <c r="E447" s="175">
        <f>E445-E446</f>
        <v>1411560.02</v>
      </c>
      <c r="F447" s="40">
        <f>IF(VLOOKUP($D447,$C$5:$AU$525,3,)=0,0,(VLOOKUP($D447,$C$5:$AU$525,4,)/VLOOKUP($D447,$C$5:$AU$525,3,))*$E447)</f>
        <v>1012385.1294015781</v>
      </c>
      <c r="G447" s="40">
        <f>IF(VLOOKUP($D447,$C$5:$AU$525,3,)=0,0,(VLOOKUP($D447,$C$5:$AU$525,5,)/VLOOKUP($D447,$C$5:$AU$525,3,))*$E447)</f>
        <v>0</v>
      </c>
      <c r="H447" s="40">
        <f>IF(VLOOKUP($D447,$C$5:$AU$525,3,)=0,0,(VLOOKUP($D447,$C$5:$AU$525,6,)/VLOOKUP($D447,$C$5:$AU$525,3,))*$E447)</f>
        <v>112164.54377237608</v>
      </c>
      <c r="I447" s="40">
        <f>IF(VLOOKUP($D447,$C$5:$AU$525,3,)=0,0,(VLOOKUP($D447,$C$5:$AU$525,7,)/VLOOKUP($D447,$C$5:$AU$525,3,))*$E447)</f>
        <v>240479.15769614285</v>
      </c>
      <c r="J447" s="40">
        <f>IF(VLOOKUP($D447,$C$5:$AU$525,3,)=0,0,(VLOOKUP($D447,$C$5:$AU$525,8,)/VLOOKUP($D447,$C$5:$AU$525,3,))*$E447)</f>
        <v>46531.188161068014</v>
      </c>
      <c r="K447" s="40">
        <f>IF(VLOOKUP($D447,$C$5:$AU$525,3,)=0,0,(VLOOKUP($D447,$C$5:$AU$525,9,)/VLOOKUP($D447,$C$5:$AU$525,3,))*$E447)</f>
        <v>0</v>
      </c>
      <c r="L447" s="40">
        <f>IF(VLOOKUP($D447,$C$5:$AU$525,3,)=0,0,(VLOOKUP($D447,$C$5:$AU$525,10,)/VLOOKUP($D447,$C$5:$AU$525,3,))*$E447)</f>
        <v>0</v>
      </c>
      <c r="M447" s="40">
        <f>IF(VLOOKUP($D447,$C$5:$AU$525,3,)=0,0,(VLOOKUP($D447,$C$5:$AU$525,11,)/VLOOKUP($D447,$C$5:$AU$525,3,))*$E447)</f>
        <v>0</v>
      </c>
      <c r="N447" s="40">
        <f>IF(VLOOKUP($D447,$C$5:$AT$525,3,)=0,0,(VLOOKUP($D447,$C$5:$AT$525,12,)/VLOOKUP($D447,$C$5:$AT$525,3,))*$E447)</f>
        <v>0</v>
      </c>
      <c r="O447" s="40">
        <f>IF(VLOOKUP($D447,$C$5:$AT$525,3,)=0,0,(VLOOKUP($D447,$C$5:$AT$525,13,)/VLOOKUP($D447,$C$5:$AT$525,3,))*$E447)</f>
        <v>0</v>
      </c>
      <c r="P447" s="40">
        <f>IF(VLOOKUP($D447,$C$5:$AT$525,3,)=0,0,(VLOOKUP($D447,$C$5:$AT$525,14,)/VLOOKUP($D447,$C$5:$AT$525,3,))*$E447)</f>
        <v>0</v>
      </c>
      <c r="Q447" s="40">
        <f>IF(VLOOKUP($D447,$C$5:$AT$525,3,)=0,0,(VLOOKUP($D447,$C$5:$AT$525,15,)/VLOOKUP($D447,$C$5:$AT$525,3,))*$E447)</f>
        <v>0</v>
      </c>
      <c r="R447" s="40">
        <f>IF(VLOOKUP($D447,$C$5:$AT$525,3,)=0,0,(VLOOKUP($D447,$C$5:$AT$525,16,)/VLOOKUP($D447,$C$5:$AT$525,3,))*$E447)</f>
        <v>0</v>
      </c>
      <c r="S447" s="40">
        <f>IF(VLOOKUP($D447,$C$5:$AT$525,3,)=0,0,(VLOOKUP($D447,$C$5:$AT$525,17,)/VLOOKUP($D447,$C$5:$AT$525,3,))*$E447)</f>
        <v>0</v>
      </c>
      <c r="T447" s="40">
        <f>IF(VLOOKUP($D447,$C$5:$AT$525,3,)=0,0,(VLOOKUP($D447,$C$5:$AT$525,18,)/VLOOKUP($D447,$C$5:$AT$525,3,))*$E447)</f>
        <v>0</v>
      </c>
      <c r="U447" s="40">
        <f>IF(VLOOKUP($D447,$C$5:$AT$525,3,)=0,0,(VLOOKUP($D447,$C$5:$AT$525,19,)/VLOOKUP($D447,$C$5:$AT$525,3,))*$E447)</f>
        <v>0</v>
      </c>
      <c r="V447" s="40">
        <f>IF(VLOOKUP($D447,$C$5:$AT$525,3,)=0,0,(VLOOKUP($D447,$C$5:$AT$525,20,)/VLOOKUP($D447,$C$5:$AT$525,3,))*$E447)</f>
        <v>0</v>
      </c>
      <c r="W447" s="40">
        <f>IF(VLOOKUP($D447,$C$5:$AT$525,3,)=0,0,(VLOOKUP($D447,$C$5:$AT$525,21,)/VLOOKUP($D447,$C$5:$AT$525,3,))*$E447)</f>
        <v>0</v>
      </c>
      <c r="X447" s="40">
        <f>IF(VLOOKUP($D447,$C$5:$AT$525,3,)=0,0,(VLOOKUP($D447,$C$5:$AT$525,22,)/VLOOKUP($D447,$C$5:$AT$525,3,))*$E447)</f>
        <v>0</v>
      </c>
      <c r="Y447" s="40">
        <f>IF(VLOOKUP($D447,$C$5:$AT$525,3,)=0,0,(VLOOKUP($D447,$C$5:$AT$525,23,)/VLOOKUP($D447,$C$5:$AT$525,3,))*$E447)</f>
        <v>0</v>
      </c>
      <c r="Z447" s="40">
        <f>IF(VLOOKUP($D447,$C$5:$AT$525,3,)=0,0,(VLOOKUP($D447,$C$5:$AT$525,24,)/VLOOKUP($D447,$C$5:$AT$525,3,))*$E447)</f>
        <v>0</v>
      </c>
      <c r="AA447" s="40">
        <f>IF(VLOOKUP($D447,$C$5:$AT$525,3,)=0,0,(VLOOKUP($D447,$C$5:$AT$525,25,)/VLOOKUP($D447,$C$5:$AT$525,3,))*$E447)</f>
        <v>0</v>
      </c>
      <c r="AB447" s="40">
        <f>IF(VLOOKUP($D447,$C$5:$AT$525,3,)=0,0,(VLOOKUP($D447,$C$5:$AT$525,26,)/VLOOKUP($D447,$C$5:$AT$525,3,))*$E447)</f>
        <v>0</v>
      </c>
      <c r="AC447" s="40">
        <f>IF(VLOOKUP($D447,$C$5:$AT$525,3,)=0,0,(VLOOKUP($D447,$C$5:$AT$525,27,)/VLOOKUP($D447,$C$5:$AT$525,3,))*$E447)</f>
        <v>0</v>
      </c>
      <c r="AD447" s="40">
        <f>IF(VLOOKUP($D447,$C$5:$AT$525,3,)=0,0,(VLOOKUP($D447,$C$5:$AT$525,28,)/VLOOKUP($D447,$C$5:$AT$525,3,))*$E447)</f>
        <v>0</v>
      </c>
      <c r="AE447" s="40">
        <f>IF(VLOOKUP($D447,$C$5:$AT$525,3,)=0,0,(VLOOKUP($D447,$C$5:$AT$525,29,)/VLOOKUP($D447,$C$5:$AT$525,3,))*$E447)</f>
        <v>0</v>
      </c>
      <c r="AF447" s="40">
        <f>IF(VLOOKUP($D447,$C$5:$AT$525,3,)=0,0,(VLOOKUP($D447,$C$5:$AT$525,30,)/VLOOKUP($D447,$C$5:$AT$525,3,))*$E447)</f>
        <v>0</v>
      </c>
      <c r="AG447" s="64">
        <f>SUM(F447:AF447)</f>
        <v>1411560.0190311652</v>
      </c>
      <c r="AH447" s="21" t="str">
        <f t="shared" si="187"/>
        <v>ok</v>
      </c>
    </row>
    <row r="448" spans="1:34" x14ac:dyDescent="0.25">
      <c r="A448" s="14" t="s">
        <v>609</v>
      </c>
      <c r="C448" s="14" t="s">
        <v>628</v>
      </c>
      <c r="E448" s="175">
        <f t="shared" ref="E448:M448" si="188">E446+E447</f>
        <v>1411560.02</v>
      </c>
      <c r="F448" s="64">
        <f t="shared" si="188"/>
        <v>1012385.1294015781</v>
      </c>
      <c r="G448" s="64">
        <f t="shared" si="188"/>
        <v>0</v>
      </c>
      <c r="H448" s="64">
        <f t="shared" si="188"/>
        <v>112164.54377237608</v>
      </c>
      <c r="I448" s="64">
        <f t="shared" si="188"/>
        <v>240479.15769614285</v>
      </c>
      <c r="J448" s="64">
        <f t="shared" si="188"/>
        <v>46531.188161068014</v>
      </c>
      <c r="K448" s="64">
        <f t="shared" si="188"/>
        <v>0</v>
      </c>
      <c r="L448" s="64">
        <f t="shared" si="188"/>
        <v>0</v>
      </c>
      <c r="M448" s="64">
        <f t="shared" si="188"/>
        <v>0</v>
      </c>
      <c r="N448" s="64">
        <f t="shared" ref="N448:AF448" si="189">N446+N447</f>
        <v>0</v>
      </c>
      <c r="O448" s="64">
        <f t="shared" si="189"/>
        <v>0</v>
      </c>
      <c r="P448" s="64">
        <f t="shared" si="189"/>
        <v>0</v>
      </c>
      <c r="Q448" s="64">
        <f t="shared" si="189"/>
        <v>0</v>
      </c>
      <c r="R448" s="64">
        <f t="shared" si="189"/>
        <v>0</v>
      </c>
      <c r="S448" s="64">
        <f t="shared" si="189"/>
        <v>0</v>
      </c>
      <c r="T448" s="64">
        <f t="shared" si="189"/>
        <v>0</v>
      </c>
      <c r="U448" s="64">
        <f t="shared" si="189"/>
        <v>0</v>
      </c>
      <c r="V448" s="64">
        <f t="shared" si="189"/>
        <v>0</v>
      </c>
      <c r="W448" s="64">
        <f t="shared" si="189"/>
        <v>0</v>
      </c>
      <c r="X448" s="64">
        <f t="shared" si="189"/>
        <v>0</v>
      </c>
      <c r="Y448" s="64">
        <f t="shared" si="189"/>
        <v>0</v>
      </c>
      <c r="Z448" s="64">
        <f t="shared" si="189"/>
        <v>0</v>
      </c>
      <c r="AA448" s="64">
        <f t="shared" si="189"/>
        <v>0</v>
      </c>
      <c r="AB448" s="64">
        <f t="shared" si="189"/>
        <v>0</v>
      </c>
      <c r="AC448" s="64">
        <f t="shared" si="189"/>
        <v>0</v>
      </c>
      <c r="AD448" s="64">
        <f t="shared" si="189"/>
        <v>0</v>
      </c>
      <c r="AE448" s="64">
        <f t="shared" si="189"/>
        <v>0</v>
      </c>
      <c r="AF448" s="64">
        <f t="shared" si="189"/>
        <v>0</v>
      </c>
      <c r="AG448" s="64">
        <f>SUM(F448:AF448)</f>
        <v>1411560.0190311652</v>
      </c>
      <c r="AH448" s="21" t="str">
        <f t="shared" si="187"/>
        <v>ok</v>
      </c>
    </row>
    <row r="449" spans="1:34" x14ac:dyDescent="0.25">
      <c r="A449" s="14" t="s">
        <v>634</v>
      </c>
      <c r="C449" s="14" t="s">
        <v>629</v>
      </c>
      <c r="D449" s="14" t="s">
        <v>628</v>
      </c>
      <c r="E449" s="186">
        <v>1</v>
      </c>
      <c r="F449" s="72">
        <f>IF(VLOOKUP($D449,$C$5:$AU$525,3,)=0,0,(VLOOKUP($D449,$C$5:$AU$525,4,)/VLOOKUP($D449,$C$5:$AU$525,3,))*$E449)</f>
        <v>0.7172101186328429</v>
      </c>
      <c r="G449" s="72">
        <f>IF(VLOOKUP($D449,$C$5:$AU$525,3,)=0,0,(VLOOKUP($D449,$C$5:$AU$525,5,)/VLOOKUP($D449,$C$5:$AU$525,3,))*$E449)</f>
        <v>0</v>
      </c>
      <c r="H449" s="72">
        <f>IF(VLOOKUP($D449,$C$5:$AU$525,3,)=0,0,(VLOOKUP($D449,$C$5:$AU$525,6,)/VLOOKUP($D449,$C$5:$AU$525,3,))*$E449)</f>
        <v>7.9461405950259259E-2</v>
      </c>
      <c r="I449" s="72">
        <f>IF(VLOOKUP($D449,$C$5:$AU$525,3,)=0,0,(VLOOKUP($D449,$C$5:$AU$525,7,)/VLOOKUP($D449,$C$5:$AU$525,3,))*$E449)</f>
        <v>0.17036410374965341</v>
      </c>
      <c r="J449" s="72">
        <f>IF(VLOOKUP($D449,$C$5:$AU$525,3,)=0,0,(VLOOKUP($D449,$C$5:$AU$525,8,)/VLOOKUP($D449,$C$5:$AU$525,3,))*$E449)</f>
        <v>3.2964370980886816E-2</v>
      </c>
      <c r="K449" s="72">
        <f>IF(VLOOKUP($D449,$C$5:$AU$525,3,)=0,0,(VLOOKUP($D449,$C$5:$AU$525,9,)/VLOOKUP($D449,$C$5:$AU$525,3,))*$E449)</f>
        <v>0</v>
      </c>
      <c r="L449" s="72">
        <f>IF(VLOOKUP($D449,$C$5:$AU$525,3,)=0,0,(VLOOKUP($D449,$C$5:$AU$525,10,)/VLOOKUP($D449,$C$5:$AU$525,3,))*$E449)</f>
        <v>0</v>
      </c>
      <c r="M449" s="72">
        <f>IF(VLOOKUP($D449,$C$5:$AU$525,3,)=0,0,(VLOOKUP($D449,$C$5:$AU$525,11,)/VLOOKUP($D449,$C$5:$AU$525,3,))*$E449)</f>
        <v>0</v>
      </c>
      <c r="N449" s="72">
        <f>IF(VLOOKUP($D449,$C$5:$AT$525,3,)=0,0,(VLOOKUP($D449,$C$5:$AT$525,12,)/VLOOKUP($D449,$C$5:$AT$525,3,))*$E449)</f>
        <v>0</v>
      </c>
      <c r="O449" s="72">
        <f>IF(VLOOKUP($D449,$C$5:$AT$525,3,)=0,0,(VLOOKUP($D449,$C$5:$AT$525,13,)/VLOOKUP($D449,$C$5:$AT$525,3,))*$E449)</f>
        <v>0</v>
      </c>
      <c r="P449" s="72">
        <f>IF(VLOOKUP($D449,$C$5:$AT$525,3,)=0,0,(VLOOKUP($D449,$C$5:$AT$525,14,)/VLOOKUP($D449,$C$5:$AT$525,3,))*$E449)</f>
        <v>0</v>
      </c>
      <c r="Q449" s="72">
        <f>IF(VLOOKUP($D449,$C$5:$AT$525,3,)=0,0,(VLOOKUP($D449,$C$5:$AT$525,15,)/VLOOKUP($D449,$C$5:$AT$525,3,))*$E449)</f>
        <v>0</v>
      </c>
      <c r="R449" s="72">
        <f>IF(VLOOKUP($D449,$C$5:$AT$525,3,)=0,0,(VLOOKUP($D449,$C$5:$AT$525,16,)/VLOOKUP($D449,$C$5:$AT$525,3,))*$E449)</f>
        <v>0</v>
      </c>
      <c r="S449" s="72">
        <f>IF(VLOOKUP($D449,$C$5:$AT$525,3,)=0,0,(VLOOKUP($D449,$C$5:$AT$525,17,)/VLOOKUP($D449,$C$5:$AT$525,3,))*$E449)</f>
        <v>0</v>
      </c>
      <c r="T449" s="72">
        <f>IF(VLOOKUP($D449,$C$5:$AT$525,3,)=0,0,(VLOOKUP($D449,$C$5:$AT$525,18,)/VLOOKUP($D449,$C$5:$AT$525,3,))*$E449)</f>
        <v>0</v>
      </c>
      <c r="U449" s="72">
        <f>IF(VLOOKUP($D449,$C$5:$AT$525,3,)=0,0,(VLOOKUP($D449,$C$5:$AT$525,19,)/VLOOKUP($D449,$C$5:$AT$525,3,))*$E449)</f>
        <v>0</v>
      </c>
      <c r="V449" s="72">
        <f>IF(VLOOKUP($D449,$C$5:$AT$525,3,)=0,0,(VLOOKUP($D449,$C$5:$AT$525,20,)/VLOOKUP($D449,$C$5:$AT$525,3,))*$E449)</f>
        <v>0</v>
      </c>
      <c r="W449" s="72">
        <f>IF(VLOOKUP($D449,$C$5:$AT$525,3,)=0,0,(VLOOKUP($D449,$C$5:$AT$525,21,)/VLOOKUP($D449,$C$5:$AT$525,3,))*$E449)</f>
        <v>0</v>
      </c>
      <c r="X449" s="72">
        <f>IF(VLOOKUP($D449,$C$5:$AT$525,3,)=0,0,(VLOOKUP($D449,$C$5:$AT$525,22,)/VLOOKUP($D449,$C$5:$AT$525,3,))*$E449)</f>
        <v>0</v>
      </c>
      <c r="Y449" s="72">
        <f>IF(VLOOKUP($D449,$C$5:$AT$525,3,)=0,0,(VLOOKUP($D449,$C$5:$AT$525,23,)/VLOOKUP($D449,$C$5:$AT$525,3,))*$E449)</f>
        <v>0</v>
      </c>
      <c r="Z449" s="72">
        <f>IF(VLOOKUP($D449,$C$5:$AT$525,3,)=0,0,(VLOOKUP($D449,$C$5:$AT$525,24,)/VLOOKUP($D449,$C$5:$AT$525,3,))*$E449)</f>
        <v>0</v>
      </c>
      <c r="AA449" s="72">
        <f>IF(VLOOKUP($D449,$C$5:$AT$525,3,)=0,0,(VLOOKUP($D449,$C$5:$AT$525,25,)/VLOOKUP($D449,$C$5:$AT$525,3,))*$E449)</f>
        <v>0</v>
      </c>
      <c r="AB449" s="72">
        <f>IF(VLOOKUP($D449,$C$5:$AT$525,3,)=0,0,(VLOOKUP($D449,$C$5:$AT$525,26,)/VLOOKUP($D449,$C$5:$AT$525,3,))*$E449)</f>
        <v>0</v>
      </c>
      <c r="AC449" s="72">
        <f>IF(VLOOKUP($D449,$C$5:$AT$525,3,)=0,0,(VLOOKUP($D449,$C$5:$AT$525,27,)/VLOOKUP($D449,$C$5:$AT$525,3,))*$E449)</f>
        <v>0</v>
      </c>
      <c r="AD449" s="72">
        <f>IF(VLOOKUP($D449,$C$5:$AT$525,3,)=0,0,(VLOOKUP($D449,$C$5:$AT$525,28,)/VLOOKUP($D449,$C$5:$AT$525,3,))*$E449)</f>
        <v>0</v>
      </c>
      <c r="AE449" s="72">
        <f>IF(VLOOKUP($D449,$C$5:$AT$525,3,)=0,0,(VLOOKUP($D449,$C$5:$AT$525,29,)/VLOOKUP($D449,$C$5:$AT$525,3,))*$E449)</f>
        <v>0</v>
      </c>
      <c r="AF449" s="72">
        <f>IF(VLOOKUP($D449,$C$5:$AT$525,3,)=0,0,(VLOOKUP($D449,$C$5:$AT$525,30,)/VLOOKUP($D449,$C$5:$AT$525,3,))*$E449)</f>
        <v>0</v>
      </c>
      <c r="AG449" s="72">
        <f>SUM(F449:AF449)</f>
        <v>0.99999999931364236</v>
      </c>
      <c r="AH449" s="21" t="str">
        <f t="shared" si="187"/>
        <v>ok</v>
      </c>
    </row>
    <row r="451" spans="1:34" x14ac:dyDescent="0.25">
      <c r="A451" s="19" t="s">
        <v>894</v>
      </c>
    </row>
    <row r="453" spans="1:34" x14ac:dyDescent="0.25">
      <c r="A453" s="14" t="s">
        <v>618</v>
      </c>
      <c r="C453" s="14" t="s">
        <v>619</v>
      </c>
      <c r="E453" s="167">
        <f>E423</f>
        <v>2961371.1757233604</v>
      </c>
      <c r="F453" s="27">
        <f t="shared" ref="F453:AF453" si="190">F423</f>
        <v>2437463.8206889685</v>
      </c>
      <c r="G453" s="27">
        <f t="shared" si="190"/>
        <v>2412.8290343915346</v>
      </c>
      <c r="H453" s="27">
        <f t="shared" si="190"/>
        <v>127345.35</v>
      </c>
      <c r="I453" s="27">
        <f t="shared" si="190"/>
        <v>336121.95600000001</v>
      </c>
      <c r="J453" s="27">
        <f t="shared" si="190"/>
        <v>58027.22</v>
      </c>
      <c r="K453" s="27">
        <f t="shared" si="190"/>
        <v>0</v>
      </c>
      <c r="L453" s="27">
        <f t="shared" si="190"/>
        <v>0</v>
      </c>
      <c r="M453" s="27">
        <f t="shared" si="190"/>
        <v>0</v>
      </c>
      <c r="N453" s="27">
        <f t="shared" si="190"/>
        <v>0</v>
      </c>
      <c r="O453" s="27">
        <f t="shared" si="190"/>
        <v>0</v>
      </c>
      <c r="P453" s="27">
        <f t="shared" si="190"/>
        <v>0</v>
      </c>
      <c r="Q453" s="27">
        <f t="shared" si="190"/>
        <v>0</v>
      </c>
      <c r="R453" s="27">
        <f t="shared" si="190"/>
        <v>0</v>
      </c>
      <c r="S453" s="27">
        <f t="shared" si="190"/>
        <v>0</v>
      </c>
      <c r="T453" s="27">
        <f t="shared" si="190"/>
        <v>0</v>
      </c>
      <c r="U453" s="27">
        <f t="shared" si="190"/>
        <v>0</v>
      </c>
      <c r="V453" s="27">
        <f t="shared" si="190"/>
        <v>0</v>
      </c>
      <c r="W453" s="27">
        <f t="shared" si="190"/>
        <v>0</v>
      </c>
      <c r="X453" s="27">
        <f t="shared" si="190"/>
        <v>0</v>
      </c>
      <c r="Y453" s="27">
        <f t="shared" si="190"/>
        <v>0</v>
      </c>
      <c r="Z453" s="27">
        <f t="shared" si="190"/>
        <v>0</v>
      </c>
      <c r="AA453" s="27">
        <f t="shared" si="190"/>
        <v>0</v>
      </c>
      <c r="AB453" s="27">
        <f t="shared" si="190"/>
        <v>0</v>
      </c>
      <c r="AC453" s="27">
        <f t="shared" si="190"/>
        <v>0</v>
      </c>
      <c r="AD453" s="27">
        <f t="shared" si="190"/>
        <v>0</v>
      </c>
      <c r="AE453" s="27">
        <f t="shared" si="190"/>
        <v>0</v>
      </c>
      <c r="AF453" s="27">
        <f t="shared" si="190"/>
        <v>0</v>
      </c>
      <c r="AG453" s="64">
        <f>SUM(F453:AF453)</f>
        <v>2961371.1757233604</v>
      </c>
      <c r="AH453" s="21" t="str">
        <f>IF(ABS(E453-AG453)&lt;0.01,"ok","err")</f>
        <v>ok</v>
      </c>
    </row>
    <row r="454" spans="1:34" x14ac:dyDescent="0.25">
      <c r="A454" s="14" t="s">
        <v>617</v>
      </c>
      <c r="C454" s="14" t="s">
        <v>616</v>
      </c>
      <c r="D454" s="14" t="s">
        <v>619</v>
      </c>
      <c r="E454" s="186">
        <v>1</v>
      </c>
      <c r="F454" s="72">
        <f>IF(VLOOKUP($D454,$C$5:$AT$525,3,)=0,0,(VLOOKUP($D454,$C$5:$AT$525,4,)/VLOOKUP($D454,$C$5:$AT$525,3,))*$E454)</f>
        <v>0.82308622460795733</v>
      </c>
      <c r="G454" s="72">
        <f>IF(VLOOKUP($D454,$C$5:$AT$525,3,)=0,0,(VLOOKUP($D454,$C$5:$AT$525,5,)/VLOOKUP($D454,$C$5:$AT$525,3,))*$E454)</f>
        <v>8.1476751518734026E-4</v>
      </c>
      <c r="H454" s="72">
        <f>IF(VLOOKUP($D454,$C$5:$AT$525,3,)=0,0,(VLOOKUP($D454,$C$5:$AT$525,6,)/VLOOKUP($D454,$C$5:$AT$525,3,))*$E454)</f>
        <v>4.3002157596436372E-2</v>
      </c>
      <c r="I454" s="72">
        <f>IF(VLOOKUP($D454,$C$5:$AT$525,3,)=0,0,(VLOOKUP($D454,$C$5:$AT$525,7,)/VLOOKUP($D454,$C$5:$AT$525,3,))*$E454)</f>
        <v>0.11350213669784134</v>
      </c>
      <c r="J454" s="72">
        <f>IF(VLOOKUP($D454,$C$5:$AT$525,3,)=0,0,(VLOOKUP($D454,$C$5:$AT$525,8,)/VLOOKUP($D454,$C$5:$AT$525,3,))*$E454)</f>
        <v>1.9594713582577489E-2</v>
      </c>
      <c r="K454" s="72">
        <f>IF(VLOOKUP($D454,$C$5:$AT$525,3,)=0,0,(VLOOKUP($D454,$C$5:$AT$525,9,)/VLOOKUP($D454,$C$5:$AT$525,3,))*$E454)</f>
        <v>0</v>
      </c>
      <c r="L454" s="72">
        <f>IF(VLOOKUP($D454,$C$5:$AT$525,3,)=0,0,(VLOOKUP($D454,$C$5:$AT$525,10,)/VLOOKUP($D454,$C$5:$AT$525,3,))*$E454)</f>
        <v>0</v>
      </c>
      <c r="M454" s="72">
        <f>IF(VLOOKUP($D454,$C$5:$AT$525,3,)=0,0,(VLOOKUP($D454,$C$5:$AT$525,11,)/VLOOKUP($D454,$C$5:$AT$525,3,))*$E454)</f>
        <v>0</v>
      </c>
      <c r="N454" s="72">
        <f>IF(VLOOKUP($D454,$C$5:$AT$525,3,)=0,0,(VLOOKUP($D454,$C$5:$AT$525,12,)/VLOOKUP($D454,$C$5:$AT$525,3,))*$E454)</f>
        <v>0</v>
      </c>
      <c r="O454" s="72">
        <f>IF(VLOOKUP($D454,$C$5:$AT$525,3,)=0,0,(VLOOKUP($D454,$C$5:$AT$525,13,)/VLOOKUP($D454,$C$5:$AT$525,3,))*$E454)</f>
        <v>0</v>
      </c>
      <c r="P454" s="72">
        <f>IF(VLOOKUP($D454,$C$5:$AT$525,3,)=0,0,(VLOOKUP($D454,$C$5:$AT$525,14,)/VLOOKUP($D454,$C$5:$AT$525,3,))*$E454)</f>
        <v>0</v>
      </c>
      <c r="Q454" s="72">
        <f>IF(VLOOKUP($D454,$C$5:$AT$525,3,)=0,0,(VLOOKUP($D454,$C$5:$AT$525,15,)/VLOOKUP($D454,$C$5:$AT$525,3,))*$E454)</f>
        <v>0</v>
      </c>
      <c r="R454" s="72">
        <f>IF(VLOOKUP($D454,$C$5:$AT$525,3,)=0,0,(VLOOKUP($D454,$C$5:$AT$525,16,)/VLOOKUP($D454,$C$5:$AT$525,3,))*$E454)</f>
        <v>0</v>
      </c>
      <c r="S454" s="72">
        <f>IF(VLOOKUP($D454,$C$5:$AT$525,3,)=0,0,(VLOOKUP($D454,$C$5:$AT$525,17,)/VLOOKUP($D454,$C$5:$AT$525,3,))*$E454)</f>
        <v>0</v>
      </c>
      <c r="T454" s="72">
        <f>IF(VLOOKUP($D454,$C$5:$AT$525,3,)=0,0,(VLOOKUP($D454,$C$5:$AT$525,18,)/VLOOKUP($D454,$C$5:$AT$525,3,))*$E454)</f>
        <v>0</v>
      </c>
      <c r="U454" s="72">
        <f>IF(VLOOKUP($D454,$C$5:$AT$525,3,)=0,0,(VLOOKUP($D454,$C$5:$AT$525,19,)/VLOOKUP($D454,$C$5:$AT$525,3,))*$E454)</f>
        <v>0</v>
      </c>
      <c r="V454" s="72">
        <f>IF(VLOOKUP($D454,$C$5:$AT$525,3,)=0,0,(VLOOKUP($D454,$C$5:$AT$525,20,)/VLOOKUP($D454,$C$5:$AT$525,3,))*$E454)</f>
        <v>0</v>
      </c>
      <c r="W454" s="72">
        <f>IF(VLOOKUP($D454,$C$5:$AT$525,3,)=0,0,(VLOOKUP($D454,$C$5:$AT$525,21,)/VLOOKUP($D454,$C$5:$AT$525,3,))*$E454)</f>
        <v>0</v>
      </c>
      <c r="X454" s="72">
        <f>IF(VLOOKUP($D454,$C$5:$AT$525,3,)=0,0,(VLOOKUP($D454,$C$5:$AT$525,22,)/VLOOKUP($D454,$C$5:$AT$525,3,))*$E454)</f>
        <v>0</v>
      </c>
      <c r="Y454" s="72">
        <f>IF(VLOOKUP($D454,$C$5:$AT$525,3,)=0,0,(VLOOKUP($D454,$C$5:$AT$525,23,)/VLOOKUP($D454,$C$5:$AT$525,3,))*$E454)</f>
        <v>0</v>
      </c>
      <c r="Z454" s="72">
        <f>IF(VLOOKUP($D454,$C$5:$AT$525,3,)=0,0,(VLOOKUP($D454,$C$5:$AT$525,24,)/VLOOKUP($D454,$C$5:$AT$525,3,))*$E454)</f>
        <v>0</v>
      </c>
      <c r="AA454" s="72">
        <f>IF(VLOOKUP($D454,$C$5:$AT$525,3,)=0,0,(VLOOKUP($D454,$C$5:$AT$525,25,)/VLOOKUP($D454,$C$5:$AT$525,3,))*$E454)</f>
        <v>0</v>
      </c>
      <c r="AB454" s="72">
        <f>IF(VLOOKUP($D454,$C$5:$AT$525,3,)=0,0,(VLOOKUP($D454,$C$5:$AT$525,26,)/VLOOKUP($D454,$C$5:$AT$525,3,))*$E454)</f>
        <v>0</v>
      </c>
      <c r="AC454" s="72">
        <f>IF(VLOOKUP($D454,$C$5:$AT$525,3,)=0,0,(VLOOKUP($D454,$C$5:$AT$525,27,)/VLOOKUP($D454,$C$5:$AT$525,3,))*$E454)</f>
        <v>0</v>
      </c>
      <c r="AD454" s="72">
        <f>IF(VLOOKUP($D454,$C$5:$AT$525,3,)=0,0,(VLOOKUP($D454,$C$5:$AT$525,28,)/VLOOKUP($D454,$C$5:$AT$525,3,))*$E454)</f>
        <v>0</v>
      </c>
      <c r="AE454" s="72">
        <f>IF(VLOOKUP($D454,$C$5:$AT$525,3,)=0,0,(VLOOKUP($D454,$C$5:$AT$525,29,)/VLOOKUP($D454,$C$5:$AT$525,3,))*$E454)</f>
        <v>0</v>
      </c>
      <c r="AF454" s="72">
        <f>IF(VLOOKUP($D454,$C$5:$AT$525,3,)=0,0,(VLOOKUP($D454,$C$5:$AT$525,30,)/VLOOKUP($D454,$C$5:$AT$525,3,))*$E454)</f>
        <v>0</v>
      </c>
      <c r="AG454" s="72">
        <f>SUM(F454:AF454)</f>
        <v>0.99999999999999989</v>
      </c>
      <c r="AH454" s="21" t="str">
        <f>IF(ABS(E454-AG454)&lt;0.01,"ok","err")</f>
        <v>ok</v>
      </c>
    </row>
    <row r="456" spans="1:34" x14ac:dyDescent="0.25">
      <c r="A456" s="14" t="s">
        <v>648</v>
      </c>
      <c r="C456" s="14" t="s">
        <v>655</v>
      </c>
      <c r="E456" s="167">
        <v>1110961.3798167906</v>
      </c>
      <c r="F456" s="27">
        <f>F403</f>
        <v>823953.86385412992</v>
      </c>
      <c r="G456" s="27">
        <f t="shared" ref="G456:O456" si="191">G403</f>
        <v>0</v>
      </c>
      <c r="H456" s="27">
        <f t="shared" si="191"/>
        <v>91287.798037208995</v>
      </c>
      <c r="I456" s="27">
        <f t="shared" si="191"/>
        <v>195719.71713694223</v>
      </c>
      <c r="J456" s="27">
        <v>0</v>
      </c>
      <c r="K456" s="27">
        <f t="shared" si="191"/>
        <v>0</v>
      </c>
      <c r="L456" s="27">
        <v>0</v>
      </c>
      <c r="M456" s="27">
        <f t="shared" si="191"/>
        <v>0</v>
      </c>
      <c r="N456" s="27">
        <f t="shared" si="191"/>
        <v>0</v>
      </c>
      <c r="O456" s="27">
        <f t="shared" si="191"/>
        <v>0</v>
      </c>
      <c r="P456" s="27">
        <f t="shared" ref="P456:AF456" si="192">P403</f>
        <v>0</v>
      </c>
      <c r="Q456" s="27">
        <f t="shared" si="192"/>
        <v>0</v>
      </c>
      <c r="R456" s="27">
        <f t="shared" si="192"/>
        <v>0</v>
      </c>
      <c r="S456" s="27">
        <f t="shared" si="192"/>
        <v>0</v>
      </c>
      <c r="T456" s="27">
        <f t="shared" si="192"/>
        <v>0</v>
      </c>
      <c r="U456" s="27">
        <f t="shared" si="192"/>
        <v>0</v>
      </c>
      <c r="V456" s="27">
        <f t="shared" si="192"/>
        <v>0</v>
      </c>
      <c r="W456" s="27">
        <f t="shared" si="192"/>
        <v>0</v>
      </c>
      <c r="X456" s="27">
        <f t="shared" si="192"/>
        <v>0</v>
      </c>
      <c r="Y456" s="27">
        <f t="shared" si="192"/>
        <v>0</v>
      </c>
      <c r="Z456" s="27">
        <f t="shared" si="192"/>
        <v>0</v>
      </c>
      <c r="AA456" s="27">
        <f t="shared" si="192"/>
        <v>0</v>
      </c>
      <c r="AB456" s="27">
        <f t="shared" si="192"/>
        <v>0</v>
      </c>
      <c r="AC456" s="27">
        <f t="shared" si="192"/>
        <v>0</v>
      </c>
      <c r="AD456" s="27">
        <f t="shared" si="192"/>
        <v>0</v>
      </c>
      <c r="AE456" s="27">
        <f t="shared" si="192"/>
        <v>0</v>
      </c>
      <c r="AF456" s="27">
        <f t="shared" si="192"/>
        <v>0</v>
      </c>
      <c r="AG456" s="64">
        <f>SUM(F456:AF456)</f>
        <v>1110961.3790282812</v>
      </c>
      <c r="AH456" s="21" t="str">
        <f t="shared" ref="AH456:AH461" si="193">IF(ABS(E456-AG456)&lt;0.01,"ok","err")</f>
        <v>ok</v>
      </c>
    </row>
    <row r="457" spans="1:34" x14ac:dyDescent="0.25">
      <c r="A457" s="14" t="s">
        <v>649</v>
      </c>
      <c r="E457" s="175">
        <f>E123</f>
        <v>9549281.9872807246</v>
      </c>
      <c r="AG457" s="64">
        <f>E457</f>
        <v>9549281.9872807246</v>
      </c>
      <c r="AH457" s="21" t="str">
        <f t="shared" si="193"/>
        <v>ok</v>
      </c>
    </row>
    <row r="458" spans="1:34" x14ac:dyDescent="0.25">
      <c r="A458" s="14" t="s">
        <v>591</v>
      </c>
      <c r="E458" s="194">
        <f>L458+J458</f>
        <v>1462417</v>
      </c>
      <c r="F458" s="40">
        <v>0</v>
      </c>
      <c r="G458" s="40">
        <v>0</v>
      </c>
      <c r="H458" s="40">
        <v>0</v>
      </c>
      <c r="I458" s="40">
        <v>0</v>
      </c>
      <c r="J458" s="40">
        <f>'Purchased Power'!O35-'Purchased Power'!O33-'Purchased Power'!O32</f>
        <v>707245</v>
      </c>
      <c r="K458" s="40">
        <v>0</v>
      </c>
      <c r="L458" s="40">
        <f>'Purchased Power'!O59-'Purchased Power'!O55</f>
        <v>755172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  <c r="Z458" s="40">
        <v>0</v>
      </c>
      <c r="AA458" s="40">
        <v>0</v>
      </c>
      <c r="AB458" s="40">
        <v>0</v>
      </c>
      <c r="AC458" s="40">
        <v>0</v>
      </c>
      <c r="AD458" s="40">
        <v>0</v>
      </c>
      <c r="AE458" s="40">
        <v>0</v>
      </c>
      <c r="AF458" s="40">
        <v>0</v>
      </c>
      <c r="AG458" s="64">
        <f>SUM(F458:AF458)</f>
        <v>1462417</v>
      </c>
      <c r="AH458" s="21" t="str">
        <f t="shared" si="193"/>
        <v>ok</v>
      </c>
    </row>
    <row r="459" spans="1:34" x14ac:dyDescent="0.25">
      <c r="A459" s="14" t="s">
        <v>650</v>
      </c>
      <c r="D459" s="14" t="s">
        <v>655</v>
      </c>
      <c r="E459" s="195">
        <f>E457-E458</f>
        <v>8086864.9872807246</v>
      </c>
      <c r="F459" s="40">
        <f>IF(VLOOKUP($D459,$C$5:$AT$525,3,)=0,0,(VLOOKUP($D459,$C$5:$AT$525,4,)/VLOOKUP($D459,$C$5:$AT$525,3,))*$E459)</f>
        <v>5997691.5253664944</v>
      </c>
      <c r="G459" s="40">
        <f>IF(VLOOKUP($D459,$C$5:$AT$525,3,)=0,0,(VLOOKUP($D459,$C$5:$AT$525,5,)/VLOOKUP($D459,$C$5:$AT$525,3,))*$E459)</f>
        <v>0</v>
      </c>
      <c r="H459" s="40">
        <f>IF(VLOOKUP($D459,$C$5:$AT$525,3,)=0,0,(VLOOKUP($D459,$C$5:$AT$525,6,)/VLOOKUP($D459,$C$5:$AT$525,3,))*$E459)</f>
        <v>664498.43453136226</v>
      </c>
      <c r="I459" s="40">
        <f>IF(VLOOKUP($D459,$C$5:$AT$525,3,)=0,0,(VLOOKUP($D459,$C$5:$AT$525,7,)/VLOOKUP($D459,$C$5:$AT$525,3,))*$E459)</f>
        <v>1424675.0216431818</v>
      </c>
      <c r="J459" s="40">
        <f>IF(VLOOKUP($D459,$C$5:$AT$525,3,)=0,0,(VLOOKUP($D459,$C$5:$AT$525,8,)/VLOOKUP($D459,$C$5:$AT$525,3,))*$E459)</f>
        <v>0</v>
      </c>
      <c r="K459" s="40">
        <f>IF(VLOOKUP($D459,$C$5:$AT$525,3,)=0,0,(VLOOKUP($D459,$C$5:$AT$525,9,)/VLOOKUP($D459,$C$5:$AT$525,3,))*$E459)</f>
        <v>0</v>
      </c>
      <c r="L459" s="40">
        <f>IF(VLOOKUP($D459,$C$5:$AT$525,3,)=0,0,(VLOOKUP($D459,$C$5:$AT$525,10,)/VLOOKUP($D459,$C$5:$AT$525,3,))*$E459)</f>
        <v>0</v>
      </c>
      <c r="M459" s="40">
        <f>IF(VLOOKUP($D459,$C$5:$AT$525,3,)=0,0,(VLOOKUP($D459,$C$5:$AT$525,11,)/VLOOKUP($D459,$C$5:$AT$525,3,))*$E459)</f>
        <v>0</v>
      </c>
      <c r="N459" s="40">
        <f>IF(VLOOKUP($D459,$C$5:$AT$525,3,)=0,0,(VLOOKUP($D459,$C$5:$AT$525,12,)/VLOOKUP($D459,$C$5:$AT$525,3,))*$E459)</f>
        <v>0</v>
      </c>
      <c r="O459" s="40">
        <f>IF(VLOOKUP($D459,$C$5:$AT$525,3,)=0,0,(VLOOKUP($D459,$C$5:$AT$525,13,)/VLOOKUP($D459,$C$5:$AT$525,3,))*$E459)</f>
        <v>0</v>
      </c>
      <c r="P459" s="40">
        <f>IF(VLOOKUP($D459,$C$5:$AT$525,3,)=0,0,(VLOOKUP($D459,$C$5:$AT$525,14,)/VLOOKUP($D459,$C$5:$AT$525,3,))*$E459)</f>
        <v>0</v>
      </c>
      <c r="Q459" s="40">
        <f>IF(VLOOKUP($D459,$C$5:$AT$525,3,)=0,0,(VLOOKUP($D459,$C$5:$AT$525,15,)/VLOOKUP($D459,$C$5:$AT$525,3,))*$E459)</f>
        <v>0</v>
      </c>
      <c r="R459" s="40">
        <f>IF(VLOOKUP($D459,$C$5:$AT$525,3,)=0,0,(VLOOKUP($D459,$C$5:$AT$525,16,)/VLOOKUP($D459,$C$5:$AT$525,3,))*$E459)</f>
        <v>0</v>
      </c>
      <c r="S459" s="40">
        <f>IF(VLOOKUP($D459,$C$5:$AT$525,3,)=0,0,(VLOOKUP($D459,$C$5:$AT$525,17,)/VLOOKUP($D459,$C$5:$AT$525,3,))*$E459)</f>
        <v>0</v>
      </c>
      <c r="T459" s="40">
        <f>IF(VLOOKUP($D459,$C$5:$AT$525,3,)=0,0,(VLOOKUP($D459,$C$5:$AT$525,18,)/VLOOKUP($D459,$C$5:$AT$525,3,))*$E459)</f>
        <v>0</v>
      </c>
      <c r="U459" s="40">
        <f>IF(VLOOKUP($D459,$C$5:$AT$525,3,)=0,0,(VLOOKUP($D459,$C$5:$AT$525,19,)/VLOOKUP($D459,$C$5:$AT$525,3,))*$E459)</f>
        <v>0</v>
      </c>
      <c r="V459" s="40">
        <f>IF(VLOOKUP($D459,$C$5:$AT$525,3,)=0,0,(VLOOKUP($D459,$C$5:$AT$525,20,)/VLOOKUP($D459,$C$5:$AT$525,3,))*$E459)</f>
        <v>0</v>
      </c>
      <c r="W459" s="40">
        <f>IF(VLOOKUP($D459,$C$5:$AT$525,3,)=0,0,(VLOOKUP($D459,$C$5:$AT$525,21,)/VLOOKUP($D459,$C$5:$AT$525,3,))*$E459)</f>
        <v>0</v>
      </c>
      <c r="X459" s="40">
        <f>IF(VLOOKUP($D459,$C$5:$AT$525,3,)=0,0,(VLOOKUP($D459,$C$5:$AT$525,22,)/VLOOKUP($D459,$C$5:$AT$525,3,))*$E459)</f>
        <v>0</v>
      </c>
      <c r="Y459" s="40">
        <f>IF(VLOOKUP($D459,$C$5:$AT$525,3,)=0,0,(VLOOKUP($D459,$C$5:$AT$525,23,)/VLOOKUP($D459,$C$5:$AT$525,3,))*$E459)</f>
        <v>0</v>
      </c>
      <c r="Z459" s="40">
        <f>IF(VLOOKUP($D459,$C$5:$AT$525,3,)=0,0,(VLOOKUP($D459,$C$5:$AT$525,24,)/VLOOKUP($D459,$C$5:$AT$525,3,))*$E459)</f>
        <v>0</v>
      </c>
      <c r="AA459" s="40">
        <f>IF(VLOOKUP($D459,$C$5:$AT$525,3,)=0,0,(VLOOKUP($D459,$C$5:$AT$525,25,)/VLOOKUP($D459,$C$5:$AT$525,3,))*$E459)</f>
        <v>0</v>
      </c>
      <c r="AB459" s="40">
        <f>IF(VLOOKUP($D459,$C$5:$AT$525,3,)=0,0,(VLOOKUP($D459,$C$5:$AT$525,26,)/VLOOKUP($D459,$C$5:$AT$525,3,))*$E459)</f>
        <v>0</v>
      </c>
      <c r="AC459" s="40">
        <f>IF(VLOOKUP($D459,$C$5:$AT$525,3,)=0,0,(VLOOKUP($D459,$C$5:$AT$525,27,)/VLOOKUP($D459,$C$5:$AT$525,3,))*$E459)</f>
        <v>0</v>
      </c>
      <c r="AD459" s="40">
        <f>IF(VLOOKUP($D459,$C$5:$AT$525,3,)=0,0,(VLOOKUP($D459,$C$5:$AT$525,28,)/VLOOKUP($D459,$C$5:$AT$525,3,))*$E459)</f>
        <v>0</v>
      </c>
      <c r="AE459" s="40">
        <f>IF(VLOOKUP($D459,$C$5:$AT$525,3,)=0,0,(VLOOKUP($D459,$C$5:$AT$525,29,)/VLOOKUP($D459,$C$5:$AT$525,3,))*$E459)</f>
        <v>0</v>
      </c>
      <c r="AF459" s="40">
        <f>IF(VLOOKUP($D459,$C$5:$AT$525,3,)=0,0,(VLOOKUP($D459,$C$5:$AT$525,30,)/VLOOKUP($D459,$C$5:$AT$525,3,))*$E459)</f>
        <v>0</v>
      </c>
      <c r="AG459" s="133">
        <f>SUM(F459:AF459)</f>
        <v>8086864.9815410394</v>
      </c>
      <c r="AH459" s="21" t="str">
        <f>IF(ABS(E459-AG459)&lt;0.01,"ok","err")</f>
        <v>ok</v>
      </c>
    </row>
    <row r="460" spans="1:34" x14ac:dyDescent="0.25">
      <c r="A460" s="14" t="s">
        <v>651</v>
      </c>
      <c r="C460" s="14" t="s">
        <v>653</v>
      </c>
      <c r="E460" s="175">
        <f t="shared" ref="E460:AF460" si="194">E458+E459</f>
        <v>9549281.9872807246</v>
      </c>
      <c r="F460" s="64">
        <f t="shared" si="194"/>
        <v>5997691.5253664944</v>
      </c>
      <c r="G460" s="64">
        <f t="shared" si="194"/>
        <v>0</v>
      </c>
      <c r="H460" s="64">
        <f t="shared" si="194"/>
        <v>664498.43453136226</v>
      </c>
      <c r="I460" s="64">
        <f t="shared" si="194"/>
        <v>1424675.0216431818</v>
      </c>
      <c r="J460" s="64">
        <f t="shared" si="194"/>
        <v>707245</v>
      </c>
      <c r="K460" s="64">
        <f t="shared" si="194"/>
        <v>0</v>
      </c>
      <c r="L460" s="64">
        <f t="shared" si="194"/>
        <v>755172</v>
      </c>
      <c r="M460" s="64">
        <f t="shared" si="194"/>
        <v>0</v>
      </c>
      <c r="N460" s="64">
        <f t="shared" si="194"/>
        <v>0</v>
      </c>
      <c r="O460" s="64">
        <f t="shared" si="194"/>
        <v>0</v>
      </c>
      <c r="P460" s="64">
        <f t="shared" si="194"/>
        <v>0</v>
      </c>
      <c r="Q460" s="64">
        <f t="shared" si="194"/>
        <v>0</v>
      </c>
      <c r="R460" s="64">
        <f t="shared" si="194"/>
        <v>0</v>
      </c>
      <c r="S460" s="64">
        <f t="shared" si="194"/>
        <v>0</v>
      </c>
      <c r="T460" s="64">
        <f t="shared" si="194"/>
        <v>0</v>
      </c>
      <c r="U460" s="64">
        <f t="shared" si="194"/>
        <v>0</v>
      </c>
      <c r="V460" s="64">
        <f t="shared" si="194"/>
        <v>0</v>
      </c>
      <c r="W460" s="64">
        <f t="shared" si="194"/>
        <v>0</v>
      </c>
      <c r="X460" s="64">
        <f t="shared" si="194"/>
        <v>0</v>
      </c>
      <c r="Y460" s="64">
        <f t="shared" si="194"/>
        <v>0</v>
      </c>
      <c r="Z460" s="64">
        <f t="shared" si="194"/>
        <v>0</v>
      </c>
      <c r="AA460" s="64">
        <f t="shared" si="194"/>
        <v>0</v>
      </c>
      <c r="AB460" s="64">
        <f t="shared" si="194"/>
        <v>0</v>
      </c>
      <c r="AC460" s="64">
        <f t="shared" si="194"/>
        <v>0</v>
      </c>
      <c r="AD460" s="64">
        <f t="shared" si="194"/>
        <v>0</v>
      </c>
      <c r="AE460" s="64">
        <f t="shared" si="194"/>
        <v>0</v>
      </c>
      <c r="AF460" s="64">
        <f t="shared" si="194"/>
        <v>0</v>
      </c>
      <c r="AG460" s="133">
        <f>SUM(F460:AF460)</f>
        <v>9549281.9815410394</v>
      </c>
      <c r="AH460" s="21" t="str">
        <f>IF(ABS(E460-AG460)&lt;0.01,"ok","err")</f>
        <v>ok</v>
      </c>
    </row>
    <row r="461" spans="1:34" x14ac:dyDescent="0.25">
      <c r="A461" s="14" t="s">
        <v>652</v>
      </c>
      <c r="C461" s="14" t="s">
        <v>654</v>
      </c>
      <c r="D461" s="14" t="s">
        <v>653</v>
      </c>
      <c r="E461" s="186">
        <v>1</v>
      </c>
      <c r="F461" s="72">
        <f>IF(VLOOKUP($D461,$C$5:$AT$525,3,)=0,0,(VLOOKUP($D461,$C$5:$AT$525,4,)/VLOOKUP($D461,$C$5:$AT$525,3,))*$E461)</f>
        <v>0.62807774797677862</v>
      </c>
      <c r="G461" s="72">
        <f>IF(VLOOKUP($D461,$C$5:$AT$525,3,)=0,0,(VLOOKUP($D461,$C$5:$AT$525,5,)/VLOOKUP($D461,$C$5:$AT$525,3,))*$E461)</f>
        <v>0</v>
      </c>
      <c r="H461" s="72">
        <f>IF(VLOOKUP($D461,$C$5:$AT$525,3,)=0,0,(VLOOKUP($D461,$C$5:$AT$525,6,)/VLOOKUP($D461,$C$5:$AT$525,3,))*$E461)</f>
        <v>6.9586219719602854E-2</v>
      </c>
      <c r="I461" s="72">
        <f>IF(VLOOKUP($D461,$C$5:$AT$525,3,)=0,0,(VLOOKUP($D461,$C$5:$AT$525,7,)/VLOOKUP($D461,$C$5:$AT$525,3,))*$E461)</f>
        <v>0.14919184746463598</v>
      </c>
      <c r="J461" s="72">
        <f>IF(VLOOKUP($D461,$C$5:$AT$525,3,)=0,0,(VLOOKUP($D461,$C$5:$AT$525,8,)/VLOOKUP($D461,$C$5:$AT$525,3,))*$E461)</f>
        <v>7.4062636430888007E-2</v>
      </c>
      <c r="K461" s="72">
        <f>IF(VLOOKUP($D461,$C$5:$AT$525,3,)=0,0,(VLOOKUP($D461,$C$5:$AT$525,9,)/VLOOKUP($D461,$C$5:$AT$525,3,))*$E461)</f>
        <v>0</v>
      </c>
      <c r="L461" s="72">
        <f>IF(VLOOKUP($D461,$C$5:$AT$525,3,)=0,0,(VLOOKUP($D461,$C$5:$AT$525,10,)/VLOOKUP($D461,$C$5:$AT$525,3,))*$E461)</f>
        <v>7.9081547807035121E-2</v>
      </c>
      <c r="M461" s="72">
        <f>IF(VLOOKUP($D461,$C$5:$AT$525,3,)=0,0,(VLOOKUP($D461,$C$5:$AT$525,11,)/VLOOKUP($D461,$C$5:$AT$525,3,))*$E461)</f>
        <v>0</v>
      </c>
      <c r="N461" s="72">
        <f>IF(VLOOKUP($D461,$C$5:$AT$525,3,)=0,0,(VLOOKUP($D461,$C$5:$AT$525,12,)/VLOOKUP($D461,$C$5:$AT$525,3,))*$E461)</f>
        <v>0</v>
      </c>
      <c r="O461" s="72">
        <f>IF(VLOOKUP($D461,$C$5:$AT$525,3,)=0,0,(VLOOKUP($D461,$C$5:$AT$525,13,)/VLOOKUP($D461,$C$5:$AT$525,3,))*$E461)</f>
        <v>0</v>
      </c>
      <c r="P461" s="72">
        <f>IF(VLOOKUP($D461,$C$5:$AT$525,3,)=0,0,(VLOOKUP($D461,$C$5:$AT$525,14,)/VLOOKUP($D461,$C$5:$AT$525,3,))*$E461)</f>
        <v>0</v>
      </c>
      <c r="Q461" s="72">
        <f>IF(VLOOKUP($D461,$C$5:$AT$525,3,)=0,0,(VLOOKUP($D461,$C$5:$AT$525,15,)/VLOOKUP($D461,$C$5:$AT$525,3,))*$E461)</f>
        <v>0</v>
      </c>
      <c r="R461" s="72">
        <f>IF(VLOOKUP($D461,$C$5:$AT$525,3,)=0,0,(VLOOKUP($D461,$C$5:$AT$525,16,)/VLOOKUP($D461,$C$5:$AT$525,3,))*$E461)</f>
        <v>0</v>
      </c>
      <c r="S461" s="72">
        <f>IF(VLOOKUP($D461,$C$5:$AT$525,3,)=0,0,(VLOOKUP($D461,$C$5:$AT$525,17,)/VLOOKUP($D461,$C$5:$AT$525,3,))*$E461)</f>
        <v>0</v>
      </c>
      <c r="T461" s="72">
        <f>IF(VLOOKUP($D461,$C$5:$AT$525,3,)=0,0,(VLOOKUP($D461,$C$5:$AT$525,18,)/VLOOKUP($D461,$C$5:$AT$525,3,))*$E461)</f>
        <v>0</v>
      </c>
      <c r="U461" s="72">
        <f>IF(VLOOKUP($D461,$C$5:$AT$525,3,)=0,0,(VLOOKUP($D461,$C$5:$AT$525,19,)/VLOOKUP($D461,$C$5:$AT$525,3,))*$E461)</f>
        <v>0</v>
      </c>
      <c r="V461" s="72">
        <f>IF(VLOOKUP($D461,$C$5:$AT$525,3,)=0,0,(VLOOKUP($D461,$C$5:$AT$525,20,)/VLOOKUP($D461,$C$5:$AT$525,3,))*$E461)</f>
        <v>0</v>
      </c>
      <c r="W461" s="72">
        <f>IF(VLOOKUP($D461,$C$5:$AT$525,3,)=0,0,(VLOOKUP($D461,$C$5:$AT$525,21,)/VLOOKUP($D461,$C$5:$AT$525,3,))*$E461)</f>
        <v>0</v>
      </c>
      <c r="X461" s="72">
        <f>IF(VLOOKUP($D461,$C$5:$AT$525,3,)=0,0,(VLOOKUP($D461,$C$5:$AT$525,22,)/VLOOKUP($D461,$C$5:$AT$525,3,))*$E461)</f>
        <v>0</v>
      </c>
      <c r="Y461" s="72">
        <f>IF(VLOOKUP($D461,$C$5:$AT$525,3,)=0,0,(VLOOKUP($D461,$C$5:$AT$525,23,)/VLOOKUP($D461,$C$5:$AT$525,3,))*$E461)</f>
        <v>0</v>
      </c>
      <c r="Z461" s="72">
        <f>IF(VLOOKUP($D461,$C$5:$AT$525,3,)=0,0,(VLOOKUP($D461,$C$5:$AT$525,24,)/VLOOKUP($D461,$C$5:$AT$525,3,))*$E461)</f>
        <v>0</v>
      </c>
      <c r="AA461" s="72">
        <f>IF(VLOOKUP($D461,$C$5:$AT$525,3,)=0,0,(VLOOKUP($D461,$C$5:$AT$525,25,)/VLOOKUP($D461,$C$5:$AT$525,3,))*$E461)</f>
        <v>0</v>
      </c>
      <c r="AB461" s="72">
        <f>IF(VLOOKUP($D461,$C$5:$AT$525,3,)=0,0,(VLOOKUP($D461,$C$5:$AT$525,26,)/VLOOKUP($D461,$C$5:$AT$525,3,))*$E461)</f>
        <v>0</v>
      </c>
      <c r="AC461" s="72">
        <f>IF(VLOOKUP($D461,$C$5:$AT$525,3,)=0,0,(VLOOKUP($D461,$C$5:$AT$525,27,)/VLOOKUP($D461,$C$5:$AT$525,3,))*$E461)</f>
        <v>0</v>
      </c>
      <c r="AD461" s="72">
        <f>IF(VLOOKUP($D461,$C$5:$AT$525,3,)=0,0,(VLOOKUP($D461,$C$5:$AT$525,28,)/VLOOKUP($D461,$C$5:$AT$525,3,))*$E461)</f>
        <v>0</v>
      </c>
      <c r="AE461" s="72">
        <f>IF(VLOOKUP($D461,$C$5:$AT$525,3,)=0,0,(VLOOKUP($D461,$C$5:$AT$525,29,)/VLOOKUP($D461,$C$5:$AT$525,3,))*$E461)</f>
        <v>0</v>
      </c>
      <c r="AF461" s="72">
        <f>IF(VLOOKUP($D461,$C$5:$AT$525,3,)=0,0,(VLOOKUP($D461,$C$5:$AT$525,30,)/VLOOKUP($D461,$C$5:$AT$525,3,))*$E461)</f>
        <v>0</v>
      </c>
      <c r="AG461" s="72">
        <f>SUM(F461:AF461)</f>
        <v>0.99999999939894069</v>
      </c>
      <c r="AH461" s="21" t="str">
        <f t="shared" si="193"/>
        <v>ok</v>
      </c>
    </row>
    <row r="462" spans="1:34" x14ac:dyDescent="0.25">
      <c r="E462" s="186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21"/>
    </row>
    <row r="463" spans="1:34" x14ac:dyDescent="0.25">
      <c r="A463" s="14" t="s">
        <v>656</v>
      </c>
      <c r="C463" s="14" t="s">
        <v>661</v>
      </c>
      <c r="E463" s="167">
        <v>446945177</v>
      </c>
      <c r="F463" s="27">
        <f>F390</f>
        <v>319448483</v>
      </c>
      <c r="G463" s="27">
        <f t="shared" ref="G463:O463" si="195">G390</f>
        <v>315315</v>
      </c>
      <c r="H463" s="27">
        <f t="shared" si="195"/>
        <v>41685653</v>
      </c>
      <c r="I463" s="27">
        <f t="shared" si="195"/>
        <v>85495726</v>
      </c>
      <c r="J463" s="27">
        <v>0</v>
      </c>
      <c r="K463" s="27">
        <f t="shared" si="195"/>
        <v>0</v>
      </c>
      <c r="L463" s="27">
        <v>0</v>
      </c>
      <c r="M463" s="27">
        <f t="shared" si="195"/>
        <v>0</v>
      </c>
      <c r="N463" s="27">
        <f t="shared" si="195"/>
        <v>0</v>
      </c>
      <c r="O463" s="27">
        <f t="shared" si="195"/>
        <v>0</v>
      </c>
      <c r="P463" s="27">
        <f t="shared" ref="P463:Z463" si="196">P390</f>
        <v>0</v>
      </c>
      <c r="Q463" s="27">
        <f t="shared" si="196"/>
        <v>0</v>
      </c>
      <c r="R463" s="27">
        <f t="shared" si="196"/>
        <v>0</v>
      </c>
      <c r="S463" s="27">
        <f t="shared" si="196"/>
        <v>0</v>
      </c>
      <c r="T463" s="27">
        <f t="shared" si="196"/>
        <v>0</v>
      </c>
      <c r="U463" s="27">
        <f t="shared" si="196"/>
        <v>0</v>
      </c>
      <c r="V463" s="27">
        <f t="shared" si="196"/>
        <v>0</v>
      </c>
      <c r="W463" s="27">
        <f t="shared" si="196"/>
        <v>0</v>
      </c>
      <c r="X463" s="27">
        <f t="shared" si="196"/>
        <v>0</v>
      </c>
      <c r="Y463" s="27">
        <f t="shared" si="196"/>
        <v>0</v>
      </c>
      <c r="Z463" s="27">
        <f t="shared" si="196"/>
        <v>0</v>
      </c>
      <c r="AA463" s="27">
        <v>0</v>
      </c>
      <c r="AB463" s="27">
        <v>0</v>
      </c>
      <c r="AC463" s="27">
        <v>0</v>
      </c>
      <c r="AD463" s="27">
        <v>0</v>
      </c>
      <c r="AE463" s="27">
        <v>0</v>
      </c>
      <c r="AF463" s="27">
        <f>AF390</f>
        <v>0</v>
      </c>
      <c r="AG463" s="64">
        <f>SUM(F463:AF463)</f>
        <v>446945177</v>
      </c>
      <c r="AH463" s="21" t="str">
        <f t="shared" ref="AH463:AH468" si="197">IF(ABS(E463-AG463)&lt;0.01,"ok","err")</f>
        <v>ok</v>
      </c>
    </row>
    <row r="464" spans="1:34" x14ac:dyDescent="0.25">
      <c r="A464" s="14" t="s">
        <v>657</v>
      </c>
      <c r="E464" s="175">
        <f>E124</f>
        <v>29250739.012719277</v>
      </c>
      <c r="AG464" s="64">
        <f>E464</f>
        <v>29250739.012719277</v>
      </c>
      <c r="AH464" s="21" t="str">
        <f t="shared" si="197"/>
        <v>ok</v>
      </c>
    </row>
    <row r="465" spans="1:34" x14ac:dyDescent="0.25">
      <c r="A465" s="14" t="s">
        <v>591</v>
      </c>
      <c r="E465" s="174">
        <f>L465+J465</f>
        <v>4156040</v>
      </c>
      <c r="F465" s="27">
        <v>0</v>
      </c>
      <c r="G465" s="27">
        <v>0</v>
      </c>
      <c r="H465" s="27">
        <v>0</v>
      </c>
      <c r="I465" s="27">
        <v>0</v>
      </c>
      <c r="J465" s="27">
        <f>'Purchased Power'!O32+'Purchased Power'!O33</f>
        <v>1058560</v>
      </c>
      <c r="K465" s="27">
        <v>0</v>
      </c>
      <c r="L465" s="27">
        <f>'Purchased Power'!O55</f>
        <v>3097480</v>
      </c>
      <c r="M465" s="27">
        <v>0</v>
      </c>
      <c r="N465" s="27">
        <v>0</v>
      </c>
      <c r="O465" s="27">
        <v>0</v>
      </c>
      <c r="P465" s="27">
        <v>0</v>
      </c>
      <c r="Q465" s="27">
        <v>0</v>
      </c>
      <c r="R465" s="27">
        <v>0</v>
      </c>
      <c r="S465" s="27">
        <v>0</v>
      </c>
      <c r="T465" s="27">
        <v>0</v>
      </c>
      <c r="U465" s="27">
        <v>0</v>
      </c>
      <c r="V465" s="27">
        <v>0</v>
      </c>
      <c r="W465" s="27">
        <v>0</v>
      </c>
      <c r="X465" s="27">
        <v>0</v>
      </c>
      <c r="Y465" s="27">
        <v>0</v>
      </c>
      <c r="Z465" s="27">
        <v>0</v>
      </c>
      <c r="AA465" s="2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64">
        <f>SUM(F465:AF465)</f>
        <v>4156040</v>
      </c>
      <c r="AH465" s="21" t="str">
        <f t="shared" si="197"/>
        <v>ok</v>
      </c>
    </row>
    <row r="466" spans="1:34" x14ac:dyDescent="0.25">
      <c r="A466" s="14" t="s">
        <v>658</v>
      </c>
      <c r="D466" s="14" t="s">
        <v>661</v>
      </c>
      <c r="E466" s="175">
        <f>E464-E465</f>
        <v>25094699.012719277</v>
      </c>
      <c r="F466" s="40">
        <f>IF(VLOOKUP($D466,$C$5:$AT$525,3,)=0,0,(VLOOKUP($D466,$C$5:$AT$525,4,)/VLOOKUP($D466,$C$5:$AT$525,3,))*$E466)</f>
        <v>17936122.691295471</v>
      </c>
      <c r="G466" s="40">
        <f>IF(VLOOKUP($D466,$C$5:$AT$525,3,)=0,0,(VLOOKUP($D466,$C$5:$AT$525,5,)/VLOOKUP($D466,$C$5:$AT$525,3,))*$E466)</f>
        <v>17704.039390933129</v>
      </c>
      <c r="H466" s="40">
        <f>IF(VLOOKUP($D466,$C$5:$AT$525,3,)=0,0,(VLOOKUP($D466,$C$5:$AT$525,6,)/VLOOKUP($D466,$C$5:$AT$525,3,))*$E466)</f>
        <v>2340530.7161053857</v>
      </c>
      <c r="I466" s="40">
        <f>IF(VLOOKUP($D466,$C$5:$AT$525,3,)=0,0,(VLOOKUP($D466,$C$5:$AT$525,7,)/VLOOKUP($D466,$C$5:$AT$525,3,))*$E466)</f>
        <v>4800341.5659274869</v>
      </c>
      <c r="J466" s="40">
        <f>IF(VLOOKUP($D466,$C$5:$AT$525,3,)=0,0,(VLOOKUP($D466,$C$5:$AT$525,8,)/VLOOKUP($D466,$C$5:$AT$525,3,))*$E466)</f>
        <v>0</v>
      </c>
      <c r="K466" s="40">
        <f>IF(VLOOKUP($D466,$C$5:$AT$525,3,)=0,0,(VLOOKUP($D466,$C$5:$AT$525,9,)/VLOOKUP($D466,$C$5:$AT$525,3,))*$E466)</f>
        <v>0</v>
      </c>
      <c r="L466" s="40">
        <f>IF(VLOOKUP($D466,$C$5:$AT$525,3,)=0,0,(VLOOKUP($D466,$C$5:$AT$525,10,)/VLOOKUP($D466,$C$5:$AT$525,3,))*$E466)</f>
        <v>0</v>
      </c>
      <c r="M466" s="40">
        <f>IF(VLOOKUP($D466,$C$5:$AT$525,3,)=0,0,(VLOOKUP($D466,$C$5:$AT$525,11,)/VLOOKUP($D466,$C$5:$AT$525,3,))*$E466)</f>
        <v>0</v>
      </c>
      <c r="N466" s="40">
        <f>IF(VLOOKUP($D466,$C$5:$AT$525,3,)=0,0,(VLOOKUP($D466,$C$5:$AT$525,12,)/VLOOKUP($D466,$C$5:$AT$525,3,))*$E466)</f>
        <v>0</v>
      </c>
      <c r="O466" s="40">
        <f>IF(VLOOKUP($D466,$C$5:$AT$525,3,)=0,0,(VLOOKUP($D466,$C$5:$AT$525,13,)/VLOOKUP($D466,$C$5:$AT$525,3,))*$E466)</f>
        <v>0</v>
      </c>
      <c r="P466" s="40">
        <f>IF(VLOOKUP($D466,$C$5:$AT$525,3,)=0,0,(VLOOKUP($D466,$C$5:$AT$525,14,)/VLOOKUP($D466,$C$5:$AT$525,3,))*$E466)</f>
        <v>0</v>
      </c>
      <c r="Q466" s="40">
        <f>IF(VLOOKUP($D466,$C$5:$AT$525,3,)=0,0,(VLOOKUP($D466,$C$5:$AT$525,15,)/VLOOKUP($D466,$C$5:$AT$525,3,))*$E466)</f>
        <v>0</v>
      </c>
      <c r="R466" s="40">
        <f>IF(VLOOKUP($D466,$C$5:$AT$525,3,)=0,0,(VLOOKUP($D466,$C$5:$AT$525,16,)/VLOOKUP($D466,$C$5:$AT$525,3,))*$E466)</f>
        <v>0</v>
      </c>
      <c r="S466" s="40">
        <f>IF(VLOOKUP($D466,$C$5:$AT$525,3,)=0,0,(VLOOKUP($D466,$C$5:$AT$525,17,)/VLOOKUP($D466,$C$5:$AT$525,3,))*$E466)</f>
        <v>0</v>
      </c>
      <c r="T466" s="40">
        <f>IF(VLOOKUP($D466,$C$5:$AT$525,3,)=0,0,(VLOOKUP($D466,$C$5:$AT$525,18,)/VLOOKUP($D466,$C$5:$AT$525,3,))*$E466)</f>
        <v>0</v>
      </c>
      <c r="U466" s="40">
        <f>IF(VLOOKUP($D466,$C$5:$AT$525,3,)=0,0,(VLOOKUP($D466,$C$5:$AT$525,19,)/VLOOKUP($D466,$C$5:$AT$525,3,))*$E466)</f>
        <v>0</v>
      </c>
      <c r="V466" s="40">
        <f>IF(VLOOKUP($D466,$C$5:$AT$525,3,)=0,0,(VLOOKUP($D466,$C$5:$AT$525,20,)/VLOOKUP($D466,$C$5:$AT$525,3,))*$E466)</f>
        <v>0</v>
      </c>
      <c r="W466" s="40">
        <f>IF(VLOOKUP($D466,$C$5:$AT$525,3,)=0,0,(VLOOKUP($D466,$C$5:$AT$525,21,)/VLOOKUP($D466,$C$5:$AT$525,3,))*$E466)</f>
        <v>0</v>
      </c>
      <c r="X466" s="40">
        <f>IF(VLOOKUP($D466,$C$5:$AT$525,3,)=0,0,(VLOOKUP($D466,$C$5:$AT$525,22,)/VLOOKUP($D466,$C$5:$AT$525,3,))*$E466)</f>
        <v>0</v>
      </c>
      <c r="Y466" s="40">
        <f>IF(VLOOKUP($D466,$C$5:$AT$525,3,)=0,0,(VLOOKUP($D466,$C$5:$AT$525,23,)/VLOOKUP($D466,$C$5:$AT$525,3,))*$E466)</f>
        <v>0</v>
      </c>
      <c r="Z466" s="40">
        <f>IF(VLOOKUP($D466,$C$5:$AT$525,3,)=0,0,(VLOOKUP($D466,$C$5:$AT$525,24,)/VLOOKUP($D466,$C$5:$AT$525,3,))*$E466)</f>
        <v>0</v>
      </c>
      <c r="AA466" s="40">
        <f>IF(VLOOKUP($D466,$C$5:$AT$525,3,)=0,0,(VLOOKUP($D466,$C$5:$AT$525,25,)/VLOOKUP($D466,$C$5:$AT$525,3,))*$E466)</f>
        <v>0</v>
      </c>
      <c r="AB466" s="40">
        <f>IF(VLOOKUP($D466,$C$5:$AT$525,3,)=0,0,(VLOOKUP($D466,$C$5:$AT$525,26,)/VLOOKUP($D466,$C$5:$AT$525,3,))*$E466)</f>
        <v>0</v>
      </c>
      <c r="AC466" s="40">
        <f>IF(VLOOKUP($D466,$C$5:$AT$525,3,)=0,0,(VLOOKUP($D466,$C$5:$AT$525,27,)/VLOOKUP($D466,$C$5:$AT$525,3,))*$E466)</f>
        <v>0</v>
      </c>
      <c r="AD466" s="40">
        <f>IF(VLOOKUP($D466,$C$5:$AT$525,3,)=0,0,(VLOOKUP($D466,$C$5:$AT$525,28,)/VLOOKUP($D466,$C$5:$AT$525,3,))*$E466)</f>
        <v>0</v>
      </c>
      <c r="AE466" s="40">
        <f>IF(VLOOKUP($D466,$C$5:$AT$525,3,)=0,0,(VLOOKUP($D466,$C$5:$AT$525,29,)/VLOOKUP($D466,$C$5:$AT$525,3,))*$E466)</f>
        <v>0</v>
      </c>
      <c r="AF466" s="40">
        <f>IF(VLOOKUP($D466,$C$5:$AT$525,3,)=0,0,(VLOOKUP($D466,$C$5:$AT$525,30,)/VLOOKUP($D466,$C$5:$AT$525,3,))*$E466)</f>
        <v>0</v>
      </c>
      <c r="AG466" s="64">
        <f>SUM(F466:AF466)</f>
        <v>25094699.012719277</v>
      </c>
      <c r="AH466" s="21" t="str">
        <f t="shared" si="197"/>
        <v>ok</v>
      </c>
    </row>
    <row r="467" spans="1:34" x14ac:dyDescent="0.25">
      <c r="A467" s="14" t="s">
        <v>659</v>
      </c>
      <c r="C467" s="14" t="s">
        <v>662</v>
      </c>
      <c r="E467" s="175">
        <f t="shared" ref="E467:AF467" si="198">E465+E466</f>
        <v>29250739.012719277</v>
      </c>
      <c r="F467" s="64">
        <f t="shared" si="198"/>
        <v>17936122.691295471</v>
      </c>
      <c r="G467" s="64">
        <f t="shared" si="198"/>
        <v>17704.039390933129</v>
      </c>
      <c r="H467" s="64">
        <f t="shared" si="198"/>
        <v>2340530.7161053857</v>
      </c>
      <c r="I467" s="64">
        <f t="shared" si="198"/>
        <v>4800341.5659274869</v>
      </c>
      <c r="J467" s="64">
        <f t="shared" si="198"/>
        <v>1058560</v>
      </c>
      <c r="K467" s="64">
        <f t="shared" si="198"/>
        <v>0</v>
      </c>
      <c r="L467" s="64">
        <f t="shared" si="198"/>
        <v>3097480</v>
      </c>
      <c r="M467" s="64">
        <f t="shared" si="198"/>
        <v>0</v>
      </c>
      <c r="N467" s="64">
        <f t="shared" si="198"/>
        <v>0</v>
      </c>
      <c r="O467" s="64">
        <f t="shared" si="198"/>
        <v>0</v>
      </c>
      <c r="P467" s="64">
        <f t="shared" si="198"/>
        <v>0</v>
      </c>
      <c r="Q467" s="64">
        <f t="shared" si="198"/>
        <v>0</v>
      </c>
      <c r="R467" s="64">
        <f t="shared" si="198"/>
        <v>0</v>
      </c>
      <c r="S467" s="64">
        <f t="shared" si="198"/>
        <v>0</v>
      </c>
      <c r="T467" s="64">
        <f t="shared" si="198"/>
        <v>0</v>
      </c>
      <c r="U467" s="64">
        <f t="shared" si="198"/>
        <v>0</v>
      </c>
      <c r="V467" s="64">
        <f t="shared" si="198"/>
        <v>0</v>
      </c>
      <c r="W467" s="64">
        <f t="shared" si="198"/>
        <v>0</v>
      </c>
      <c r="X467" s="64">
        <f t="shared" si="198"/>
        <v>0</v>
      </c>
      <c r="Y467" s="64">
        <f t="shared" si="198"/>
        <v>0</v>
      </c>
      <c r="Z467" s="64">
        <f t="shared" si="198"/>
        <v>0</v>
      </c>
      <c r="AA467" s="64">
        <f t="shared" si="198"/>
        <v>0</v>
      </c>
      <c r="AB467" s="64">
        <f t="shared" si="198"/>
        <v>0</v>
      </c>
      <c r="AC467" s="64">
        <f t="shared" si="198"/>
        <v>0</v>
      </c>
      <c r="AD467" s="64">
        <f t="shared" si="198"/>
        <v>0</v>
      </c>
      <c r="AE467" s="64">
        <f t="shared" si="198"/>
        <v>0</v>
      </c>
      <c r="AF467" s="64">
        <f t="shared" si="198"/>
        <v>0</v>
      </c>
      <c r="AG467" s="64">
        <f>SUM(F467:AF467)</f>
        <v>29250739.012719277</v>
      </c>
      <c r="AH467" s="21" t="str">
        <f t="shared" si="197"/>
        <v>ok</v>
      </c>
    </row>
    <row r="468" spans="1:34" x14ac:dyDescent="0.25">
      <c r="A468" s="14" t="s">
        <v>660</v>
      </c>
      <c r="C468" s="14" t="s">
        <v>663</v>
      </c>
      <c r="D468" s="14" t="s">
        <v>662</v>
      </c>
      <c r="E468" s="186">
        <v>1</v>
      </c>
      <c r="F468" s="72">
        <f>IF(VLOOKUP($D468,$C$5:$AT$525,3,)=0,0,(VLOOKUP($D468,$C$5:$AT$525,4,)/VLOOKUP($D468,$C$5:$AT$525,3,))*$E468)</f>
        <v>0.61318528340416278</v>
      </c>
      <c r="G468" s="72">
        <f>IF(VLOOKUP($D468,$C$5:$AT$525,3,)=0,0,(VLOOKUP($D468,$C$5:$AT$525,5,)/VLOOKUP($D468,$C$5:$AT$525,3,))*$E468)</f>
        <v>6.0525101205937987E-4</v>
      </c>
      <c r="H468" s="72">
        <f>IF(VLOOKUP($D468,$C$5:$AT$525,3,)=0,0,(VLOOKUP($D468,$C$5:$AT$525,6,)/VLOOKUP($D468,$C$5:$AT$525,3,))*$E468)</f>
        <v>8.0016122501644776E-2</v>
      </c>
      <c r="I468" s="72">
        <f>IF(VLOOKUP($D468,$C$5:$AT$525,3,)=0,0,(VLOOKUP($D468,$C$5:$AT$525,7,)/VLOOKUP($D468,$C$5:$AT$525,3,))*$E468)</f>
        <v>0.16411009526426409</v>
      </c>
      <c r="J468" s="72">
        <f>IF(VLOOKUP($D468,$C$5:$AT$525,3,)=0,0,(VLOOKUP($D468,$C$5:$AT$525,8,)/VLOOKUP($D468,$C$5:$AT$525,3,))*$E468)</f>
        <v>3.6189171136486495E-2</v>
      </c>
      <c r="K468" s="72">
        <f>IF(VLOOKUP($D468,$C$5:$AT$525,3,)=0,0,(VLOOKUP($D468,$C$5:$AT$525,9,)/VLOOKUP($D468,$C$5:$AT$525,3,))*$E468)</f>
        <v>0</v>
      </c>
      <c r="L468" s="72">
        <f>IF(VLOOKUP($D468,$C$5:$AT$525,3,)=0,0,(VLOOKUP($D468,$C$5:$AT$525,10,)/VLOOKUP($D468,$C$5:$AT$525,3,))*$E468)</f>
        <v>0.10589407668138244</v>
      </c>
      <c r="M468" s="72">
        <f>IF(VLOOKUP($D468,$C$5:$AT$525,3,)=0,0,(VLOOKUP($D468,$C$5:$AT$525,11,)/VLOOKUP($D468,$C$5:$AT$525,3,))*$E468)</f>
        <v>0</v>
      </c>
      <c r="N468" s="72">
        <f>IF(VLOOKUP($D468,$C$5:$AT$525,3,)=0,0,(VLOOKUP($D468,$C$5:$AT$525,12,)/VLOOKUP($D468,$C$5:$AT$525,3,))*$E468)</f>
        <v>0</v>
      </c>
      <c r="O468" s="72">
        <f>IF(VLOOKUP($D468,$C$5:$AT$525,3,)=0,0,(VLOOKUP($D468,$C$5:$AT$525,13,)/VLOOKUP($D468,$C$5:$AT$525,3,))*$E468)</f>
        <v>0</v>
      </c>
      <c r="P468" s="72">
        <f>IF(VLOOKUP($D468,$C$5:$AT$525,3,)=0,0,(VLOOKUP($D468,$C$5:$AT$525,14,)/VLOOKUP($D468,$C$5:$AT$525,3,))*$E468)</f>
        <v>0</v>
      </c>
      <c r="Q468" s="72">
        <f>IF(VLOOKUP($D468,$C$5:$AT$525,3,)=0,0,(VLOOKUP($D468,$C$5:$AT$525,15,)/VLOOKUP($D468,$C$5:$AT$525,3,))*$E468)</f>
        <v>0</v>
      </c>
      <c r="R468" s="72">
        <f>IF(VLOOKUP($D468,$C$5:$AT$525,3,)=0,0,(VLOOKUP($D468,$C$5:$AT$525,16,)/VLOOKUP($D468,$C$5:$AT$525,3,))*$E468)</f>
        <v>0</v>
      </c>
      <c r="S468" s="72">
        <f>IF(VLOOKUP($D468,$C$5:$AT$525,3,)=0,0,(VLOOKUP($D468,$C$5:$AT$525,17,)/VLOOKUP($D468,$C$5:$AT$525,3,))*$E468)</f>
        <v>0</v>
      </c>
      <c r="T468" s="72">
        <f>IF(VLOOKUP($D468,$C$5:$AT$525,3,)=0,0,(VLOOKUP($D468,$C$5:$AT$525,18,)/VLOOKUP($D468,$C$5:$AT$525,3,))*$E468)</f>
        <v>0</v>
      </c>
      <c r="U468" s="72">
        <f>IF(VLOOKUP($D468,$C$5:$AT$525,3,)=0,0,(VLOOKUP($D468,$C$5:$AT$525,19,)/VLOOKUP($D468,$C$5:$AT$525,3,))*$E468)</f>
        <v>0</v>
      </c>
      <c r="V468" s="72">
        <f>IF(VLOOKUP($D468,$C$5:$AT$525,3,)=0,0,(VLOOKUP($D468,$C$5:$AT$525,20,)/VLOOKUP($D468,$C$5:$AT$525,3,))*$E468)</f>
        <v>0</v>
      </c>
      <c r="W468" s="72">
        <f>IF(VLOOKUP($D468,$C$5:$AT$525,3,)=0,0,(VLOOKUP($D468,$C$5:$AT$525,21,)/VLOOKUP($D468,$C$5:$AT$525,3,))*$E468)</f>
        <v>0</v>
      </c>
      <c r="X468" s="72">
        <f>IF(VLOOKUP($D468,$C$5:$AT$525,3,)=0,0,(VLOOKUP($D468,$C$5:$AT$525,22,)/VLOOKUP($D468,$C$5:$AT$525,3,))*$E468)</f>
        <v>0</v>
      </c>
      <c r="Y468" s="72">
        <f>IF(VLOOKUP($D468,$C$5:$AT$525,3,)=0,0,(VLOOKUP($D468,$C$5:$AT$525,23,)/VLOOKUP($D468,$C$5:$AT$525,3,))*$E468)</f>
        <v>0</v>
      </c>
      <c r="Z468" s="72">
        <f>IF(VLOOKUP($D468,$C$5:$AT$525,3,)=0,0,(VLOOKUP($D468,$C$5:$AT$525,24,)/VLOOKUP($D468,$C$5:$AT$525,3,))*$E468)</f>
        <v>0</v>
      </c>
      <c r="AA468" s="72">
        <f>IF(VLOOKUP($D468,$C$5:$AT$525,3,)=0,0,(VLOOKUP($D468,$C$5:$AT$525,25,)/VLOOKUP($D468,$C$5:$AT$525,3,))*$E468)</f>
        <v>0</v>
      </c>
      <c r="AB468" s="72">
        <f>IF(VLOOKUP($D468,$C$5:$AT$525,3,)=0,0,(VLOOKUP($D468,$C$5:$AT$525,26,)/VLOOKUP($D468,$C$5:$AT$525,3,))*$E468)</f>
        <v>0</v>
      </c>
      <c r="AC468" s="72">
        <f>IF(VLOOKUP($D468,$C$5:$AT$525,3,)=0,0,(VLOOKUP($D468,$C$5:$AT$525,27,)/VLOOKUP($D468,$C$5:$AT$525,3,))*$E468)</f>
        <v>0</v>
      </c>
      <c r="AD468" s="72">
        <f>IF(VLOOKUP($D468,$C$5:$AT$525,3,)=0,0,(VLOOKUP($D468,$C$5:$AT$525,28,)/VLOOKUP($D468,$C$5:$AT$525,3,))*$E468)</f>
        <v>0</v>
      </c>
      <c r="AE468" s="72">
        <f>IF(VLOOKUP($D468,$C$5:$AT$525,3,)=0,0,(VLOOKUP($D468,$C$5:$AT$525,29,)/VLOOKUP($D468,$C$5:$AT$525,3,))*$E468)</f>
        <v>0</v>
      </c>
      <c r="AF468" s="72">
        <f>IF(VLOOKUP($D468,$C$5:$AT$525,3,)=0,0,(VLOOKUP($D468,$C$5:$AT$525,30,)/VLOOKUP($D468,$C$5:$AT$525,3,))*$E468)</f>
        <v>0</v>
      </c>
      <c r="AG468" s="72">
        <f>SUM(F468:AF468)</f>
        <v>0.99999999999999989</v>
      </c>
      <c r="AH468" s="21" t="str">
        <f t="shared" si="197"/>
        <v>ok</v>
      </c>
    </row>
    <row r="470" spans="1:34" x14ac:dyDescent="0.25">
      <c r="A470" s="19" t="s">
        <v>1186</v>
      </c>
    </row>
    <row r="472" spans="1:34" x14ac:dyDescent="0.25">
      <c r="A472" s="13" t="s">
        <v>885</v>
      </c>
    </row>
    <row r="473" spans="1:34" x14ac:dyDescent="0.25">
      <c r="A473" s="67" t="s">
        <v>208</v>
      </c>
      <c r="C473" s="14" t="s">
        <v>273</v>
      </c>
      <c r="D473" s="14" t="s">
        <v>654</v>
      </c>
      <c r="E473" s="174">
        <f>'Func &amp; Classif'!H465</f>
        <v>0</v>
      </c>
      <c r="F473" s="40">
        <f>IF(VLOOKUP($D473,$C$5:$AT$507,3,)=0,0,(VLOOKUP($D473,$C$5:$AT$507,4,)/VLOOKUP($D473,$C$5:$AT$507,3,))*$E473)</f>
        <v>0</v>
      </c>
      <c r="G473" s="40">
        <f>IF(VLOOKUP($D473,$C$5:$AT$507,3,)=0,0,(VLOOKUP($D473,$C$5:$AT$507,5,)/VLOOKUP($D473,$C$5:$AT$507,3,))*$E473)</f>
        <v>0</v>
      </c>
      <c r="H473" s="40">
        <f>IF(VLOOKUP($D473,$C$5:$AT$507,3,)=0,0,(VLOOKUP($D473,$C$5:$AT$507,6,)/VLOOKUP($D473,$C$5:$AT$507,3,))*$E473)</f>
        <v>0</v>
      </c>
      <c r="I473" s="40">
        <f>IF(VLOOKUP($D473,$C$5:$AT$507,3,)=0,0,(VLOOKUP($D473,$C$5:$AT$507,7,)/VLOOKUP($D473,$C$5:$AT$507,3,))*$E473)</f>
        <v>0</v>
      </c>
      <c r="J473" s="40">
        <f>IF(VLOOKUP($D473,$C$5:$AT$507,3,)=0,0,(VLOOKUP($D473,$C$5:$AT$507,8,)/VLOOKUP($D473,$C$5:$AT$507,3,))*$E473)</f>
        <v>0</v>
      </c>
      <c r="K473" s="40">
        <f>IF(VLOOKUP($D473,$C$5:$AT$507,3,)=0,0,(VLOOKUP($D473,$C$5:$AT$507,9,)/VLOOKUP($D473,$C$5:$AT$507,3,))*$E473)</f>
        <v>0</v>
      </c>
      <c r="L473" s="40">
        <f>IF(VLOOKUP($D473,$C$5:$AT$507,3,)=0,0,(VLOOKUP($D473,$C$5:$AT$507,10,)/VLOOKUP($D473,$C$5:$AT$507,3,))*$E473)</f>
        <v>0</v>
      </c>
      <c r="M473" s="40">
        <f>IF(VLOOKUP($D473,$C$5:$AT$507,3,)=0,0,(VLOOKUP($D473,$C$5:$AT$507,11,)/VLOOKUP($D473,$C$5:$AT$507,3,))*$E473)</f>
        <v>0</v>
      </c>
      <c r="N473" s="40">
        <f>IF(VLOOKUP($D473,$C$5:$AT$507,3,)=0,0,(VLOOKUP($D473,$C$5:$AT$507,12,)/VLOOKUP($D473,$C$5:$AT$507,3,))*$E473)</f>
        <v>0</v>
      </c>
      <c r="O473" s="40">
        <f>IF(VLOOKUP($D473,$C$5:$AT$507,3,)=0,0,(VLOOKUP($D473,$C$5:$AT$507,13,)/VLOOKUP($D473,$C$5:$AT$507,3,))*$E473)</f>
        <v>0</v>
      </c>
      <c r="P473" s="40">
        <f>IF(VLOOKUP($D473,$C$5:$AT$507,3,)=0,0,(VLOOKUP($D473,$C$5:$AT$507,14,)/VLOOKUP($D473,$C$5:$AT$507,3,))*$E473)</f>
        <v>0</v>
      </c>
      <c r="Q473" s="40">
        <f>IF(VLOOKUP($D473,$C$5:$AT$507,3,)=0,0,(VLOOKUP($D473,$C$5:$AT$507,15,)/VLOOKUP($D473,$C$5:$AT$507,3,))*$E473)</f>
        <v>0</v>
      </c>
      <c r="R473" s="40">
        <f>IF(VLOOKUP($D473,$C$5:$AT$507,3,)=0,0,(VLOOKUP($D473,$C$5:$AT$507,16,)/VLOOKUP($D473,$C$5:$AT$507,3,))*$E473)</f>
        <v>0</v>
      </c>
      <c r="S473" s="40">
        <f>IF(VLOOKUP($D473,$C$5:$AT$507,3,)=0,0,(VLOOKUP($D473,$C$5:$AT$507,17,)/VLOOKUP($D473,$C$5:$AT$507,3,))*$E473)</f>
        <v>0</v>
      </c>
      <c r="T473" s="40">
        <f>IF(VLOOKUP($D473,$C$5:$AT$507,3,)=0,0,(VLOOKUP($D473,$C$5:$AT$507,18,)/VLOOKUP($D473,$C$5:$AT$507,3,))*$E473)</f>
        <v>0</v>
      </c>
      <c r="U473" s="40">
        <f>IF(VLOOKUP($D473,$C$5:$AT$507,3,)=0,0,(VLOOKUP($D473,$C$5:$AT$507,19,)/VLOOKUP($D473,$C$5:$AT$507,3,))*$E473)</f>
        <v>0</v>
      </c>
      <c r="V473" s="40">
        <f>IF(VLOOKUP($D473,$C$5:$AT$507,3,)=0,0,(VLOOKUP($D473,$C$5:$AT$507,20,)/VLOOKUP($D473,$C$5:$AT$507,3,))*$E473)</f>
        <v>0</v>
      </c>
      <c r="W473" s="40">
        <f>IF(VLOOKUP($D473,$C$5:$AT$507,3,)=0,0,(VLOOKUP($D473,$C$5:$AT$507,21,)/VLOOKUP($D473,$C$5:$AT$507,3,))*$E473)</f>
        <v>0</v>
      </c>
      <c r="X473" s="40">
        <f>IF(VLOOKUP($D473,$C$5:$AT$507,3,)=0,0,(VLOOKUP($D473,$C$5:$AT$507,22,)/VLOOKUP($D473,$C$5:$AT$507,3,))*$E473)</f>
        <v>0</v>
      </c>
      <c r="Y473" s="40">
        <f>IF(VLOOKUP($D473,$C$5:$AT$507,3,)=0,0,(VLOOKUP($D473,$C$5:$AT$507,23,)/VLOOKUP($D473,$C$5:$AT$507,3,))*$E473)</f>
        <v>0</v>
      </c>
      <c r="Z473" s="40">
        <f>IF(VLOOKUP($D473,$C$5:$AT$507,3,)=0,0,(VLOOKUP($D473,$C$5:$AT$507,24,)/VLOOKUP($D473,$C$5:$AT$507,3,))*$E473)</f>
        <v>0</v>
      </c>
      <c r="AA473" s="40">
        <f>IF(VLOOKUP($D473,$C$5:$AT$507,3,)=0,0,(VLOOKUP($D473,$C$5:$AT$507,25,)/VLOOKUP($D473,$C$5:$AT$507,3,))*$E473)</f>
        <v>0</v>
      </c>
      <c r="AB473" s="40">
        <f>IF(VLOOKUP($D473,$C$5:$AT$507,3,)=0,0,(VLOOKUP($D473,$C$5:$AT$507,26,)/VLOOKUP($D473,$C$5:$AT$507,3,))*$E473)</f>
        <v>0</v>
      </c>
      <c r="AC473" s="40">
        <f>IF(VLOOKUP($D473,$C$5:$AT$507,3,)=0,0,(VLOOKUP($D473,$C$5:$AT$507,27,)/VLOOKUP($D473,$C$5:$AT$507,3,))*$E473)</f>
        <v>0</v>
      </c>
      <c r="AD473" s="40">
        <f>IF(VLOOKUP($D473,$C$5:$AT$507,3,)=0,0,(VLOOKUP($D473,$C$5:$AT$507,28,)/VLOOKUP($D473,$C$5:$AT$507,3,))*$E473)</f>
        <v>0</v>
      </c>
      <c r="AE473" s="40">
        <f>IF(VLOOKUP($D473,$C$5:$AT$507,3,)=0,0,(VLOOKUP($D473,$C$5:$AT$507,29,)/VLOOKUP($D473,$C$5:$AT$507,3,))*$E473)</f>
        <v>0</v>
      </c>
      <c r="AF473" s="40">
        <f>IF(VLOOKUP($D473,$C$5:$AT$507,3,)=0,0,(VLOOKUP($D473,$C$5:$AT$507,30,)/VLOOKUP($D473,$C$5:$AT$507,3,))*$E473)</f>
        <v>0</v>
      </c>
      <c r="AG473" s="64">
        <f>SUM(F473:AF473)</f>
        <v>0</v>
      </c>
      <c r="AH473" s="21" t="str">
        <f>IF(ABS(E473-AG473)&lt;0.01,"ok","err")</f>
        <v>ok</v>
      </c>
    </row>
    <row r="474" spans="1:34" x14ac:dyDescent="0.25">
      <c r="A474" s="67" t="s">
        <v>211</v>
      </c>
      <c r="C474" s="14" t="s">
        <v>274</v>
      </c>
      <c r="D474" s="14" t="s">
        <v>663</v>
      </c>
      <c r="E474" s="167">
        <f>'Func &amp; Classif'!I465</f>
        <v>0</v>
      </c>
      <c r="F474" s="40">
        <f>IF(VLOOKUP($D474,$C$5:$AT$507,3,)=0,0,(VLOOKUP($D474,$C$5:$AT$507,4,)/VLOOKUP($D474,$C$5:$AT$507,3,))*$E474)</f>
        <v>0</v>
      </c>
      <c r="G474" s="40">
        <f>IF(VLOOKUP($D474,$C$5:$AT$507,3,)=0,0,(VLOOKUP($D474,$C$5:$AT$507,5,)/VLOOKUP($D474,$C$5:$AT$507,3,))*$E474)</f>
        <v>0</v>
      </c>
      <c r="H474" s="40">
        <f>IF(VLOOKUP($D474,$C$5:$AT$507,3,)=0,0,(VLOOKUP($D474,$C$5:$AT$507,6,)/VLOOKUP($D474,$C$5:$AT$507,3,))*$E474)</f>
        <v>0</v>
      </c>
      <c r="I474" s="40">
        <f>IF(VLOOKUP($D474,$C$5:$AT$507,3,)=0,0,(VLOOKUP($D474,$C$5:$AT$507,7,)/VLOOKUP($D474,$C$5:$AT$507,3,))*$E474)</f>
        <v>0</v>
      </c>
      <c r="J474" s="40">
        <f>IF(VLOOKUP($D474,$C$5:$AT$507,3,)=0,0,(VLOOKUP($D474,$C$5:$AT$507,8,)/VLOOKUP($D474,$C$5:$AT$507,3,))*$E474)</f>
        <v>0</v>
      </c>
      <c r="K474" s="40">
        <f>IF(VLOOKUP($D474,$C$5:$AT$507,3,)=0,0,(VLOOKUP($D474,$C$5:$AT$507,9,)/VLOOKUP($D474,$C$5:$AT$507,3,))*$E474)</f>
        <v>0</v>
      </c>
      <c r="L474" s="40">
        <f>IF(VLOOKUP($D474,$C$5:$AT$507,3,)=0,0,(VLOOKUP($D474,$C$5:$AT$507,10,)/VLOOKUP($D474,$C$5:$AT$507,3,))*$E474)</f>
        <v>0</v>
      </c>
      <c r="M474" s="40">
        <f>IF(VLOOKUP($D474,$C$5:$AT$507,3,)=0,0,(VLOOKUP($D474,$C$5:$AT$507,11,)/VLOOKUP($D474,$C$5:$AT$507,3,))*$E474)</f>
        <v>0</v>
      </c>
      <c r="N474" s="40">
        <f>IF(VLOOKUP($D474,$C$5:$AT$507,3,)=0,0,(VLOOKUP($D474,$C$5:$AT$507,12,)/VLOOKUP($D474,$C$5:$AT$507,3,))*$E474)</f>
        <v>0</v>
      </c>
      <c r="O474" s="40">
        <f>IF(VLOOKUP($D474,$C$5:$AT$507,3,)=0,0,(VLOOKUP($D474,$C$5:$AT$507,13,)/VLOOKUP($D474,$C$5:$AT$507,3,))*$E474)</f>
        <v>0</v>
      </c>
      <c r="P474" s="40">
        <f>IF(VLOOKUP($D474,$C$5:$AT$507,3,)=0,0,(VLOOKUP($D474,$C$5:$AT$507,14,)/VLOOKUP($D474,$C$5:$AT$507,3,))*$E474)</f>
        <v>0</v>
      </c>
      <c r="Q474" s="40">
        <f>IF(VLOOKUP($D474,$C$5:$AT$507,3,)=0,0,(VLOOKUP($D474,$C$5:$AT$507,15,)/VLOOKUP($D474,$C$5:$AT$507,3,))*$E474)</f>
        <v>0</v>
      </c>
      <c r="R474" s="40">
        <f>IF(VLOOKUP($D474,$C$5:$AT$507,3,)=0,0,(VLOOKUP($D474,$C$5:$AT$507,16,)/VLOOKUP($D474,$C$5:$AT$507,3,))*$E474)</f>
        <v>0</v>
      </c>
      <c r="S474" s="40">
        <f>IF(VLOOKUP($D474,$C$5:$AT$507,3,)=0,0,(VLOOKUP($D474,$C$5:$AT$507,17,)/VLOOKUP($D474,$C$5:$AT$507,3,))*$E474)</f>
        <v>0</v>
      </c>
      <c r="T474" s="40">
        <f>IF(VLOOKUP($D474,$C$5:$AT$507,3,)=0,0,(VLOOKUP($D474,$C$5:$AT$507,18,)/VLOOKUP($D474,$C$5:$AT$507,3,))*$E474)</f>
        <v>0</v>
      </c>
      <c r="U474" s="40">
        <f>IF(VLOOKUP($D474,$C$5:$AT$507,3,)=0,0,(VLOOKUP($D474,$C$5:$AT$507,19,)/VLOOKUP($D474,$C$5:$AT$507,3,))*$E474)</f>
        <v>0</v>
      </c>
      <c r="V474" s="40">
        <f>IF(VLOOKUP($D474,$C$5:$AT$507,3,)=0,0,(VLOOKUP($D474,$C$5:$AT$507,20,)/VLOOKUP($D474,$C$5:$AT$507,3,))*$E474)</f>
        <v>0</v>
      </c>
      <c r="W474" s="40">
        <f>IF(VLOOKUP($D474,$C$5:$AT$507,3,)=0,0,(VLOOKUP($D474,$C$5:$AT$507,21,)/VLOOKUP($D474,$C$5:$AT$507,3,))*$E474)</f>
        <v>0</v>
      </c>
      <c r="X474" s="40">
        <f>IF(VLOOKUP($D474,$C$5:$AT$507,3,)=0,0,(VLOOKUP($D474,$C$5:$AT$507,22,)/VLOOKUP($D474,$C$5:$AT$507,3,))*$E474)</f>
        <v>0</v>
      </c>
      <c r="Y474" s="40">
        <f>IF(VLOOKUP($D474,$C$5:$AT$507,3,)=0,0,(VLOOKUP($D474,$C$5:$AT$507,23,)/VLOOKUP($D474,$C$5:$AT$507,3,))*$E474)</f>
        <v>0</v>
      </c>
      <c r="Z474" s="40">
        <f>IF(VLOOKUP($D474,$C$5:$AT$507,3,)=0,0,(VLOOKUP($D474,$C$5:$AT$507,24,)/VLOOKUP($D474,$C$5:$AT$507,3,))*$E474)</f>
        <v>0</v>
      </c>
      <c r="AA474" s="40">
        <f>IF(VLOOKUP($D474,$C$5:$AT$507,3,)=0,0,(VLOOKUP($D474,$C$5:$AT$507,25,)/VLOOKUP($D474,$C$5:$AT$507,3,))*$E474)</f>
        <v>0</v>
      </c>
      <c r="AB474" s="40">
        <f>IF(VLOOKUP($D474,$C$5:$AT$507,3,)=0,0,(VLOOKUP($D474,$C$5:$AT$507,26,)/VLOOKUP($D474,$C$5:$AT$507,3,))*$E474)</f>
        <v>0</v>
      </c>
      <c r="AC474" s="40">
        <f>IF(VLOOKUP($D474,$C$5:$AT$507,3,)=0,0,(VLOOKUP($D474,$C$5:$AT$507,27,)/VLOOKUP($D474,$C$5:$AT$507,3,))*$E474)</f>
        <v>0</v>
      </c>
      <c r="AD474" s="40">
        <f>IF(VLOOKUP($D474,$C$5:$AT$507,3,)=0,0,(VLOOKUP($D474,$C$5:$AT$507,28,)/VLOOKUP($D474,$C$5:$AT$507,3,))*$E474)</f>
        <v>0</v>
      </c>
      <c r="AE474" s="40">
        <f>IF(VLOOKUP($D474,$C$5:$AT$507,3,)=0,0,(VLOOKUP($D474,$C$5:$AT$507,29,)/VLOOKUP($D474,$C$5:$AT$507,3,))*$E474)</f>
        <v>0</v>
      </c>
      <c r="AF474" s="40">
        <f>IF(VLOOKUP($D474,$C$5:$AT$507,3,)=0,0,(VLOOKUP($D474,$C$5:$AT$507,30,)/VLOOKUP($D474,$C$5:$AT$507,3,))*$E474)</f>
        <v>0</v>
      </c>
      <c r="AG474" s="64">
        <f>SUM(F474:AF474)</f>
        <v>0</v>
      </c>
      <c r="AH474" s="21" t="str">
        <f>IF(ABS(E474-AG474)&lt;0.01,"ok","err")</f>
        <v>ok</v>
      </c>
    </row>
    <row r="475" spans="1:34" x14ac:dyDescent="0.25">
      <c r="A475" s="14" t="s">
        <v>214</v>
      </c>
      <c r="C475" s="14" t="s">
        <v>275</v>
      </c>
      <c r="E475" s="167">
        <f t="shared" ref="E475:T475" si="199">E473+E474</f>
        <v>0</v>
      </c>
      <c r="F475" s="40">
        <f t="shared" si="199"/>
        <v>0</v>
      </c>
      <c r="G475" s="40">
        <f t="shared" si="199"/>
        <v>0</v>
      </c>
      <c r="H475" s="40">
        <f t="shared" si="199"/>
        <v>0</v>
      </c>
      <c r="I475" s="40">
        <f t="shared" si="199"/>
        <v>0</v>
      </c>
      <c r="J475" s="40">
        <f t="shared" si="199"/>
        <v>0</v>
      </c>
      <c r="K475" s="40">
        <f t="shared" si="199"/>
        <v>0</v>
      </c>
      <c r="L475" s="40">
        <f t="shared" si="199"/>
        <v>0</v>
      </c>
      <c r="M475" s="40">
        <f t="shared" si="199"/>
        <v>0</v>
      </c>
      <c r="N475" s="40">
        <f t="shared" si="199"/>
        <v>0</v>
      </c>
      <c r="O475" s="40">
        <f t="shared" si="199"/>
        <v>0</v>
      </c>
      <c r="P475" s="40">
        <f t="shared" si="199"/>
        <v>0</v>
      </c>
      <c r="Q475" s="40">
        <f t="shared" si="199"/>
        <v>0</v>
      </c>
      <c r="R475" s="40">
        <f t="shared" si="199"/>
        <v>0</v>
      </c>
      <c r="S475" s="40">
        <f t="shared" si="199"/>
        <v>0</v>
      </c>
      <c r="T475" s="40">
        <f t="shared" si="199"/>
        <v>0</v>
      </c>
      <c r="U475" s="40">
        <f t="shared" ref="U475:AF475" si="200">U473+U474</f>
        <v>0</v>
      </c>
      <c r="V475" s="40">
        <f t="shared" si="200"/>
        <v>0</v>
      </c>
      <c r="W475" s="40">
        <f t="shared" si="200"/>
        <v>0</v>
      </c>
      <c r="X475" s="40">
        <f t="shared" si="200"/>
        <v>0</v>
      </c>
      <c r="Y475" s="40">
        <f t="shared" si="200"/>
        <v>0</v>
      </c>
      <c r="Z475" s="40">
        <f t="shared" si="200"/>
        <v>0</v>
      </c>
      <c r="AA475" s="40">
        <f t="shared" si="200"/>
        <v>0</v>
      </c>
      <c r="AB475" s="40">
        <f t="shared" si="200"/>
        <v>0</v>
      </c>
      <c r="AC475" s="40">
        <f t="shared" si="200"/>
        <v>0</v>
      </c>
      <c r="AD475" s="40">
        <f t="shared" si="200"/>
        <v>0</v>
      </c>
      <c r="AE475" s="40">
        <f t="shared" si="200"/>
        <v>0</v>
      </c>
      <c r="AF475" s="40">
        <f t="shared" si="200"/>
        <v>0</v>
      </c>
      <c r="AG475" s="64">
        <f>SUM(F475:AF475)</f>
        <v>0</v>
      </c>
      <c r="AH475" s="21" t="str">
        <f>IF(ABS(E475-AG475)&lt;0.01,"ok","err")</f>
        <v>ok</v>
      </c>
    </row>
    <row r="476" spans="1:34" x14ac:dyDescent="0.25">
      <c r="E476" s="167"/>
      <c r="F476" s="27"/>
    </row>
    <row r="477" spans="1:34" x14ac:dyDescent="0.25">
      <c r="A477" s="13" t="s">
        <v>349</v>
      </c>
      <c r="E477" s="167"/>
      <c r="F477" s="27"/>
    </row>
    <row r="478" spans="1:34" x14ac:dyDescent="0.25">
      <c r="A478" s="67" t="s">
        <v>208</v>
      </c>
      <c r="C478" s="14" t="s">
        <v>878</v>
      </c>
      <c r="D478" s="14" t="s">
        <v>622</v>
      </c>
      <c r="E478" s="174">
        <f>'Func &amp; Classif'!K465</f>
        <v>0</v>
      </c>
      <c r="F478" s="40">
        <f>IF(VLOOKUP($D478,$C$5:$AT$507,3,)=0,0,(VLOOKUP($D478,$C$5:$AT$507,4,)/VLOOKUP($D478,$C$5:$AT$507,3,))*$E478)</f>
        <v>0</v>
      </c>
      <c r="G478" s="40">
        <f>IF(VLOOKUP($D478,$C$5:$AT$507,3,)=0,0,(VLOOKUP($D478,$C$5:$AT$507,5,)/VLOOKUP($D478,$C$5:$AT$507,3,))*$E478)</f>
        <v>0</v>
      </c>
      <c r="H478" s="40">
        <f>IF(VLOOKUP($D478,$C$5:$AT$507,3,)=0,0,(VLOOKUP($D478,$C$5:$AT$507,6,)/VLOOKUP($D478,$C$5:$AT$507,3,))*$E478)</f>
        <v>0</v>
      </c>
      <c r="I478" s="40">
        <f>IF(VLOOKUP($D478,$C$5:$AT$507,3,)=0,0,(VLOOKUP($D478,$C$5:$AT$507,7,)/VLOOKUP($D478,$C$5:$AT$507,3,))*$E478)</f>
        <v>0</v>
      </c>
      <c r="J478" s="40">
        <f>IF(VLOOKUP($D478,$C$5:$AT$507,3,)=0,0,(VLOOKUP($D478,$C$5:$AT$507,8,)/VLOOKUP($D478,$C$5:$AT$507,3,))*$E478)</f>
        <v>0</v>
      </c>
      <c r="K478" s="40">
        <f>IF(VLOOKUP($D478,$C$5:$AT$507,3,)=0,0,(VLOOKUP($D478,$C$5:$AT$507,9,)/VLOOKUP($D478,$C$5:$AT$507,3,))*$E478)</f>
        <v>0</v>
      </c>
      <c r="L478" s="40">
        <f>IF(VLOOKUP($D478,$C$5:$AT$507,3,)=0,0,(VLOOKUP($D478,$C$5:$AT$507,10,)/VLOOKUP($D478,$C$5:$AT$507,3,))*$E478)</f>
        <v>0</v>
      </c>
      <c r="M478" s="40">
        <f>IF(VLOOKUP($D478,$C$5:$AT$507,3,)=0,0,(VLOOKUP($D478,$C$5:$AT$507,11,)/VLOOKUP($D478,$C$5:$AT$507,3,))*$E478)</f>
        <v>0</v>
      </c>
      <c r="N478" s="40">
        <f>IF(VLOOKUP($D478,$C$5:$AT$507,3,)=0,0,(VLOOKUP($D478,$C$5:$AT$507,12,)/VLOOKUP($D478,$C$5:$AT$507,3,))*$E478)</f>
        <v>0</v>
      </c>
      <c r="O478" s="40">
        <f>IF(VLOOKUP($D478,$C$5:$AT$507,3,)=0,0,(VLOOKUP($D478,$C$5:$AT$507,13,)/VLOOKUP($D478,$C$5:$AT$507,3,))*$E478)</f>
        <v>0</v>
      </c>
      <c r="P478" s="40">
        <f>IF(VLOOKUP($D478,$C$5:$AT$507,3,)=0,0,(VLOOKUP($D478,$C$5:$AT$507,14,)/VLOOKUP($D478,$C$5:$AT$507,3,))*$E478)</f>
        <v>0</v>
      </c>
      <c r="Q478" s="40">
        <f>IF(VLOOKUP($D478,$C$5:$AT$507,3,)=0,0,(VLOOKUP($D478,$C$5:$AT$507,15,)/VLOOKUP($D478,$C$5:$AT$507,3,))*$E478)</f>
        <v>0</v>
      </c>
      <c r="R478" s="40">
        <f>IF(VLOOKUP($D478,$C$5:$AT$507,3,)=0,0,(VLOOKUP($D478,$C$5:$AT$507,16,)/VLOOKUP($D478,$C$5:$AT$507,3,))*$E478)</f>
        <v>0</v>
      </c>
      <c r="S478" s="40">
        <f>IF(VLOOKUP($D478,$C$5:$AT$507,3,)=0,0,(VLOOKUP($D478,$C$5:$AT$507,17,)/VLOOKUP($D478,$C$5:$AT$507,3,))*$E478)</f>
        <v>0</v>
      </c>
      <c r="T478" s="40">
        <f>IF(VLOOKUP($D478,$C$5:$AT$507,3,)=0,0,(VLOOKUP($D478,$C$5:$AT$507,18,)/VLOOKUP($D478,$C$5:$AT$507,3,))*$E478)</f>
        <v>0</v>
      </c>
      <c r="U478" s="40">
        <f>IF(VLOOKUP($D478,$C$5:$AT$507,3,)=0,0,(VLOOKUP($D478,$C$5:$AT$507,19,)/VLOOKUP($D478,$C$5:$AT$507,3,))*$E478)</f>
        <v>0</v>
      </c>
      <c r="V478" s="40">
        <f>IF(VLOOKUP($D478,$C$5:$AT$507,3,)=0,0,(VLOOKUP($D478,$C$5:$AT$507,20,)/VLOOKUP($D478,$C$5:$AT$507,3,))*$E478)</f>
        <v>0</v>
      </c>
      <c r="W478" s="40">
        <f>IF(VLOOKUP($D478,$C$5:$AT$507,3,)=0,0,(VLOOKUP($D478,$C$5:$AT$507,21,)/VLOOKUP($D478,$C$5:$AT$507,3,))*$E478)</f>
        <v>0</v>
      </c>
      <c r="X478" s="40">
        <f>IF(VLOOKUP($D478,$C$5:$AT$507,3,)=0,0,(VLOOKUP($D478,$C$5:$AT$507,22,)/VLOOKUP($D478,$C$5:$AT$507,3,))*$E478)</f>
        <v>0</v>
      </c>
      <c r="Y478" s="40">
        <f>IF(VLOOKUP($D478,$C$5:$AT$507,3,)=0,0,(VLOOKUP($D478,$C$5:$AT$507,23,)/VLOOKUP($D478,$C$5:$AT$507,3,))*$E478)</f>
        <v>0</v>
      </c>
      <c r="Z478" s="40">
        <f>IF(VLOOKUP($D478,$C$5:$AT$507,3,)=0,0,(VLOOKUP($D478,$C$5:$AT$507,24,)/VLOOKUP($D478,$C$5:$AT$507,3,))*$E478)</f>
        <v>0</v>
      </c>
      <c r="AA478" s="40">
        <f>IF(VLOOKUP($D478,$C$5:$AT$507,3,)=0,0,(VLOOKUP($D478,$C$5:$AT$507,25,)/VLOOKUP($D478,$C$5:$AT$507,3,))*$E478)</f>
        <v>0</v>
      </c>
      <c r="AB478" s="40">
        <f>IF(VLOOKUP($D478,$C$5:$AT$507,3,)=0,0,(VLOOKUP($D478,$C$5:$AT$507,26,)/VLOOKUP($D478,$C$5:$AT$507,3,))*$E478)</f>
        <v>0</v>
      </c>
      <c r="AC478" s="40">
        <f>IF(VLOOKUP($D478,$C$5:$AT$507,3,)=0,0,(VLOOKUP($D478,$C$5:$AT$507,27,)/VLOOKUP($D478,$C$5:$AT$507,3,))*$E478)</f>
        <v>0</v>
      </c>
      <c r="AD478" s="40">
        <f>IF(VLOOKUP($D478,$C$5:$AT$507,3,)=0,0,(VLOOKUP($D478,$C$5:$AT$507,28,)/VLOOKUP($D478,$C$5:$AT$507,3,))*$E478)</f>
        <v>0</v>
      </c>
      <c r="AE478" s="40">
        <f>IF(VLOOKUP($D478,$C$5:$AT$507,3,)=0,0,(VLOOKUP($D478,$C$5:$AT$507,29,)/VLOOKUP($D478,$C$5:$AT$507,3,))*$E478)</f>
        <v>0</v>
      </c>
      <c r="AF478" s="40">
        <f>IF(VLOOKUP($D478,$C$5:$AT$507,3,)=0,0,(VLOOKUP($D478,$C$5:$AT$507,30,)/VLOOKUP($D478,$C$5:$AT$507,3,))*$E478)</f>
        <v>0</v>
      </c>
      <c r="AG478" s="64">
        <f>SUM(F478:AF478)</f>
        <v>0</v>
      </c>
      <c r="AH478" s="21" t="str">
        <f>IF(ABS(E478-AG478)&lt;0.01,"ok","err")</f>
        <v>ok</v>
      </c>
    </row>
    <row r="479" spans="1:34" x14ac:dyDescent="0.25">
      <c r="E479" s="167"/>
    </row>
    <row r="480" spans="1:34" x14ac:dyDescent="0.25">
      <c r="A480" s="13" t="s">
        <v>1</v>
      </c>
      <c r="E480" s="167"/>
      <c r="F480" s="27"/>
    </row>
    <row r="481" spans="1:34" x14ac:dyDescent="0.25">
      <c r="A481" s="67" t="s">
        <v>208</v>
      </c>
      <c r="C481" s="14" t="s">
        <v>276</v>
      </c>
      <c r="D481" s="14" t="s">
        <v>629</v>
      </c>
      <c r="E481" s="174">
        <f>'Func &amp; Classif'!M465</f>
        <v>0</v>
      </c>
      <c r="F481" s="40">
        <f>IF(VLOOKUP($D481,$C$5:$AT$507,3,)=0,0,(VLOOKUP($D481,$C$5:$AT$507,4,)/VLOOKUP($D481,$C$5:$AT$507,3,))*$E481)</f>
        <v>0</v>
      </c>
      <c r="G481" s="40">
        <f>IF(VLOOKUP($D481,$C$5:$AT$507,3,)=0,0,(VLOOKUP($D481,$C$5:$AT$507,5,)/VLOOKUP($D481,$C$5:$AT$507,3,))*$E481)</f>
        <v>0</v>
      </c>
      <c r="H481" s="40">
        <f>IF(VLOOKUP($D481,$C$5:$AT$507,3,)=0,0,(VLOOKUP($D481,$C$5:$AT$507,6,)/VLOOKUP($D481,$C$5:$AT$507,3,))*$E481)</f>
        <v>0</v>
      </c>
      <c r="I481" s="40">
        <f>IF(VLOOKUP($D481,$C$5:$AT$507,3,)=0,0,(VLOOKUP($D481,$C$5:$AT$507,7,)/VLOOKUP($D481,$C$5:$AT$507,3,))*$E481)</f>
        <v>0</v>
      </c>
      <c r="J481" s="40">
        <f>IF(VLOOKUP($D481,$C$5:$AT$507,3,)=0,0,(VLOOKUP($D481,$C$5:$AT$507,8,)/VLOOKUP($D481,$C$5:$AT$507,3,))*$E481)</f>
        <v>0</v>
      </c>
      <c r="K481" s="40">
        <f>IF(VLOOKUP($D481,$C$5:$AT$507,3,)=0,0,(VLOOKUP($D481,$C$5:$AT$507,9,)/VLOOKUP($D481,$C$5:$AT$507,3,))*$E481)</f>
        <v>0</v>
      </c>
      <c r="L481" s="40">
        <f>IF(VLOOKUP($D481,$C$5:$AT$507,3,)=0,0,(VLOOKUP($D481,$C$5:$AT$507,10,)/VLOOKUP($D481,$C$5:$AT$507,3,))*$E481)</f>
        <v>0</v>
      </c>
      <c r="M481" s="40">
        <f>IF(VLOOKUP($D481,$C$5:$AT$507,3,)=0,0,(VLOOKUP($D481,$C$5:$AT$507,11,)/VLOOKUP($D481,$C$5:$AT$507,3,))*$E481)</f>
        <v>0</v>
      </c>
      <c r="N481" s="40">
        <f>IF(VLOOKUP($D481,$C$5:$AT$507,3,)=0,0,(VLOOKUP($D481,$C$5:$AT$507,12,)/VLOOKUP($D481,$C$5:$AT$507,3,))*$E481)</f>
        <v>0</v>
      </c>
      <c r="O481" s="40">
        <f>IF(VLOOKUP($D481,$C$5:$AT$507,3,)=0,0,(VLOOKUP($D481,$C$5:$AT$507,13,)/VLOOKUP($D481,$C$5:$AT$507,3,))*$E481)</f>
        <v>0</v>
      </c>
      <c r="P481" s="40">
        <f>IF(VLOOKUP($D481,$C$5:$AT$507,3,)=0,0,(VLOOKUP($D481,$C$5:$AT$507,14,)/VLOOKUP($D481,$C$5:$AT$507,3,))*$E481)</f>
        <v>0</v>
      </c>
      <c r="Q481" s="40">
        <f>IF(VLOOKUP($D481,$C$5:$AT$507,3,)=0,0,(VLOOKUP($D481,$C$5:$AT$507,15,)/VLOOKUP($D481,$C$5:$AT$507,3,))*$E481)</f>
        <v>0</v>
      </c>
      <c r="R481" s="40">
        <f>IF(VLOOKUP($D481,$C$5:$AT$507,3,)=0,0,(VLOOKUP($D481,$C$5:$AT$507,16,)/VLOOKUP($D481,$C$5:$AT$507,3,))*$E481)</f>
        <v>0</v>
      </c>
      <c r="S481" s="40">
        <f>IF(VLOOKUP($D481,$C$5:$AT$507,3,)=0,0,(VLOOKUP($D481,$C$5:$AT$507,17,)/VLOOKUP($D481,$C$5:$AT$507,3,))*$E481)</f>
        <v>0</v>
      </c>
      <c r="T481" s="40">
        <f>IF(VLOOKUP($D481,$C$5:$AT$507,3,)=0,0,(VLOOKUP($D481,$C$5:$AT$507,18,)/VLOOKUP($D481,$C$5:$AT$507,3,))*$E481)</f>
        <v>0</v>
      </c>
      <c r="U481" s="40">
        <f>IF(VLOOKUP($D481,$C$5:$AT$507,3,)=0,0,(VLOOKUP($D481,$C$5:$AT$507,19,)/VLOOKUP($D481,$C$5:$AT$507,3,))*$E481)</f>
        <v>0</v>
      </c>
      <c r="V481" s="40">
        <f>IF(VLOOKUP($D481,$C$5:$AT$507,3,)=0,0,(VLOOKUP($D481,$C$5:$AT$507,20,)/VLOOKUP($D481,$C$5:$AT$507,3,))*$E481)</f>
        <v>0</v>
      </c>
      <c r="W481" s="40">
        <f>IF(VLOOKUP($D481,$C$5:$AT$507,3,)=0,0,(VLOOKUP($D481,$C$5:$AT$507,21,)/VLOOKUP($D481,$C$5:$AT$507,3,))*$E481)</f>
        <v>0</v>
      </c>
      <c r="X481" s="40">
        <f>IF(VLOOKUP($D481,$C$5:$AT$507,3,)=0,0,(VLOOKUP($D481,$C$5:$AT$507,22,)/VLOOKUP($D481,$C$5:$AT$507,3,))*$E481)</f>
        <v>0</v>
      </c>
      <c r="Y481" s="40">
        <f>IF(VLOOKUP($D481,$C$5:$AT$507,3,)=0,0,(VLOOKUP($D481,$C$5:$AT$507,23,)/VLOOKUP($D481,$C$5:$AT$507,3,))*$E481)</f>
        <v>0</v>
      </c>
      <c r="Z481" s="40">
        <f>IF(VLOOKUP($D481,$C$5:$AT$507,3,)=0,0,(VLOOKUP($D481,$C$5:$AT$507,24,)/VLOOKUP($D481,$C$5:$AT$507,3,))*$E481)</f>
        <v>0</v>
      </c>
      <c r="AA481" s="40">
        <f>IF(VLOOKUP($D481,$C$5:$AT$507,3,)=0,0,(VLOOKUP($D481,$C$5:$AT$507,25,)/VLOOKUP($D481,$C$5:$AT$507,3,))*$E481)</f>
        <v>0</v>
      </c>
      <c r="AB481" s="40">
        <f>IF(VLOOKUP($D481,$C$5:$AT$507,3,)=0,0,(VLOOKUP($D481,$C$5:$AT$507,26,)/VLOOKUP($D481,$C$5:$AT$507,3,))*$E481)</f>
        <v>0</v>
      </c>
      <c r="AC481" s="40">
        <f>IF(VLOOKUP($D481,$C$5:$AT$507,3,)=0,0,(VLOOKUP($D481,$C$5:$AT$507,27,)/VLOOKUP($D481,$C$5:$AT$507,3,))*$E481)</f>
        <v>0</v>
      </c>
      <c r="AD481" s="40">
        <f>IF(VLOOKUP($D481,$C$5:$AT$507,3,)=0,0,(VLOOKUP($D481,$C$5:$AT$507,28,)/VLOOKUP($D481,$C$5:$AT$507,3,))*$E481)</f>
        <v>0</v>
      </c>
      <c r="AE481" s="40">
        <f>IF(VLOOKUP($D481,$C$5:$AT$507,3,)=0,0,(VLOOKUP($D481,$C$5:$AT$507,29,)/VLOOKUP($D481,$C$5:$AT$507,3,))*$E481)</f>
        <v>0</v>
      </c>
      <c r="AF481" s="40">
        <f>IF(VLOOKUP($D481,$C$5:$AT$507,3,)=0,0,(VLOOKUP($D481,$C$5:$AT$507,30,)/VLOOKUP($D481,$C$5:$AT$507,3,))*$E481)</f>
        <v>0</v>
      </c>
      <c r="AG481" s="64">
        <f>SUM(F481:AF481)</f>
        <v>0</v>
      </c>
      <c r="AH481" s="21" t="str">
        <f>IF(ABS(E481-AG481)&lt;0.01,"ok","err")</f>
        <v>ok</v>
      </c>
    </row>
    <row r="482" spans="1:34" x14ac:dyDescent="0.25">
      <c r="E482" s="167"/>
    </row>
    <row r="483" spans="1:34" x14ac:dyDescent="0.25">
      <c r="A483" s="13" t="s">
        <v>2</v>
      </c>
      <c r="E483" s="167"/>
    </row>
    <row r="484" spans="1:34" x14ac:dyDescent="0.25">
      <c r="A484" s="67" t="s">
        <v>208</v>
      </c>
      <c r="C484" s="14" t="s">
        <v>277</v>
      </c>
      <c r="D484" s="14" t="s">
        <v>626</v>
      </c>
      <c r="E484" s="174">
        <f>'Func &amp; Classif'!O465</f>
        <v>58983.638278188788</v>
      </c>
      <c r="F484" s="40">
        <f>IF(VLOOKUP($D484,$C$5:$AT$507,3,)=0,0,(VLOOKUP($D484,$C$5:$AT$507,4,)/VLOOKUP($D484,$C$5:$AT$507,3,))*$E484)</f>
        <v>48548.620144035805</v>
      </c>
      <c r="G484" s="40">
        <f>IF(VLOOKUP($D484,$C$5:$AT$507,3,)=0,0,(VLOOKUP($D484,$C$5:$AT$507,5,)/VLOOKUP($D484,$C$5:$AT$507,3,))*$E484)</f>
        <v>48.057952396628771</v>
      </c>
      <c r="H484" s="40">
        <f>IF(VLOOKUP($D484,$C$5:$AT$507,3,)=0,0,(VLOOKUP($D484,$C$5:$AT$507,6,)/VLOOKUP($D484,$C$5:$AT$507,3,))*$E484)</f>
        <v>2536.4237088498712</v>
      </c>
      <c r="I484" s="40">
        <f>IF(VLOOKUP($D484,$C$5:$AT$507,3,)=0,0,(VLOOKUP($D484,$C$5:$AT$507,7,)/VLOOKUP($D484,$C$5:$AT$507,3,))*$E484)</f>
        <v>6694.7689747870108</v>
      </c>
      <c r="J484" s="40">
        <f>IF(VLOOKUP($D484,$C$5:$AT$507,3,)=0,0,(VLOOKUP($D484,$C$5:$AT$507,8,)/VLOOKUP($D484,$C$5:$AT$507,3,))*$E484)</f>
        <v>1155.7674981194634</v>
      </c>
      <c r="K484" s="40">
        <f>IF(VLOOKUP($D484,$C$5:$AT$507,3,)=0,0,(VLOOKUP($D484,$C$5:$AT$507,9,)/VLOOKUP($D484,$C$5:$AT$507,3,))*$E484)</f>
        <v>0</v>
      </c>
      <c r="L484" s="40">
        <f>IF(VLOOKUP($D484,$C$5:$AT$507,3,)=0,0,(VLOOKUP($D484,$C$5:$AT$507,10,)/VLOOKUP($D484,$C$5:$AT$507,3,))*$E484)</f>
        <v>0</v>
      </c>
      <c r="M484" s="40">
        <f>IF(VLOOKUP($D484,$C$5:$AT$507,3,)=0,0,(VLOOKUP($D484,$C$5:$AT$507,11,)/VLOOKUP($D484,$C$5:$AT$507,3,))*$E484)</f>
        <v>0</v>
      </c>
      <c r="N484" s="40">
        <f>IF(VLOOKUP($D484,$C$5:$AT$507,3,)=0,0,(VLOOKUP($D484,$C$5:$AT$507,12,)/VLOOKUP($D484,$C$5:$AT$507,3,))*$E484)</f>
        <v>0</v>
      </c>
      <c r="O484" s="40">
        <f>IF(VLOOKUP($D484,$C$5:$AT$507,3,)=0,0,(VLOOKUP($D484,$C$5:$AT$507,13,)/VLOOKUP($D484,$C$5:$AT$507,3,))*$E484)</f>
        <v>0</v>
      </c>
      <c r="P484" s="40">
        <f>IF(VLOOKUP($D484,$C$5:$AT$507,3,)=0,0,(VLOOKUP($D484,$C$5:$AT$507,14,)/VLOOKUP($D484,$C$5:$AT$507,3,))*$E484)</f>
        <v>0</v>
      </c>
      <c r="Q484" s="40">
        <f>IF(VLOOKUP($D484,$C$5:$AT$507,3,)=0,0,(VLOOKUP($D484,$C$5:$AT$507,15,)/VLOOKUP($D484,$C$5:$AT$507,3,))*$E484)</f>
        <v>0</v>
      </c>
      <c r="R484" s="40">
        <f>IF(VLOOKUP($D484,$C$5:$AT$507,3,)=0,0,(VLOOKUP($D484,$C$5:$AT$507,16,)/VLOOKUP($D484,$C$5:$AT$507,3,))*$E484)</f>
        <v>0</v>
      </c>
      <c r="S484" s="40">
        <f>IF(VLOOKUP($D484,$C$5:$AT$507,3,)=0,0,(VLOOKUP($D484,$C$5:$AT$507,17,)/VLOOKUP($D484,$C$5:$AT$507,3,))*$E484)</f>
        <v>0</v>
      </c>
      <c r="T484" s="40">
        <f>IF(VLOOKUP($D484,$C$5:$AT$507,3,)=0,0,(VLOOKUP($D484,$C$5:$AT$507,18,)/VLOOKUP($D484,$C$5:$AT$507,3,))*$E484)</f>
        <v>0</v>
      </c>
      <c r="U484" s="40">
        <f>IF(VLOOKUP($D484,$C$5:$AT$507,3,)=0,0,(VLOOKUP($D484,$C$5:$AT$507,19,)/VLOOKUP($D484,$C$5:$AT$507,3,))*$E484)</f>
        <v>0</v>
      </c>
      <c r="V484" s="40">
        <f>IF(VLOOKUP($D484,$C$5:$AT$507,3,)=0,0,(VLOOKUP($D484,$C$5:$AT$507,20,)/VLOOKUP($D484,$C$5:$AT$507,3,))*$E484)</f>
        <v>0</v>
      </c>
      <c r="W484" s="40">
        <f>IF(VLOOKUP($D484,$C$5:$AT$507,3,)=0,0,(VLOOKUP($D484,$C$5:$AT$507,21,)/VLOOKUP($D484,$C$5:$AT$507,3,))*$E484)</f>
        <v>0</v>
      </c>
      <c r="X484" s="40">
        <f>IF(VLOOKUP($D484,$C$5:$AT$507,3,)=0,0,(VLOOKUP($D484,$C$5:$AT$507,22,)/VLOOKUP($D484,$C$5:$AT$507,3,))*$E484)</f>
        <v>0</v>
      </c>
      <c r="Y484" s="40">
        <f>IF(VLOOKUP($D484,$C$5:$AT$507,3,)=0,0,(VLOOKUP($D484,$C$5:$AT$507,23,)/VLOOKUP($D484,$C$5:$AT$507,3,))*$E484)</f>
        <v>0</v>
      </c>
      <c r="Z484" s="40">
        <f>IF(VLOOKUP($D484,$C$5:$AT$507,3,)=0,0,(VLOOKUP($D484,$C$5:$AT$507,24,)/VLOOKUP($D484,$C$5:$AT$507,3,))*$E484)</f>
        <v>0</v>
      </c>
      <c r="AA484" s="40">
        <f>IF(VLOOKUP($D484,$C$5:$AT$507,3,)=0,0,(VLOOKUP($D484,$C$5:$AT$507,25,)/VLOOKUP($D484,$C$5:$AT$507,3,))*$E484)</f>
        <v>0</v>
      </c>
      <c r="AB484" s="40">
        <f>IF(VLOOKUP($D484,$C$5:$AT$507,3,)=0,0,(VLOOKUP($D484,$C$5:$AT$507,26,)/VLOOKUP($D484,$C$5:$AT$507,3,))*$E484)</f>
        <v>0</v>
      </c>
      <c r="AC484" s="40">
        <f>IF(VLOOKUP($D484,$C$5:$AT$507,3,)=0,0,(VLOOKUP($D484,$C$5:$AT$507,27,)/VLOOKUP($D484,$C$5:$AT$507,3,))*$E484)</f>
        <v>0</v>
      </c>
      <c r="AD484" s="40">
        <f>IF(VLOOKUP($D484,$C$5:$AT$507,3,)=0,0,(VLOOKUP($D484,$C$5:$AT$507,28,)/VLOOKUP($D484,$C$5:$AT$507,3,))*$E484)</f>
        <v>0</v>
      </c>
      <c r="AE484" s="40">
        <f>IF(VLOOKUP($D484,$C$5:$AT$507,3,)=0,0,(VLOOKUP($D484,$C$5:$AT$507,29,)/VLOOKUP($D484,$C$5:$AT$507,3,))*$E484)</f>
        <v>0</v>
      </c>
      <c r="AF484" s="40">
        <f>IF(VLOOKUP($D484,$C$5:$AT$507,3,)=0,0,(VLOOKUP($D484,$C$5:$AT$507,30,)/VLOOKUP($D484,$C$5:$AT$507,3,))*$E484)</f>
        <v>0</v>
      </c>
      <c r="AG484" s="64">
        <f>SUM(F484:AF484)</f>
        <v>58983.638278188781</v>
      </c>
      <c r="AH484" s="21" t="str">
        <f>IF(ABS(E484-AG484)&lt;0.01,"ok","err")</f>
        <v>ok</v>
      </c>
    </row>
    <row r="485" spans="1:34" x14ac:dyDescent="0.25">
      <c r="A485" s="67" t="s">
        <v>220</v>
      </c>
      <c r="C485" s="14" t="s">
        <v>278</v>
      </c>
      <c r="D485" s="14" t="s">
        <v>222</v>
      </c>
      <c r="E485" s="167">
        <f>'Func &amp; Classif'!P465</f>
        <v>45063.577049599138</v>
      </c>
      <c r="F485" s="40">
        <f>IF(VLOOKUP($D485,$C$5:$AT$507,3,)=0,0,(VLOOKUP($D485,$C$5:$AT$507,4,)/VLOOKUP($D485,$C$5:$AT$507,3,))*$E485)</f>
        <v>39371.09934732948</v>
      </c>
      <c r="G485" s="40">
        <f>IF(VLOOKUP($D485,$C$5:$AT$507,3,)=0,0,(VLOOKUP($D485,$C$5:$AT$507,5,)/VLOOKUP($D485,$C$5:$AT$507,3,))*$E485)</f>
        <v>29.625842910076109</v>
      </c>
      <c r="H485" s="40">
        <f>IF(VLOOKUP($D485,$C$5:$AT$507,3,)=0,0,(VLOOKUP($D485,$C$5:$AT$507,6,)/VLOOKUP($D485,$C$5:$AT$507,3,))*$E485)</f>
        <v>4812.5535927256969</v>
      </c>
      <c r="I485" s="40">
        <f>IF(VLOOKUP($D485,$C$5:$AT$507,3,)=0,0,(VLOOKUP($D485,$C$5:$AT$507,7,)/VLOOKUP($D485,$C$5:$AT$507,3,))*$E485)</f>
        <v>579.34981690815505</v>
      </c>
      <c r="J485" s="40">
        <f>IF(VLOOKUP($D485,$C$5:$AT$507,3,)=0,0,(VLOOKUP($D485,$C$5:$AT$507,8,)/VLOOKUP($D485,$C$5:$AT$507,3,))*$E485)</f>
        <v>8.229400808354475</v>
      </c>
      <c r="K485" s="40">
        <f>IF(VLOOKUP($D485,$C$5:$AT$507,3,)=0,0,(VLOOKUP($D485,$C$5:$AT$507,9,)/VLOOKUP($D485,$C$5:$AT$507,3,))*$E485)</f>
        <v>262.7190489173787</v>
      </c>
      <c r="L485" s="40">
        <f>IF(VLOOKUP($D485,$C$5:$AT$507,3,)=0,0,(VLOOKUP($D485,$C$5:$AT$507,10,)/VLOOKUP($D485,$C$5:$AT$507,3,))*$E485)</f>
        <v>0</v>
      </c>
      <c r="M485" s="40">
        <f>IF(VLOOKUP($D485,$C$5:$AT$507,3,)=0,0,(VLOOKUP($D485,$C$5:$AT$507,11,)/VLOOKUP($D485,$C$5:$AT$507,3,))*$E485)</f>
        <v>0</v>
      </c>
      <c r="N485" s="40">
        <f>IF(VLOOKUP($D485,$C$5:$AT$507,3,)=0,0,(VLOOKUP($D485,$C$5:$AT$507,12,)/VLOOKUP($D485,$C$5:$AT$507,3,))*$E485)</f>
        <v>0</v>
      </c>
      <c r="O485" s="40">
        <f>IF(VLOOKUP($D485,$C$5:$AT$507,3,)=0,0,(VLOOKUP($D485,$C$5:$AT$507,13,)/VLOOKUP($D485,$C$5:$AT$507,3,))*$E485)</f>
        <v>0</v>
      </c>
      <c r="P485" s="40">
        <f>IF(VLOOKUP($D485,$C$5:$AT$507,3,)=0,0,(VLOOKUP($D485,$C$5:$AT$507,14,)/VLOOKUP($D485,$C$5:$AT$507,3,))*$E485)</f>
        <v>0</v>
      </c>
      <c r="Q485" s="40">
        <f>IF(VLOOKUP($D485,$C$5:$AT$507,3,)=0,0,(VLOOKUP($D485,$C$5:$AT$507,15,)/VLOOKUP($D485,$C$5:$AT$507,3,))*$E485)</f>
        <v>0</v>
      </c>
      <c r="R485" s="40">
        <f>IF(VLOOKUP($D485,$C$5:$AT$507,3,)=0,0,(VLOOKUP($D485,$C$5:$AT$507,16,)/VLOOKUP($D485,$C$5:$AT$507,3,))*$E485)</f>
        <v>0</v>
      </c>
      <c r="S485" s="40">
        <f>IF(VLOOKUP($D485,$C$5:$AT$507,3,)=0,0,(VLOOKUP($D485,$C$5:$AT$507,17,)/VLOOKUP($D485,$C$5:$AT$507,3,))*$E485)</f>
        <v>0</v>
      </c>
      <c r="T485" s="40">
        <f>IF(VLOOKUP($D485,$C$5:$AT$507,3,)=0,0,(VLOOKUP($D485,$C$5:$AT$507,18,)/VLOOKUP($D485,$C$5:$AT$507,3,))*$E485)</f>
        <v>0</v>
      </c>
      <c r="U485" s="40">
        <f>IF(VLOOKUP($D485,$C$5:$AT$507,3,)=0,0,(VLOOKUP($D485,$C$5:$AT$507,19,)/VLOOKUP($D485,$C$5:$AT$507,3,))*$E485)</f>
        <v>0</v>
      </c>
      <c r="V485" s="40">
        <f>IF(VLOOKUP($D485,$C$5:$AT$507,3,)=0,0,(VLOOKUP($D485,$C$5:$AT$507,20,)/VLOOKUP($D485,$C$5:$AT$507,3,))*$E485)</f>
        <v>0</v>
      </c>
      <c r="W485" s="40">
        <f>IF(VLOOKUP($D485,$C$5:$AT$507,3,)=0,0,(VLOOKUP($D485,$C$5:$AT$507,21,)/VLOOKUP($D485,$C$5:$AT$507,3,))*$E485)</f>
        <v>0</v>
      </c>
      <c r="X485" s="40">
        <f>IF(VLOOKUP($D485,$C$5:$AT$507,3,)=0,0,(VLOOKUP($D485,$C$5:$AT$507,22,)/VLOOKUP($D485,$C$5:$AT$507,3,))*$E485)</f>
        <v>0</v>
      </c>
      <c r="Y485" s="40">
        <f>IF(VLOOKUP($D485,$C$5:$AT$507,3,)=0,0,(VLOOKUP($D485,$C$5:$AT$507,23,)/VLOOKUP($D485,$C$5:$AT$507,3,))*$E485)</f>
        <v>0</v>
      </c>
      <c r="Z485" s="40">
        <f>IF(VLOOKUP($D485,$C$5:$AT$507,3,)=0,0,(VLOOKUP($D485,$C$5:$AT$507,24,)/VLOOKUP($D485,$C$5:$AT$507,3,))*$E485)</f>
        <v>0</v>
      </c>
      <c r="AA485" s="40">
        <f>IF(VLOOKUP($D485,$C$5:$AT$507,3,)=0,0,(VLOOKUP($D485,$C$5:$AT$507,25,)/VLOOKUP($D485,$C$5:$AT$507,3,))*$E485)</f>
        <v>0</v>
      </c>
      <c r="AB485" s="40">
        <f>IF(VLOOKUP($D485,$C$5:$AT$507,3,)=0,0,(VLOOKUP($D485,$C$5:$AT$507,26,)/VLOOKUP($D485,$C$5:$AT$507,3,))*$E485)</f>
        <v>0</v>
      </c>
      <c r="AC485" s="40">
        <f>IF(VLOOKUP($D485,$C$5:$AT$507,3,)=0,0,(VLOOKUP($D485,$C$5:$AT$507,27,)/VLOOKUP($D485,$C$5:$AT$507,3,))*$E485)</f>
        <v>0</v>
      </c>
      <c r="AD485" s="40">
        <f>IF(VLOOKUP($D485,$C$5:$AT$507,3,)=0,0,(VLOOKUP($D485,$C$5:$AT$507,28,)/VLOOKUP($D485,$C$5:$AT$507,3,))*$E485)</f>
        <v>0</v>
      </c>
      <c r="AE485" s="40">
        <f>IF(VLOOKUP($D485,$C$5:$AT$507,3,)=0,0,(VLOOKUP($D485,$C$5:$AT$507,29,)/VLOOKUP($D485,$C$5:$AT$507,3,))*$E485)</f>
        <v>0</v>
      </c>
      <c r="AF485" s="40">
        <f>IF(VLOOKUP($D485,$C$5:$AT$507,3,)=0,0,(VLOOKUP($D485,$C$5:$AT$507,30,)/VLOOKUP($D485,$C$5:$AT$507,3,))*$E485)</f>
        <v>0</v>
      </c>
      <c r="AG485" s="64">
        <f>SUM(F485:AF485)</f>
        <v>45063.577049599146</v>
      </c>
      <c r="AH485" s="21" t="str">
        <f>IF(ABS(E485-AG485)&lt;0.01,"ok","err")</f>
        <v>ok</v>
      </c>
    </row>
    <row r="486" spans="1:34" x14ac:dyDescent="0.25">
      <c r="A486" s="14" t="s">
        <v>223</v>
      </c>
      <c r="E486" s="174">
        <f t="shared" ref="E486:T486" si="201">E484+E485</f>
        <v>104047.21532778793</v>
      </c>
      <c r="F486" s="40">
        <f t="shared" si="201"/>
        <v>87919.719491365278</v>
      </c>
      <c r="G486" s="40">
        <f t="shared" si="201"/>
        <v>77.68379530670488</v>
      </c>
      <c r="H486" s="40">
        <f t="shared" si="201"/>
        <v>7348.9773015755682</v>
      </c>
      <c r="I486" s="40">
        <f t="shared" si="201"/>
        <v>7274.1187916951658</v>
      </c>
      <c r="J486" s="40">
        <f t="shared" si="201"/>
        <v>1163.9968989278179</v>
      </c>
      <c r="K486" s="40">
        <f t="shared" si="201"/>
        <v>262.7190489173787</v>
      </c>
      <c r="L486" s="40">
        <f t="shared" si="201"/>
        <v>0</v>
      </c>
      <c r="M486" s="40">
        <f t="shared" si="201"/>
        <v>0</v>
      </c>
      <c r="N486" s="40">
        <f t="shared" si="201"/>
        <v>0</v>
      </c>
      <c r="O486" s="40">
        <f t="shared" si="201"/>
        <v>0</v>
      </c>
      <c r="P486" s="40">
        <f t="shared" si="201"/>
        <v>0</v>
      </c>
      <c r="Q486" s="40">
        <f t="shared" si="201"/>
        <v>0</v>
      </c>
      <c r="R486" s="40">
        <f t="shared" si="201"/>
        <v>0</v>
      </c>
      <c r="S486" s="40">
        <f t="shared" si="201"/>
        <v>0</v>
      </c>
      <c r="T486" s="40">
        <f t="shared" si="201"/>
        <v>0</v>
      </c>
      <c r="U486" s="40">
        <f t="shared" ref="U486:AF486" si="202">U484+U485</f>
        <v>0</v>
      </c>
      <c r="V486" s="40">
        <f t="shared" si="202"/>
        <v>0</v>
      </c>
      <c r="W486" s="40">
        <f t="shared" si="202"/>
        <v>0</v>
      </c>
      <c r="X486" s="40">
        <f t="shared" si="202"/>
        <v>0</v>
      </c>
      <c r="Y486" s="40">
        <f t="shared" si="202"/>
        <v>0</v>
      </c>
      <c r="Z486" s="40">
        <f t="shared" si="202"/>
        <v>0</v>
      </c>
      <c r="AA486" s="40">
        <f t="shared" si="202"/>
        <v>0</v>
      </c>
      <c r="AB486" s="40">
        <f t="shared" si="202"/>
        <v>0</v>
      </c>
      <c r="AC486" s="40">
        <f t="shared" si="202"/>
        <v>0</v>
      </c>
      <c r="AD486" s="40">
        <f t="shared" si="202"/>
        <v>0</v>
      </c>
      <c r="AE486" s="40">
        <f t="shared" si="202"/>
        <v>0</v>
      </c>
      <c r="AF486" s="40">
        <f t="shared" si="202"/>
        <v>0</v>
      </c>
      <c r="AG486" s="64">
        <f>SUM(F486:AF486)</f>
        <v>104047.2153277879</v>
      </c>
      <c r="AH486" s="21" t="str">
        <f>IF(ABS(E486-AG486)&lt;0.01,"ok","err")</f>
        <v>ok</v>
      </c>
    </row>
    <row r="487" spans="1:34" x14ac:dyDescent="0.25">
      <c r="E487" s="167"/>
    </row>
    <row r="488" spans="1:34" x14ac:dyDescent="0.25">
      <c r="A488" s="13" t="s">
        <v>3</v>
      </c>
      <c r="E488" s="167"/>
    </row>
    <row r="489" spans="1:34" x14ac:dyDescent="0.25">
      <c r="A489" s="67" t="s">
        <v>208</v>
      </c>
      <c r="C489" s="14" t="s">
        <v>279</v>
      </c>
      <c r="D489" s="14" t="s">
        <v>698</v>
      </c>
      <c r="E489" s="174">
        <f>'Func &amp; Classif'!R465</f>
        <v>0</v>
      </c>
      <c r="F489" s="40">
        <f>IF(VLOOKUP($D489,$C$5:$AT$507,3,)=0,0,(VLOOKUP($D489,$C$5:$AT$507,4,)/VLOOKUP($D489,$C$5:$AT$507,3,))*$E489)</f>
        <v>0</v>
      </c>
      <c r="G489" s="40">
        <f>IF(VLOOKUP($D489,$C$5:$AT$507,3,)=0,0,(VLOOKUP($D489,$C$5:$AT$507,5,)/VLOOKUP($D489,$C$5:$AT$507,3,))*$E489)</f>
        <v>0</v>
      </c>
      <c r="H489" s="40">
        <f>IF(VLOOKUP($D489,$C$5:$AT$507,3,)=0,0,(VLOOKUP($D489,$C$5:$AT$507,6,)/VLOOKUP($D489,$C$5:$AT$507,3,))*$E489)</f>
        <v>0</v>
      </c>
      <c r="I489" s="40">
        <f>IF(VLOOKUP($D489,$C$5:$AT$507,3,)=0,0,(VLOOKUP($D489,$C$5:$AT$507,7,)/VLOOKUP($D489,$C$5:$AT$507,3,))*$E489)</f>
        <v>0</v>
      </c>
      <c r="J489" s="40">
        <f>IF(VLOOKUP($D489,$C$5:$AT$507,3,)=0,0,(VLOOKUP($D489,$C$5:$AT$507,8,)/VLOOKUP($D489,$C$5:$AT$507,3,))*$E489)</f>
        <v>0</v>
      </c>
      <c r="K489" s="40">
        <f>IF(VLOOKUP($D489,$C$5:$AT$507,3,)=0,0,(VLOOKUP($D489,$C$5:$AT$507,9,)/VLOOKUP($D489,$C$5:$AT$507,3,))*$E489)</f>
        <v>0</v>
      </c>
      <c r="L489" s="40">
        <f>IF(VLOOKUP($D489,$C$5:$AT$507,3,)=0,0,(VLOOKUP($D489,$C$5:$AT$507,10,)/VLOOKUP($D489,$C$5:$AT$507,3,))*$E489)</f>
        <v>0</v>
      </c>
      <c r="M489" s="40">
        <f>IF(VLOOKUP($D489,$C$5:$AT$507,3,)=0,0,(VLOOKUP($D489,$C$5:$AT$507,11,)/VLOOKUP($D489,$C$5:$AT$507,3,))*$E489)</f>
        <v>0</v>
      </c>
      <c r="N489" s="40">
        <f>IF(VLOOKUP($D489,$C$5:$AT$507,3,)=0,0,(VLOOKUP($D489,$C$5:$AT$507,12,)/VLOOKUP($D489,$C$5:$AT$507,3,))*$E489)</f>
        <v>0</v>
      </c>
      <c r="O489" s="40">
        <f>IF(VLOOKUP($D489,$C$5:$AT$507,3,)=0,0,(VLOOKUP($D489,$C$5:$AT$507,13,)/VLOOKUP($D489,$C$5:$AT$507,3,))*$E489)</f>
        <v>0</v>
      </c>
      <c r="P489" s="40">
        <f>IF(VLOOKUP($D489,$C$5:$AT$507,3,)=0,0,(VLOOKUP($D489,$C$5:$AT$507,14,)/VLOOKUP($D489,$C$5:$AT$507,3,))*$E489)</f>
        <v>0</v>
      </c>
      <c r="Q489" s="40">
        <f>IF(VLOOKUP($D489,$C$5:$AT$507,3,)=0,0,(VLOOKUP($D489,$C$5:$AT$507,15,)/VLOOKUP($D489,$C$5:$AT$507,3,))*$E489)</f>
        <v>0</v>
      </c>
      <c r="R489" s="40">
        <f>IF(VLOOKUP($D489,$C$5:$AT$507,3,)=0,0,(VLOOKUP($D489,$C$5:$AT$507,16,)/VLOOKUP($D489,$C$5:$AT$507,3,))*$E489)</f>
        <v>0</v>
      </c>
      <c r="S489" s="40">
        <f>IF(VLOOKUP($D489,$C$5:$AT$507,3,)=0,0,(VLOOKUP($D489,$C$5:$AT$507,17,)/VLOOKUP($D489,$C$5:$AT$507,3,))*$E489)</f>
        <v>0</v>
      </c>
      <c r="T489" s="40">
        <f>IF(VLOOKUP($D489,$C$5:$AT$507,3,)=0,0,(VLOOKUP($D489,$C$5:$AT$507,18,)/VLOOKUP($D489,$C$5:$AT$507,3,))*$E489)</f>
        <v>0</v>
      </c>
      <c r="U489" s="40">
        <f>IF(VLOOKUP($D489,$C$5:$AT$507,3,)=0,0,(VLOOKUP($D489,$C$5:$AT$507,19,)/VLOOKUP($D489,$C$5:$AT$507,3,))*$E489)</f>
        <v>0</v>
      </c>
      <c r="V489" s="40">
        <f>IF(VLOOKUP($D489,$C$5:$AT$507,3,)=0,0,(VLOOKUP($D489,$C$5:$AT$507,20,)/VLOOKUP($D489,$C$5:$AT$507,3,))*$E489)</f>
        <v>0</v>
      </c>
      <c r="W489" s="40">
        <f>IF(VLOOKUP($D489,$C$5:$AT$507,3,)=0,0,(VLOOKUP($D489,$C$5:$AT$507,21,)/VLOOKUP($D489,$C$5:$AT$507,3,))*$E489)</f>
        <v>0</v>
      </c>
      <c r="X489" s="40">
        <f>IF(VLOOKUP($D489,$C$5:$AT$507,3,)=0,0,(VLOOKUP($D489,$C$5:$AT$507,22,)/VLOOKUP($D489,$C$5:$AT$507,3,))*$E489)</f>
        <v>0</v>
      </c>
      <c r="Y489" s="40">
        <f>IF(VLOOKUP($D489,$C$5:$AT$507,3,)=0,0,(VLOOKUP($D489,$C$5:$AT$507,23,)/VLOOKUP($D489,$C$5:$AT$507,3,))*$E489)</f>
        <v>0</v>
      </c>
      <c r="Z489" s="40">
        <f>IF(VLOOKUP($D489,$C$5:$AT$507,3,)=0,0,(VLOOKUP($D489,$C$5:$AT$507,24,)/VLOOKUP($D489,$C$5:$AT$507,3,))*$E489)</f>
        <v>0</v>
      </c>
      <c r="AA489" s="40">
        <f>IF(VLOOKUP($D489,$C$5:$AT$507,3,)=0,0,(VLOOKUP($D489,$C$5:$AT$507,25,)/VLOOKUP($D489,$C$5:$AT$507,3,))*$E489)</f>
        <v>0</v>
      </c>
      <c r="AB489" s="40">
        <f>IF(VLOOKUP($D489,$C$5:$AT$507,3,)=0,0,(VLOOKUP($D489,$C$5:$AT$507,26,)/VLOOKUP($D489,$C$5:$AT$507,3,))*$E489)</f>
        <v>0</v>
      </c>
      <c r="AC489" s="40">
        <f>IF(VLOOKUP($D489,$C$5:$AT$507,3,)=0,0,(VLOOKUP($D489,$C$5:$AT$507,27,)/VLOOKUP($D489,$C$5:$AT$507,3,))*$E489)</f>
        <v>0</v>
      </c>
      <c r="AD489" s="40">
        <f>IF(VLOOKUP($D489,$C$5:$AT$507,3,)=0,0,(VLOOKUP($D489,$C$5:$AT$507,28,)/VLOOKUP($D489,$C$5:$AT$507,3,))*$E489)</f>
        <v>0</v>
      </c>
      <c r="AE489" s="40">
        <f>IF(VLOOKUP($D489,$C$5:$AT$507,3,)=0,0,(VLOOKUP($D489,$C$5:$AT$507,29,)/VLOOKUP($D489,$C$5:$AT$507,3,))*$E489)</f>
        <v>0</v>
      </c>
      <c r="AF489" s="40">
        <f>IF(VLOOKUP($D489,$C$5:$AT$507,3,)=0,0,(VLOOKUP($D489,$C$5:$AT$507,30,)/VLOOKUP($D489,$C$5:$AT$507,3,))*$E489)</f>
        <v>0</v>
      </c>
      <c r="AG489" s="64">
        <f>SUM(F489:AF489)</f>
        <v>0</v>
      </c>
      <c r="AH489" s="21" t="str">
        <f>IF(ABS(E489-AG489)&lt;0.01,"ok","err")</f>
        <v>ok</v>
      </c>
    </row>
    <row r="490" spans="1:34" x14ac:dyDescent="0.25">
      <c r="A490" s="67" t="s">
        <v>220</v>
      </c>
      <c r="C490" s="14" t="s">
        <v>280</v>
      </c>
      <c r="D490" s="14" t="s">
        <v>698</v>
      </c>
      <c r="E490" s="167">
        <f>'Func &amp; Classif'!S465</f>
        <v>1985.1052062255544</v>
      </c>
      <c r="F490" s="40">
        <f>IF(VLOOKUP($D490,$C$5:$AT$507,3,)=0,0,(VLOOKUP($D490,$C$5:$AT$507,4,)/VLOOKUP($D490,$C$5:$AT$507,3,))*$E490)</f>
        <v>1708.4699396939268</v>
      </c>
      <c r="G490" s="40">
        <f>IF(VLOOKUP($D490,$C$5:$AT$507,3,)=0,0,(VLOOKUP($D490,$C$5:$AT$507,5,)/VLOOKUP($D490,$C$5:$AT$507,3,))*$E490)</f>
        <v>1.2855841693278158</v>
      </c>
      <c r="H490" s="40">
        <f>IF(VLOOKUP($D490,$C$5:$AT$507,3,)=0,0,(VLOOKUP($D490,$C$5:$AT$507,6,)/VLOOKUP($D490,$C$5:$AT$507,3,))*$E490)</f>
        <v>238.66972134060532</v>
      </c>
      <c r="I490" s="40">
        <f>IF(VLOOKUP($D490,$C$5:$AT$507,3,)=0,0,(VLOOKUP($D490,$C$5:$AT$507,7,)/VLOOKUP($D490,$C$5:$AT$507,3,))*$E490)</f>
        <v>35.914732349475493</v>
      </c>
      <c r="J490" s="40">
        <f>IF(VLOOKUP($D490,$C$5:$AT$507,3,)=0,0,(VLOOKUP($D490,$C$5:$AT$507,8,)/VLOOKUP($D490,$C$5:$AT$507,3,))*$E490)</f>
        <v>0.76522867221893798</v>
      </c>
      <c r="K490" s="40">
        <f>IF(VLOOKUP($D490,$C$5:$AT$507,3,)=0,0,(VLOOKUP($D490,$C$5:$AT$507,9,)/VLOOKUP($D490,$C$5:$AT$507,3,))*$E490)</f>
        <v>0</v>
      </c>
      <c r="L490" s="40">
        <f>IF(VLOOKUP($D490,$C$5:$AT$507,3,)=0,0,(VLOOKUP($D490,$C$5:$AT$507,10,)/VLOOKUP($D490,$C$5:$AT$507,3,))*$E490)</f>
        <v>0</v>
      </c>
      <c r="M490" s="40">
        <f>IF(VLOOKUP($D490,$C$5:$AT$507,3,)=0,0,(VLOOKUP($D490,$C$5:$AT$507,11,)/VLOOKUP($D490,$C$5:$AT$507,3,))*$E490)</f>
        <v>0</v>
      </c>
      <c r="N490" s="40">
        <f>IF(VLOOKUP($D490,$C$5:$AT$507,3,)=0,0,(VLOOKUP($D490,$C$5:$AT$507,12,)/VLOOKUP($D490,$C$5:$AT$507,3,))*$E490)</f>
        <v>0</v>
      </c>
      <c r="O490" s="40">
        <f>IF(VLOOKUP($D490,$C$5:$AT$507,3,)=0,0,(VLOOKUP($D490,$C$5:$AT$507,13,)/VLOOKUP($D490,$C$5:$AT$507,3,))*$E490)</f>
        <v>0</v>
      </c>
      <c r="P490" s="40">
        <f>IF(VLOOKUP($D490,$C$5:$AT$507,3,)=0,0,(VLOOKUP($D490,$C$5:$AT$507,14,)/VLOOKUP($D490,$C$5:$AT$507,3,))*$E490)</f>
        <v>0</v>
      </c>
      <c r="Q490" s="40">
        <f>IF(VLOOKUP($D490,$C$5:$AT$507,3,)=0,0,(VLOOKUP($D490,$C$5:$AT$507,15,)/VLOOKUP($D490,$C$5:$AT$507,3,))*$E490)</f>
        <v>0</v>
      </c>
      <c r="R490" s="40">
        <f>IF(VLOOKUP($D490,$C$5:$AT$507,3,)=0,0,(VLOOKUP($D490,$C$5:$AT$507,16,)/VLOOKUP($D490,$C$5:$AT$507,3,))*$E490)</f>
        <v>0</v>
      </c>
      <c r="S490" s="40">
        <f>IF(VLOOKUP($D490,$C$5:$AT$507,3,)=0,0,(VLOOKUP($D490,$C$5:$AT$507,17,)/VLOOKUP($D490,$C$5:$AT$507,3,))*$E490)</f>
        <v>0</v>
      </c>
      <c r="T490" s="40">
        <f>IF(VLOOKUP($D490,$C$5:$AT$507,3,)=0,0,(VLOOKUP($D490,$C$5:$AT$507,18,)/VLOOKUP($D490,$C$5:$AT$507,3,))*$E490)</f>
        <v>0</v>
      </c>
      <c r="U490" s="40">
        <f>IF(VLOOKUP($D490,$C$5:$AT$507,3,)=0,0,(VLOOKUP($D490,$C$5:$AT$507,19,)/VLOOKUP($D490,$C$5:$AT$507,3,))*$E490)</f>
        <v>0</v>
      </c>
      <c r="V490" s="40">
        <f>IF(VLOOKUP($D490,$C$5:$AT$507,3,)=0,0,(VLOOKUP($D490,$C$5:$AT$507,20,)/VLOOKUP($D490,$C$5:$AT$507,3,))*$E490)</f>
        <v>0</v>
      </c>
      <c r="W490" s="40">
        <f>IF(VLOOKUP($D490,$C$5:$AT$507,3,)=0,0,(VLOOKUP($D490,$C$5:$AT$507,21,)/VLOOKUP($D490,$C$5:$AT$507,3,))*$E490)</f>
        <v>0</v>
      </c>
      <c r="X490" s="40">
        <f>IF(VLOOKUP($D490,$C$5:$AT$507,3,)=0,0,(VLOOKUP($D490,$C$5:$AT$507,22,)/VLOOKUP($D490,$C$5:$AT$507,3,))*$E490)</f>
        <v>0</v>
      </c>
      <c r="Y490" s="40">
        <f>IF(VLOOKUP($D490,$C$5:$AT$507,3,)=0,0,(VLOOKUP($D490,$C$5:$AT$507,23,)/VLOOKUP($D490,$C$5:$AT$507,3,))*$E490)</f>
        <v>0</v>
      </c>
      <c r="Z490" s="40">
        <f>IF(VLOOKUP($D490,$C$5:$AT$507,3,)=0,0,(VLOOKUP($D490,$C$5:$AT$507,24,)/VLOOKUP($D490,$C$5:$AT$507,3,))*$E490)</f>
        <v>0</v>
      </c>
      <c r="AA490" s="40">
        <f>IF(VLOOKUP($D490,$C$5:$AT$507,3,)=0,0,(VLOOKUP($D490,$C$5:$AT$507,25,)/VLOOKUP($D490,$C$5:$AT$507,3,))*$E490)</f>
        <v>0</v>
      </c>
      <c r="AB490" s="40">
        <f>IF(VLOOKUP($D490,$C$5:$AT$507,3,)=0,0,(VLOOKUP($D490,$C$5:$AT$507,26,)/VLOOKUP($D490,$C$5:$AT$507,3,))*$E490)</f>
        <v>0</v>
      </c>
      <c r="AC490" s="40">
        <f>IF(VLOOKUP($D490,$C$5:$AT$507,3,)=0,0,(VLOOKUP($D490,$C$5:$AT$507,27,)/VLOOKUP($D490,$C$5:$AT$507,3,))*$E490)</f>
        <v>0</v>
      </c>
      <c r="AD490" s="40">
        <f>IF(VLOOKUP($D490,$C$5:$AT$507,3,)=0,0,(VLOOKUP($D490,$C$5:$AT$507,28,)/VLOOKUP($D490,$C$5:$AT$507,3,))*$E490)</f>
        <v>0</v>
      </c>
      <c r="AE490" s="40">
        <f>IF(VLOOKUP($D490,$C$5:$AT$507,3,)=0,0,(VLOOKUP($D490,$C$5:$AT$507,29,)/VLOOKUP($D490,$C$5:$AT$507,3,))*$E490)</f>
        <v>0</v>
      </c>
      <c r="AF490" s="40">
        <f>IF(VLOOKUP($D490,$C$5:$AT$507,3,)=0,0,(VLOOKUP($D490,$C$5:$AT$507,30,)/VLOOKUP($D490,$C$5:$AT$507,3,))*$E490)</f>
        <v>0</v>
      </c>
      <c r="AG490" s="64">
        <f>SUM(F490:AF490)</f>
        <v>1985.1052062255544</v>
      </c>
      <c r="AH490" s="21" t="str">
        <f>IF(ABS(E490-AG490)&lt;0.01,"ok","err")</f>
        <v>ok</v>
      </c>
    </row>
    <row r="491" spans="1:34" x14ac:dyDescent="0.25">
      <c r="A491" s="14" t="s">
        <v>227</v>
      </c>
      <c r="E491" s="174">
        <f t="shared" ref="E491:T491" si="203">E489+E490</f>
        <v>1985.1052062255544</v>
      </c>
      <c r="F491" s="40">
        <f t="shared" si="203"/>
        <v>1708.4699396939268</v>
      </c>
      <c r="G491" s="40">
        <f t="shared" si="203"/>
        <v>1.2855841693278158</v>
      </c>
      <c r="H491" s="40">
        <f t="shared" si="203"/>
        <v>238.66972134060532</v>
      </c>
      <c r="I491" s="40">
        <f t="shared" si="203"/>
        <v>35.914732349475493</v>
      </c>
      <c r="J491" s="40">
        <f t="shared" si="203"/>
        <v>0.76522867221893798</v>
      </c>
      <c r="K491" s="40">
        <f t="shared" si="203"/>
        <v>0</v>
      </c>
      <c r="L491" s="40">
        <f t="shared" si="203"/>
        <v>0</v>
      </c>
      <c r="M491" s="40">
        <f t="shared" si="203"/>
        <v>0</v>
      </c>
      <c r="N491" s="40">
        <f t="shared" si="203"/>
        <v>0</v>
      </c>
      <c r="O491" s="40">
        <f t="shared" si="203"/>
        <v>0</v>
      </c>
      <c r="P491" s="40">
        <f t="shared" si="203"/>
        <v>0</v>
      </c>
      <c r="Q491" s="40">
        <f t="shared" si="203"/>
        <v>0</v>
      </c>
      <c r="R491" s="40">
        <f t="shared" si="203"/>
        <v>0</v>
      </c>
      <c r="S491" s="40">
        <f t="shared" si="203"/>
        <v>0</v>
      </c>
      <c r="T491" s="40">
        <f t="shared" si="203"/>
        <v>0</v>
      </c>
      <c r="U491" s="40">
        <f t="shared" ref="U491:AF491" si="204">U489+U490</f>
        <v>0</v>
      </c>
      <c r="V491" s="40">
        <f t="shared" si="204"/>
        <v>0</v>
      </c>
      <c r="W491" s="40">
        <f t="shared" si="204"/>
        <v>0</v>
      </c>
      <c r="X491" s="40">
        <f t="shared" si="204"/>
        <v>0</v>
      </c>
      <c r="Y491" s="40">
        <f t="shared" si="204"/>
        <v>0</v>
      </c>
      <c r="Z491" s="40">
        <f t="shared" si="204"/>
        <v>0</v>
      </c>
      <c r="AA491" s="40">
        <f t="shared" si="204"/>
        <v>0</v>
      </c>
      <c r="AB491" s="40">
        <f t="shared" si="204"/>
        <v>0</v>
      </c>
      <c r="AC491" s="40">
        <f t="shared" si="204"/>
        <v>0</v>
      </c>
      <c r="AD491" s="40">
        <f t="shared" si="204"/>
        <v>0</v>
      </c>
      <c r="AE491" s="40">
        <f t="shared" si="204"/>
        <v>0</v>
      </c>
      <c r="AF491" s="40">
        <f t="shared" si="204"/>
        <v>0</v>
      </c>
      <c r="AG491" s="64">
        <f>SUM(F491:AF491)</f>
        <v>1985.1052062255544</v>
      </c>
      <c r="AH491" s="21" t="str">
        <f>IF(ABS(E491-AG491)&lt;0.01,"ok","err")</f>
        <v>ok</v>
      </c>
    </row>
    <row r="492" spans="1:34" x14ac:dyDescent="0.25">
      <c r="E492" s="167"/>
    </row>
    <row r="493" spans="1:34" x14ac:dyDescent="0.25">
      <c r="A493" s="13" t="s">
        <v>4</v>
      </c>
      <c r="E493" s="167"/>
    </row>
    <row r="494" spans="1:34" x14ac:dyDescent="0.25">
      <c r="A494" s="67" t="s">
        <v>220</v>
      </c>
      <c r="C494" s="14" t="s">
        <v>281</v>
      </c>
      <c r="D494" s="14" t="s">
        <v>229</v>
      </c>
      <c r="E494" s="174">
        <f>'Func &amp; Classif'!U465</f>
        <v>4101.5668384930959</v>
      </c>
      <c r="F494" s="40">
        <f>IF(VLOOKUP($D494,$C$5:$AT$507,3,)=0,0,(VLOOKUP($D494,$C$5:$AT$507,4,)/VLOOKUP($D494,$C$5:$AT$507,3,))*$E494)</f>
        <v>3069.9828012013313</v>
      </c>
      <c r="G494" s="40">
        <f>IF(VLOOKUP($D494,$C$5:$AT$507,3,)=0,0,(VLOOKUP($D494,$C$5:$AT$507,5,)/VLOOKUP($D494,$C$5:$AT$507,3,))*$E494)</f>
        <v>2.3100911509395075</v>
      </c>
      <c r="H494" s="40">
        <f>IF(VLOOKUP($D494,$C$5:$AT$507,3,)=0,0,(VLOOKUP($D494,$C$5:$AT$507,6,)/VLOOKUP($D494,$C$5:$AT$507,3,))*$E494)</f>
        <v>750.52294726079117</v>
      </c>
      <c r="I494" s="40">
        <f>IF(VLOOKUP($D494,$C$5:$AT$507,3,)=0,0,(VLOOKUP($D494,$C$5:$AT$507,7,)/VLOOKUP($D494,$C$5:$AT$507,3,))*$E494)</f>
        <v>271.05069504356891</v>
      </c>
      <c r="J494" s="40">
        <f>IF(VLOOKUP($D494,$C$5:$AT$507,3,)=0,0,(VLOOKUP($D494,$C$5:$AT$507,8,)/VLOOKUP($D494,$C$5:$AT$507,3,))*$E494)</f>
        <v>7.7003038364650251</v>
      </c>
      <c r="K494" s="40">
        <f>IF(VLOOKUP($D494,$C$5:$AT$507,3,)=0,0,(VLOOKUP($D494,$C$5:$AT$507,9,)/VLOOKUP($D494,$C$5:$AT$507,3,))*$E494)</f>
        <v>0</v>
      </c>
      <c r="L494" s="40">
        <f>IF(VLOOKUP($D494,$C$5:$AT$507,3,)=0,0,(VLOOKUP($D494,$C$5:$AT$507,10,)/VLOOKUP($D494,$C$5:$AT$507,3,))*$E494)</f>
        <v>0</v>
      </c>
      <c r="M494" s="40">
        <f>IF(VLOOKUP($D494,$C$5:$AT$507,3,)=0,0,(VLOOKUP($D494,$C$5:$AT$507,11,)/VLOOKUP($D494,$C$5:$AT$507,3,))*$E494)</f>
        <v>0</v>
      </c>
      <c r="N494" s="40">
        <f>IF(VLOOKUP($D494,$C$5:$AT$507,3,)=0,0,(VLOOKUP($D494,$C$5:$AT$507,12,)/VLOOKUP($D494,$C$5:$AT$507,3,))*$E494)</f>
        <v>0</v>
      </c>
      <c r="O494" s="40">
        <f>IF(VLOOKUP($D494,$C$5:$AT$507,3,)=0,0,(VLOOKUP($D494,$C$5:$AT$507,13,)/VLOOKUP($D494,$C$5:$AT$507,3,))*$E494)</f>
        <v>0</v>
      </c>
      <c r="P494" s="40">
        <f>IF(VLOOKUP($D494,$C$5:$AT$507,3,)=0,0,(VLOOKUP($D494,$C$5:$AT$507,14,)/VLOOKUP($D494,$C$5:$AT$507,3,))*$E494)</f>
        <v>0</v>
      </c>
      <c r="Q494" s="40">
        <f>IF(VLOOKUP($D494,$C$5:$AT$507,3,)=0,0,(VLOOKUP($D494,$C$5:$AT$507,15,)/VLOOKUP($D494,$C$5:$AT$507,3,))*$E494)</f>
        <v>0</v>
      </c>
      <c r="R494" s="40">
        <f>IF(VLOOKUP($D494,$C$5:$AT$507,3,)=0,0,(VLOOKUP($D494,$C$5:$AT$507,16,)/VLOOKUP($D494,$C$5:$AT$507,3,))*$E494)</f>
        <v>0</v>
      </c>
      <c r="S494" s="40">
        <f>IF(VLOOKUP($D494,$C$5:$AT$507,3,)=0,0,(VLOOKUP($D494,$C$5:$AT$507,17,)/VLOOKUP($D494,$C$5:$AT$507,3,))*$E494)</f>
        <v>0</v>
      </c>
      <c r="T494" s="40">
        <f>IF(VLOOKUP($D494,$C$5:$AT$507,3,)=0,0,(VLOOKUP($D494,$C$5:$AT$507,18,)/VLOOKUP($D494,$C$5:$AT$507,3,))*$E494)</f>
        <v>0</v>
      </c>
      <c r="U494" s="40">
        <f>IF(VLOOKUP($D494,$C$5:$AT$507,3,)=0,0,(VLOOKUP($D494,$C$5:$AT$507,19,)/VLOOKUP($D494,$C$5:$AT$507,3,))*$E494)</f>
        <v>0</v>
      </c>
      <c r="V494" s="40">
        <f>IF(VLOOKUP($D494,$C$5:$AT$507,3,)=0,0,(VLOOKUP($D494,$C$5:$AT$507,20,)/VLOOKUP($D494,$C$5:$AT$507,3,))*$E494)</f>
        <v>0</v>
      </c>
      <c r="W494" s="40">
        <f>IF(VLOOKUP($D494,$C$5:$AT$507,3,)=0,0,(VLOOKUP($D494,$C$5:$AT$507,21,)/VLOOKUP($D494,$C$5:$AT$507,3,))*$E494)</f>
        <v>0</v>
      </c>
      <c r="X494" s="40">
        <f>IF(VLOOKUP($D494,$C$5:$AT$507,3,)=0,0,(VLOOKUP($D494,$C$5:$AT$507,22,)/VLOOKUP($D494,$C$5:$AT$507,3,))*$E494)</f>
        <v>0</v>
      </c>
      <c r="Y494" s="40">
        <f>IF(VLOOKUP($D494,$C$5:$AT$507,3,)=0,0,(VLOOKUP($D494,$C$5:$AT$507,23,)/VLOOKUP($D494,$C$5:$AT$507,3,))*$E494)</f>
        <v>0</v>
      </c>
      <c r="Z494" s="40">
        <f>IF(VLOOKUP($D494,$C$5:$AT$507,3,)=0,0,(VLOOKUP($D494,$C$5:$AT$507,24,)/VLOOKUP($D494,$C$5:$AT$507,3,))*$E494)</f>
        <v>0</v>
      </c>
      <c r="AA494" s="40">
        <f>IF(VLOOKUP($D494,$C$5:$AT$507,3,)=0,0,(VLOOKUP($D494,$C$5:$AT$507,25,)/VLOOKUP($D494,$C$5:$AT$507,3,))*$E494)</f>
        <v>0</v>
      </c>
      <c r="AB494" s="40">
        <f>IF(VLOOKUP($D494,$C$5:$AT$507,3,)=0,0,(VLOOKUP($D494,$C$5:$AT$507,26,)/VLOOKUP($D494,$C$5:$AT$507,3,))*$E494)</f>
        <v>0</v>
      </c>
      <c r="AC494" s="40">
        <f>IF(VLOOKUP($D494,$C$5:$AT$507,3,)=0,0,(VLOOKUP($D494,$C$5:$AT$507,27,)/VLOOKUP($D494,$C$5:$AT$507,3,))*$E494)</f>
        <v>0</v>
      </c>
      <c r="AD494" s="40">
        <f>IF(VLOOKUP($D494,$C$5:$AT$507,3,)=0,0,(VLOOKUP($D494,$C$5:$AT$507,28,)/VLOOKUP($D494,$C$5:$AT$507,3,))*$E494)</f>
        <v>0</v>
      </c>
      <c r="AE494" s="40">
        <f>IF(VLOOKUP($D494,$C$5:$AT$507,3,)=0,0,(VLOOKUP($D494,$C$5:$AT$507,29,)/VLOOKUP($D494,$C$5:$AT$507,3,))*$E494)</f>
        <v>0</v>
      </c>
      <c r="AF494" s="40">
        <f>IF(VLOOKUP($D494,$C$5:$AT$507,3,)=0,0,(VLOOKUP($D494,$C$5:$AT$507,30,)/VLOOKUP($D494,$C$5:$AT$507,3,))*$E494)</f>
        <v>0</v>
      </c>
      <c r="AG494" s="64">
        <f>SUM(F494:AF494)</f>
        <v>4101.5668384930959</v>
      </c>
      <c r="AH494" s="21" t="str">
        <f>IF(ABS(E494-AG494)&lt;0.01,"ok","err")</f>
        <v>ok</v>
      </c>
    </row>
    <row r="495" spans="1:34" x14ac:dyDescent="0.25">
      <c r="E495" s="167"/>
    </row>
    <row r="496" spans="1:34" x14ac:dyDescent="0.25">
      <c r="A496" s="13" t="s">
        <v>5</v>
      </c>
      <c r="E496" s="167"/>
    </row>
    <row r="497" spans="1:40" x14ac:dyDescent="0.25">
      <c r="A497" s="67" t="s">
        <v>220</v>
      </c>
      <c r="C497" s="14" t="s">
        <v>282</v>
      </c>
      <c r="D497" s="14" t="s">
        <v>231</v>
      </c>
      <c r="E497" s="174">
        <f>'Func &amp; Classif'!W465</f>
        <v>18178.429062718944</v>
      </c>
      <c r="F497" s="40">
        <f>IF(VLOOKUP($D497,$C$5:$AT$507,3,)=0,0,(VLOOKUP($D497,$C$5:$AT$507,4,)/VLOOKUP($D497,$C$5:$AT$507,3,))*$E497)</f>
        <v>0</v>
      </c>
      <c r="G497" s="40">
        <f>IF(VLOOKUP($D497,$C$5:$AT$507,3,)=0,0,(VLOOKUP($D497,$C$5:$AT$507,5,)/VLOOKUP($D497,$C$5:$AT$507,3,))*$E497)</f>
        <v>0</v>
      </c>
      <c r="H497" s="40">
        <f>IF(VLOOKUP($D497,$C$5:$AT$507,3,)=0,0,(VLOOKUP($D497,$C$5:$AT$507,6,)/VLOOKUP($D497,$C$5:$AT$507,3,))*$E497)</f>
        <v>0</v>
      </c>
      <c r="I497" s="40">
        <f>IF(VLOOKUP($D497,$C$5:$AT$507,3,)=0,0,(VLOOKUP($D497,$C$5:$AT$507,7,)/VLOOKUP($D497,$C$5:$AT$507,3,))*$E497)</f>
        <v>0</v>
      </c>
      <c r="J497" s="40">
        <f>IF(VLOOKUP($D497,$C$5:$AT$507,3,)=0,0,(VLOOKUP($D497,$C$5:$AT$507,8,)/VLOOKUP($D497,$C$5:$AT$507,3,))*$E497)</f>
        <v>0</v>
      </c>
      <c r="K497" s="40">
        <f>IF(VLOOKUP($D497,$C$5:$AT$507,3,)=0,0,(VLOOKUP($D497,$C$5:$AT$507,9,)/VLOOKUP($D497,$C$5:$AT$507,3,))*$E497)</f>
        <v>18178.429062718944</v>
      </c>
      <c r="L497" s="40">
        <f>IF(VLOOKUP($D497,$C$5:$AT$507,3,)=0,0,(VLOOKUP($D497,$C$5:$AT$507,10,)/VLOOKUP($D497,$C$5:$AT$507,3,))*$E497)</f>
        <v>0</v>
      </c>
      <c r="M497" s="40">
        <f>IF(VLOOKUP($D497,$C$5:$AT$507,3,)=0,0,(VLOOKUP($D497,$C$5:$AT$507,11,)/VLOOKUP($D497,$C$5:$AT$507,3,))*$E497)</f>
        <v>0</v>
      </c>
      <c r="N497" s="40">
        <f>IF(VLOOKUP($D497,$C$5:$AT$507,3,)=0,0,(VLOOKUP($D497,$C$5:$AT$507,12,)/VLOOKUP($D497,$C$5:$AT$507,3,))*$E497)</f>
        <v>0</v>
      </c>
      <c r="O497" s="40">
        <f>IF(VLOOKUP($D497,$C$5:$AT$507,3,)=0,0,(VLOOKUP($D497,$C$5:$AT$507,13,)/VLOOKUP($D497,$C$5:$AT$507,3,))*$E497)</f>
        <v>0</v>
      </c>
      <c r="P497" s="40">
        <f>IF(VLOOKUP($D497,$C$5:$AT$507,3,)=0,0,(VLOOKUP($D497,$C$5:$AT$507,14,)/VLOOKUP($D497,$C$5:$AT$507,3,))*$E497)</f>
        <v>0</v>
      </c>
      <c r="Q497" s="40">
        <f>IF(VLOOKUP($D497,$C$5:$AT$507,3,)=0,0,(VLOOKUP($D497,$C$5:$AT$507,15,)/VLOOKUP($D497,$C$5:$AT$507,3,))*$E497)</f>
        <v>0</v>
      </c>
      <c r="R497" s="40">
        <f>IF(VLOOKUP($D497,$C$5:$AT$507,3,)=0,0,(VLOOKUP($D497,$C$5:$AT$507,16,)/VLOOKUP($D497,$C$5:$AT$507,3,))*$E497)</f>
        <v>0</v>
      </c>
      <c r="S497" s="40">
        <f>IF(VLOOKUP($D497,$C$5:$AT$507,3,)=0,0,(VLOOKUP($D497,$C$5:$AT$507,17,)/VLOOKUP($D497,$C$5:$AT$507,3,))*$E497)</f>
        <v>0</v>
      </c>
      <c r="T497" s="40">
        <f>IF(VLOOKUP($D497,$C$5:$AT$507,3,)=0,0,(VLOOKUP($D497,$C$5:$AT$507,18,)/VLOOKUP($D497,$C$5:$AT$507,3,))*$E497)</f>
        <v>0</v>
      </c>
      <c r="U497" s="40">
        <f>IF(VLOOKUP($D497,$C$5:$AT$507,3,)=0,0,(VLOOKUP($D497,$C$5:$AT$507,19,)/VLOOKUP($D497,$C$5:$AT$507,3,))*$E497)</f>
        <v>0</v>
      </c>
      <c r="V497" s="40">
        <f>IF(VLOOKUP($D497,$C$5:$AT$507,3,)=0,0,(VLOOKUP($D497,$C$5:$AT$507,20,)/VLOOKUP($D497,$C$5:$AT$507,3,))*$E497)</f>
        <v>0</v>
      </c>
      <c r="W497" s="40">
        <f>IF(VLOOKUP($D497,$C$5:$AT$507,3,)=0,0,(VLOOKUP($D497,$C$5:$AT$507,21,)/VLOOKUP($D497,$C$5:$AT$507,3,))*$E497)</f>
        <v>0</v>
      </c>
      <c r="X497" s="40">
        <f>IF(VLOOKUP($D497,$C$5:$AT$507,3,)=0,0,(VLOOKUP($D497,$C$5:$AT$507,22,)/VLOOKUP($D497,$C$5:$AT$507,3,))*$E497)</f>
        <v>0</v>
      </c>
      <c r="Y497" s="40">
        <f>IF(VLOOKUP($D497,$C$5:$AT$507,3,)=0,0,(VLOOKUP($D497,$C$5:$AT$507,23,)/VLOOKUP($D497,$C$5:$AT$507,3,))*$E497)</f>
        <v>0</v>
      </c>
      <c r="Z497" s="40">
        <f>IF(VLOOKUP($D497,$C$5:$AT$507,3,)=0,0,(VLOOKUP($D497,$C$5:$AT$507,24,)/VLOOKUP($D497,$C$5:$AT$507,3,))*$E497)</f>
        <v>0</v>
      </c>
      <c r="AA497" s="40">
        <f>IF(VLOOKUP($D497,$C$5:$AT$507,3,)=0,0,(VLOOKUP($D497,$C$5:$AT$507,25,)/VLOOKUP($D497,$C$5:$AT$507,3,))*$E497)</f>
        <v>0</v>
      </c>
      <c r="AB497" s="40">
        <f>IF(VLOOKUP($D497,$C$5:$AT$507,3,)=0,0,(VLOOKUP($D497,$C$5:$AT$507,26,)/VLOOKUP($D497,$C$5:$AT$507,3,))*$E497)</f>
        <v>0</v>
      </c>
      <c r="AC497" s="40">
        <f>IF(VLOOKUP($D497,$C$5:$AT$507,3,)=0,0,(VLOOKUP($D497,$C$5:$AT$507,27,)/VLOOKUP($D497,$C$5:$AT$507,3,))*$E497)</f>
        <v>0</v>
      </c>
      <c r="AD497" s="40">
        <f>IF(VLOOKUP($D497,$C$5:$AT$507,3,)=0,0,(VLOOKUP($D497,$C$5:$AT$507,28,)/VLOOKUP($D497,$C$5:$AT$507,3,))*$E497)</f>
        <v>0</v>
      </c>
      <c r="AE497" s="40">
        <f>IF(VLOOKUP($D497,$C$5:$AT$507,3,)=0,0,(VLOOKUP($D497,$C$5:$AT$507,29,)/VLOOKUP($D497,$C$5:$AT$507,3,))*$E497)</f>
        <v>0</v>
      </c>
      <c r="AF497" s="40">
        <f>IF(VLOOKUP($D497,$C$5:$AT$507,3,)=0,0,(VLOOKUP($D497,$C$5:$AT$507,30,)/VLOOKUP($D497,$C$5:$AT$507,3,))*$E497)</f>
        <v>0</v>
      </c>
      <c r="AG497" s="64">
        <f>SUM(F497:AF497)</f>
        <v>18178.429062718944</v>
      </c>
      <c r="AH497" s="21" t="str">
        <f>IF(ABS(E497-AG497)&lt;0.01,"ok","err")</f>
        <v>ok</v>
      </c>
    </row>
    <row r="498" spans="1:40" x14ac:dyDescent="0.25">
      <c r="E498" s="167"/>
    </row>
    <row r="499" spans="1:40" x14ac:dyDescent="0.25">
      <c r="A499" s="13" t="s">
        <v>544</v>
      </c>
      <c r="E499" s="167"/>
    </row>
    <row r="500" spans="1:40" x14ac:dyDescent="0.25">
      <c r="A500" s="67" t="s">
        <v>220</v>
      </c>
      <c r="C500" s="14" t="s">
        <v>283</v>
      </c>
      <c r="D500" s="14" t="s">
        <v>233</v>
      </c>
      <c r="E500" s="174">
        <f>'Func &amp; Classif'!Y465</f>
        <v>44262.233564774477</v>
      </c>
      <c r="F500" s="40">
        <f>IF(VLOOKUP($D500,$C$5:$AT$507,3,)=0,0,(VLOOKUP($D500,$C$5:$AT$507,4,)/VLOOKUP($D500,$C$5:$AT$507,3,))*$E500)</f>
        <v>38670.982401050635</v>
      </c>
      <c r="G500" s="40">
        <f>IF(VLOOKUP($D500,$C$5:$AT$507,3,)=0,0,(VLOOKUP($D500,$C$5:$AT$507,5,)/VLOOKUP($D500,$C$5:$AT$507,3,))*$E500)</f>
        <v>29.099021078504716</v>
      </c>
      <c r="H500" s="40">
        <f>IF(VLOOKUP($D500,$C$5:$AT$507,3,)=0,0,(VLOOKUP($D500,$C$5:$AT$507,6,)/VLOOKUP($D500,$C$5:$AT$507,3,))*$E500)</f>
        <v>4726.9743129748776</v>
      </c>
      <c r="I500" s="40">
        <f>IF(VLOOKUP($D500,$C$5:$AT$507,3,)=0,0,(VLOOKUP($D500,$C$5:$AT$507,7,)/VLOOKUP($D500,$C$5:$AT$507,3,))*$E500)</f>
        <v>569.04752331298118</v>
      </c>
      <c r="J500" s="40">
        <f>IF(VLOOKUP($D500,$C$5:$AT$507,3,)=0,0,(VLOOKUP($D500,$C$5:$AT$507,8,)/VLOOKUP($D500,$C$5:$AT$507,3,))*$E500)</f>
        <v>8.0830614106957555</v>
      </c>
      <c r="K500" s="40">
        <f>IF(VLOOKUP($D500,$C$5:$AT$507,3,)=0,0,(VLOOKUP($D500,$C$5:$AT$507,9,)/VLOOKUP($D500,$C$5:$AT$507,3,))*$E500)</f>
        <v>258.04724494678942</v>
      </c>
      <c r="L500" s="40">
        <f>IF(VLOOKUP($D500,$C$5:$AT$507,3,)=0,0,(VLOOKUP($D500,$C$5:$AT$507,10,)/VLOOKUP($D500,$C$5:$AT$507,3,))*$E500)</f>
        <v>0</v>
      </c>
      <c r="M500" s="40">
        <f>IF(VLOOKUP($D500,$C$5:$AT$507,3,)=0,0,(VLOOKUP($D500,$C$5:$AT$507,11,)/VLOOKUP($D500,$C$5:$AT$507,3,))*$E500)</f>
        <v>0</v>
      </c>
      <c r="N500" s="40">
        <f>IF(VLOOKUP($D500,$C$5:$AT$507,3,)=0,0,(VLOOKUP($D500,$C$5:$AT$507,12,)/VLOOKUP($D500,$C$5:$AT$507,3,))*$E500)</f>
        <v>0</v>
      </c>
      <c r="O500" s="40">
        <f>IF(VLOOKUP($D500,$C$5:$AT$507,3,)=0,0,(VLOOKUP($D500,$C$5:$AT$507,13,)/VLOOKUP($D500,$C$5:$AT$507,3,))*$E500)</f>
        <v>0</v>
      </c>
      <c r="P500" s="40">
        <f>IF(VLOOKUP($D500,$C$5:$AT$507,3,)=0,0,(VLOOKUP($D500,$C$5:$AT$507,14,)/VLOOKUP($D500,$C$5:$AT$507,3,))*$E500)</f>
        <v>0</v>
      </c>
      <c r="Q500" s="40">
        <f>IF(VLOOKUP($D500,$C$5:$AT$507,3,)=0,0,(VLOOKUP($D500,$C$5:$AT$507,15,)/VLOOKUP($D500,$C$5:$AT$507,3,))*$E500)</f>
        <v>0</v>
      </c>
      <c r="R500" s="40">
        <f>IF(VLOOKUP($D500,$C$5:$AT$507,3,)=0,0,(VLOOKUP($D500,$C$5:$AT$507,16,)/VLOOKUP($D500,$C$5:$AT$507,3,))*$E500)</f>
        <v>0</v>
      </c>
      <c r="S500" s="40">
        <f>IF(VLOOKUP($D500,$C$5:$AT$507,3,)=0,0,(VLOOKUP($D500,$C$5:$AT$507,17,)/VLOOKUP($D500,$C$5:$AT$507,3,))*$E500)</f>
        <v>0</v>
      </c>
      <c r="T500" s="40">
        <f>IF(VLOOKUP($D500,$C$5:$AT$507,3,)=0,0,(VLOOKUP($D500,$C$5:$AT$507,18,)/VLOOKUP($D500,$C$5:$AT$507,3,))*$E500)</f>
        <v>0</v>
      </c>
      <c r="U500" s="40">
        <f>IF(VLOOKUP($D500,$C$5:$AT$507,3,)=0,0,(VLOOKUP($D500,$C$5:$AT$507,19,)/VLOOKUP($D500,$C$5:$AT$507,3,))*$E500)</f>
        <v>0</v>
      </c>
      <c r="V500" s="40">
        <f>IF(VLOOKUP($D500,$C$5:$AT$507,3,)=0,0,(VLOOKUP($D500,$C$5:$AT$507,20,)/VLOOKUP($D500,$C$5:$AT$507,3,))*$E500)</f>
        <v>0</v>
      </c>
      <c r="W500" s="40">
        <f>IF(VLOOKUP($D500,$C$5:$AT$507,3,)=0,0,(VLOOKUP($D500,$C$5:$AT$507,21,)/VLOOKUP($D500,$C$5:$AT$507,3,))*$E500)</f>
        <v>0</v>
      </c>
      <c r="X500" s="40">
        <f>IF(VLOOKUP($D500,$C$5:$AT$507,3,)=0,0,(VLOOKUP($D500,$C$5:$AT$507,22,)/VLOOKUP($D500,$C$5:$AT$507,3,))*$E500)</f>
        <v>0</v>
      </c>
      <c r="Y500" s="40">
        <f>IF(VLOOKUP($D500,$C$5:$AT$507,3,)=0,0,(VLOOKUP($D500,$C$5:$AT$507,23,)/VLOOKUP($D500,$C$5:$AT$507,3,))*$E500)</f>
        <v>0</v>
      </c>
      <c r="Z500" s="40">
        <f>IF(VLOOKUP($D500,$C$5:$AT$507,3,)=0,0,(VLOOKUP($D500,$C$5:$AT$507,24,)/VLOOKUP($D500,$C$5:$AT$507,3,))*$E500)</f>
        <v>0</v>
      </c>
      <c r="AA500" s="40">
        <f>IF(VLOOKUP($D500,$C$5:$AT$507,3,)=0,0,(VLOOKUP($D500,$C$5:$AT$507,25,)/VLOOKUP($D500,$C$5:$AT$507,3,))*$E500)</f>
        <v>0</v>
      </c>
      <c r="AB500" s="40">
        <f>IF(VLOOKUP($D500,$C$5:$AT$507,3,)=0,0,(VLOOKUP($D500,$C$5:$AT$507,26,)/VLOOKUP($D500,$C$5:$AT$507,3,))*$E500)</f>
        <v>0</v>
      </c>
      <c r="AC500" s="40">
        <f>IF(VLOOKUP($D500,$C$5:$AT$507,3,)=0,0,(VLOOKUP($D500,$C$5:$AT$507,27,)/VLOOKUP($D500,$C$5:$AT$507,3,))*$E500)</f>
        <v>0</v>
      </c>
      <c r="AD500" s="40">
        <f>IF(VLOOKUP($D500,$C$5:$AT$507,3,)=0,0,(VLOOKUP($D500,$C$5:$AT$507,28,)/VLOOKUP($D500,$C$5:$AT$507,3,))*$E500)</f>
        <v>0</v>
      </c>
      <c r="AE500" s="40">
        <f>IF(VLOOKUP($D500,$C$5:$AT$507,3,)=0,0,(VLOOKUP($D500,$C$5:$AT$507,29,)/VLOOKUP($D500,$C$5:$AT$507,3,))*$E500)</f>
        <v>0</v>
      </c>
      <c r="AF500" s="40">
        <f>IF(VLOOKUP($D500,$C$5:$AT$507,3,)=0,0,(VLOOKUP($D500,$C$5:$AT$507,30,)/VLOOKUP($D500,$C$5:$AT$507,3,))*$E500)</f>
        <v>0</v>
      </c>
      <c r="AG500" s="64">
        <f>SUM(F500:AF500)</f>
        <v>44262.233564774484</v>
      </c>
      <c r="AH500" s="21" t="str">
        <f>IF(ABS(E500-AG500)&lt;0.01,"ok","err")</f>
        <v>ok</v>
      </c>
    </row>
    <row r="501" spans="1:40" x14ac:dyDescent="0.25">
      <c r="E501" s="167"/>
    </row>
    <row r="502" spans="1:40" x14ac:dyDescent="0.25">
      <c r="A502" s="13" t="s">
        <v>469</v>
      </c>
      <c r="E502" s="167"/>
    </row>
    <row r="503" spans="1:40" x14ac:dyDescent="0.25">
      <c r="A503" s="67" t="s">
        <v>220</v>
      </c>
      <c r="C503" s="14" t="s">
        <v>280</v>
      </c>
      <c r="D503" s="14" t="s">
        <v>234</v>
      </c>
      <c r="E503" s="174">
        <f>'Func &amp; Classif'!AA465</f>
        <v>0</v>
      </c>
      <c r="F503" s="40">
        <f>IF(VLOOKUP($D503,$C$5:$AT$507,3,)=0,0,(VLOOKUP($D503,$C$5:$AT$507,4,)/VLOOKUP($D503,$C$5:$AT$507,3,))*$E503)</f>
        <v>0</v>
      </c>
      <c r="G503" s="40">
        <f>IF(VLOOKUP($D503,$C$5:$AT$507,3,)=0,0,(VLOOKUP($D503,$C$5:$AT$507,5,)/VLOOKUP($D503,$C$5:$AT$507,3,))*$E503)</f>
        <v>0</v>
      </c>
      <c r="H503" s="40">
        <f>IF(VLOOKUP($D503,$C$5:$AT$507,3,)=0,0,(VLOOKUP($D503,$C$5:$AT$507,6,)/VLOOKUP($D503,$C$5:$AT$507,3,))*$E503)</f>
        <v>0</v>
      </c>
      <c r="I503" s="40">
        <f>IF(VLOOKUP($D503,$C$5:$AT$507,3,)=0,0,(VLOOKUP($D503,$C$5:$AT$507,7,)/VLOOKUP($D503,$C$5:$AT$507,3,))*$E503)</f>
        <v>0</v>
      </c>
      <c r="J503" s="40">
        <f>IF(VLOOKUP($D503,$C$5:$AT$507,3,)=0,0,(VLOOKUP($D503,$C$5:$AT$507,8,)/VLOOKUP($D503,$C$5:$AT$507,3,))*$E503)</f>
        <v>0</v>
      </c>
      <c r="K503" s="40">
        <f>IF(VLOOKUP($D503,$C$5:$AT$507,3,)=0,0,(VLOOKUP($D503,$C$5:$AT$507,9,)/VLOOKUP($D503,$C$5:$AT$507,3,))*$E503)</f>
        <v>0</v>
      </c>
      <c r="L503" s="40">
        <f>IF(VLOOKUP($D503,$C$5:$AT$507,3,)=0,0,(VLOOKUP($D503,$C$5:$AT$507,10,)/VLOOKUP($D503,$C$5:$AT$507,3,))*$E503)</f>
        <v>0</v>
      </c>
      <c r="M503" s="40">
        <f>IF(VLOOKUP($D503,$C$5:$AT$507,3,)=0,0,(VLOOKUP($D503,$C$5:$AT$507,11,)/VLOOKUP($D503,$C$5:$AT$507,3,))*$E503)</f>
        <v>0</v>
      </c>
      <c r="N503" s="40">
        <f>IF(VLOOKUP($D503,$C$5:$AT$507,3,)=0,0,(VLOOKUP($D503,$C$5:$AT$507,12,)/VLOOKUP($D503,$C$5:$AT$507,3,))*$E503)</f>
        <v>0</v>
      </c>
      <c r="O503" s="40">
        <f>IF(VLOOKUP($D503,$C$5:$AT$507,3,)=0,0,(VLOOKUP($D503,$C$5:$AT$507,13,)/VLOOKUP($D503,$C$5:$AT$507,3,))*$E503)</f>
        <v>0</v>
      </c>
      <c r="P503" s="40">
        <f>IF(VLOOKUP($D503,$C$5:$AT$507,3,)=0,0,(VLOOKUP($D503,$C$5:$AT$507,14,)/VLOOKUP($D503,$C$5:$AT$507,3,))*$E503)</f>
        <v>0</v>
      </c>
      <c r="Q503" s="40">
        <f>IF(VLOOKUP($D503,$C$5:$AT$507,3,)=0,0,(VLOOKUP($D503,$C$5:$AT$507,15,)/VLOOKUP($D503,$C$5:$AT$507,3,))*$E503)</f>
        <v>0</v>
      </c>
      <c r="R503" s="40">
        <f>IF(VLOOKUP($D503,$C$5:$AT$507,3,)=0,0,(VLOOKUP($D503,$C$5:$AT$507,16,)/VLOOKUP($D503,$C$5:$AT$507,3,))*$E503)</f>
        <v>0</v>
      </c>
      <c r="S503" s="40">
        <f>IF(VLOOKUP($D503,$C$5:$AT$507,3,)=0,0,(VLOOKUP($D503,$C$5:$AT$507,17,)/VLOOKUP($D503,$C$5:$AT$507,3,))*$E503)</f>
        <v>0</v>
      </c>
      <c r="T503" s="40">
        <f>IF(VLOOKUP($D503,$C$5:$AT$507,3,)=0,0,(VLOOKUP($D503,$C$5:$AT$507,18,)/VLOOKUP($D503,$C$5:$AT$507,3,))*$E503)</f>
        <v>0</v>
      </c>
      <c r="U503" s="40">
        <f>IF(VLOOKUP($D503,$C$5:$AT$507,3,)=0,0,(VLOOKUP($D503,$C$5:$AT$507,19,)/VLOOKUP($D503,$C$5:$AT$507,3,))*$E503)</f>
        <v>0</v>
      </c>
      <c r="V503" s="40">
        <f>IF(VLOOKUP($D503,$C$5:$AT$507,3,)=0,0,(VLOOKUP($D503,$C$5:$AT$507,20,)/VLOOKUP($D503,$C$5:$AT$507,3,))*$E503)</f>
        <v>0</v>
      </c>
      <c r="W503" s="40">
        <f>IF(VLOOKUP($D503,$C$5:$AT$507,3,)=0,0,(VLOOKUP($D503,$C$5:$AT$507,21,)/VLOOKUP($D503,$C$5:$AT$507,3,))*$E503)</f>
        <v>0</v>
      </c>
      <c r="X503" s="40">
        <f>IF(VLOOKUP($D503,$C$5:$AT$507,3,)=0,0,(VLOOKUP($D503,$C$5:$AT$507,22,)/VLOOKUP($D503,$C$5:$AT$507,3,))*$E503)</f>
        <v>0</v>
      </c>
      <c r="Y503" s="40">
        <f>IF(VLOOKUP($D503,$C$5:$AT$507,3,)=0,0,(VLOOKUP($D503,$C$5:$AT$507,23,)/VLOOKUP($D503,$C$5:$AT$507,3,))*$E503)</f>
        <v>0</v>
      </c>
      <c r="Z503" s="40">
        <f>IF(VLOOKUP($D503,$C$5:$AT$507,3,)=0,0,(VLOOKUP($D503,$C$5:$AT$507,24,)/VLOOKUP($D503,$C$5:$AT$507,3,))*$E503)</f>
        <v>0</v>
      </c>
      <c r="AA503" s="40">
        <f>IF(VLOOKUP($D503,$C$5:$AT$507,3,)=0,0,(VLOOKUP($D503,$C$5:$AT$507,25,)/VLOOKUP($D503,$C$5:$AT$507,3,))*$E503)</f>
        <v>0</v>
      </c>
      <c r="AB503" s="40">
        <f>IF(VLOOKUP($D503,$C$5:$AT$507,3,)=0,0,(VLOOKUP($D503,$C$5:$AT$507,26,)/VLOOKUP($D503,$C$5:$AT$507,3,))*$E503)</f>
        <v>0</v>
      </c>
      <c r="AC503" s="40">
        <f>IF(VLOOKUP($D503,$C$5:$AT$507,3,)=0,0,(VLOOKUP($D503,$C$5:$AT$507,27,)/VLOOKUP($D503,$C$5:$AT$507,3,))*$E503)</f>
        <v>0</v>
      </c>
      <c r="AD503" s="40">
        <f>IF(VLOOKUP($D503,$C$5:$AT$507,3,)=0,0,(VLOOKUP($D503,$C$5:$AT$507,28,)/VLOOKUP($D503,$C$5:$AT$507,3,))*$E503)</f>
        <v>0</v>
      </c>
      <c r="AE503" s="40">
        <f>IF(VLOOKUP($D503,$C$5:$AT$507,3,)=0,0,(VLOOKUP($D503,$C$5:$AT$507,29,)/VLOOKUP($D503,$C$5:$AT$507,3,))*$E503)</f>
        <v>0</v>
      </c>
      <c r="AF503" s="40">
        <f>IF(VLOOKUP($D503,$C$5:$AT$507,3,)=0,0,(VLOOKUP($D503,$C$5:$AT$507,30,)/VLOOKUP($D503,$C$5:$AT$507,3,))*$E503)</f>
        <v>0</v>
      </c>
      <c r="AG503" s="64">
        <f>SUM(F503:AF503)</f>
        <v>0</v>
      </c>
      <c r="AH503" s="21" t="str">
        <f>IF(ABS(E503-AG503)&lt;0.01,"ok","err")</f>
        <v>ok</v>
      </c>
    </row>
    <row r="504" spans="1:40" x14ac:dyDescent="0.25">
      <c r="E504" s="167"/>
    </row>
    <row r="505" spans="1:40" x14ac:dyDescent="0.25">
      <c r="A505" s="14" t="s">
        <v>0</v>
      </c>
      <c r="C505" s="14" t="s">
        <v>284</v>
      </c>
      <c r="E505" s="174">
        <f>E475+E478+E481+E486+E491+E494+E497+E500+E503</f>
        <v>172574.55</v>
      </c>
      <c r="F505" s="40">
        <f t="shared" ref="F505:R505" si="205">F475+F478+F481+F486+F491+F494+F497+F500+F503</f>
        <v>131369.15463331118</v>
      </c>
      <c r="G505" s="40">
        <f t="shared" si="205"/>
        <v>110.37849170547693</v>
      </c>
      <c r="H505" s="40">
        <f t="shared" si="205"/>
        <v>13065.144283151843</v>
      </c>
      <c r="I505" s="40">
        <f t="shared" si="205"/>
        <v>8150.1317424011913</v>
      </c>
      <c r="J505" s="40">
        <f t="shared" si="205"/>
        <v>1180.5454928471977</v>
      </c>
      <c r="K505" s="40">
        <f t="shared" si="205"/>
        <v>18699.19535658311</v>
      </c>
      <c r="L505" s="40">
        <f t="shared" si="205"/>
        <v>0</v>
      </c>
      <c r="M505" s="40">
        <f t="shared" si="205"/>
        <v>0</v>
      </c>
      <c r="N505" s="40">
        <f t="shared" si="205"/>
        <v>0</v>
      </c>
      <c r="O505" s="40">
        <f t="shared" si="205"/>
        <v>0</v>
      </c>
      <c r="P505" s="40">
        <f t="shared" si="205"/>
        <v>0</v>
      </c>
      <c r="Q505" s="40">
        <f t="shared" si="205"/>
        <v>0</v>
      </c>
      <c r="R505" s="40">
        <f t="shared" si="205"/>
        <v>0</v>
      </c>
      <c r="S505" s="40">
        <f t="shared" ref="S505:AF505" si="206">S475+S481+S486+S491+S494+S497+S500+S503</f>
        <v>0</v>
      </c>
      <c r="T505" s="40">
        <f t="shared" si="206"/>
        <v>0</v>
      </c>
      <c r="U505" s="40">
        <f t="shared" si="206"/>
        <v>0</v>
      </c>
      <c r="V505" s="40">
        <f t="shared" si="206"/>
        <v>0</v>
      </c>
      <c r="W505" s="40">
        <f t="shared" si="206"/>
        <v>0</v>
      </c>
      <c r="X505" s="40">
        <f t="shared" si="206"/>
        <v>0</v>
      </c>
      <c r="Y505" s="40">
        <f t="shared" si="206"/>
        <v>0</v>
      </c>
      <c r="Z505" s="40">
        <f t="shared" si="206"/>
        <v>0</v>
      </c>
      <c r="AA505" s="40">
        <f t="shared" si="206"/>
        <v>0</v>
      </c>
      <c r="AB505" s="40">
        <f t="shared" si="206"/>
        <v>0</v>
      </c>
      <c r="AC505" s="40">
        <f t="shared" si="206"/>
        <v>0</v>
      </c>
      <c r="AD505" s="40">
        <f t="shared" si="206"/>
        <v>0</v>
      </c>
      <c r="AE505" s="40">
        <f t="shared" si="206"/>
        <v>0</v>
      </c>
      <c r="AF505" s="40">
        <f t="shared" si="206"/>
        <v>0</v>
      </c>
      <c r="AG505" s="64">
        <f>SUM(F505:AF505)</f>
        <v>172574.55</v>
      </c>
      <c r="AH505" s="21" t="str">
        <f>IF(ABS(E505-AG505)&lt;0.01,"ok","err")</f>
        <v>ok</v>
      </c>
    </row>
    <row r="506" spans="1:40" x14ac:dyDescent="0.25">
      <c r="F506" s="131">
        <f>F505/$E505</f>
        <v>0.76123133239119667</v>
      </c>
      <c r="G506" s="131">
        <f>G505/$E505</f>
        <v>6.3959889627686665E-4</v>
      </c>
      <c r="H506" s="131">
        <f>H505/$E505</f>
        <v>7.5707248161167709E-2</v>
      </c>
      <c r="I506" s="131">
        <f>I505/$E505</f>
        <v>4.7226730374792761E-2</v>
      </c>
      <c r="J506" s="131">
        <f>J505/$E505</f>
        <v>6.8407855784482574E-3</v>
      </c>
    </row>
    <row r="507" spans="1:40" x14ac:dyDescent="0.25">
      <c r="A507" s="13" t="s">
        <v>326</v>
      </c>
    </row>
    <row r="508" spans="1:40" x14ac:dyDescent="0.25">
      <c r="AJ508" s="119"/>
      <c r="AK508" s="61"/>
      <c r="AL508" s="61"/>
      <c r="AM508" s="61"/>
      <c r="AN508" s="61"/>
    </row>
    <row r="509" spans="1:40" x14ac:dyDescent="0.25">
      <c r="A509" s="14" t="s">
        <v>642</v>
      </c>
      <c r="E509" s="175">
        <f t="shared" ref="E509:R509" si="207">E123+E161+E199+E237</f>
        <v>9549281.9872807246</v>
      </c>
      <c r="F509" s="64">
        <f t="shared" si="207"/>
        <v>5997691.5253664944</v>
      </c>
      <c r="G509" s="64">
        <f t="shared" si="207"/>
        <v>0</v>
      </c>
      <c r="H509" s="64">
        <f t="shared" si="207"/>
        <v>664498.43453136226</v>
      </c>
      <c r="I509" s="64">
        <f t="shared" si="207"/>
        <v>1424675.0216431818</v>
      </c>
      <c r="J509" s="64">
        <f t="shared" si="207"/>
        <v>707245</v>
      </c>
      <c r="K509" s="64">
        <f t="shared" si="207"/>
        <v>0</v>
      </c>
      <c r="L509" s="64">
        <f t="shared" si="207"/>
        <v>755172</v>
      </c>
      <c r="M509" s="64">
        <f t="shared" si="207"/>
        <v>0</v>
      </c>
      <c r="N509" s="64">
        <f t="shared" si="207"/>
        <v>0</v>
      </c>
      <c r="O509" s="64">
        <f t="shared" si="207"/>
        <v>0</v>
      </c>
      <c r="P509" s="64">
        <f t="shared" si="207"/>
        <v>0</v>
      </c>
      <c r="Q509" s="64">
        <f t="shared" si="207"/>
        <v>0</v>
      </c>
      <c r="R509" s="64">
        <f t="shared" si="207"/>
        <v>0</v>
      </c>
      <c r="S509" s="64">
        <f t="shared" ref="S509:AF509" si="208">S123</f>
        <v>0</v>
      </c>
      <c r="T509" s="64">
        <f t="shared" si="208"/>
        <v>0</v>
      </c>
      <c r="U509" s="64">
        <f t="shared" si="208"/>
        <v>0</v>
      </c>
      <c r="V509" s="64">
        <f t="shared" si="208"/>
        <v>0</v>
      </c>
      <c r="W509" s="64">
        <f t="shared" si="208"/>
        <v>0</v>
      </c>
      <c r="X509" s="64">
        <f t="shared" si="208"/>
        <v>0</v>
      </c>
      <c r="Y509" s="64">
        <f t="shared" si="208"/>
        <v>0</v>
      </c>
      <c r="Z509" s="64">
        <f t="shared" si="208"/>
        <v>0</v>
      </c>
      <c r="AA509" s="64">
        <f t="shared" si="208"/>
        <v>0</v>
      </c>
      <c r="AB509" s="64">
        <f t="shared" si="208"/>
        <v>0</v>
      </c>
      <c r="AC509" s="64">
        <f t="shared" si="208"/>
        <v>0</v>
      </c>
      <c r="AD509" s="64">
        <f t="shared" si="208"/>
        <v>0</v>
      </c>
      <c r="AE509" s="64">
        <f t="shared" si="208"/>
        <v>0</v>
      </c>
      <c r="AF509" s="64">
        <f t="shared" si="208"/>
        <v>0</v>
      </c>
      <c r="AG509" s="64">
        <f>SUM(F509:AF509)</f>
        <v>9549281.9815410394</v>
      </c>
      <c r="AH509" s="21" t="str">
        <f t="shared" ref="AH509:AH514" si="209">IF(ABS(E509-AG509)&lt;0.01,"ok","err")</f>
        <v>ok</v>
      </c>
      <c r="AJ509" s="50"/>
      <c r="AK509" s="50"/>
      <c r="AL509" s="50"/>
      <c r="AM509" s="50"/>
      <c r="AN509" s="50"/>
    </row>
    <row r="510" spans="1:40" x14ac:dyDescent="0.25">
      <c r="A510" s="14" t="s">
        <v>643</v>
      </c>
      <c r="E510" s="175">
        <f t="shared" ref="E510:R510" si="210">E124+E162+E200+E238</f>
        <v>29250739.012719277</v>
      </c>
      <c r="F510" s="64">
        <f t="shared" si="210"/>
        <v>17936122.691295471</v>
      </c>
      <c r="G510" s="64">
        <f t="shared" si="210"/>
        <v>17704.039390933129</v>
      </c>
      <c r="H510" s="64">
        <f t="shared" si="210"/>
        <v>2340530.7161053857</v>
      </c>
      <c r="I510" s="64">
        <f t="shared" si="210"/>
        <v>4800341.5659274869</v>
      </c>
      <c r="J510" s="64">
        <f t="shared" si="210"/>
        <v>1058560</v>
      </c>
      <c r="K510" s="64">
        <f t="shared" si="210"/>
        <v>0</v>
      </c>
      <c r="L510" s="64">
        <f t="shared" si="210"/>
        <v>3097480</v>
      </c>
      <c r="M510" s="64">
        <f t="shared" si="210"/>
        <v>0</v>
      </c>
      <c r="N510" s="64">
        <f t="shared" si="210"/>
        <v>0</v>
      </c>
      <c r="O510" s="64">
        <f t="shared" si="210"/>
        <v>0</v>
      </c>
      <c r="P510" s="64">
        <f t="shared" si="210"/>
        <v>0</v>
      </c>
      <c r="Q510" s="64">
        <f t="shared" si="210"/>
        <v>0</v>
      </c>
      <c r="R510" s="64">
        <f t="shared" si="210"/>
        <v>0</v>
      </c>
      <c r="S510" s="64">
        <f t="shared" ref="S510:AF510" si="211">S124</f>
        <v>0</v>
      </c>
      <c r="T510" s="64">
        <f t="shared" si="211"/>
        <v>0</v>
      </c>
      <c r="U510" s="64">
        <f t="shared" si="211"/>
        <v>0</v>
      </c>
      <c r="V510" s="64">
        <f t="shared" si="211"/>
        <v>0</v>
      </c>
      <c r="W510" s="64">
        <f t="shared" si="211"/>
        <v>0</v>
      </c>
      <c r="X510" s="64">
        <f t="shared" si="211"/>
        <v>0</v>
      </c>
      <c r="Y510" s="64">
        <f t="shared" si="211"/>
        <v>0</v>
      </c>
      <c r="Z510" s="64">
        <f t="shared" si="211"/>
        <v>0</v>
      </c>
      <c r="AA510" s="64">
        <f t="shared" si="211"/>
        <v>0</v>
      </c>
      <c r="AB510" s="64">
        <f t="shared" si="211"/>
        <v>0</v>
      </c>
      <c r="AC510" s="64">
        <f t="shared" si="211"/>
        <v>0</v>
      </c>
      <c r="AD510" s="64">
        <f t="shared" si="211"/>
        <v>0</v>
      </c>
      <c r="AE510" s="64">
        <f t="shared" si="211"/>
        <v>0</v>
      </c>
      <c r="AF510" s="64">
        <f t="shared" si="211"/>
        <v>0</v>
      </c>
      <c r="AG510" s="64">
        <f>SUM(F510:AF510)</f>
        <v>29250739.012719277</v>
      </c>
      <c r="AH510" s="21" t="str">
        <f t="shared" si="209"/>
        <v>ok</v>
      </c>
      <c r="AJ510" s="50"/>
      <c r="AK510" s="50"/>
      <c r="AL510" s="50"/>
      <c r="AM510" s="50"/>
      <c r="AN510" s="50"/>
    </row>
    <row r="511" spans="1:40" x14ac:dyDescent="0.25">
      <c r="A511" s="14" t="s">
        <v>884</v>
      </c>
      <c r="E511" s="175">
        <f t="shared" ref="E511:R511" si="212">E128+E166+E204+E242</f>
        <v>0</v>
      </c>
      <c r="F511" s="64">
        <f t="shared" si="212"/>
        <v>0</v>
      </c>
      <c r="G511" s="64">
        <f t="shared" si="212"/>
        <v>0</v>
      </c>
      <c r="H511" s="64">
        <f t="shared" si="212"/>
        <v>0</v>
      </c>
      <c r="I511" s="64">
        <f t="shared" si="212"/>
        <v>0</v>
      </c>
      <c r="J511" s="64">
        <f t="shared" si="212"/>
        <v>0</v>
      </c>
      <c r="K511" s="64">
        <f t="shared" si="212"/>
        <v>0</v>
      </c>
      <c r="L511" s="64">
        <f t="shared" si="212"/>
        <v>0</v>
      </c>
      <c r="M511" s="64">
        <f t="shared" si="212"/>
        <v>0</v>
      </c>
      <c r="N511" s="64">
        <f t="shared" si="212"/>
        <v>0</v>
      </c>
      <c r="O511" s="64">
        <f t="shared" si="212"/>
        <v>0</v>
      </c>
      <c r="P511" s="64">
        <f t="shared" si="212"/>
        <v>0</v>
      </c>
      <c r="Q511" s="64">
        <f t="shared" si="212"/>
        <v>0</v>
      </c>
      <c r="R511" s="64">
        <f t="shared" si="212"/>
        <v>0</v>
      </c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>
        <f>SUM(F511:AF511)</f>
        <v>0</v>
      </c>
      <c r="AH511" s="21" t="str">
        <f t="shared" si="209"/>
        <v>ok</v>
      </c>
      <c r="AJ511" s="50"/>
      <c r="AK511" s="50"/>
      <c r="AL511" s="50"/>
      <c r="AM511" s="50"/>
      <c r="AN511" s="50"/>
    </row>
    <row r="512" spans="1:40" x14ac:dyDescent="0.25">
      <c r="A512" s="14" t="s">
        <v>644</v>
      </c>
      <c r="D512" s="17">
        <f>E512/(E512+E513)</f>
        <v>0.38639836156347185</v>
      </c>
      <c r="E512" s="175">
        <f t="shared" ref="E512:AG512" si="213">E131+E134+E139+E169+E172+E177+E207+E210+E215+E245+E248+E253</f>
        <v>4378771.6852141181</v>
      </c>
      <c r="F512" s="64">
        <f t="shared" si="213"/>
        <v>3604106.6548031108</v>
      </c>
      <c r="G512" s="64">
        <f t="shared" si="213"/>
        <v>3567.6809255345893</v>
      </c>
      <c r="H512" s="64">
        <f t="shared" si="213"/>
        <v>188296.63008639077</v>
      </c>
      <c r="I512" s="64">
        <f t="shared" si="213"/>
        <v>496999.94238380983</v>
      </c>
      <c r="J512" s="64">
        <f t="shared" si="213"/>
        <v>85800.777015270796</v>
      </c>
      <c r="K512" s="64">
        <f t="shared" si="213"/>
        <v>0</v>
      </c>
      <c r="L512" s="64">
        <f t="shared" si="213"/>
        <v>0</v>
      </c>
      <c r="M512" s="64">
        <f t="shared" si="213"/>
        <v>0</v>
      </c>
      <c r="N512" s="64">
        <f t="shared" si="213"/>
        <v>0</v>
      </c>
      <c r="O512" s="64">
        <f t="shared" si="213"/>
        <v>0</v>
      </c>
      <c r="P512" s="64">
        <f t="shared" si="213"/>
        <v>0</v>
      </c>
      <c r="Q512" s="64">
        <f t="shared" si="213"/>
        <v>0</v>
      </c>
      <c r="R512" s="64">
        <f t="shared" si="213"/>
        <v>0</v>
      </c>
      <c r="S512" s="64">
        <f t="shared" si="213"/>
        <v>0</v>
      </c>
      <c r="T512" s="64">
        <f t="shared" si="213"/>
        <v>0</v>
      </c>
      <c r="U512" s="64">
        <f t="shared" si="213"/>
        <v>0</v>
      </c>
      <c r="V512" s="64">
        <f t="shared" si="213"/>
        <v>0</v>
      </c>
      <c r="W512" s="64">
        <f t="shared" si="213"/>
        <v>0</v>
      </c>
      <c r="X512" s="64">
        <f t="shared" si="213"/>
        <v>0</v>
      </c>
      <c r="Y512" s="64">
        <f t="shared" si="213"/>
        <v>0</v>
      </c>
      <c r="Z512" s="64">
        <f t="shared" si="213"/>
        <v>0</v>
      </c>
      <c r="AA512" s="64">
        <f t="shared" si="213"/>
        <v>0</v>
      </c>
      <c r="AB512" s="64">
        <f t="shared" si="213"/>
        <v>0</v>
      </c>
      <c r="AC512" s="64">
        <f t="shared" si="213"/>
        <v>0</v>
      </c>
      <c r="AD512" s="64">
        <f t="shared" si="213"/>
        <v>0</v>
      </c>
      <c r="AE512" s="64">
        <f t="shared" si="213"/>
        <v>0</v>
      </c>
      <c r="AF512" s="64">
        <f t="shared" si="213"/>
        <v>0</v>
      </c>
      <c r="AG512" s="64">
        <f t="shared" si="213"/>
        <v>4378771.6852141172</v>
      </c>
      <c r="AH512" s="21" t="str">
        <f t="shared" si="209"/>
        <v>ok</v>
      </c>
      <c r="AJ512" s="50"/>
      <c r="AK512" s="50"/>
      <c r="AL512" s="50"/>
      <c r="AM512" s="50"/>
      <c r="AN512" s="50"/>
    </row>
    <row r="513" spans="1:40" x14ac:dyDescent="0.25">
      <c r="A513" s="14" t="s">
        <v>645</v>
      </c>
      <c r="D513" s="17">
        <f>E513/(E512+E513)</f>
        <v>0.61360163843652815</v>
      </c>
      <c r="E513" s="174">
        <f t="shared" ref="E513:AD513" si="214">E135+E140+E144+E147+E150+E153+E173+E178+E182+E185+E188+E191+E211+E216+E220+E223+E226+E229+E249+E254+E258+E261+E264+E267</f>
        <v>6953501.2247858839</v>
      </c>
      <c r="F513" s="40">
        <f t="shared" si="214"/>
        <v>5733900.3089583218</v>
      </c>
      <c r="G513" s="40">
        <f t="shared" si="214"/>
        <v>4314.6275473955857</v>
      </c>
      <c r="H513" s="40">
        <f t="shared" si="214"/>
        <v>804348.17163876526</v>
      </c>
      <c r="I513" s="40">
        <f t="shared" si="214"/>
        <v>145460.99720584261</v>
      </c>
      <c r="J513" s="40">
        <f t="shared" si="214"/>
        <v>3119.2657071691815</v>
      </c>
      <c r="K513" s="40">
        <f t="shared" si="214"/>
        <v>262357.85372838908</v>
      </c>
      <c r="L513" s="40">
        <f t="shared" si="214"/>
        <v>0</v>
      </c>
      <c r="M513" s="40">
        <f t="shared" si="214"/>
        <v>0</v>
      </c>
      <c r="N513" s="40">
        <f t="shared" si="214"/>
        <v>0</v>
      </c>
      <c r="O513" s="40">
        <f t="shared" si="214"/>
        <v>0</v>
      </c>
      <c r="P513" s="40">
        <f t="shared" si="214"/>
        <v>0</v>
      </c>
      <c r="Q513" s="40">
        <f t="shared" si="214"/>
        <v>0</v>
      </c>
      <c r="R513" s="40">
        <f t="shared" si="214"/>
        <v>0</v>
      </c>
      <c r="S513" s="40">
        <f t="shared" si="214"/>
        <v>0</v>
      </c>
      <c r="T513" s="40">
        <f t="shared" si="214"/>
        <v>0</v>
      </c>
      <c r="U513" s="40">
        <f t="shared" si="214"/>
        <v>0</v>
      </c>
      <c r="V513" s="40">
        <f t="shared" si="214"/>
        <v>0</v>
      </c>
      <c r="W513" s="40">
        <f t="shared" si="214"/>
        <v>0</v>
      </c>
      <c r="X513" s="40">
        <f t="shared" si="214"/>
        <v>0</v>
      </c>
      <c r="Y513" s="40">
        <f t="shared" si="214"/>
        <v>0</v>
      </c>
      <c r="Z513" s="40">
        <f t="shared" si="214"/>
        <v>0</v>
      </c>
      <c r="AA513" s="40">
        <f t="shared" si="214"/>
        <v>0</v>
      </c>
      <c r="AB513" s="40">
        <f t="shared" si="214"/>
        <v>0</v>
      </c>
      <c r="AC513" s="40">
        <f t="shared" si="214"/>
        <v>0</v>
      </c>
      <c r="AD513" s="40">
        <f t="shared" si="214"/>
        <v>0</v>
      </c>
      <c r="AE513" s="40"/>
      <c r="AF513" s="40">
        <f>AF135+AF140+AF144+AF147+AF150+AF153+AF173+AF178+AF182+AF185+AF188+AF191+AF211+AF216+AF220+AF223+AF226+AF229+AF249+AF254+AF258+AF261+AF264+AF267</f>
        <v>0</v>
      </c>
      <c r="AG513" s="64">
        <f>SUM(F513:AF513)</f>
        <v>6953501.224785883</v>
      </c>
      <c r="AH513" s="21" t="str">
        <f t="shared" si="209"/>
        <v>ok</v>
      </c>
      <c r="AJ513" s="50"/>
      <c r="AK513" s="50"/>
      <c r="AL513" s="50"/>
      <c r="AM513" s="50"/>
      <c r="AN513" s="50"/>
    </row>
    <row r="514" spans="1:40" x14ac:dyDescent="0.25">
      <c r="A514" s="14" t="s">
        <v>0</v>
      </c>
      <c r="E514" s="182">
        <f>SUM(E509:E513)</f>
        <v>50132293.910000004</v>
      </c>
      <c r="F514" s="75">
        <f t="shared" ref="F514:R514" si="215">SUM(F509:F513)</f>
        <v>33271821.180423401</v>
      </c>
      <c r="G514" s="75">
        <f t="shared" si="215"/>
        <v>25586.347863863306</v>
      </c>
      <c r="H514" s="75">
        <f t="shared" si="215"/>
        <v>3997673.9523619041</v>
      </c>
      <c r="I514" s="75">
        <f t="shared" si="215"/>
        <v>6867477.5271603214</v>
      </c>
      <c r="J514" s="75">
        <f t="shared" si="215"/>
        <v>1854725.0427224401</v>
      </c>
      <c r="K514" s="75">
        <f t="shared" si="215"/>
        <v>262357.85372838908</v>
      </c>
      <c r="L514" s="75">
        <f t="shared" si="215"/>
        <v>3852652</v>
      </c>
      <c r="M514" s="75">
        <f t="shared" si="215"/>
        <v>0</v>
      </c>
      <c r="N514" s="75">
        <f t="shared" si="215"/>
        <v>0</v>
      </c>
      <c r="O514" s="75">
        <f t="shared" si="215"/>
        <v>0</v>
      </c>
      <c r="P514" s="75">
        <f t="shared" si="215"/>
        <v>0</v>
      </c>
      <c r="Q514" s="75">
        <f t="shared" si="215"/>
        <v>0</v>
      </c>
      <c r="R514" s="75">
        <f t="shared" si="215"/>
        <v>0</v>
      </c>
      <c r="S514" s="75">
        <f t="shared" ref="S514:AG514" si="216">SUM(S509:S513)</f>
        <v>0</v>
      </c>
      <c r="T514" s="75">
        <f t="shared" si="216"/>
        <v>0</v>
      </c>
      <c r="U514" s="75">
        <f t="shared" si="216"/>
        <v>0</v>
      </c>
      <c r="V514" s="75">
        <f t="shared" si="216"/>
        <v>0</v>
      </c>
      <c r="W514" s="75">
        <f t="shared" si="216"/>
        <v>0</v>
      </c>
      <c r="X514" s="75">
        <f t="shared" si="216"/>
        <v>0</v>
      </c>
      <c r="Y514" s="75">
        <f t="shared" si="216"/>
        <v>0</v>
      </c>
      <c r="Z514" s="75">
        <f t="shared" si="216"/>
        <v>0</v>
      </c>
      <c r="AA514" s="75">
        <f t="shared" si="216"/>
        <v>0</v>
      </c>
      <c r="AB514" s="75">
        <f t="shared" si="216"/>
        <v>0</v>
      </c>
      <c r="AC514" s="75">
        <f t="shared" si="216"/>
        <v>0</v>
      </c>
      <c r="AD514" s="75">
        <f t="shared" si="216"/>
        <v>0</v>
      </c>
      <c r="AE514" s="75">
        <f t="shared" si="216"/>
        <v>0</v>
      </c>
      <c r="AF514" s="75">
        <f t="shared" si="216"/>
        <v>0</v>
      </c>
      <c r="AG514" s="75">
        <f t="shared" si="216"/>
        <v>50132293.904260322</v>
      </c>
      <c r="AH514" s="21" t="str">
        <f t="shared" si="209"/>
        <v>ok</v>
      </c>
      <c r="AJ514" s="50"/>
      <c r="AK514" s="50"/>
      <c r="AL514" s="50"/>
      <c r="AM514" s="50"/>
      <c r="AN514" s="50"/>
    </row>
    <row r="516" spans="1:40" x14ac:dyDescent="0.25">
      <c r="A516" s="13" t="s">
        <v>694</v>
      </c>
      <c r="E516" s="175"/>
    </row>
    <row r="517" spans="1:40" x14ac:dyDescent="0.25">
      <c r="AJ517" s="119"/>
      <c r="AK517" s="61"/>
      <c r="AL517" s="61"/>
      <c r="AM517" s="61"/>
      <c r="AN517" s="61"/>
    </row>
    <row r="518" spans="1:40" x14ac:dyDescent="0.25">
      <c r="A518" s="14" t="s">
        <v>642</v>
      </c>
      <c r="D518" s="64"/>
      <c r="E518" s="175">
        <f t="shared" ref="E518:AF518" si="217">E509+E327</f>
        <v>3536449.9872807246</v>
      </c>
      <c r="F518" s="64">
        <f t="shared" si="217"/>
        <v>2136450.8278723671</v>
      </c>
      <c r="G518" s="64">
        <f t="shared" si="217"/>
        <v>0</v>
      </c>
      <c r="H518" s="64">
        <f t="shared" si="217"/>
        <v>236702.44202625455</v>
      </c>
      <c r="I518" s="64">
        <f t="shared" si="217"/>
        <v>507486.60823343473</v>
      </c>
      <c r="J518" s="64">
        <f t="shared" si="217"/>
        <v>529774.87305683293</v>
      </c>
      <c r="K518" s="64">
        <f t="shared" si="217"/>
        <v>0</v>
      </c>
      <c r="L518" s="64">
        <f t="shared" si="217"/>
        <v>126035.23035215039</v>
      </c>
      <c r="M518" s="64">
        <f t="shared" si="217"/>
        <v>0</v>
      </c>
      <c r="N518" s="64">
        <f t="shared" si="217"/>
        <v>0</v>
      </c>
      <c r="O518" s="64">
        <f t="shared" si="217"/>
        <v>0</v>
      </c>
      <c r="P518" s="64">
        <f t="shared" si="217"/>
        <v>0</v>
      </c>
      <c r="Q518" s="64">
        <f t="shared" si="217"/>
        <v>0</v>
      </c>
      <c r="R518" s="64">
        <f t="shared" si="217"/>
        <v>0</v>
      </c>
      <c r="S518" s="64">
        <f t="shared" si="217"/>
        <v>0</v>
      </c>
      <c r="T518" s="64">
        <f t="shared" si="217"/>
        <v>0</v>
      </c>
      <c r="U518" s="64">
        <f t="shared" si="217"/>
        <v>0</v>
      </c>
      <c r="V518" s="64">
        <f t="shared" si="217"/>
        <v>0</v>
      </c>
      <c r="W518" s="64">
        <f t="shared" si="217"/>
        <v>0</v>
      </c>
      <c r="X518" s="64">
        <f t="shared" si="217"/>
        <v>0</v>
      </c>
      <c r="Y518" s="64">
        <f t="shared" si="217"/>
        <v>0</v>
      </c>
      <c r="Z518" s="64">
        <f t="shared" si="217"/>
        <v>0</v>
      </c>
      <c r="AA518" s="64">
        <f t="shared" si="217"/>
        <v>0</v>
      </c>
      <c r="AB518" s="64">
        <f t="shared" si="217"/>
        <v>0</v>
      </c>
      <c r="AC518" s="64">
        <f t="shared" si="217"/>
        <v>0</v>
      </c>
      <c r="AD518" s="64">
        <f t="shared" si="217"/>
        <v>0</v>
      </c>
      <c r="AE518" s="64">
        <f t="shared" si="217"/>
        <v>0</v>
      </c>
      <c r="AF518" s="64">
        <f t="shared" si="217"/>
        <v>0</v>
      </c>
      <c r="AG518" s="64">
        <f>SUM(F518:AF518)</f>
        <v>3536449.9815410394</v>
      </c>
      <c r="AH518" s="21" t="str">
        <f t="shared" ref="AH518:AH523" si="218">IF(ABS(E518-AG518)&lt;0.01,"ok","err")</f>
        <v>ok</v>
      </c>
      <c r="AJ518" s="50"/>
      <c r="AK518" s="50"/>
      <c r="AL518" s="50"/>
      <c r="AM518" s="50"/>
      <c r="AN518" s="50"/>
    </row>
    <row r="519" spans="1:40" x14ac:dyDescent="0.25">
      <c r="A519" s="14" t="s">
        <v>643</v>
      </c>
      <c r="D519" s="64"/>
      <c r="E519" s="175">
        <f t="shared" ref="E519:L519" si="219">E510+E326+E331</f>
        <v>30636365.012719277</v>
      </c>
      <c r="F519" s="64">
        <f t="shared" si="219"/>
        <v>18758737.281112</v>
      </c>
      <c r="G519" s="64">
        <f t="shared" si="219"/>
        <v>18353.457717464978</v>
      </c>
      <c r="H519" s="64">
        <f t="shared" si="219"/>
        <v>2428157.4841072336</v>
      </c>
      <c r="I519" s="64">
        <f t="shared" si="219"/>
        <v>5005756.3370019747</v>
      </c>
      <c r="J519" s="64">
        <f t="shared" si="219"/>
        <v>1115665.8052014788</v>
      </c>
      <c r="K519" s="64">
        <f t="shared" si="219"/>
        <v>0</v>
      </c>
      <c r="L519" s="64">
        <f t="shared" si="219"/>
        <v>3309694.6475791256</v>
      </c>
      <c r="M519" s="64">
        <f t="shared" ref="M519:AF519" si="220">M510+M326+M328+M331</f>
        <v>0</v>
      </c>
      <c r="N519" s="64">
        <f t="shared" si="220"/>
        <v>0</v>
      </c>
      <c r="O519" s="64">
        <f t="shared" si="220"/>
        <v>0</v>
      </c>
      <c r="P519" s="64">
        <f t="shared" si="220"/>
        <v>0</v>
      </c>
      <c r="Q519" s="64">
        <f t="shared" si="220"/>
        <v>0</v>
      </c>
      <c r="R519" s="64">
        <f t="shared" si="220"/>
        <v>0</v>
      </c>
      <c r="S519" s="64">
        <f t="shared" si="220"/>
        <v>0</v>
      </c>
      <c r="T519" s="64">
        <f t="shared" si="220"/>
        <v>0</v>
      </c>
      <c r="U519" s="64">
        <f t="shared" si="220"/>
        <v>0</v>
      </c>
      <c r="V519" s="64">
        <f t="shared" si="220"/>
        <v>0</v>
      </c>
      <c r="W519" s="64">
        <f t="shared" si="220"/>
        <v>0</v>
      </c>
      <c r="X519" s="64">
        <f t="shared" si="220"/>
        <v>0</v>
      </c>
      <c r="Y519" s="64">
        <f t="shared" si="220"/>
        <v>0</v>
      </c>
      <c r="Z519" s="64">
        <f t="shared" si="220"/>
        <v>0</v>
      </c>
      <c r="AA519" s="64">
        <f t="shared" si="220"/>
        <v>0</v>
      </c>
      <c r="AB519" s="64">
        <f t="shared" si="220"/>
        <v>0</v>
      </c>
      <c r="AC519" s="64">
        <f t="shared" si="220"/>
        <v>0</v>
      </c>
      <c r="AD519" s="64">
        <f t="shared" si="220"/>
        <v>0</v>
      </c>
      <c r="AE519" s="64">
        <f t="shared" si="220"/>
        <v>0</v>
      </c>
      <c r="AF519" s="64">
        <f t="shared" si="220"/>
        <v>0</v>
      </c>
      <c r="AG519" s="64">
        <f>SUM(F519:AF519)</f>
        <v>30636365.012719277</v>
      </c>
      <c r="AH519" s="21" t="str">
        <f t="shared" si="218"/>
        <v>ok</v>
      </c>
      <c r="AJ519" s="50"/>
      <c r="AK519" s="50"/>
      <c r="AL519" s="50"/>
      <c r="AM519" s="50"/>
      <c r="AN519" s="50"/>
    </row>
    <row r="520" spans="1:40" x14ac:dyDescent="0.25">
      <c r="A520" s="14" t="s">
        <v>884</v>
      </c>
      <c r="D520" s="64"/>
      <c r="E520" s="175">
        <f>E511</f>
        <v>0</v>
      </c>
      <c r="F520" s="64">
        <f t="shared" ref="F520:J520" si="221">F511</f>
        <v>0</v>
      </c>
      <c r="G520" s="64">
        <f t="shared" si="221"/>
        <v>0</v>
      </c>
      <c r="H520" s="64">
        <f t="shared" si="221"/>
        <v>0</v>
      </c>
      <c r="I520" s="64">
        <f t="shared" si="221"/>
        <v>0</v>
      </c>
      <c r="J520" s="64">
        <f t="shared" si="221"/>
        <v>0</v>
      </c>
      <c r="K520" s="64">
        <f t="shared" ref="K520:AF520" si="222">K511</f>
        <v>0</v>
      </c>
      <c r="L520" s="64">
        <f t="shared" si="222"/>
        <v>0</v>
      </c>
      <c r="M520" s="64">
        <f t="shared" si="222"/>
        <v>0</v>
      </c>
      <c r="N520" s="64">
        <f t="shared" si="222"/>
        <v>0</v>
      </c>
      <c r="O520" s="64">
        <f t="shared" si="222"/>
        <v>0</v>
      </c>
      <c r="P520" s="64">
        <f t="shared" si="222"/>
        <v>0</v>
      </c>
      <c r="Q520" s="64">
        <f t="shared" si="222"/>
        <v>0</v>
      </c>
      <c r="R520" s="64">
        <f t="shared" si="222"/>
        <v>0</v>
      </c>
      <c r="S520" s="64">
        <f t="shared" si="222"/>
        <v>0</v>
      </c>
      <c r="T520" s="64">
        <f t="shared" si="222"/>
        <v>0</v>
      </c>
      <c r="U520" s="64">
        <f t="shared" si="222"/>
        <v>0</v>
      </c>
      <c r="V520" s="64">
        <f t="shared" si="222"/>
        <v>0</v>
      </c>
      <c r="W520" s="64">
        <f t="shared" si="222"/>
        <v>0</v>
      </c>
      <c r="X520" s="64">
        <f t="shared" si="222"/>
        <v>0</v>
      </c>
      <c r="Y520" s="64">
        <f t="shared" si="222"/>
        <v>0</v>
      </c>
      <c r="Z520" s="64">
        <f t="shared" si="222"/>
        <v>0</v>
      </c>
      <c r="AA520" s="64">
        <f t="shared" si="222"/>
        <v>0</v>
      </c>
      <c r="AB520" s="64">
        <f t="shared" si="222"/>
        <v>0</v>
      </c>
      <c r="AC520" s="64">
        <f t="shared" si="222"/>
        <v>0</v>
      </c>
      <c r="AD520" s="64">
        <f t="shared" si="222"/>
        <v>0</v>
      </c>
      <c r="AE520" s="64">
        <f t="shared" si="222"/>
        <v>0</v>
      </c>
      <c r="AF520" s="64">
        <f t="shared" si="222"/>
        <v>0</v>
      </c>
      <c r="AG520" s="64">
        <f>SUM(F520:AF520)</f>
        <v>0</v>
      </c>
      <c r="AH520" s="21" t="str">
        <f t="shared" si="218"/>
        <v>ok</v>
      </c>
      <c r="AJ520" s="50"/>
      <c r="AK520" s="50"/>
      <c r="AL520" s="50"/>
      <c r="AM520" s="50"/>
      <c r="AN520" s="50"/>
    </row>
    <row r="521" spans="1:40" x14ac:dyDescent="0.25">
      <c r="A521" s="14" t="s">
        <v>644</v>
      </c>
      <c r="D521" s="17">
        <f>D512</f>
        <v>0.38639836156347185</v>
      </c>
      <c r="E521" s="175">
        <f>E512+(E328+E329+E330+E332+E333+E334+E335+E336+E337+E338+E339+E340+E341+E342)*$D521</f>
        <v>5708575.5222570393</v>
      </c>
      <c r="F521" s="175">
        <f t="shared" ref="F521:AG521" si="223">F512+(F328+F329+F330+F332+F333+F334+F335+F336+F337+F338+F339+F340+F341+F342)*$D521</f>
        <v>4681717.7096990393</v>
      </c>
      <c r="G521" s="175">
        <f t="shared" si="223"/>
        <v>4626.1761584243832</v>
      </c>
      <c r="H521" s="175">
        <f t="shared" si="223"/>
        <v>246928.90249881748</v>
      </c>
      <c r="I521" s="175">
        <f t="shared" si="223"/>
        <v>641314.97069585451</v>
      </c>
      <c r="J521" s="175">
        <f t="shared" si="223"/>
        <v>110636.39555081984</v>
      </c>
      <c r="K521" s="175">
        <f t="shared" si="223"/>
        <v>23351.367654082009</v>
      </c>
      <c r="L521" s="175">
        <f t="shared" si="223"/>
        <v>0</v>
      </c>
      <c r="M521" s="175">
        <f t="shared" si="223"/>
        <v>0</v>
      </c>
      <c r="N521" s="175">
        <f t="shared" si="223"/>
        <v>0</v>
      </c>
      <c r="O521" s="175">
        <f t="shared" si="223"/>
        <v>0</v>
      </c>
      <c r="P521" s="175">
        <f t="shared" si="223"/>
        <v>0</v>
      </c>
      <c r="Q521" s="175">
        <f t="shared" si="223"/>
        <v>0</v>
      </c>
      <c r="R521" s="175">
        <f t="shared" si="223"/>
        <v>0</v>
      </c>
      <c r="S521" s="175">
        <f t="shared" si="223"/>
        <v>0</v>
      </c>
      <c r="T521" s="175">
        <f t="shared" si="223"/>
        <v>0</v>
      </c>
      <c r="U521" s="175">
        <f t="shared" si="223"/>
        <v>0</v>
      </c>
      <c r="V521" s="175">
        <f t="shared" si="223"/>
        <v>0</v>
      </c>
      <c r="W521" s="175">
        <f t="shared" si="223"/>
        <v>0</v>
      </c>
      <c r="X521" s="175">
        <f t="shared" si="223"/>
        <v>0</v>
      </c>
      <c r="Y521" s="175">
        <f t="shared" si="223"/>
        <v>0</v>
      </c>
      <c r="Z521" s="175">
        <f t="shared" si="223"/>
        <v>0</v>
      </c>
      <c r="AA521" s="175">
        <f t="shared" si="223"/>
        <v>0</v>
      </c>
      <c r="AB521" s="175">
        <f t="shared" si="223"/>
        <v>0</v>
      </c>
      <c r="AC521" s="175">
        <f t="shared" si="223"/>
        <v>0</v>
      </c>
      <c r="AD521" s="175">
        <f t="shared" si="223"/>
        <v>0</v>
      </c>
      <c r="AE521" s="175">
        <f t="shared" si="223"/>
        <v>0</v>
      </c>
      <c r="AF521" s="175">
        <f t="shared" si="223"/>
        <v>0</v>
      </c>
      <c r="AG521" s="64">
        <f t="shared" ref="AG521:AG522" si="224">SUM(F521:AF521)</f>
        <v>5708575.5222570375</v>
      </c>
      <c r="AH521" s="21" t="str">
        <f t="shared" si="218"/>
        <v>ok</v>
      </c>
      <c r="AJ521" s="50"/>
      <c r="AK521" s="50"/>
      <c r="AL521" s="50"/>
      <c r="AM521" s="50"/>
      <c r="AN521" s="50"/>
    </row>
    <row r="522" spans="1:40" x14ac:dyDescent="0.25">
      <c r="A522" s="14" t="s">
        <v>645</v>
      </c>
      <c r="D522" s="17">
        <f>D513</f>
        <v>0.61360163843652815</v>
      </c>
      <c r="E522" s="175">
        <f>E513+(E328+E329+E330+E332+E333+E334+E335+E336+E337+E338+E339+E340+E341+E342)*$D522</f>
        <v>9065233.2981494572</v>
      </c>
      <c r="F522" s="175">
        <f t="shared" ref="F522:AG522" si="225">F513+(F328+F329+F330+F332+F333+F334+F335+F336+F337+F338+F339+F340+F341+F342)*$D522</f>
        <v>7445149.5653111888</v>
      </c>
      <c r="G522" s="175">
        <f t="shared" si="225"/>
        <v>5995.5208269384975</v>
      </c>
      <c r="H522" s="175">
        <f t="shared" si="225"/>
        <v>897456.37808133359</v>
      </c>
      <c r="I522" s="175">
        <f t="shared" si="225"/>
        <v>374633.65069479524</v>
      </c>
      <c r="J522" s="175">
        <f t="shared" si="225"/>
        <v>42558.294804848825</v>
      </c>
      <c r="K522" s="175">
        <f t="shared" si="225"/>
        <v>299439.8884303525</v>
      </c>
      <c r="L522" s="175">
        <f t="shared" si="225"/>
        <v>0</v>
      </c>
      <c r="M522" s="175">
        <f t="shared" si="225"/>
        <v>0</v>
      </c>
      <c r="N522" s="175">
        <f t="shared" si="225"/>
        <v>0</v>
      </c>
      <c r="O522" s="175">
        <f t="shared" si="225"/>
        <v>0</v>
      </c>
      <c r="P522" s="175">
        <f t="shared" si="225"/>
        <v>0</v>
      </c>
      <c r="Q522" s="175">
        <f t="shared" si="225"/>
        <v>0</v>
      </c>
      <c r="R522" s="175">
        <f t="shared" si="225"/>
        <v>0</v>
      </c>
      <c r="S522" s="175">
        <f t="shared" si="225"/>
        <v>0</v>
      </c>
      <c r="T522" s="175">
        <f t="shared" si="225"/>
        <v>0</v>
      </c>
      <c r="U522" s="175">
        <f t="shared" si="225"/>
        <v>0</v>
      </c>
      <c r="V522" s="175">
        <f t="shared" si="225"/>
        <v>0</v>
      </c>
      <c r="W522" s="175">
        <f t="shared" si="225"/>
        <v>0</v>
      </c>
      <c r="X522" s="175">
        <f t="shared" si="225"/>
        <v>0</v>
      </c>
      <c r="Y522" s="175">
        <f t="shared" si="225"/>
        <v>0</v>
      </c>
      <c r="Z522" s="175">
        <f t="shared" si="225"/>
        <v>0</v>
      </c>
      <c r="AA522" s="175">
        <f t="shared" si="225"/>
        <v>0</v>
      </c>
      <c r="AB522" s="175">
        <f t="shared" si="225"/>
        <v>0</v>
      </c>
      <c r="AC522" s="175">
        <f t="shared" si="225"/>
        <v>0</v>
      </c>
      <c r="AD522" s="175">
        <f t="shared" si="225"/>
        <v>0</v>
      </c>
      <c r="AE522" s="175">
        <f t="shared" si="225"/>
        <v>0</v>
      </c>
      <c r="AF522" s="175">
        <f t="shared" si="225"/>
        <v>0</v>
      </c>
      <c r="AG522" s="64">
        <f t="shared" si="224"/>
        <v>9065233.2981494591</v>
      </c>
      <c r="AH522" s="21" t="str">
        <f t="shared" si="218"/>
        <v>ok</v>
      </c>
      <c r="AJ522" s="50"/>
      <c r="AK522" s="50"/>
      <c r="AL522" s="50"/>
      <c r="AM522" s="50"/>
      <c r="AN522" s="50"/>
    </row>
    <row r="523" spans="1:40" x14ac:dyDescent="0.25">
      <c r="A523" s="14" t="s">
        <v>0</v>
      </c>
      <c r="E523" s="182">
        <f>SUM(E518:E522)</f>
        <v>48946623.820406497</v>
      </c>
      <c r="F523" s="75">
        <f t="shared" ref="F523:AF523" si="226">SUM(F518:F522)</f>
        <v>33022055.383994594</v>
      </c>
      <c r="G523" s="75">
        <f t="shared" si="226"/>
        <v>28975.154702827858</v>
      </c>
      <c r="H523" s="75">
        <f t="shared" si="226"/>
        <v>3809245.2067136392</v>
      </c>
      <c r="I523" s="75">
        <f t="shared" si="226"/>
        <v>6529191.5666260589</v>
      </c>
      <c r="J523" s="75">
        <f t="shared" si="226"/>
        <v>1798635.3686139802</v>
      </c>
      <c r="K523" s="75">
        <f t="shared" si="226"/>
        <v>322791.25608443451</v>
      </c>
      <c r="L523" s="75">
        <f t="shared" si="226"/>
        <v>3435729.8779312759</v>
      </c>
      <c r="M523" s="75">
        <f t="shared" si="226"/>
        <v>0</v>
      </c>
      <c r="N523" s="75">
        <f t="shared" si="226"/>
        <v>0</v>
      </c>
      <c r="O523" s="75">
        <f t="shared" si="226"/>
        <v>0</v>
      </c>
      <c r="P523" s="75">
        <f t="shared" si="226"/>
        <v>0</v>
      </c>
      <c r="Q523" s="75">
        <f t="shared" si="226"/>
        <v>0</v>
      </c>
      <c r="R523" s="75">
        <f t="shared" si="226"/>
        <v>0</v>
      </c>
      <c r="S523" s="64">
        <f t="shared" si="226"/>
        <v>0</v>
      </c>
      <c r="T523" s="64">
        <f t="shared" si="226"/>
        <v>0</v>
      </c>
      <c r="U523" s="64">
        <f t="shared" si="226"/>
        <v>0</v>
      </c>
      <c r="V523" s="64">
        <f t="shared" si="226"/>
        <v>0</v>
      </c>
      <c r="W523" s="64">
        <f t="shared" si="226"/>
        <v>0</v>
      </c>
      <c r="X523" s="64">
        <f t="shared" si="226"/>
        <v>0</v>
      </c>
      <c r="Y523" s="64">
        <f t="shared" si="226"/>
        <v>0</v>
      </c>
      <c r="Z523" s="64">
        <f t="shared" si="226"/>
        <v>0</v>
      </c>
      <c r="AA523" s="64">
        <f t="shared" si="226"/>
        <v>0</v>
      </c>
      <c r="AB523" s="64">
        <f t="shared" si="226"/>
        <v>0</v>
      </c>
      <c r="AC523" s="64">
        <f t="shared" si="226"/>
        <v>0</v>
      </c>
      <c r="AD523" s="64">
        <f t="shared" si="226"/>
        <v>0</v>
      </c>
      <c r="AE523" s="64">
        <f t="shared" si="226"/>
        <v>0</v>
      </c>
      <c r="AF523" s="64">
        <f t="shared" si="226"/>
        <v>0</v>
      </c>
      <c r="AG523" s="64">
        <f t="shared" ref="AG523" si="227">SUM(F523:AF523)</f>
        <v>48946623.814666808</v>
      </c>
      <c r="AH523" s="21" t="str">
        <f t="shared" si="218"/>
        <v>ok</v>
      </c>
      <c r="AJ523" s="50"/>
      <c r="AK523" s="50"/>
      <c r="AL523" s="50"/>
      <c r="AM523" s="50"/>
      <c r="AN523" s="50"/>
    </row>
    <row r="524" spans="1:40" x14ac:dyDescent="0.25">
      <c r="D524" s="14" t="s">
        <v>1031</v>
      </c>
      <c r="E524" s="175">
        <f>E523-E514</f>
        <v>-1185670.0895935073</v>
      </c>
    </row>
    <row r="525" spans="1:40" x14ac:dyDescent="0.25">
      <c r="A525" s="13" t="s">
        <v>76</v>
      </c>
      <c r="D525" s="14" t="s">
        <v>1026</v>
      </c>
      <c r="E525" s="175">
        <f>E524-E352</f>
        <v>-1.862645149230957E-9</v>
      </c>
      <c r="F525" s="64"/>
      <c r="G525" s="64"/>
      <c r="H525" s="64"/>
      <c r="I525" s="64"/>
      <c r="J525" s="64"/>
      <c r="K525" s="64"/>
    </row>
    <row r="527" spans="1:40" x14ac:dyDescent="0.25">
      <c r="A527" s="14" t="s">
        <v>886</v>
      </c>
      <c r="E527" s="175">
        <f t="shared" ref="E527:R527" si="228">E85</f>
        <v>0</v>
      </c>
      <c r="F527" s="64">
        <f t="shared" si="228"/>
        <v>0</v>
      </c>
      <c r="G527" s="64">
        <f t="shared" si="228"/>
        <v>0</v>
      </c>
      <c r="H527" s="64">
        <f t="shared" si="228"/>
        <v>0</v>
      </c>
      <c r="I527" s="64">
        <f t="shared" si="228"/>
        <v>0</v>
      </c>
      <c r="J527" s="64">
        <f t="shared" si="228"/>
        <v>0</v>
      </c>
      <c r="K527" s="64">
        <f t="shared" si="228"/>
        <v>0</v>
      </c>
      <c r="L527" s="64">
        <f t="shared" si="228"/>
        <v>0</v>
      </c>
      <c r="M527" s="64">
        <f t="shared" si="228"/>
        <v>0</v>
      </c>
      <c r="N527" s="64">
        <f t="shared" si="228"/>
        <v>0</v>
      </c>
      <c r="O527" s="64">
        <f t="shared" si="228"/>
        <v>0</v>
      </c>
      <c r="P527" s="64">
        <f t="shared" si="228"/>
        <v>0</v>
      </c>
      <c r="Q527" s="64">
        <f t="shared" si="228"/>
        <v>0</v>
      </c>
      <c r="R527" s="64">
        <f t="shared" si="228"/>
        <v>0</v>
      </c>
      <c r="AG527" s="64">
        <f>SUM(F527:AF527)</f>
        <v>0</v>
      </c>
      <c r="AH527" s="21" t="str">
        <f>IF(ABS(E527-AG527)&lt;0.01,"ok","err")</f>
        <v>ok</v>
      </c>
    </row>
    <row r="528" spans="1:40" x14ac:dyDescent="0.25">
      <c r="A528" s="14" t="s">
        <v>887</v>
      </c>
      <c r="E528" s="175">
        <f t="shared" ref="E528:R528" si="229">E86</f>
        <v>0</v>
      </c>
      <c r="F528" s="64">
        <f t="shared" si="229"/>
        <v>0</v>
      </c>
      <c r="G528" s="64">
        <f t="shared" si="229"/>
        <v>0</v>
      </c>
      <c r="H528" s="64">
        <f t="shared" si="229"/>
        <v>0</v>
      </c>
      <c r="I528" s="64">
        <f t="shared" si="229"/>
        <v>0</v>
      </c>
      <c r="J528" s="64">
        <f t="shared" si="229"/>
        <v>0</v>
      </c>
      <c r="K528" s="64">
        <f t="shared" si="229"/>
        <v>0</v>
      </c>
      <c r="L528" s="64">
        <f t="shared" si="229"/>
        <v>0</v>
      </c>
      <c r="M528" s="64">
        <f t="shared" si="229"/>
        <v>0</v>
      </c>
      <c r="N528" s="64">
        <f t="shared" si="229"/>
        <v>0</v>
      </c>
      <c r="O528" s="64">
        <f t="shared" si="229"/>
        <v>0</v>
      </c>
      <c r="P528" s="64">
        <f t="shared" si="229"/>
        <v>0</v>
      </c>
      <c r="Q528" s="64">
        <f t="shared" si="229"/>
        <v>0</v>
      </c>
      <c r="R528" s="64">
        <f t="shared" si="229"/>
        <v>0</v>
      </c>
      <c r="AG528" s="64"/>
      <c r="AH528" s="21"/>
    </row>
    <row r="529" spans="1:34" x14ac:dyDescent="0.25">
      <c r="A529" s="14" t="s">
        <v>884</v>
      </c>
      <c r="E529" s="175">
        <f t="shared" ref="E529:R529" si="230">E90</f>
        <v>0</v>
      </c>
      <c r="F529" s="64">
        <f t="shared" si="230"/>
        <v>0</v>
      </c>
      <c r="G529" s="64">
        <f t="shared" si="230"/>
        <v>0</v>
      </c>
      <c r="H529" s="64">
        <f t="shared" si="230"/>
        <v>0</v>
      </c>
      <c r="I529" s="64">
        <f t="shared" si="230"/>
        <v>0</v>
      </c>
      <c r="J529" s="64">
        <f t="shared" si="230"/>
        <v>0</v>
      </c>
      <c r="K529" s="64">
        <f t="shared" si="230"/>
        <v>0</v>
      </c>
      <c r="L529" s="64">
        <f t="shared" si="230"/>
        <v>0</v>
      </c>
      <c r="M529" s="64">
        <f t="shared" si="230"/>
        <v>0</v>
      </c>
      <c r="N529" s="64">
        <f t="shared" si="230"/>
        <v>0</v>
      </c>
      <c r="O529" s="64">
        <f t="shared" si="230"/>
        <v>0</v>
      </c>
      <c r="P529" s="64">
        <f t="shared" si="230"/>
        <v>0</v>
      </c>
      <c r="Q529" s="64">
        <f t="shared" si="230"/>
        <v>0</v>
      </c>
      <c r="R529" s="64">
        <f t="shared" si="230"/>
        <v>0</v>
      </c>
      <c r="AG529" s="64">
        <f>SUM(F529:AF529)</f>
        <v>0</v>
      </c>
      <c r="AH529" s="21" t="str">
        <f>IF(ABS(E529-AG529)&lt;0.01,"ok","err")</f>
        <v>ok</v>
      </c>
    </row>
    <row r="530" spans="1:34" x14ac:dyDescent="0.25">
      <c r="A530" s="14" t="s">
        <v>644</v>
      </c>
      <c r="E530" s="175">
        <f t="shared" ref="E530:AF530" si="231">E93+E96+E101</f>
        <v>26355924.921820596</v>
      </c>
      <c r="F530" s="64">
        <f t="shared" si="231"/>
        <v>21693198.739952087</v>
      </c>
      <c r="G530" s="64">
        <f t="shared" si="231"/>
        <v>21473.951459015865</v>
      </c>
      <c r="H530" s="64">
        <f t="shared" si="231"/>
        <v>1133361.6370879742</v>
      </c>
      <c r="I530" s="64">
        <f t="shared" si="231"/>
        <v>2991453.7932745246</v>
      </c>
      <c r="J530" s="64">
        <f t="shared" si="231"/>
        <v>516436.80004699057</v>
      </c>
      <c r="K530" s="64">
        <f t="shared" si="231"/>
        <v>0</v>
      </c>
      <c r="L530" s="64">
        <f t="shared" si="231"/>
        <v>0</v>
      </c>
      <c r="M530" s="64">
        <f t="shared" si="231"/>
        <v>0</v>
      </c>
      <c r="N530" s="64">
        <f t="shared" si="231"/>
        <v>0</v>
      </c>
      <c r="O530" s="64">
        <f t="shared" si="231"/>
        <v>0</v>
      </c>
      <c r="P530" s="64">
        <f t="shared" si="231"/>
        <v>0</v>
      </c>
      <c r="Q530" s="64">
        <f t="shared" si="231"/>
        <v>0</v>
      </c>
      <c r="R530" s="64">
        <f t="shared" si="231"/>
        <v>0</v>
      </c>
      <c r="S530" s="64">
        <f t="shared" si="231"/>
        <v>0</v>
      </c>
      <c r="T530" s="64">
        <f t="shared" si="231"/>
        <v>0</v>
      </c>
      <c r="U530" s="64">
        <f t="shared" si="231"/>
        <v>0</v>
      </c>
      <c r="V530" s="64">
        <f t="shared" si="231"/>
        <v>0</v>
      </c>
      <c r="W530" s="64">
        <f t="shared" si="231"/>
        <v>0</v>
      </c>
      <c r="X530" s="64">
        <f t="shared" si="231"/>
        <v>0</v>
      </c>
      <c r="Y530" s="64">
        <f t="shared" si="231"/>
        <v>0</v>
      </c>
      <c r="Z530" s="64">
        <f t="shared" si="231"/>
        <v>0</v>
      </c>
      <c r="AA530" s="64">
        <f t="shared" si="231"/>
        <v>0</v>
      </c>
      <c r="AB530" s="64">
        <f t="shared" si="231"/>
        <v>0</v>
      </c>
      <c r="AC530" s="64">
        <f t="shared" si="231"/>
        <v>0</v>
      </c>
      <c r="AD530" s="64">
        <f t="shared" si="231"/>
        <v>0</v>
      </c>
      <c r="AE530" s="64">
        <f t="shared" si="231"/>
        <v>0</v>
      </c>
      <c r="AF530" s="64">
        <f t="shared" si="231"/>
        <v>0</v>
      </c>
      <c r="AG530" s="64">
        <f>SUM(F530:AF530)</f>
        <v>26355924.921820596</v>
      </c>
      <c r="AH530" s="21" t="str">
        <f>IF(ABS(E530-AG530)&lt;0.01,"ok","err")</f>
        <v>ok</v>
      </c>
    </row>
    <row r="531" spans="1:34" x14ac:dyDescent="0.25">
      <c r="A531" s="14" t="s">
        <v>645</v>
      </c>
      <c r="E531" s="174">
        <f t="shared" ref="E531:AD531" si="232">E97+E102+E106+E109+E112+E115</f>
        <v>36724953.064621724</v>
      </c>
      <c r="F531" s="40">
        <f t="shared" si="232"/>
        <v>29525521.726209793</v>
      </c>
      <c r="G531" s="40">
        <f t="shared" si="232"/>
        <v>22217.273152116391</v>
      </c>
      <c r="H531" s="40">
        <f t="shared" si="232"/>
        <v>4051265.1228936757</v>
      </c>
      <c r="I531" s="40">
        <f t="shared" si="232"/>
        <v>685628.29406979529</v>
      </c>
      <c r="J531" s="40">
        <f t="shared" si="232"/>
        <v>14169.326131644541</v>
      </c>
      <c r="K531" s="40">
        <f t="shared" si="232"/>
        <v>2426151.3221646999</v>
      </c>
      <c r="L531" s="40">
        <f t="shared" si="232"/>
        <v>0</v>
      </c>
      <c r="M531" s="40">
        <f t="shared" si="232"/>
        <v>0</v>
      </c>
      <c r="N531" s="40">
        <f t="shared" si="232"/>
        <v>0</v>
      </c>
      <c r="O531" s="40">
        <f t="shared" si="232"/>
        <v>0</v>
      </c>
      <c r="P531" s="40">
        <f t="shared" si="232"/>
        <v>0</v>
      </c>
      <c r="Q531" s="40">
        <f t="shared" si="232"/>
        <v>0</v>
      </c>
      <c r="R531" s="40">
        <f t="shared" si="232"/>
        <v>0</v>
      </c>
      <c r="S531" s="40">
        <f t="shared" si="232"/>
        <v>0</v>
      </c>
      <c r="T531" s="40">
        <f t="shared" si="232"/>
        <v>0</v>
      </c>
      <c r="U531" s="40">
        <f t="shared" si="232"/>
        <v>0</v>
      </c>
      <c r="V531" s="40">
        <f t="shared" si="232"/>
        <v>0</v>
      </c>
      <c r="W531" s="40">
        <f t="shared" si="232"/>
        <v>0</v>
      </c>
      <c r="X531" s="40">
        <f t="shared" si="232"/>
        <v>0</v>
      </c>
      <c r="Y531" s="40">
        <f t="shared" si="232"/>
        <v>0</v>
      </c>
      <c r="Z531" s="40">
        <f t="shared" si="232"/>
        <v>0</v>
      </c>
      <c r="AA531" s="40">
        <f t="shared" si="232"/>
        <v>0</v>
      </c>
      <c r="AB531" s="40">
        <f t="shared" si="232"/>
        <v>0</v>
      </c>
      <c r="AC531" s="40">
        <f t="shared" si="232"/>
        <v>0</v>
      </c>
      <c r="AD531" s="40">
        <f t="shared" si="232"/>
        <v>0</v>
      </c>
      <c r="AE531" s="40"/>
      <c r="AF531" s="40">
        <f>AF97+AF102+AF106+AF109+AF112+AF115</f>
        <v>0</v>
      </c>
      <c r="AG531" s="64">
        <f>SUM(F531:AF531)</f>
        <v>36724953.064621724</v>
      </c>
      <c r="AH531" s="21" t="str">
        <f>IF(ABS(E531-AG531)&lt;0.01,"ok","err")</f>
        <v>ok</v>
      </c>
    </row>
    <row r="532" spans="1:34" x14ac:dyDescent="0.25">
      <c r="A532" s="14" t="s">
        <v>0</v>
      </c>
      <c r="E532" s="182">
        <f>SUM(E527:E531)</f>
        <v>63080877.98644232</v>
      </c>
      <c r="F532" s="75">
        <f t="shared" ref="F532:R532" si="233">SUM(F527:F531)</f>
        <v>51218720.466161877</v>
      </c>
      <c r="G532" s="75">
        <f t="shared" si="233"/>
        <v>43691.22461113226</v>
      </c>
      <c r="H532" s="75">
        <f t="shared" si="233"/>
        <v>5184626.7599816499</v>
      </c>
      <c r="I532" s="75">
        <f t="shared" si="233"/>
        <v>3677082.08734432</v>
      </c>
      <c r="J532" s="75">
        <f t="shared" si="233"/>
        <v>530606.12617863505</v>
      </c>
      <c r="K532" s="75">
        <f t="shared" si="233"/>
        <v>2426151.3221646999</v>
      </c>
      <c r="L532" s="75">
        <f t="shared" si="233"/>
        <v>0</v>
      </c>
      <c r="M532" s="75">
        <f t="shared" si="233"/>
        <v>0</v>
      </c>
      <c r="N532" s="75">
        <f t="shared" si="233"/>
        <v>0</v>
      </c>
      <c r="O532" s="75">
        <f t="shared" si="233"/>
        <v>0</v>
      </c>
      <c r="P532" s="75">
        <f t="shared" si="233"/>
        <v>0</v>
      </c>
      <c r="Q532" s="75">
        <f t="shared" si="233"/>
        <v>0</v>
      </c>
      <c r="R532" s="75">
        <f t="shared" si="233"/>
        <v>0</v>
      </c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75">
        <f>SUM(F532:AF532)</f>
        <v>63080877.986442313</v>
      </c>
      <c r="AH532" s="21" t="str">
        <f>IF(ABS(E532-AG532)&lt;0.01,"ok","err")</f>
        <v>ok</v>
      </c>
    </row>
    <row r="535" spans="1:34" x14ac:dyDescent="0.25">
      <c r="A535" s="13" t="s">
        <v>757</v>
      </c>
      <c r="C535" s="124">
        <v>4.7012115544462961E-2</v>
      </c>
      <c r="R535" s="51"/>
    </row>
    <row r="536" spans="1:34" x14ac:dyDescent="0.25">
      <c r="A536" s="14" t="s">
        <v>886</v>
      </c>
      <c r="E536" s="175">
        <f>E518+(E527*$C$535)</f>
        <v>3536449.9872807246</v>
      </c>
      <c r="F536" s="64">
        <f t="shared" ref="F536:R536" si="234">F518+(F527*$C$535)</f>
        <v>2136450.8278723671</v>
      </c>
      <c r="G536" s="64">
        <f t="shared" si="234"/>
        <v>0</v>
      </c>
      <c r="H536" s="64">
        <f t="shared" si="234"/>
        <v>236702.44202625455</v>
      </c>
      <c r="I536" s="64">
        <f t="shared" si="234"/>
        <v>507486.60823343473</v>
      </c>
      <c r="J536" s="64">
        <f t="shared" si="234"/>
        <v>529774.87305683293</v>
      </c>
      <c r="K536" s="64">
        <f t="shared" si="234"/>
        <v>0</v>
      </c>
      <c r="L536" s="64">
        <f t="shared" si="234"/>
        <v>126035.23035215039</v>
      </c>
      <c r="M536" s="64">
        <f t="shared" si="234"/>
        <v>0</v>
      </c>
      <c r="N536" s="64">
        <f t="shared" si="234"/>
        <v>0</v>
      </c>
      <c r="O536" s="64">
        <f t="shared" si="234"/>
        <v>0</v>
      </c>
      <c r="P536" s="64">
        <f t="shared" si="234"/>
        <v>0</v>
      </c>
      <c r="Q536" s="64">
        <f t="shared" si="234"/>
        <v>0</v>
      </c>
      <c r="R536" s="64">
        <f t="shared" si="234"/>
        <v>0</v>
      </c>
      <c r="S536" s="14">
        <f>S518</f>
        <v>0</v>
      </c>
    </row>
    <row r="537" spans="1:34" x14ac:dyDescent="0.25">
      <c r="A537" s="14" t="s">
        <v>887</v>
      </c>
      <c r="E537" s="175">
        <f>E519+(E528*$C$535)</f>
        <v>30636365.012719277</v>
      </c>
      <c r="F537" s="64">
        <f t="shared" ref="F537:R537" si="235">F519+(F528*$C$535)</f>
        <v>18758737.281112</v>
      </c>
      <c r="G537" s="64">
        <f t="shared" si="235"/>
        <v>18353.457717464978</v>
      </c>
      <c r="H537" s="64">
        <f t="shared" si="235"/>
        <v>2428157.4841072336</v>
      </c>
      <c r="I537" s="64">
        <f t="shared" si="235"/>
        <v>5005756.3370019747</v>
      </c>
      <c r="J537" s="64">
        <f t="shared" si="235"/>
        <v>1115665.8052014788</v>
      </c>
      <c r="K537" s="64">
        <f t="shared" si="235"/>
        <v>0</v>
      </c>
      <c r="L537" s="64">
        <f t="shared" si="235"/>
        <v>3309694.6475791256</v>
      </c>
      <c r="M537" s="64">
        <f t="shared" si="235"/>
        <v>0</v>
      </c>
      <c r="N537" s="64">
        <f t="shared" si="235"/>
        <v>0</v>
      </c>
      <c r="O537" s="64">
        <f t="shared" si="235"/>
        <v>0</v>
      </c>
      <c r="P537" s="64">
        <f t="shared" si="235"/>
        <v>0</v>
      </c>
      <c r="Q537" s="64">
        <f t="shared" si="235"/>
        <v>0</v>
      </c>
      <c r="R537" s="64">
        <f t="shared" si="235"/>
        <v>0</v>
      </c>
      <c r="S537" s="14">
        <f>S519</f>
        <v>0</v>
      </c>
    </row>
    <row r="538" spans="1:34" x14ac:dyDescent="0.25">
      <c r="A538" s="14" t="s">
        <v>884</v>
      </c>
      <c r="E538" s="175">
        <f>E520+(E529*$C$535)</f>
        <v>0</v>
      </c>
      <c r="F538" s="64">
        <f t="shared" ref="F538:R538" si="236">F520+(F529*$C$535)</f>
        <v>0</v>
      </c>
      <c r="G538" s="64">
        <f t="shared" si="236"/>
        <v>0</v>
      </c>
      <c r="H538" s="64">
        <f t="shared" si="236"/>
        <v>0</v>
      </c>
      <c r="I538" s="64">
        <f t="shared" si="236"/>
        <v>0</v>
      </c>
      <c r="J538" s="64">
        <f t="shared" si="236"/>
        <v>0</v>
      </c>
      <c r="K538" s="64">
        <f t="shared" si="236"/>
        <v>0</v>
      </c>
      <c r="L538" s="64">
        <f t="shared" si="236"/>
        <v>0</v>
      </c>
      <c r="M538" s="64">
        <f t="shared" si="236"/>
        <v>0</v>
      </c>
      <c r="N538" s="64">
        <f t="shared" si="236"/>
        <v>0</v>
      </c>
      <c r="O538" s="64">
        <f t="shared" si="236"/>
        <v>0</v>
      </c>
      <c r="P538" s="64">
        <f t="shared" si="236"/>
        <v>0</v>
      </c>
      <c r="Q538" s="64">
        <f t="shared" si="236"/>
        <v>0</v>
      </c>
      <c r="R538" s="64">
        <f t="shared" si="236"/>
        <v>0</v>
      </c>
    </row>
    <row r="539" spans="1:34" x14ac:dyDescent="0.25">
      <c r="A539" s="14" t="s">
        <v>644</v>
      </c>
      <c r="E539" s="175">
        <f>E521+(E530*$C$535)</f>
        <v>6947623.3099628603</v>
      </c>
      <c r="F539" s="64">
        <f t="shared" ref="F539:R539" si="237">F521+(F530*$C$535)</f>
        <v>5701560.8753906656</v>
      </c>
      <c r="G539" s="64">
        <f t="shared" si="237"/>
        <v>5635.7120456118264</v>
      </c>
      <c r="H539" s="64">
        <f t="shared" si="237"/>
        <v>300210.63073525904</v>
      </c>
      <c r="I539" s="64">
        <f t="shared" si="237"/>
        <v>781949.54207119846</v>
      </c>
      <c r="J539" s="64">
        <f t="shared" si="237"/>
        <v>134915.18206604169</v>
      </c>
      <c r="K539" s="64">
        <f t="shared" si="237"/>
        <v>23351.367654082009</v>
      </c>
      <c r="L539" s="64">
        <f t="shared" si="237"/>
        <v>0</v>
      </c>
      <c r="M539" s="64">
        <f t="shared" si="237"/>
        <v>0</v>
      </c>
      <c r="N539" s="64">
        <f t="shared" si="237"/>
        <v>0</v>
      </c>
      <c r="O539" s="64">
        <f t="shared" si="237"/>
        <v>0</v>
      </c>
      <c r="P539" s="64">
        <f t="shared" si="237"/>
        <v>0</v>
      </c>
      <c r="Q539" s="64">
        <f t="shared" si="237"/>
        <v>0</v>
      </c>
      <c r="R539" s="64">
        <f t="shared" si="237"/>
        <v>0</v>
      </c>
      <c r="S539" s="14">
        <f>S521+(S531*$C$535)</f>
        <v>0</v>
      </c>
    </row>
    <row r="540" spans="1:34" x14ac:dyDescent="0.25">
      <c r="A540" s="14" t="s">
        <v>645</v>
      </c>
      <c r="E540" s="175">
        <f>E522+(E531*$C$535)</f>
        <v>10791751.034988433</v>
      </c>
      <c r="F540" s="64">
        <f t="shared" ref="F540:R540" si="238">F522+(F531*$C$535)</f>
        <v>8833206.8042143155</v>
      </c>
      <c r="G540" s="64">
        <f t="shared" si="238"/>
        <v>7040.0018394486879</v>
      </c>
      <c r="H540" s="64">
        <f t="shared" si="238"/>
        <v>1087914.922140064</v>
      </c>
      <c r="I540" s="64">
        <f t="shared" si="238"/>
        <v>406866.48727615748</v>
      </c>
      <c r="J540" s="64">
        <f t="shared" si="238"/>
        <v>43224.424802136877</v>
      </c>
      <c r="K540" s="64">
        <f t="shared" si="238"/>
        <v>413498.39471631096</v>
      </c>
      <c r="L540" s="64">
        <f t="shared" si="238"/>
        <v>0</v>
      </c>
      <c r="M540" s="64">
        <f t="shared" si="238"/>
        <v>0</v>
      </c>
      <c r="N540" s="64">
        <f t="shared" si="238"/>
        <v>0</v>
      </c>
      <c r="O540" s="64">
        <f t="shared" si="238"/>
        <v>0</v>
      </c>
      <c r="P540" s="64">
        <f t="shared" si="238"/>
        <v>0</v>
      </c>
      <c r="Q540" s="64">
        <f t="shared" si="238"/>
        <v>0</v>
      </c>
      <c r="R540" s="64">
        <f t="shared" si="238"/>
        <v>0</v>
      </c>
      <c r="S540" s="14">
        <f>S522+(S532*$C$535)</f>
        <v>0</v>
      </c>
    </row>
    <row r="541" spans="1:34" x14ac:dyDescent="0.25">
      <c r="A541" s="14" t="s">
        <v>0</v>
      </c>
      <c r="C541" s="27"/>
      <c r="E541" s="75">
        <f>SUM(E536:E540)</f>
        <v>51912189.344951294</v>
      </c>
      <c r="F541" s="75">
        <f t="shared" ref="F541:R541" si="239">SUM(F536:F540)</f>
        <v>35429955.788589343</v>
      </c>
      <c r="G541" s="75">
        <f t="shared" si="239"/>
        <v>31029.17160252549</v>
      </c>
      <c r="H541" s="75">
        <f t="shared" si="239"/>
        <v>4052985.4790088115</v>
      </c>
      <c r="I541" s="75">
        <f t="shared" si="239"/>
        <v>6702058.9745827653</v>
      </c>
      <c r="J541" s="75">
        <f t="shared" si="239"/>
        <v>1823580.2851264903</v>
      </c>
      <c r="K541" s="75">
        <f t="shared" si="239"/>
        <v>436849.76237039297</v>
      </c>
      <c r="L541" s="75">
        <f t="shared" si="239"/>
        <v>3435729.8779312759</v>
      </c>
      <c r="M541" s="75">
        <f t="shared" si="239"/>
        <v>0</v>
      </c>
      <c r="N541" s="75">
        <f t="shared" si="239"/>
        <v>0</v>
      </c>
      <c r="O541" s="75">
        <f t="shared" si="239"/>
        <v>0</v>
      </c>
      <c r="P541" s="75">
        <f t="shared" si="239"/>
        <v>0</v>
      </c>
      <c r="Q541" s="75">
        <f t="shared" si="239"/>
        <v>0</v>
      </c>
      <c r="R541" s="75">
        <f t="shared" si="239"/>
        <v>0</v>
      </c>
      <c r="S541" s="14">
        <f>SUM(S536:S540)</f>
        <v>0</v>
      </c>
    </row>
    <row r="542" spans="1:34" x14ac:dyDescent="0.25">
      <c r="D542" s="20" t="s">
        <v>1028</v>
      </c>
      <c r="E542" s="198">
        <v>51912189.34495125</v>
      </c>
      <c r="F542" s="27"/>
    </row>
    <row r="543" spans="1:34" x14ac:dyDescent="0.25">
      <c r="D543" s="20" t="s">
        <v>1018</v>
      </c>
      <c r="E543" s="175">
        <f>E541-E542</f>
        <v>0</v>
      </c>
      <c r="F543" s="27"/>
    </row>
    <row r="544" spans="1:34" x14ac:dyDescent="0.25">
      <c r="E544" s="175"/>
    </row>
    <row r="545" spans="1:32" x14ac:dyDescent="0.25">
      <c r="A545" s="13" t="s">
        <v>646</v>
      </c>
      <c r="E545" s="175"/>
    </row>
    <row r="547" spans="1:32" x14ac:dyDescent="0.25">
      <c r="A547" s="14" t="s">
        <v>987</v>
      </c>
      <c r="F547" s="72">
        <f t="shared" ref="F547:H550" si="240">F518/F$390</f>
        <v>6.6879354311172833E-3</v>
      </c>
      <c r="G547" s="72">
        <f t="shared" si="240"/>
        <v>0</v>
      </c>
      <c r="H547" s="72">
        <f t="shared" si="240"/>
        <v>5.678271179445229E-3</v>
      </c>
      <c r="I547" s="25">
        <f>I518/I$405</f>
        <v>1.5098287962879602</v>
      </c>
      <c r="J547" s="25">
        <f>J518/J$405</f>
        <v>9.1297648423762663</v>
      </c>
      <c r="M547" s="72" t="e">
        <f t="shared" ref="M547:N550" si="241">M518/M$390</f>
        <v>#DIV/0!</v>
      </c>
      <c r="N547" s="72" t="e">
        <f t="shared" si="241"/>
        <v>#DIV/0!</v>
      </c>
      <c r="O547" s="72"/>
      <c r="P547" s="72" t="e">
        <f t="shared" ref="P547:Q550" si="242">P518/P$390</f>
        <v>#DIV/0!</v>
      </c>
      <c r="Q547" s="72" t="e">
        <f t="shared" si="242"/>
        <v>#DIV/0!</v>
      </c>
      <c r="R547" s="25" t="e">
        <f>R518/R$405</f>
        <v>#DIV/0!</v>
      </c>
      <c r="S547" s="25" t="e">
        <f>S518/S$390</f>
        <v>#DIV/0!</v>
      </c>
      <c r="T547" s="25">
        <f>T509/1251.6</f>
        <v>0</v>
      </c>
      <c r="U547" s="25" t="e">
        <f>U509/U393</f>
        <v>#DIV/0!</v>
      </c>
      <c r="V547" s="25" t="e">
        <f>V509/V393</f>
        <v>#DIV/0!</v>
      </c>
      <c r="W547" s="25" t="e">
        <f>W509/W393</f>
        <v>#DIV/0!</v>
      </c>
      <c r="X547" s="72" t="e">
        <f>X509/X390</f>
        <v>#DIV/0!</v>
      </c>
      <c r="Y547" s="25" t="e">
        <f>Y509/Y393</f>
        <v>#DIV/0!</v>
      </c>
      <c r="Z547" s="126">
        <f>Z509/3624.9</f>
        <v>0</v>
      </c>
      <c r="AA547" s="63">
        <f>AA509/9725.8</f>
        <v>0</v>
      </c>
      <c r="AB547" s="63">
        <f>AB509/12443</f>
        <v>0</v>
      </c>
      <c r="AC547" s="63">
        <f>AC509/9726</f>
        <v>0</v>
      </c>
      <c r="AD547" s="63">
        <f>AD509/10680</f>
        <v>0</v>
      </c>
      <c r="AE547" s="63"/>
      <c r="AF547" s="63"/>
    </row>
    <row r="548" spans="1:32" x14ac:dyDescent="0.25">
      <c r="A548" s="14" t="s">
        <v>888</v>
      </c>
      <c r="F548" s="72">
        <f t="shared" si="240"/>
        <v>5.8722261270253082E-2</v>
      </c>
      <c r="G548" s="72">
        <f t="shared" si="240"/>
        <v>5.8206738396413042E-2</v>
      </c>
      <c r="H548" s="72">
        <f t="shared" si="240"/>
        <v>5.8249237072218435E-2</v>
      </c>
      <c r="I548" s="72">
        <f>I519/I$390</f>
        <v>5.854978454714771E-2</v>
      </c>
      <c r="J548" s="72">
        <f>J519/J$390</f>
        <v>3.9206020376702747E-2</v>
      </c>
      <c r="M548" s="72" t="e">
        <f t="shared" si="241"/>
        <v>#DIV/0!</v>
      </c>
      <c r="N548" s="72" t="e">
        <f t="shared" si="241"/>
        <v>#DIV/0!</v>
      </c>
      <c r="O548" s="72"/>
      <c r="P548" s="72" t="e">
        <f t="shared" si="242"/>
        <v>#DIV/0!</v>
      </c>
      <c r="Q548" s="72" t="e">
        <f t="shared" si="242"/>
        <v>#DIV/0!</v>
      </c>
      <c r="R548" s="72" t="e">
        <f>R519/R$390</f>
        <v>#DIV/0!</v>
      </c>
      <c r="S548" s="25" t="e">
        <f>S519/S$390</f>
        <v>#DIV/0!</v>
      </c>
      <c r="T548" s="25" t="e">
        <f>T510/T$390</f>
        <v>#DIV/0!</v>
      </c>
      <c r="U548" s="25" t="e">
        <f>U510/U$393</f>
        <v>#DIV/0!</v>
      </c>
      <c r="V548" s="25" t="e">
        <f>V510/V$393</f>
        <v>#DIV/0!</v>
      </c>
      <c r="W548" s="25" t="e">
        <f>W510/W$393</f>
        <v>#DIV/0!</v>
      </c>
      <c r="X548" s="72" t="e">
        <f>X510/X$390</f>
        <v>#DIV/0!</v>
      </c>
      <c r="Y548" s="25" t="e">
        <f>Y510/Y$393</f>
        <v>#DIV/0!</v>
      </c>
      <c r="Z548" s="14" t="e">
        <f>Z510/Z$390</f>
        <v>#DIV/0!</v>
      </c>
      <c r="AA548" s="14" t="e">
        <f>AA510/AA$390</f>
        <v>#DIV/0!</v>
      </c>
      <c r="AB548" s="14" t="e">
        <f>AB510/AB$390</f>
        <v>#DIV/0!</v>
      </c>
      <c r="AC548" s="14" t="e">
        <f>AC510/AC$390</f>
        <v>#DIV/0!</v>
      </c>
      <c r="AD548" s="14" t="e">
        <f>AD510/AD$390</f>
        <v>#DIV/0!</v>
      </c>
    </row>
    <row r="549" spans="1:32" x14ac:dyDescent="0.25">
      <c r="A549" s="14" t="s">
        <v>988</v>
      </c>
      <c r="F549" s="72">
        <f t="shared" si="240"/>
        <v>0</v>
      </c>
      <c r="G549" s="72">
        <f t="shared" si="240"/>
        <v>0</v>
      </c>
      <c r="H549" s="72">
        <f t="shared" si="240"/>
        <v>0</v>
      </c>
      <c r="I549" s="25">
        <f>I520/I$405</f>
        <v>0</v>
      </c>
      <c r="J549" s="25">
        <f>J520/J$405</f>
        <v>0</v>
      </c>
      <c r="M549" s="72" t="e">
        <f t="shared" si="241"/>
        <v>#DIV/0!</v>
      </c>
      <c r="N549" s="72" t="e">
        <f t="shared" si="241"/>
        <v>#DIV/0!</v>
      </c>
      <c r="O549" s="72"/>
      <c r="P549" s="72" t="e">
        <f t="shared" si="242"/>
        <v>#DIV/0!</v>
      </c>
      <c r="Q549" s="72" t="e">
        <f t="shared" si="242"/>
        <v>#DIV/0!</v>
      </c>
      <c r="R549" s="25" t="e">
        <f>R520/R$405</f>
        <v>#DIV/0!</v>
      </c>
      <c r="S549" s="25"/>
      <c r="T549" s="25"/>
      <c r="U549" s="25"/>
      <c r="V549" s="25"/>
      <c r="W549" s="25"/>
      <c r="X549" s="72"/>
      <c r="Y549" s="25"/>
    </row>
    <row r="550" spans="1:32" x14ac:dyDescent="0.25">
      <c r="A550" s="14" t="s">
        <v>989</v>
      </c>
      <c r="F550" s="72">
        <f t="shared" si="240"/>
        <v>1.4655626677992518E-2</v>
      </c>
      <c r="G550" s="72">
        <f t="shared" si="240"/>
        <v>1.4671601916890676E-2</v>
      </c>
      <c r="H550" s="72">
        <f t="shared" si="240"/>
        <v>5.9235944438442044E-3</v>
      </c>
      <c r="I550" s="25">
        <f>I521/I$405</f>
        <v>1.9079829783444866</v>
      </c>
      <c r="J550" s="25">
        <f>J521/J$405</f>
        <v>1.9066292603853818</v>
      </c>
      <c r="M550" s="72" t="e">
        <f t="shared" si="241"/>
        <v>#DIV/0!</v>
      </c>
      <c r="N550" s="72" t="e">
        <f t="shared" si="241"/>
        <v>#DIV/0!</v>
      </c>
      <c r="O550" s="72"/>
      <c r="P550" s="72" t="e">
        <f t="shared" si="242"/>
        <v>#DIV/0!</v>
      </c>
      <c r="Q550" s="72" t="e">
        <f t="shared" si="242"/>
        <v>#DIV/0!</v>
      </c>
      <c r="R550" s="25" t="e">
        <f>R521/R$405</f>
        <v>#DIV/0!</v>
      </c>
      <c r="S550" s="25" t="e">
        <f>S521/S$390</f>
        <v>#DIV/0!</v>
      </c>
      <c r="T550" s="25">
        <f>T512/1251.6</f>
        <v>0</v>
      </c>
      <c r="U550" s="25" t="e">
        <f>U512/U393</f>
        <v>#DIV/0!</v>
      </c>
      <c r="V550" s="25" t="e">
        <f>V512/V393</f>
        <v>#DIV/0!</v>
      </c>
      <c r="W550" s="25" t="e">
        <f>W512/W393</f>
        <v>#DIV/0!</v>
      </c>
      <c r="X550" s="72" t="e">
        <f>X512/X390</f>
        <v>#DIV/0!</v>
      </c>
      <c r="Y550" s="25" t="e">
        <f>Y512/Y393</f>
        <v>#DIV/0!</v>
      </c>
      <c r="Z550" s="126">
        <f>Z512/12877</f>
        <v>0</v>
      </c>
      <c r="AA550" s="63">
        <f>AA512/11922</f>
        <v>0</v>
      </c>
      <c r="AB550" s="63">
        <f>AB512/14745</f>
        <v>0</v>
      </c>
      <c r="AC550" s="63">
        <f>AC512/10526</f>
        <v>0</v>
      </c>
      <c r="AD550" s="63">
        <f>AD512/11459</f>
        <v>0</v>
      </c>
      <c r="AE550" s="63"/>
      <c r="AF550" s="63"/>
    </row>
    <row r="551" spans="1:32" s="25" customFormat="1" x14ac:dyDescent="0.25">
      <c r="A551" s="25" t="s">
        <v>889</v>
      </c>
      <c r="E551" s="162"/>
      <c r="F551" s="25">
        <f>F522/F393</f>
        <v>25.936588371832244</v>
      </c>
      <c r="G551" s="25">
        <f>G522/G393</f>
        <v>27.757040865456005</v>
      </c>
      <c r="H551" s="25">
        <f>H522/H393</f>
        <v>25.577302156900753</v>
      </c>
      <c r="I551" s="25">
        <f>I522/I393</f>
        <v>88.691678668275387</v>
      </c>
      <c r="J551" s="25">
        <f>J522/J393</f>
        <v>709.30491341414711</v>
      </c>
      <c r="K551" s="14"/>
      <c r="L551" s="14"/>
      <c r="M551" s="25" t="e">
        <f>M522/M393</f>
        <v>#DIV/0!</v>
      </c>
      <c r="N551" s="25" t="e">
        <f>N522/N393</f>
        <v>#DIV/0!</v>
      </c>
      <c r="O551" s="72"/>
      <c r="P551" s="25" t="e">
        <f>P522/P393</f>
        <v>#DIV/0!</v>
      </c>
      <c r="Q551" s="25" t="e">
        <f>Q522/Q393</f>
        <v>#DIV/0!</v>
      </c>
      <c r="R551" s="25" t="e">
        <f>R522/R393</f>
        <v>#DIV/0!</v>
      </c>
      <c r="S551" s="25" t="e">
        <f>S522/S393</f>
        <v>#DIV/0!</v>
      </c>
      <c r="T551" s="25" t="e">
        <f t="shared" ref="T551:AD551" si="243">T513/T393</f>
        <v>#DIV/0!</v>
      </c>
      <c r="U551" s="25" t="e">
        <f t="shared" si="243"/>
        <v>#DIV/0!</v>
      </c>
      <c r="V551" s="25" t="e">
        <f t="shared" si="243"/>
        <v>#DIV/0!</v>
      </c>
      <c r="W551" s="25" t="e">
        <f t="shared" si="243"/>
        <v>#DIV/0!</v>
      </c>
      <c r="X551" s="25" t="e">
        <f t="shared" si="243"/>
        <v>#DIV/0!</v>
      </c>
      <c r="Y551" s="25" t="e">
        <f t="shared" si="243"/>
        <v>#DIV/0!</v>
      </c>
      <c r="Z551" s="25" t="e">
        <f t="shared" si="243"/>
        <v>#DIV/0!</v>
      </c>
      <c r="AA551" s="25" t="e">
        <f t="shared" si="243"/>
        <v>#DIV/0!</v>
      </c>
      <c r="AB551" s="25" t="e">
        <f t="shared" si="243"/>
        <v>#DIV/0!</v>
      </c>
      <c r="AC551" s="25" t="e">
        <f t="shared" si="243"/>
        <v>#DIV/0!</v>
      </c>
      <c r="AD551" s="25" t="e">
        <f t="shared" si="243"/>
        <v>#DIV/0!</v>
      </c>
    </row>
    <row r="554" spans="1:32" x14ac:dyDescent="0.25">
      <c r="A554" s="13" t="s">
        <v>647</v>
      </c>
    </row>
    <row r="555" spans="1:32" x14ac:dyDescent="0.25">
      <c r="A555" s="13"/>
    </row>
    <row r="556" spans="1:32" x14ac:dyDescent="0.25">
      <c r="A556" s="14" t="s">
        <v>987</v>
      </c>
      <c r="F556" s="72">
        <f t="shared" ref="F556:H559" si="244">F527/F$390</f>
        <v>0</v>
      </c>
      <c r="G556" s="72">
        <f t="shared" si="244"/>
        <v>0</v>
      </c>
      <c r="H556" s="72">
        <f t="shared" si="244"/>
        <v>0</v>
      </c>
      <c r="I556" s="25">
        <f>I527/I$405</f>
        <v>0</v>
      </c>
      <c r="J556" s="25">
        <f>J527/J$405</f>
        <v>0</v>
      </c>
      <c r="M556" s="72" t="e">
        <f t="shared" ref="M556:N559" si="245">M527/M$390</f>
        <v>#DIV/0!</v>
      </c>
      <c r="N556" s="72" t="e">
        <f t="shared" si="245"/>
        <v>#DIV/0!</v>
      </c>
      <c r="O556" s="72"/>
      <c r="P556" s="72" t="e">
        <f t="shared" ref="P556:Q559" si="246">P527/P$390</f>
        <v>#DIV/0!</v>
      </c>
      <c r="Q556" s="72" t="e">
        <f t="shared" si="246"/>
        <v>#DIV/0!</v>
      </c>
      <c r="R556" s="25" t="e">
        <f>R527/R$405</f>
        <v>#DIV/0!</v>
      </c>
    </row>
    <row r="557" spans="1:32" x14ac:dyDescent="0.25">
      <c r="A557" s="14" t="s">
        <v>888</v>
      </c>
      <c r="F557" s="72">
        <f t="shared" si="244"/>
        <v>0</v>
      </c>
      <c r="G557" s="72">
        <f t="shared" si="244"/>
        <v>0</v>
      </c>
      <c r="H557" s="72">
        <f t="shared" si="244"/>
        <v>0</v>
      </c>
      <c r="I557" s="72">
        <f>I528/I$390</f>
        <v>0</v>
      </c>
      <c r="J557" s="72">
        <f>J528/J$390</f>
        <v>0</v>
      </c>
      <c r="M557" s="72" t="e">
        <f t="shared" si="245"/>
        <v>#DIV/0!</v>
      </c>
      <c r="N557" s="72" t="e">
        <f t="shared" si="245"/>
        <v>#DIV/0!</v>
      </c>
      <c r="O557" s="72"/>
      <c r="P557" s="72" t="e">
        <f t="shared" si="246"/>
        <v>#DIV/0!</v>
      </c>
      <c r="Q557" s="72" t="e">
        <f t="shared" si="246"/>
        <v>#DIV/0!</v>
      </c>
      <c r="R557" s="72" t="e">
        <f>R528/R$390</f>
        <v>#DIV/0!</v>
      </c>
    </row>
    <row r="558" spans="1:32" x14ac:dyDescent="0.25">
      <c r="A558" s="14" t="s">
        <v>988</v>
      </c>
      <c r="F558" s="72">
        <f t="shared" si="244"/>
        <v>0</v>
      </c>
      <c r="G558" s="72">
        <f t="shared" si="244"/>
        <v>0</v>
      </c>
      <c r="H558" s="72">
        <f t="shared" si="244"/>
        <v>0</v>
      </c>
      <c r="I558" s="25">
        <f>I529/I$405</f>
        <v>0</v>
      </c>
      <c r="J558" s="25">
        <f>J529/J$405</f>
        <v>0</v>
      </c>
      <c r="M558" s="72" t="e">
        <f t="shared" si="245"/>
        <v>#DIV/0!</v>
      </c>
      <c r="N558" s="72" t="e">
        <f t="shared" si="245"/>
        <v>#DIV/0!</v>
      </c>
      <c r="O558" s="72"/>
      <c r="P558" s="72" t="e">
        <f t="shared" si="246"/>
        <v>#DIV/0!</v>
      </c>
      <c r="Q558" s="72" t="e">
        <f t="shared" si="246"/>
        <v>#DIV/0!</v>
      </c>
      <c r="R558" s="25" t="e">
        <f>R529/R$405</f>
        <v>#DIV/0!</v>
      </c>
    </row>
    <row r="559" spans="1:32" x14ac:dyDescent="0.25">
      <c r="A559" s="14" t="s">
        <v>989</v>
      </c>
      <c r="F559" s="72">
        <f t="shared" si="244"/>
        <v>6.7908285355520334E-2</v>
      </c>
      <c r="G559" s="72">
        <f t="shared" si="244"/>
        <v>6.8103171301764479E-2</v>
      </c>
      <c r="H559" s="72">
        <f t="shared" si="244"/>
        <v>2.7188290347472169E-2</v>
      </c>
      <c r="I559" s="25">
        <f>I530/I$405</f>
        <v>8.8999059415045316</v>
      </c>
      <c r="J559" s="25">
        <f>J530/J$405</f>
        <v>8.8999059415045316</v>
      </c>
      <c r="M559" s="72" t="e">
        <f t="shared" si="245"/>
        <v>#DIV/0!</v>
      </c>
      <c r="N559" s="72" t="e">
        <f t="shared" si="245"/>
        <v>#DIV/0!</v>
      </c>
      <c r="O559" s="72"/>
      <c r="P559" s="72" t="e">
        <f t="shared" si="246"/>
        <v>#DIV/0!</v>
      </c>
      <c r="Q559" s="72" t="e">
        <f t="shared" si="246"/>
        <v>#DIV/0!</v>
      </c>
      <c r="R559" s="25" t="e">
        <f>R530/R$405</f>
        <v>#DIV/0!</v>
      </c>
      <c r="S559" s="25">
        <f>S530/5037.7</f>
        <v>0</v>
      </c>
      <c r="T559" s="25">
        <f>T530/1251.6</f>
        <v>0</v>
      </c>
      <c r="U559" s="25" t="e">
        <f>U530/U393</f>
        <v>#DIV/0!</v>
      </c>
      <c r="V559" s="25" t="e">
        <f>V530/V393</f>
        <v>#DIV/0!</v>
      </c>
      <c r="W559" s="25" t="e">
        <f>W530/W393</f>
        <v>#DIV/0!</v>
      </c>
      <c r="X559" s="25" t="e">
        <f>X530/X393</f>
        <v>#DIV/0!</v>
      </c>
      <c r="Y559" s="25" t="e">
        <f>Y530/Y393</f>
        <v>#DIV/0!</v>
      </c>
      <c r="Z559" s="127">
        <f>Z530/12877</f>
        <v>0</v>
      </c>
      <c r="AA559" s="63">
        <f>AA530/11922</f>
        <v>0</v>
      </c>
      <c r="AB559" s="63">
        <f>AB530/14745</f>
        <v>0</v>
      </c>
      <c r="AC559" s="63">
        <f>AC530/10526</f>
        <v>0</v>
      </c>
      <c r="AD559" s="63">
        <f>AD530/11459</f>
        <v>0</v>
      </c>
      <c r="AE559" s="63"/>
      <c r="AF559" s="63"/>
    </row>
    <row r="560" spans="1:32" x14ac:dyDescent="0.25">
      <c r="A560" s="14" t="s">
        <v>889</v>
      </c>
      <c r="F560" s="25">
        <f>F531/F$393</f>
        <v>102.85774607461293</v>
      </c>
      <c r="G560" s="25">
        <f>G531/G$393</f>
        <v>102.85774607461292</v>
      </c>
      <c r="H560" s="25">
        <f>H531/H$393</f>
        <v>115.46013232141118</v>
      </c>
      <c r="I560" s="25">
        <f>I531/I$393</f>
        <v>162.31730446728108</v>
      </c>
      <c r="J560" s="25">
        <f>J531/J$393</f>
        <v>236.155435527409</v>
      </c>
      <c r="M560" s="25" t="e">
        <f>M531/M$393</f>
        <v>#DIV/0!</v>
      </c>
      <c r="N560" s="25" t="e">
        <f>N531/N$393</f>
        <v>#DIV/0!</v>
      </c>
      <c r="O560" s="72"/>
      <c r="P560" s="25" t="e">
        <f t="shared" ref="P560:AD560" si="247">P531/P$393</f>
        <v>#DIV/0!</v>
      </c>
      <c r="Q560" s="25" t="e">
        <f t="shared" si="247"/>
        <v>#DIV/0!</v>
      </c>
      <c r="R560" s="25" t="e">
        <f t="shared" si="247"/>
        <v>#DIV/0!</v>
      </c>
      <c r="S560" s="25" t="e">
        <f t="shared" si="247"/>
        <v>#DIV/0!</v>
      </c>
      <c r="T560" s="25" t="e">
        <f t="shared" si="247"/>
        <v>#DIV/0!</v>
      </c>
      <c r="U560" s="25" t="e">
        <f t="shared" si="247"/>
        <v>#DIV/0!</v>
      </c>
      <c r="V560" s="25" t="e">
        <f t="shared" si="247"/>
        <v>#DIV/0!</v>
      </c>
      <c r="W560" s="25" t="e">
        <f t="shared" si="247"/>
        <v>#DIV/0!</v>
      </c>
      <c r="X560" s="25" t="e">
        <f t="shared" si="247"/>
        <v>#DIV/0!</v>
      </c>
      <c r="Y560" s="25" t="e">
        <f t="shared" si="247"/>
        <v>#DIV/0!</v>
      </c>
      <c r="Z560" s="128" t="e">
        <f t="shared" si="247"/>
        <v>#DIV/0!</v>
      </c>
      <c r="AA560" s="128" t="e">
        <f t="shared" si="247"/>
        <v>#DIV/0!</v>
      </c>
      <c r="AB560" s="128" t="e">
        <f t="shared" si="247"/>
        <v>#DIV/0!</v>
      </c>
      <c r="AC560" s="128" t="e">
        <f t="shared" si="247"/>
        <v>#DIV/0!</v>
      </c>
      <c r="AD560" s="128" t="e">
        <f t="shared" si="247"/>
        <v>#DIV/0!</v>
      </c>
      <c r="AE560" s="128"/>
      <c r="AF560" s="128"/>
    </row>
    <row r="563" spans="1:36" x14ac:dyDescent="0.25">
      <c r="A563" s="19" t="s">
        <v>664</v>
      </c>
      <c r="B563" s="129"/>
      <c r="C563" s="14" t="s">
        <v>895</v>
      </c>
      <c r="F563" s="24">
        <f>F364</f>
        <v>-8.8323636997344218E-2</v>
      </c>
      <c r="G563" s="24">
        <f>G364</f>
        <v>-1.675435611121736E-2</v>
      </c>
      <c r="H563" s="24">
        <f>H364</f>
        <v>-7.9453770211105716E-3</v>
      </c>
      <c r="I563" s="24">
        <f>I364</f>
        <v>0.14455693290306307</v>
      </c>
      <c r="J563" s="24">
        <f>J364</f>
        <v>0.21661533721970599</v>
      </c>
      <c r="K563" s="24"/>
      <c r="L563" s="24"/>
      <c r="M563" s="24" t="str">
        <f t="shared" ref="M563:R563" si="248">M364</f>
        <v>NA</v>
      </c>
      <c r="N563" s="24" t="str">
        <f t="shared" si="248"/>
        <v>NA</v>
      </c>
      <c r="O563" s="24" t="str">
        <f t="shared" si="248"/>
        <v>NA</v>
      </c>
      <c r="P563" s="24" t="e">
        <f t="shared" si="248"/>
        <v>#DIV/0!</v>
      </c>
      <c r="Q563" s="24" t="e">
        <f t="shared" si="248"/>
        <v>#DIV/0!</v>
      </c>
      <c r="R563" s="24" t="e">
        <f t="shared" si="248"/>
        <v>#DIV/0!</v>
      </c>
    </row>
    <row r="564" spans="1:36" x14ac:dyDescent="0.25">
      <c r="A564" s="13"/>
    </row>
    <row r="565" spans="1:36" x14ac:dyDescent="0.25">
      <c r="A565" s="13" t="s">
        <v>759</v>
      </c>
    </row>
    <row r="566" spans="1:36" x14ac:dyDescent="0.25">
      <c r="A566" s="14" t="s">
        <v>990</v>
      </c>
      <c r="F566" s="76">
        <f t="shared" ref="F566:N566" si="249">F547</f>
        <v>6.6879354311172833E-3</v>
      </c>
      <c r="G566" s="76">
        <f t="shared" ref="G566" si="250">G547</f>
        <v>0</v>
      </c>
      <c r="H566" s="76">
        <f t="shared" ref="H566" si="251">H547</f>
        <v>5.678271179445229E-3</v>
      </c>
      <c r="I566" s="25">
        <f t="shared" ref="I566" si="252">I547</f>
        <v>1.5098287962879602</v>
      </c>
      <c r="J566" s="25">
        <f t="shared" ref="J566" si="253">J547</f>
        <v>9.1297648423762663</v>
      </c>
      <c r="K566" s="25"/>
      <c r="L566" s="25"/>
      <c r="M566" s="76" t="e">
        <f t="shared" si="249"/>
        <v>#DIV/0!</v>
      </c>
      <c r="N566" s="76" t="e">
        <f t="shared" si="249"/>
        <v>#DIV/0!</v>
      </c>
      <c r="P566" s="76" t="e">
        <f t="shared" ref="P566:S566" si="254">P547</f>
        <v>#DIV/0!</v>
      </c>
      <c r="Q566" s="76" t="e">
        <f t="shared" si="254"/>
        <v>#DIV/0!</v>
      </c>
      <c r="R566" s="25" t="e">
        <f>R547</f>
        <v>#DIV/0!</v>
      </c>
      <c r="S566" s="76" t="e">
        <f t="shared" si="254"/>
        <v>#DIV/0!</v>
      </c>
      <c r="T566" s="76" t="e">
        <f>#REF!</f>
        <v>#REF!</v>
      </c>
      <c r="U566" s="76" t="e">
        <f>#REF!</f>
        <v>#REF!</v>
      </c>
      <c r="V566" s="76" t="e">
        <f>#REF!</f>
        <v>#REF!</v>
      </c>
      <c r="W566" s="76" t="e">
        <f>#REF!</f>
        <v>#REF!</v>
      </c>
      <c r="X566" s="76" t="e">
        <f>#REF!</f>
        <v>#REF!</v>
      </c>
      <c r="Y566" s="76" t="e">
        <f>#REF!</f>
        <v>#REF!</v>
      </c>
      <c r="Z566" s="76" t="e">
        <f>#REF!</f>
        <v>#REF!</v>
      </c>
      <c r="AA566" s="76" t="e">
        <f>#REF!</f>
        <v>#REF!</v>
      </c>
      <c r="AB566" s="76" t="e">
        <f>#REF!</f>
        <v>#REF!</v>
      </c>
      <c r="AC566" s="76" t="e">
        <f>#REF!</f>
        <v>#REF!</v>
      </c>
      <c r="AD566" s="76" t="e">
        <f>#REF!</f>
        <v>#REF!</v>
      </c>
      <c r="AE566" s="76" t="e">
        <f>#REF!</f>
        <v>#REF!</v>
      </c>
      <c r="AF566" s="76" t="e">
        <f>#REF!</f>
        <v>#REF!</v>
      </c>
    </row>
    <row r="567" spans="1:36" x14ac:dyDescent="0.25">
      <c r="A567" s="14" t="s">
        <v>991</v>
      </c>
      <c r="F567" s="76">
        <f>(F527*F364)/F$390</f>
        <v>0</v>
      </c>
      <c r="G567" s="76">
        <f>(G527*G364)/G$390</f>
        <v>0</v>
      </c>
      <c r="H567" s="76">
        <f>(H527*H364)/H$390</f>
        <v>0</v>
      </c>
      <c r="I567" s="76">
        <f>(I527*I364)/I$390</f>
        <v>0</v>
      </c>
      <c r="J567" s="76">
        <f>(J527*J364)/J$390</f>
        <v>0</v>
      </c>
      <c r="K567" s="76"/>
      <c r="L567" s="76"/>
      <c r="M567" s="76" t="e">
        <f>(M527*M364)/M$390</f>
        <v>#VALUE!</v>
      </c>
      <c r="N567" s="76" t="e">
        <f>(N527*N364)/N$390</f>
        <v>#VALUE!</v>
      </c>
      <c r="P567" s="76" t="e">
        <f>(P527*P364)/P$390</f>
        <v>#DIV/0!</v>
      </c>
      <c r="Q567" s="76" t="e">
        <f>(Q527*Q364)/Q$390</f>
        <v>#DIV/0!</v>
      </c>
      <c r="R567" s="25" t="e">
        <f>(R527*R364)/R$405</f>
        <v>#DIV/0!</v>
      </c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</row>
    <row r="568" spans="1:36" x14ac:dyDescent="0.25">
      <c r="A568" s="14" t="s">
        <v>890</v>
      </c>
      <c r="F568" s="76">
        <f t="shared" ref="F568:S568" si="255">F548</f>
        <v>5.8722261270253082E-2</v>
      </c>
      <c r="G568" s="76">
        <f t="shared" ref="G568" si="256">G548</f>
        <v>5.8206738396413042E-2</v>
      </c>
      <c r="H568" s="76">
        <f t="shared" ref="H568" si="257">H548</f>
        <v>5.8249237072218435E-2</v>
      </c>
      <c r="I568" s="76">
        <f t="shared" ref="I568" si="258">I548</f>
        <v>5.854978454714771E-2</v>
      </c>
      <c r="J568" s="76">
        <f t="shared" ref="J568" si="259">J548</f>
        <v>3.9206020376702747E-2</v>
      </c>
      <c r="K568" s="76"/>
      <c r="L568" s="76"/>
      <c r="M568" s="76" t="e">
        <f t="shared" ref="M568:N568" si="260">M548</f>
        <v>#DIV/0!</v>
      </c>
      <c r="N568" s="76" t="e">
        <f t="shared" si="260"/>
        <v>#DIV/0!</v>
      </c>
      <c r="P568" s="76" t="e">
        <f t="shared" si="255"/>
        <v>#DIV/0!</v>
      </c>
      <c r="Q568" s="76" t="e">
        <f t="shared" si="255"/>
        <v>#DIV/0!</v>
      </c>
      <c r="R568" s="76" t="e">
        <f t="shared" si="255"/>
        <v>#DIV/0!</v>
      </c>
      <c r="S568" s="76" t="e">
        <f t="shared" si="255"/>
        <v>#DIV/0!</v>
      </c>
      <c r="T568" s="76" t="e">
        <f>#REF!</f>
        <v>#REF!</v>
      </c>
      <c r="U568" s="76" t="e">
        <f>#REF!</f>
        <v>#REF!</v>
      </c>
      <c r="V568" s="76" t="e">
        <f>#REF!</f>
        <v>#REF!</v>
      </c>
      <c r="W568" s="76" t="e">
        <f>#REF!</f>
        <v>#REF!</v>
      </c>
      <c r="X568" s="76" t="e">
        <f>#REF!</f>
        <v>#REF!</v>
      </c>
      <c r="Y568" s="76" t="e">
        <f>#REF!</f>
        <v>#REF!</v>
      </c>
      <c r="Z568" s="76" t="e">
        <f>#REF!</f>
        <v>#REF!</v>
      </c>
      <c r="AA568" s="76" t="e">
        <f>#REF!</f>
        <v>#REF!</v>
      </c>
      <c r="AB568" s="76" t="e">
        <f>#REF!</f>
        <v>#REF!</v>
      </c>
      <c r="AC568" s="76" t="e">
        <f>#REF!</f>
        <v>#REF!</v>
      </c>
      <c r="AD568" s="76" t="e">
        <f>#REF!</f>
        <v>#REF!</v>
      </c>
      <c r="AE568" s="76" t="e">
        <f>#REF!</f>
        <v>#REF!</v>
      </c>
      <c r="AF568" s="76" t="e">
        <f>#REF!</f>
        <v>#REF!</v>
      </c>
    </row>
    <row r="569" spans="1:36" x14ac:dyDescent="0.25">
      <c r="A569" s="14" t="s">
        <v>891</v>
      </c>
      <c r="F569" s="76">
        <f>(F528*F364)/F$390</f>
        <v>0</v>
      </c>
      <c r="G569" s="76">
        <f>(G528*G364)/G$390</f>
        <v>0</v>
      </c>
      <c r="H569" s="76">
        <f>(H528*H364)/H$390</f>
        <v>0</v>
      </c>
      <c r="I569" s="76">
        <f>(I528*I364)/I$390</f>
        <v>0</v>
      </c>
      <c r="J569" s="76">
        <f>(J528*J364)/J$390</f>
        <v>0</v>
      </c>
      <c r="K569" s="76"/>
      <c r="L569" s="76"/>
      <c r="M569" s="76" t="e">
        <f>(M528*M364)/M$390</f>
        <v>#VALUE!</v>
      </c>
      <c r="N569" s="76" t="e">
        <f>(N528*N364)/N$390</f>
        <v>#VALUE!</v>
      </c>
      <c r="P569" s="76" t="e">
        <f>(P528*P364)/P$390</f>
        <v>#DIV/0!</v>
      </c>
      <c r="Q569" s="76" t="e">
        <f>(Q528*Q364)/Q$390</f>
        <v>#DIV/0!</v>
      </c>
      <c r="R569" s="76" t="e">
        <f>(R528*R364)/R$390</f>
        <v>#DIV/0!</v>
      </c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</row>
    <row r="570" spans="1:36" x14ac:dyDescent="0.25">
      <c r="F570" s="76"/>
      <c r="G570" s="76"/>
      <c r="H570" s="76"/>
      <c r="I570" s="76"/>
      <c r="J570" s="76"/>
      <c r="K570" s="76"/>
      <c r="L570" s="76"/>
      <c r="M570" s="76"/>
      <c r="N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</row>
    <row r="571" spans="1:36" x14ac:dyDescent="0.25">
      <c r="A571" s="13" t="s">
        <v>884</v>
      </c>
      <c r="F571" s="76"/>
      <c r="G571" s="76"/>
      <c r="H571" s="76"/>
      <c r="I571" s="76"/>
      <c r="J571" s="76"/>
      <c r="K571" s="76"/>
      <c r="L571" s="76"/>
      <c r="M571" s="76"/>
      <c r="N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</row>
    <row r="572" spans="1:36" x14ac:dyDescent="0.25">
      <c r="A572" s="14" t="s">
        <v>992</v>
      </c>
      <c r="F572" s="76">
        <f t="shared" ref="F572:R572" si="261">F549</f>
        <v>0</v>
      </c>
      <c r="G572" s="76">
        <f t="shared" ref="G572:H572" si="262">G549</f>
        <v>0</v>
      </c>
      <c r="H572" s="76">
        <f t="shared" si="262"/>
        <v>0</v>
      </c>
      <c r="I572" s="76">
        <f t="shared" ref="I572" si="263">I549</f>
        <v>0</v>
      </c>
      <c r="J572" s="76">
        <f t="shared" ref="J572" si="264">J549</f>
        <v>0</v>
      </c>
      <c r="K572" s="76"/>
      <c r="L572" s="76"/>
      <c r="M572" s="25" t="e">
        <f t="shared" si="261"/>
        <v>#DIV/0!</v>
      </c>
      <c r="N572" s="76" t="e">
        <f t="shared" si="261"/>
        <v>#DIV/0!</v>
      </c>
      <c r="P572" s="76" t="e">
        <f t="shared" si="261"/>
        <v>#DIV/0!</v>
      </c>
      <c r="Q572" s="76" t="e">
        <f t="shared" si="261"/>
        <v>#DIV/0!</v>
      </c>
      <c r="R572" s="25" t="e">
        <f t="shared" si="261"/>
        <v>#DIV/0!</v>
      </c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</row>
    <row r="573" spans="1:36" s="48" customFormat="1" ht="15" x14ac:dyDescent="0.25">
      <c r="A573" s="48" t="s">
        <v>993</v>
      </c>
      <c r="E573" s="188"/>
      <c r="F573" s="80">
        <f>(F529*F364)/F$390</f>
        <v>0</v>
      </c>
      <c r="G573" s="80">
        <f>(G529*G364)/G$390</f>
        <v>0</v>
      </c>
      <c r="H573" s="80">
        <f>(H529*H364)/H$390</f>
        <v>0</v>
      </c>
      <c r="I573" s="80">
        <f>(I529*I364)/I$390</f>
        <v>0</v>
      </c>
      <c r="J573" s="80">
        <f>(J529*J364)/J$390</f>
        <v>0</v>
      </c>
      <c r="K573" s="80"/>
      <c r="L573" s="80"/>
      <c r="M573" s="109" t="e">
        <f>(M529*M364)/M$405</f>
        <v>#VALUE!</v>
      </c>
      <c r="N573" s="80" t="e">
        <f>(N529*N364)/N$390</f>
        <v>#VALUE!</v>
      </c>
      <c r="O573" s="14"/>
      <c r="P573" s="80" t="e">
        <f>(P529*P364)/P$390</f>
        <v>#DIV/0!</v>
      </c>
      <c r="Q573" s="80" t="e">
        <f>(Q529*Q364)/Q$390</f>
        <v>#DIV/0!</v>
      </c>
      <c r="R573" s="109" t="e">
        <f>(R529*R364)/R$405</f>
        <v>#DIV/0!</v>
      </c>
      <c r="AJ573" s="52"/>
    </row>
    <row r="574" spans="1:36" x14ac:dyDescent="0.25">
      <c r="B574" s="14" t="s">
        <v>994</v>
      </c>
      <c r="F574" s="81">
        <f t="shared" ref="F574:I574" si="265">F573+F572</f>
        <v>0</v>
      </c>
      <c r="G574" s="81">
        <f t="shared" si="265"/>
        <v>0</v>
      </c>
      <c r="H574" s="81">
        <f t="shared" ref="H574" si="266">H573+H572</f>
        <v>0</v>
      </c>
      <c r="I574" s="81">
        <f t="shared" si="265"/>
        <v>0</v>
      </c>
      <c r="J574" s="81">
        <f t="shared" ref="J574" si="267">J573+J572</f>
        <v>0</v>
      </c>
      <c r="K574" s="81"/>
      <c r="L574" s="81"/>
      <c r="M574" s="25" t="e">
        <f t="shared" ref="M574:R574" si="268">M573+M572</f>
        <v>#VALUE!</v>
      </c>
      <c r="N574" s="81" t="e">
        <f t="shared" si="268"/>
        <v>#VALUE!</v>
      </c>
      <c r="P574" s="81" t="e">
        <f t="shared" si="268"/>
        <v>#DIV/0!</v>
      </c>
      <c r="Q574" s="81" t="e">
        <f t="shared" si="268"/>
        <v>#DIV/0!</v>
      </c>
      <c r="R574" s="25" t="e">
        <f t="shared" si="268"/>
        <v>#DIV/0!</v>
      </c>
    </row>
    <row r="575" spans="1:36" x14ac:dyDescent="0.25">
      <c r="P575" s="25"/>
    </row>
    <row r="576" spans="1:36" x14ac:dyDescent="0.25">
      <c r="A576" s="13" t="s">
        <v>665</v>
      </c>
      <c r="P576" s="25"/>
    </row>
    <row r="577" spans="1:32" x14ac:dyDescent="0.25">
      <c r="A577" s="14" t="s">
        <v>995</v>
      </c>
      <c r="F577" s="76">
        <f t="shared" ref="F577:S577" si="269">F550</f>
        <v>1.4655626677992518E-2</v>
      </c>
      <c r="G577" s="76">
        <f t="shared" ref="G577" si="270">G550</f>
        <v>1.4671601916890676E-2</v>
      </c>
      <c r="H577" s="76">
        <f t="shared" ref="H577" si="271">H550</f>
        <v>5.9235944438442044E-3</v>
      </c>
      <c r="I577" s="25">
        <f t="shared" ref="I577" si="272">I550</f>
        <v>1.9079829783444866</v>
      </c>
      <c r="J577" s="25">
        <f t="shared" ref="J577" si="273">J550</f>
        <v>1.9066292603853818</v>
      </c>
      <c r="K577" s="25"/>
      <c r="L577" s="25"/>
      <c r="M577" s="76" t="e">
        <f t="shared" ref="M577:N577" si="274">M550</f>
        <v>#DIV/0!</v>
      </c>
      <c r="N577" s="76" t="e">
        <f t="shared" si="274"/>
        <v>#DIV/0!</v>
      </c>
      <c r="P577" s="76" t="e">
        <f t="shared" si="269"/>
        <v>#DIV/0!</v>
      </c>
      <c r="Q577" s="76" t="e">
        <f t="shared" si="269"/>
        <v>#DIV/0!</v>
      </c>
      <c r="R577" s="25" t="e">
        <f t="shared" si="269"/>
        <v>#DIV/0!</v>
      </c>
      <c r="S577" s="76" t="e">
        <f t="shared" si="269"/>
        <v>#DIV/0!</v>
      </c>
      <c r="T577" s="76" t="e">
        <f>#REF!</f>
        <v>#REF!</v>
      </c>
      <c r="U577" s="76" t="e">
        <f>#REF!</f>
        <v>#REF!</v>
      </c>
      <c r="V577" s="76" t="e">
        <f>#REF!</f>
        <v>#REF!</v>
      </c>
      <c r="W577" s="76" t="e">
        <f>#REF!</f>
        <v>#REF!</v>
      </c>
      <c r="X577" s="76" t="e">
        <f>#REF!</f>
        <v>#REF!</v>
      </c>
      <c r="Y577" s="76" t="e">
        <f>#REF!</f>
        <v>#REF!</v>
      </c>
      <c r="Z577" s="76" t="e">
        <f>#REF!</f>
        <v>#REF!</v>
      </c>
      <c r="AA577" s="76" t="e">
        <f>#REF!</f>
        <v>#REF!</v>
      </c>
      <c r="AB577" s="76" t="e">
        <f>#REF!</f>
        <v>#REF!</v>
      </c>
      <c r="AC577" s="76" t="e">
        <f>#REF!</f>
        <v>#REF!</v>
      </c>
      <c r="AD577" s="76" t="e">
        <f>#REF!</f>
        <v>#REF!</v>
      </c>
      <c r="AE577" s="76" t="e">
        <f>#REF!</f>
        <v>#REF!</v>
      </c>
      <c r="AF577" s="76" t="e">
        <f>#REF!</f>
        <v>#REF!</v>
      </c>
    </row>
    <row r="578" spans="1:32" ht="15" x14ac:dyDescent="0.4">
      <c r="A578" s="48" t="s">
        <v>996</v>
      </c>
      <c r="E578" s="189"/>
      <c r="F578" s="82">
        <f>(F530*F364)/F$390</f>
        <v>-5.9979067448530446E-3</v>
      </c>
      <c r="G578" s="82">
        <f>(G530*G364)/G$390</f>
        <v>-1.1410247842930004E-3</v>
      </c>
      <c r="H578" s="82">
        <f>(H530*H364)/H$390</f>
        <v>-2.1602121737008772E-4</v>
      </c>
      <c r="I578" s="83">
        <f>(I530*I364)/I$390</f>
        <v>5.0579766440839273E-3</v>
      </c>
      <c r="J578" s="83">
        <f>(J530*J364)/J$390</f>
        <v>3.9311989543491426E-3</v>
      </c>
      <c r="K578" s="83"/>
      <c r="L578" s="83"/>
      <c r="M578" s="82" t="e">
        <f>(M530*M364)/M$390</f>
        <v>#VALUE!</v>
      </c>
      <c r="N578" s="82" t="e">
        <f>(N530*N364)/N$390</f>
        <v>#VALUE!</v>
      </c>
      <c r="P578" s="82" t="e">
        <f>(P530*P364)/P$390</f>
        <v>#DIV/0!</v>
      </c>
      <c r="Q578" s="82" t="e">
        <f>(Q530*Q364)/Q$390</f>
        <v>#DIV/0!</v>
      </c>
      <c r="R578" s="83" t="e">
        <f>(R530*R364)/R$405</f>
        <v>#DIV/0!</v>
      </c>
      <c r="S578" s="82" t="e">
        <f>(S530*S364)/S$390</f>
        <v>#DIV/0!</v>
      </c>
      <c r="T578" s="82" t="e">
        <f>(#REF!*T292)/1026.4</f>
        <v>#REF!</v>
      </c>
      <c r="U578" s="82" t="e">
        <f>(#REF!*U292)/11504</f>
        <v>#REF!</v>
      </c>
      <c r="V578" s="82" t="e">
        <f>(#REF!*V292)/7284</f>
        <v>#REF!</v>
      </c>
      <c r="W578" s="82" t="e">
        <f>(#REF!*W292)/320.47</f>
        <v>#REF!</v>
      </c>
      <c r="X578" s="82" t="e">
        <f>(#REF!*X292)/26669</f>
        <v>#REF!</v>
      </c>
      <c r="Y578" s="82" t="e">
        <f>(#REF!*Y292)/68503</f>
        <v>#REF!</v>
      </c>
      <c r="Z578" s="82" t="e">
        <f>(#REF!*Z292)/Z$390</f>
        <v>#REF!</v>
      </c>
      <c r="AA578" s="82" t="e">
        <f>(#REF!*AA292)/17492.7</f>
        <v>#REF!</v>
      </c>
      <c r="AB578" s="82" t="e">
        <f>(#REF!*AB292)/10846</f>
        <v>#REF!</v>
      </c>
      <c r="AC578" s="82" t="e">
        <f>(#REF!*AC292)/12274</f>
        <v>#REF!</v>
      </c>
      <c r="AD578" s="82" t="e">
        <f>(#REF!*AD292)/10405</f>
        <v>#REF!</v>
      </c>
      <c r="AE578" s="82" t="e">
        <f>(#REF!*AE292)/12044</f>
        <v>#REF!</v>
      </c>
      <c r="AF578" s="82" t="e">
        <f>(#REF!*#REF!)/AF$403/12</f>
        <v>#REF!</v>
      </c>
    </row>
    <row r="579" spans="1:32" x14ac:dyDescent="0.25">
      <c r="B579" s="14" t="s">
        <v>997</v>
      </c>
      <c r="F579" s="76">
        <f t="shared" ref="F579:I579" si="275">F577+F578</f>
        <v>8.6577199331394732E-3</v>
      </c>
      <c r="G579" s="76">
        <f t="shared" si="275"/>
        <v>1.3530577132597674E-2</v>
      </c>
      <c r="H579" s="76">
        <f t="shared" ref="H579" si="276">H577+H578</f>
        <v>5.7075732264741169E-3</v>
      </c>
      <c r="I579" s="25">
        <f t="shared" si="275"/>
        <v>1.9130409549885705</v>
      </c>
      <c r="J579" s="25">
        <f t="shared" ref="J579" si="277">J577+J578</f>
        <v>1.910560459339731</v>
      </c>
      <c r="K579" s="25"/>
      <c r="L579" s="25"/>
      <c r="M579" s="76" t="e">
        <f>M577+M578</f>
        <v>#DIV/0!</v>
      </c>
      <c r="N579" s="76" t="e">
        <f>N577+N578</f>
        <v>#DIV/0!</v>
      </c>
      <c r="P579" s="76" t="e">
        <f t="shared" ref="P579:AF579" si="278">P577+P578</f>
        <v>#DIV/0!</v>
      </c>
      <c r="Q579" s="76" t="e">
        <f t="shared" si="278"/>
        <v>#DIV/0!</v>
      </c>
      <c r="R579" s="25" t="e">
        <f t="shared" si="278"/>
        <v>#DIV/0!</v>
      </c>
      <c r="S579" s="76" t="e">
        <f t="shared" si="278"/>
        <v>#DIV/0!</v>
      </c>
      <c r="T579" s="76" t="e">
        <f t="shared" si="278"/>
        <v>#REF!</v>
      </c>
      <c r="U579" s="76" t="e">
        <f t="shared" si="278"/>
        <v>#REF!</v>
      </c>
      <c r="V579" s="76" t="e">
        <f t="shared" si="278"/>
        <v>#REF!</v>
      </c>
      <c r="W579" s="76" t="e">
        <f t="shared" si="278"/>
        <v>#REF!</v>
      </c>
      <c r="X579" s="76" t="e">
        <f t="shared" si="278"/>
        <v>#REF!</v>
      </c>
      <c r="Y579" s="76" t="e">
        <f t="shared" si="278"/>
        <v>#REF!</v>
      </c>
      <c r="Z579" s="76" t="e">
        <f t="shared" si="278"/>
        <v>#REF!</v>
      </c>
      <c r="AA579" s="76" t="e">
        <f t="shared" si="278"/>
        <v>#REF!</v>
      </c>
      <c r="AB579" s="76" t="e">
        <f t="shared" si="278"/>
        <v>#REF!</v>
      </c>
      <c r="AC579" s="76" t="e">
        <f t="shared" si="278"/>
        <v>#REF!</v>
      </c>
      <c r="AD579" s="76" t="e">
        <f t="shared" si="278"/>
        <v>#REF!</v>
      </c>
      <c r="AE579" s="76" t="e">
        <f t="shared" si="278"/>
        <v>#REF!</v>
      </c>
      <c r="AF579" s="76" t="e">
        <f t="shared" si="278"/>
        <v>#REF!</v>
      </c>
    </row>
    <row r="581" spans="1:32" x14ac:dyDescent="0.25">
      <c r="A581" s="13" t="s">
        <v>666</v>
      </c>
    </row>
    <row r="582" spans="1:32" x14ac:dyDescent="0.25">
      <c r="A582" s="14" t="s">
        <v>667</v>
      </c>
      <c r="F582" s="51">
        <f t="shared" ref="F582:S582" si="279">F551</f>
        <v>25.936588371832244</v>
      </c>
      <c r="G582" s="51">
        <f t="shared" ref="G582:H582" si="280">G551</f>
        <v>27.757040865456005</v>
      </c>
      <c r="H582" s="51">
        <f t="shared" si="280"/>
        <v>25.577302156900753</v>
      </c>
      <c r="I582" s="51">
        <f t="shared" ref="I582" si="281">I551</f>
        <v>88.691678668275387</v>
      </c>
      <c r="J582" s="51">
        <f t="shared" ref="J582" si="282">J551</f>
        <v>709.30491341414711</v>
      </c>
      <c r="K582" s="51"/>
      <c r="L582" s="51"/>
      <c r="M582" s="51" t="e">
        <f t="shared" ref="M582:N582" si="283">M551</f>
        <v>#DIV/0!</v>
      </c>
      <c r="N582" s="51" t="e">
        <f t="shared" si="283"/>
        <v>#DIV/0!</v>
      </c>
      <c r="P582" s="51" t="e">
        <f t="shared" si="279"/>
        <v>#DIV/0!</v>
      </c>
      <c r="Q582" s="51" t="e">
        <f t="shared" si="279"/>
        <v>#DIV/0!</v>
      </c>
      <c r="R582" s="51" t="e">
        <f t="shared" si="279"/>
        <v>#DIV/0!</v>
      </c>
      <c r="S582" s="51" t="e">
        <f t="shared" si="279"/>
        <v>#DIV/0!</v>
      </c>
      <c r="T582" s="51" t="e">
        <f>#REF!</f>
        <v>#REF!</v>
      </c>
      <c r="U582" s="51" t="e">
        <f>#REF!</f>
        <v>#REF!</v>
      </c>
      <c r="V582" s="51" t="e">
        <f>#REF!</f>
        <v>#REF!</v>
      </c>
      <c r="W582" s="51" t="e">
        <f>#REF!</f>
        <v>#REF!</v>
      </c>
      <c r="X582" s="51" t="e">
        <f>#REF!</f>
        <v>#REF!</v>
      </c>
      <c r="Y582" s="51" t="e">
        <f>#REF!</f>
        <v>#REF!</v>
      </c>
      <c r="Z582" s="51" t="e">
        <f>#REF!</f>
        <v>#REF!</v>
      </c>
      <c r="AA582" s="51" t="e">
        <f>#REF!</f>
        <v>#REF!</v>
      </c>
      <c r="AB582" s="51" t="e">
        <f>#REF!</f>
        <v>#REF!</v>
      </c>
      <c r="AC582" s="51" t="e">
        <f>#REF!</f>
        <v>#REF!</v>
      </c>
      <c r="AD582" s="51" t="e">
        <f>#REF!</f>
        <v>#REF!</v>
      </c>
      <c r="AE582" s="51" t="e">
        <f>#REF!</f>
        <v>#REF!</v>
      </c>
      <c r="AF582" s="51" t="e">
        <f>#REF!</f>
        <v>#REF!</v>
      </c>
    </row>
    <row r="583" spans="1:32" ht="15" x14ac:dyDescent="0.4">
      <c r="A583" s="14" t="s">
        <v>668</v>
      </c>
      <c r="E583" s="190"/>
      <c r="F583" s="83">
        <f>(F531*F364)/F393</f>
        <v>-9.0847702266591206</v>
      </c>
      <c r="G583" s="83">
        <f>(G531*G364)/G393</f>
        <v>-1.7233153065312345</v>
      </c>
      <c r="H583" s="83">
        <f>(H531*H364)/H393</f>
        <v>-0.91737428220092643</v>
      </c>
      <c r="I583" s="83">
        <f>(I531*I364)/I393</f>
        <v>23.46409169088281</v>
      </c>
      <c r="J583" s="83">
        <f>(J531*J364)/J393</f>
        <v>51.154889303036242</v>
      </c>
      <c r="K583" s="83"/>
      <c r="L583" s="83"/>
      <c r="M583" s="83" t="e">
        <f>(M531*M364)/M393</f>
        <v>#VALUE!</v>
      </c>
      <c r="N583" s="83" t="e">
        <f>(N531*N364)/N393</f>
        <v>#VALUE!</v>
      </c>
      <c r="P583" s="83" t="e">
        <f>(P531*P364)/P393</f>
        <v>#DIV/0!</v>
      </c>
      <c r="Q583" s="83" t="e">
        <f>(Q531*Q364)/Q393</f>
        <v>#DIV/0!</v>
      </c>
      <c r="R583" s="83" t="e">
        <f>(R531*R364)/R393</f>
        <v>#DIV/0!</v>
      </c>
      <c r="S583" s="83" t="e">
        <f>(S531*S364)/S393</f>
        <v>#DIV/0!</v>
      </c>
      <c r="T583" s="83" t="e">
        <f>(#REF!*T292)/T393</f>
        <v>#REF!</v>
      </c>
      <c r="U583" s="83" t="e">
        <f>(#REF!*U292)/U393</f>
        <v>#REF!</v>
      </c>
      <c r="V583" s="83" t="e">
        <f>(#REF!*V292)/V393</f>
        <v>#REF!</v>
      </c>
      <c r="W583" s="83" t="e">
        <f>(#REF!*W292)/W393</f>
        <v>#REF!</v>
      </c>
      <c r="X583" s="83" t="e">
        <f>(#REF!*X292)/X393</f>
        <v>#REF!</v>
      </c>
      <c r="Y583" s="83" t="e">
        <f>(#REF!*Y292)/Y393</f>
        <v>#REF!</v>
      </c>
      <c r="Z583" s="83" t="e">
        <f>(#REF!*Z292)/Z393</f>
        <v>#REF!</v>
      </c>
      <c r="AA583" s="83" t="e">
        <f>(#REF!*AA292)/AA393</f>
        <v>#REF!</v>
      </c>
      <c r="AB583" s="83" t="e">
        <f>(#REF!*AB292)/AB393</f>
        <v>#REF!</v>
      </c>
      <c r="AC583" s="83" t="e">
        <f>(#REF!*AC292)/AC393</f>
        <v>#REF!</v>
      </c>
      <c r="AD583" s="83" t="e">
        <f>(#REF!*AD292)/AD393</f>
        <v>#REF!</v>
      </c>
      <c r="AE583" s="83" t="e">
        <f>(#REF!*AE292)/AE393</f>
        <v>#REF!</v>
      </c>
      <c r="AF583" s="83" t="e">
        <f>(#REF!*#REF!)/#REF!</f>
        <v>#REF!</v>
      </c>
    </row>
    <row r="584" spans="1:32" x14ac:dyDescent="0.25">
      <c r="B584" s="14" t="s">
        <v>669</v>
      </c>
      <c r="F584" s="51">
        <f t="shared" ref="F584:N584" si="284">F582+F583</f>
        <v>16.851818145173123</v>
      </c>
      <c r="G584" s="51">
        <f t="shared" ref="G584:H584" si="285">G582+G583</f>
        <v>26.033725558924772</v>
      </c>
      <c r="H584" s="51">
        <f t="shared" si="285"/>
        <v>24.659927874699825</v>
      </c>
      <c r="I584" s="51">
        <f t="shared" ref="I584" si="286">I582+I583</f>
        <v>112.1557703591582</v>
      </c>
      <c r="J584" s="51">
        <f t="shared" ref="J584" si="287">J582+J583</f>
        <v>760.45980271718338</v>
      </c>
      <c r="K584" s="51"/>
      <c r="L584" s="51"/>
      <c r="M584" s="51" t="e">
        <f t="shared" si="284"/>
        <v>#DIV/0!</v>
      </c>
      <c r="N584" s="51" t="e">
        <f t="shared" si="284"/>
        <v>#DIV/0!</v>
      </c>
      <c r="P584" s="51" t="e">
        <f t="shared" ref="P584:AF584" si="288">P582+P583</f>
        <v>#DIV/0!</v>
      </c>
      <c r="Q584" s="51" t="e">
        <f t="shared" si="288"/>
        <v>#DIV/0!</v>
      </c>
      <c r="R584" s="51" t="e">
        <f t="shared" si="288"/>
        <v>#DIV/0!</v>
      </c>
      <c r="S584" s="51" t="e">
        <f t="shared" si="288"/>
        <v>#DIV/0!</v>
      </c>
      <c r="T584" s="51" t="e">
        <f t="shared" si="288"/>
        <v>#REF!</v>
      </c>
      <c r="U584" s="51" t="e">
        <f t="shared" si="288"/>
        <v>#REF!</v>
      </c>
      <c r="V584" s="51" t="e">
        <f t="shared" si="288"/>
        <v>#REF!</v>
      </c>
      <c r="W584" s="51" t="e">
        <f t="shared" si="288"/>
        <v>#REF!</v>
      </c>
      <c r="X584" s="51" t="e">
        <f t="shared" si="288"/>
        <v>#REF!</v>
      </c>
      <c r="Y584" s="51" t="e">
        <f t="shared" si="288"/>
        <v>#REF!</v>
      </c>
      <c r="Z584" s="51" t="e">
        <f t="shared" si="288"/>
        <v>#REF!</v>
      </c>
      <c r="AA584" s="51" t="e">
        <f t="shared" si="288"/>
        <v>#REF!</v>
      </c>
      <c r="AB584" s="51" t="e">
        <f t="shared" si="288"/>
        <v>#REF!</v>
      </c>
      <c r="AC584" s="51" t="e">
        <f t="shared" si="288"/>
        <v>#REF!</v>
      </c>
      <c r="AD584" s="51" t="e">
        <f t="shared" si="288"/>
        <v>#REF!</v>
      </c>
      <c r="AE584" s="51" t="e">
        <f t="shared" si="288"/>
        <v>#REF!</v>
      </c>
      <c r="AF584" s="51" t="e">
        <f t="shared" si="288"/>
        <v>#REF!</v>
      </c>
    </row>
    <row r="587" spans="1:32" x14ac:dyDescent="0.25">
      <c r="A587" s="19" t="s">
        <v>670</v>
      </c>
      <c r="B587" s="129"/>
      <c r="C587" s="130">
        <f>E364</f>
        <v>-5.4258374164387849E-2</v>
      </c>
      <c r="F587" s="24">
        <f t="shared" ref="F587:R587" si="289">$C$587</f>
        <v>-5.4258374164387849E-2</v>
      </c>
      <c r="G587" s="24">
        <f t="shared" si="289"/>
        <v>-5.4258374164387849E-2</v>
      </c>
      <c r="H587" s="24">
        <f t="shared" si="289"/>
        <v>-5.4258374164387849E-2</v>
      </c>
      <c r="I587" s="24">
        <f t="shared" si="289"/>
        <v>-5.4258374164387849E-2</v>
      </c>
      <c r="J587" s="24">
        <f t="shared" si="289"/>
        <v>-5.4258374164387849E-2</v>
      </c>
      <c r="K587" s="24"/>
      <c r="L587" s="24"/>
      <c r="M587" s="24">
        <f t="shared" si="289"/>
        <v>-5.4258374164387849E-2</v>
      </c>
      <c r="N587" s="24">
        <f t="shared" si="289"/>
        <v>-5.4258374164387849E-2</v>
      </c>
      <c r="O587" s="24">
        <f t="shared" si="289"/>
        <v>-5.4258374164387849E-2</v>
      </c>
      <c r="P587" s="24">
        <f t="shared" si="289"/>
        <v>-5.4258374164387849E-2</v>
      </c>
      <c r="Q587" s="24">
        <f t="shared" si="289"/>
        <v>-5.4258374164387849E-2</v>
      </c>
      <c r="R587" s="24">
        <f t="shared" si="289"/>
        <v>-5.4258374164387849E-2</v>
      </c>
    </row>
    <row r="588" spans="1:32" x14ac:dyDescent="0.25">
      <c r="A588" s="13"/>
    </row>
    <row r="589" spans="1:32" x14ac:dyDescent="0.25">
      <c r="A589" s="13" t="s">
        <v>759</v>
      </c>
    </row>
    <row r="590" spans="1:32" x14ac:dyDescent="0.25">
      <c r="A590" s="14" t="s">
        <v>990</v>
      </c>
      <c r="F590" s="76">
        <f>F566</f>
        <v>6.6879354311172833E-3</v>
      </c>
      <c r="G590" s="76">
        <f>G566</f>
        <v>0</v>
      </c>
      <c r="H590" s="76">
        <f>H566</f>
        <v>5.678271179445229E-3</v>
      </c>
      <c r="I590" s="25">
        <f>I566</f>
        <v>1.5098287962879602</v>
      </c>
      <c r="J590" s="25">
        <f>J566</f>
        <v>9.1297648423762663</v>
      </c>
      <c r="K590" s="25"/>
      <c r="L590" s="25"/>
      <c r="M590" s="76" t="e">
        <f>M566</f>
        <v>#DIV/0!</v>
      </c>
      <c r="N590" s="76" t="e">
        <f>N566</f>
        <v>#DIV/0!</v>
      </c>
      <c r="P590" s="76" t="e">
        <f>P566</f>
        <v>#DIV/0!</v>
      </c>
      <c r="Q590" s="76" t="e">
        <f>Q566</f>
        <v>#DIV/0!</v>
      </c>
      <c r="R590" s="25" t="e">
        <f>R566</f>
        <v>#DIV/0!</v>
      </c>
      <c r="S590" s="76" t="e">
        <f t="shared" ref="S590:AE590" si="290">S547</f>
        <v>#DIV/0!</v>
      </c>
      <c r="T590" s="76">
        <f t="shared" si="290"/>
        <v>0</v>
      </c>
      <c r="U590" s="76" t="e">
        <f t="shared" si="290"/>
        <v>#DIV/0!</v>
      </c>
      <c r="V590" s="76" t="e">
        <f t="shared" si="290"/>
        <v>#DIV/0!</v>
      </c>
      <c r="W590" s="76" t="e">
        <f t="shared" si="290"/>
        <v>#DIV/0!</v>
      </c>
      <c r="X590" s="76" t="e">
        <f t="shared" si="290"/>
        <v>#DIV/0!</v>
      </c>
      <c r="Y590" s="76" t="e">
        <f t="shared" si="290"/>
        <v>#DIV/0!</v>
      </c>
      <c r="Z590" s="76">
        <f t="shared" si="290"/>
        <v>0</v>
      </c>
      <c r="AA590" s="76">
        <f t="shared" si="290"/>
        <v>0</v>
      </c>
      <c r="AB590" s="76">
        <f t="shared" si="290"/>
        <v>0</v>
      </c>
      <c r="AC590" s="76">
        <f t="shared" si="290"/>
        <v>0</v>
      </c>
      <c r="AD590" s="76">
        <f t="shared" si="290"/>
        <v>0</v>
      </c>
      <c r="AE590" s="76">
        <f t="shared" si="290"/>
        <v>0</v>
      </c>
      <c r="AF590" s="76" t="e">
        <f>#REF!</f>
        <v>#REF!</v>
      </c>
    </row>
    <row r="591" spans="1:32" x14ac:dyDescent="0.25">
      <c r="A591" s="14" t="s">
        <v>991</v>
      </c>
      <c r="E591" s="191"/>
      <c r="F591" s="76">
        <f>(F527*$E$364)/F$390</f>
        <v>0</v>
      </c>
      <c r="G591" s="76">
        <f>(G527*$E$364)/G$390</f>
        <v>0</v>
      </c>
      <c r="H591" s="76">
        <f>(H527*$E$364)/H$390</f>
        <v>0</v>
      </c>
      <c r="I591" s="25">
        <f>(I527*$E$364)/I$405</f>
        <v>0</v>
      </c>
      <c r="J591" s="25">
        <f>(J527*$E$364)/J$405</f>
        <v>0</v>
      </c>
      <c r="K591" s="25"/>
      <c r="L591" s="25"/>
      <c r="M591" s="76" t="e">
        <f>(M527*$E$364)/M$390</f>
        <v>#DIV/0!</v>
      </c>
      <c r="N591" s="76" t="e">
        <f>(N527*$E$364)/N$390</f>
        <v>#DIV/0!</v>
      </c>
      <c r="P591" s="76" t="e">
        <f>(P527*$E$364)/P$390</f>
        <v>#DIV/0!</v>
      </c>
      <c r="Q591" s="76" t="e">
        <f>(Q527*$E$364)/Q$390</f>
        <v>#DIV/0!</v>
      </c>
      <c r="R591" s="25" t="e">
        <f>(R527*$E$364)/R$405</f>
        <v>#DIV/0!</v>
      </c>
      <c r="S591" s="76" t="e">
        <f t="shared" ref="S591:AE591" si="291">S548</f>
        <v>#DIV/0!</v>
      </c>
      <c r="T591" s="76" t="e">
        <f t="shared" si="291"/>
        <v>#DIV/0!</v>
      </c>
      <c r="U591" s="76" t="e">
        <f t="shared" si="291"/>
        <v>#DIV/0!</v>
      </c>
      <c r="V591" s="76" t="e">
        <f t="shared" si="291"/>
        <v>#DIV/0!</v>
      </c>
      <c r="W591" s="76" t="e">
        <f t="shared" si="291"/>
        <v>#DIV/0!</v>
      </c>
      <c r="X591" s="76" t="e">
        <f t="shared" si="291"/>
        <v>#DIV/0!</v>
      </c>
      <c r="Y591" s="76" t="e">
        <f t="shared" si="291"/>
        <v>#DIV/0!</v>
      </c>
      <c r="Z591" s="76" t="e">
        <f t="shared" si="291"/>
        <v>#DIV/0!</v>
      </c>
      <c r="AA591" s="76" t="e">
        <f t="shared" si="291"/>
        <v>#DIV/0!</v>
      </c>
      <c r="AB591" s="76" t="e">
        <f t="shared" si="291"/>
        <v>#DIV/0!</v>
      </c>
      <c r="AC591" s="76" t="e">
        <f t="shared" si="291"/>
        <v>#DIV/0!</v>
      </c>
      <c r="AD591" s="76" t="e">
        <f t="shared" si="291"/>
        <v>#DIV/0!</v>
      </c>
      <c r="AE591" s="76">
        <f t="shared" si="291"/>
        <v>0</v>
      </c>
      <c r="AF591" s="76" t="e">
        <f>#REF!</f>
        <v>#REF!</v>
      </c>
    </row>
    <row r="592" spans="1:32" x14ac:dyDescent="0.25">
      <c r="A592" s="14" t="s">
        <v>890</v>
      </c>
      <c r="F592" s="76">
        <f>F568</f>
        <v>5.8722261270253082E-2</v>
      </c>
      <c r="G592" s="76">
        <f>G568</f>
        <v>5.8206738396413042E-2</v>
      </c>
      <c r="H592" s="76">
        <f>H568</f>
        <v>5.8249237072218435E-2</v>
      </c>
      <c r="I592" s="76">
        <f>I568</f>
        <v>5.854978454714771E-2</v>
      </c>
      <c r="J592" s="76">
        <f>J568</f>
        <v>3.9206020376702747E-2</v>
      </c>
      <c r="K592" s="76"/>
      <c r="L592" s="76"/>
      <c r="M592" s="76" t="e">
        <f>M568</f>
        <v>#DIV/0!</v>
      </c>
      <c r="N592" s="76" t="e">
        <f>N568</f>
        <v>#DIV/0!</v>
      </c>
      <c r="P592" s="76" t="e">
        <f>P568</f>
        <v>#DIV/0!</v>
      </c>
      <c r="Q592" s="76" t="e">
        <f>Q568</f>
        <v>#DIV/0!</v>
      </c>
      <c r="R592" s="76" t="e">
        <f>R568</f>
        <v>#DIV/0!</v>
      </c>
      <c r="S592" s="76">
        <f>S573</f>
        <v>0</v>
      </c>
      <c r="T592" s="76" t="e">
        <f>#REF!</f>
        <v>#REF!</v>
      </c>
      <c r="U592" s="76" t="e">
        <f>#REF!</f>
        <v>#REF!</v>
      </c>
      <c r="V592" s="76" t="e">
        <f>#REF!</f>
        <v>#REF!</v>
      </c>
      <c r="W592" s="76" t="e">
        <f>#REF!</f>
        <v>#REF!</v>
      </c>
      <c r="X592" s="76" t="e">
        <f>#REF!</f>
        <v>#REF!</v>
      </c>
      <c r="Y592" s="76" t="e">
        <f>#REF!</f>
        <v>#REF!</v>
      </c>
      <c r="Z592" s="76" t="e">
        <f>#REF!</f>
        <v>#REF!</v>
      </c>
      <c r="AA592" s="76" t="e">
        <f>#REF!</f>
        <v>#REF!</v>
      </c>
      <c r="AB592" s="76" t="e">
        <f>#REF!</f>
        <v>#REF!</v>
      </c>
      <c r="AC592" s="76" t="e">
        <f>#REF!</f>
        <v>#REF!</v>
      </c>
      <c r="AD592" s="76" t="e">
        <f>#REF!</f>
        <v>#REF!</v>
      </c>
      <c r="AE592" s="76" t="e">
        <f>#REF!</f>
        <v>#REF!</v>
      </c>
      <c r="AF592" s="76" t="e">
        <f>#REF!</f>
        <v>#REF!</v>
      </c>
    </row>
    <row r="593" spans="1:36" x14ac:dyDescent="0.25">
      <c r="A593" s="14" t="s">
        <v>891</v>
      </c>
      <c r="D593" s="76"/>
      <c r="F593" s="76">
        <f>(F528*$E$364)/F$390</f>
        <v>0</v>
      </c>
      <c r="G593" s="76">
        <f>(G528*$E$364)/G$390</f>
        <v>0</v>
      </c>
      <c r="H593" s="76">
        <f>(H528*$E$364)/H$390</f>
        <v>0</v>
      </c>
      <c r="I593" s="26">
        <f>(I528*$E$364)/I$390</f>
        <v>0</v>
      </c>
      <c r="J593" s="26">
        <f>(J528*$E$364)/J$390</f>
        <v>0</v>
      </c>
      <c r="K593" s="26"/>
      <c r="L593" s="26"/>
      <c r="M593" s="76" t="e">
        <f>(M528*$E$364)/M$390</f>
        <v>#DIV/0!</v>
      </c>
      <c r="N593" s="76" t="e">
        <f>(N528*$E$364)/N$390</f>
        <v>#DIV/0!</v>
      </c>
      <c r="P593" s="76" t="e">
        <f>(P528*$E$364)/P$390</f>
        <v>#DIV/0!</v>
      </c>
      <c r="Q593" s="76" t="e">
        <f>(Q528*$E$364)/Q$390</f>
        <v>#DIV/0!</v>
      </c>
      <c r="R593" s="26" t="e">
        <f>(R528*$E$364)/R$390</f>
        <v>#DIV/0!</v>
      </c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</row>
    <row r="594" spans="1:36" x14ac:dyDescent="0.25">
      <c r="F594" s="76"/>
      <c r="G594" s="76"/>
      <c r="H594" s="76"/>
      <c r="I594" s="76"/>
      <c r="J594" s="76"/>
      <c r="K594" s="76"/>
      <c r="L594" s="76"/>
      <c r="M594" s="76"/>
      <c r="N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</row>
    <row r="595" spans="1:36" x14ac:dyDescent="0.25">
      <c r="A595" s="13" t="s">
        <v>884</v>
      </c>
      <c r="F595" s="76"/>
      <c r="G595" s="76"/>
      <c r="H595" s="76"/>
      <c r="I595" s="76"/>
      <c r="J595" s="76"/>
      <c r="K595" s="76"/>
      <c r="L595" s="76"/>
      <c r="M595" s="76"/>
      <c r="N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</row>
    <row r="596" spans="1:36" x14ac:dyDescent="0.25">
      <c r="A596" s="14" t="s">
        <v>992</v>
      </c>
      <c r="F596" s="76">
        <f>F572</f>
        <v>0</v>
      </c>
      <c r="G596" s="76">
        <f>G572</f>
        <v>0</v>
      </c>
      <c r="H596" s="76">
        <f>H572</f>
        <v>0</v>
      </c>
      <c r="I596" s="25">
        <f>I572</f>
        <v>0</v>
      </c>
      <c r="J596" s="25">
        <f>J572</f>
        <v>0</v>
      </c>
      <c r="K596" s="76"/>
      <c r="L596" s="25"/>
      <c r="M596" s="76" t="e">
        <f>M572</f>
        <v>#DIV/0!</v>
      </c>
      <c r="N596" s="76" t="e">
        <f>N572</f>
        <v>#DIV/0!</v>
      </c>
      <c r="P596" s="76" t="e">
        <f>P572</f>
        <v>#DIV/0!</v>
      </c>
      <c r="Q596" s="76" t="e">
        <f>Q572</f>
        <v>#DIV/0!</v>
      </c>
      <c r="R596" s="25" t="e">
        <f>R572</f>
        <v>#DIV/0!</v>
      </c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</row>
    <row r="597" spans="1:36" s="48" customFormat="1" ht="15" x14ac:dyDescent="0.4">
      <c r="A597" s="48" t="s">
        <v>993</v>
      </c>
      <c r="D597" s="84"/>
      <c r="E597" s="192"/>
      <c r="F597" s="82">
        <f>(F529*$E$364)/F$390</f>
        <v>0</v>
      </c>
      <c r="G597" s="82">
        <f>(G529*$E$364)/G$390</f>
        <v>0</v>
      </c>
      <c r="H597" s="82">
        <f>(H529*$E$364)/H$390</f>
        <v>0</v>
      </c>
      <c r="I597" s="83">
        <f>(I529*$E$364)/I$405</f>
        <v>0</v>
      </c>
      <c r="J597" s="83">
        <f>(J529*$E$364)/J$405</f>
        <v>0</v>
      </c>
      <c r="K597" s="82"/>
      <c r="L597" s="83"/>
      <c r="M597" s="82" t="e">
        <f>(M529*$E$364)/M$390</f>
        <v>#DIV/0!</v>
      </c>
      <c r="N597" s="82" t="e">
        <f>(N529*$E$364)/N$390</f>
        <v>#DIV/0!</v>
      </c>
      <c r="O597" s="14"/>
      <c r="P597" s="82" t="e">
        <f>(P529*$E$364)/P$390</f>
        <v>#DIV/0!</v>
      </c>
      <c r="Q597" s="82" t="e">
        <f>(Q529*$E$364)/Q$390</f>
        <v>#DIV/0!</v>
      </c>
      <c r="R597" s="83" t="e">
        <f>(R529*$E$364)/R$405</f>
        <v>#DIV/0!</v>
      </c>
      <c r="AJ597" s="52"/>
    </row>
    <row r="598" spans="1:36" x14ac:dyDescent="0.25">
      <c r="B598" s="14" t="s">
        <v>994</v>
      </c>
      <c r="F598" s="76">
        <f>F596+F597</f>
        <v>0</v>
      </c>
      <c r="G598" s="76">
        <f>G596+G597</f>
        <v>0</v>
      </c>
      <c r="H598" s="76">
        <f>H596+H597</f>
        <v>0</v>
      </c>
      <c r="I598" s="25">
        <f t="shared" ref="I598" si="292">I596+I597</f>
        <v>0</v>
      </c>
      <c r="J598" s="25">
        <f t="shared" ref="J598" si="293">J596+J597</f>
        <v>0</v>
      </c>
      <c r="K598" s="76"/>
      <c r="L598" s="25"/>
      <c r="M598" s="76" t="e">
        <f>M596+M597</f>
        <v>#DIV/0!</v>
      </c>
      <c r="N598" s="76" t="e">
        <f>N596+N597</f>
        <v>#DIV/0!</v>
      </c>
      <c r="P598" s="76" t="e">
        <f t="shared" ref="P598:R598" si="294">P596+P597</f>
        <v>#DIV/0!</v>
      </c>
      <c r="Q598" s="76" t="e">
        <f t="shared" si="294"/>
        <v>#DIV/0!</v>
      </c>
      <c r="R598" s="25" t="e">
        <f t="shared" si="294"/>
        <v>#DIV/0!</v>
      </c>
    </row>
    <row r="599" spans="1:36" x14ac:dyDescent="0.25">
      <c r="P599" s="25"/>
    </row>
    <row r="600" spans="1:36" x14ac:dyDescent="0.25">
      <c r="A600" s="13" t="s">
        <v>665</v>
      </c>
      <c r="P600" s="25"/>
    </row>
    <row r="601" spans="1:36" x14ac:dyDescent="0.25">
      <c r="A601" s="14" t="s">
        <v>995</v>
      </c>
      <c r="F601" s="76">
        <f>F550</f>
        <v>1.4655626677992518E-2</v>
      </c>
      <c r="G601" s="76">
        <f>G550</f>
        <v>1.4671601916890676E-2</v>
      </c>
      <c r="H601" s="76">
        <f>H550</f>
        <v>5.9235944438442044E-3</v>
      </c>
      <c r="I601" s="25">
        <f>I550</f>
        <v>1.9079829783444866</v>
      </c>
      <c r="J601" s="25">
        <f>J550</f>
        <v>1.9066292603853818</v>
      </c>
      <c r="K601" s="25"/>
      <c r="L601" s="25"/>
      <c r="M601" s="76" t="e">
        <f>M550</f>
        <v>#DIV/0!</v>
      </c>
      <c r="N601" s="76" t="e">
        <f>N550</f>
        <v>#DIV/0!</v>
      </c>
      <c r="P601" s="76" t="e">
        <f>P550</f>
        <v>#DIV/0!</v>
      </c>
      <c r="Q601" s="76" t="e">
        <f>Q550</f>
        <v>#DIV/0!</v>
      </c>
      <c r="R601" s="25" t="e">
        <f>R550</f>
        <v>#DIV/0!</v>
      </c>
      <c r="S601" s="76" t="e">
        <f>S550</f>
        <v>#DIV/0!</v>
      </c>
      <c r="T601" s="76" t="e">
        <f>#REF!</f>
        <v>#REF!</v>
      </c>
      <c r="U601" s="76" t="e">
        <f>#REF!</f>
        <v>#REF!</v>
      </c>
      <c r="V601" s="76" t="e">
        <f>#REF!</f>
        <v>#REF!</v>
      </c>
      <c r="W601" s="76" t="e">
        <f>#REF!</f>
        <v>#REF!</v>
      </c>
      <c r="X601" s="76" t="e">
        <f>#REF!</f>
        <v>#REF!</v>
      </c>
      <c r="Y601" s="76" t="e">
        <f>#REF!</f>
        <v>#REF!</v>
      </c>
      <c r="Z601" s="76" t="e">
        <f>#REF!</f>
        <v>#REF!</v>
      </c>
      <c r="AA601" s="76" t="e">
        <f>#REF!</f>
        <v>#REF!</v>
      </c>
      <c r="AB601" s="76" t="e">
        <f>#REF!</f>
        <v>#REF!</v>
      </c>
      <c r="AC601" s="76" t="e">
        <f>#REF!</f>
        <v>#REF!</v>
      </c>
      <c r="AD601" s="76" t="e">
        <f>#REF!</f>
        <v>#REF!</v>
      </c>
      <c r="AE601" s="76" t="e">
        <f>#REF!</f>
        <v>#REF!</v>
      </c>
      <c r="AF601" s="76" t="e">
        <f>#REF!</f>
        <v>#REF!</v>
      </c>
    </row>
    <row r="602" spans="1:36" ht="15" x14ac:dyDescent="0.4">
      <c r="A602" s="48" t="s">
        <v>996</v>
      </c>
      <c r="D602" s="85"/>
      <c r="F602" s="82">
        <f>(F530*$E$364)/F390</f>
        <v>-3.6845931556818427E-3</v>
      </c>
      <c r="G602" s="82">
        <f>(G530*$E$364)/G390</f>
        <v>-3.6951673502725376E-3</v>
      </c>
      <c r="H602" s="82">
        <f>(H530*$E$364)/H390</f>
        <v>-1.4751924305631595E-3</v>
      </c>
      <c r="I602" s="83">
        <f>(I530*$E$364)/I405</f>
        <v>-0.48289442660201137</v>
      </c>
      <c r="J602" s="83">
        <f>(J530*$E$364)/J405</f>
        <v>-0.48289442660201137</v>
      </c>
      <c r="K602" s="83"/>
      <c r="L602" s="83"/>
      <c r="M602" s="82" t="e">
        <f>(M530*$E$364)/M390</f>
        <v>#DIV/0!</v>
      </c>
      <c r="N602" s="82" t="e">
        <f>(N530*$E$364)/N390</f>
        <v>#DIV/0!</v>
      </c>
      <c r="P602" s="82" t="e">
        <f>(P530*$E$364)/P390</f>
        <v>#DIV/0!</v>
      </c>
      <c r="Q602" s="82" t="e">
        <f>(Q530*$E$364)/Q390</f>
        <v>#DIV/0!</v>
      </c>
      <c r="R602" s="83" t="e">
        <f>(R530*$E$364)/R405</f>
        <v>#DIV/0!</v>
      </c>
      <c r="S602" s="82" t="e">
        <f>(S530*$E$364)/S390</f>
        <v>#DIV/0!</v>
      </c>
      <c r="T602" s="82" t="e">
        <f>(#REF!*$E$292)/1026.4</f>
        <v>#REF!</v>
      </c>
      <c r="U602" s="82" t="e">
        <f>(#REF!*$E$292)/11504</f>
        <v>#REF!</v>
      </c>
      <c r="V602" s="82" t="e">
        <f>(#REF!*$E$292)/7284</f>
        <v>#REF!</v>
      </c>
      <c r="W602" s="82" t="e">
        <f>(#REF!*$E$292)/320.47</f>
        <v>#REF!</v>
      </c>
      <c r="X602" s="82" t="e">
        <f>(#REF!*$E$292)/26669</f>
        <v>#REF!</v>
      </c>
      <c r="Y602" s="82" t="e">
        <f>(#REF!*$E$292)/68503</f>
        <v>#REF!</v>
      </c>
      <c r="Z602" s="82" t="e">
        <f>(#REF!*$E$292)/Z390</f>
        <v>#REF!</v>
      </c>
      <c r="AA602" s="82" t="e">
        <f>(#REF!*$E$292)/17492.7</f>
        <v>#REF!</v>
      </c>
      <c r="AB602" s="82" t="e">
        <f>(#REF!*$E$292)/10846</f>
        <v>#REF!</v>
      </c>
      <c r="AC602" s="82" t="e">
        <f>(#REF!*$E$292)/12274</f>
        <v>#REF!</v>
      </c>
      <c r="AD602" s="82" t="e">
        <f>(#REF!*$E$292)/10405</f>
        <v>#REF!</v>
      </c>
      <c r="AE602" s="82" t="e">
        <f>(#REF!*$E$292)/120444</f>
        <v>#REF!</v>
      </c>
      <c r="AF602" s="82" t="e">
        <f>(#REF!*$E$292)/AF507/12</f>
        <v>#REF!</v>
      </c>
    </row>
    <row r="603" spans="1:36" x14ac:dyDescent="0.25">
      <c r="B603" s="14" t="s">
        <v>997</v>
      </c>
      <c r="F603" s="76">
        <f t="shared" ref="F603:AF603" si="295">F601+F602</f>
        <v>1.0971033522310675E-2</v>
      </c>
      <c r="G603" s="76">
        <f t="shared" ref="G603:I603" si="296">G601+G602</f>
        <v>1.0976434566618138E-2</v>
      </c>
      <c r="H603" s="76">
        <f t="shared" ref="H603" si="297">H601+H602</f>
        <v>4.4484020132810453E-3</v>
      </c>
      <c r="I603" s="25">
        <f t="shared" si="296"/>
        <v>1.4250885517424752</v>
      </c>
      <c r="J603" s="25">
        <f t="shared" ref="J603" si="298">J601+J602</f>
        <v>1.4237348337833704</v>
      </c>
      <c r="K603" s="25"/>
      <c r="L603" s="25"/>
      <c r="M603" s="76" t="e">
        <f t="shared" ref="M603:N603" si="299">M601+M602</f>
        <v>#DIV/0!</v>
      </c>
      <c r="N603" s="76" t="e">
        <f t="shared" si="299"/>
        <v>#DIV/0!</v>
      </c>
      <c r="P603" s="76" t="e">
        <f t="shared" si="295"/>
        <v>#DIV/0!</v>
      </c>
      <c r="Q603" s="76" t="e">
        <f t="shared" si="295"/>
        <v>#DIV/0!</v>
      </c>
      <c r="R603" s="25" t="e">
        <f t="shared" si="295"/>
        <v>#DIV/0!</v>
      </c>
      <c r="S603" s="76" t="e">
        <f t="shared" si="295"/>
        <v>#DIV/0!</v>
      </c>
      <c r="T603" s="76" t="e">
        <f t="shared" si="295"/>
        <v>#REF!</v>
      </c>
      <c r="U603" s="76" t="e">
        <f t="shared" si="295"/>
        <v>#REF!</v>
      </c>
      <c r="V603" s="76" t="e">
        <f t="shared" si="295"/>
        <v>#REF!</v>
      </c>
      <c r="W603" s="76" t="e">
        <f t="shared" si="295"/>
        <v>#REF!</v>
      </c>
      <c r="X603" s="76" t="e">
        <f t="shared" si="295"/>
        <v>#REF!</v>
      </c>
      <c r="Y603" s="76" t="e">
        <f t="shared" si="295"/>
        <v>#REF!</v>
      </c>
      <c r="Z603" s="76" t="e">
        <f t="shared" si="295"/>
        <v>#REF!</v>
      </c>
      <c r="AA603" s="76" t="e">
        <f t="shared" si="295"/>
        <v>#REF!</v>
      </c>
      <c r="AB603" s="76" t="e">
        <f t="shared" si="295"/>
        <v>#REF!</v>
      </c>
      <c r="AC603" s="76" t="e">
        <f t="shared" si="295"/>
        <v>#REF!</v>
      </c>
      <c r="AD603" s="76" t="e">
        <f t="shared" si="295"/>
        <v>#REF!</v>
      </c>
      <c r="AE603" s="76" t="e">
        <f t="shared" si="295"/>
        <v>#REF!</v>
      </c>
      <c r="AF603" s="76" t="e">
        <f t="shared" si="295"/>
        <v>#REF!</v>
      </c>
    </row>
    <row r="605" spans="1:36" x14ac:dyDescent="0.25">
      <c r="A605" s="13" t="s">
        <v>666</v>
      </c>
    </row>
    <row r="606" spans="1:36" x14ac:dyDescent="0.25">
      <c r="A606" s="14" t="s">
        <v>667</v>
      </c>
      <c r="F606" s="51">
        <f>F551</f>
        <v>25.936588371832244</v>
      </c>
      <c r="G606" s="51">
        <f>G551</f>
        <v>27.757040865456005</v>
      </c>
      <c r="H606" s="51">
        <f>H551</f>
        <v>25.577302156900753</v>
      </c>
      <c r="I606" s="51">
        <f>I551</f>
        <v>88.691678668275387</v>
      </c>
      <c r="J606" s="51">
        <f>J551</f>
        <v>709.30491341414711</v>
      </c>
      <c r="K606" s="51"/>
      <c r="L606" s="51"/>
      <c r="M606" s="51" t="e">
        <f>M551</f>
        <v>#DIV/0!</v>
      </c>
      <c r="N606" s="51" t="e">
        <f>N551</f>
        <v>#DIV/0!</v>
      </c>
      <c r="P606" s="51" t="e">
        <f>P551</f>
        <v>#DIV/0!</v>
      </c>
      <c r="Q606" s="51" t="e">
        <f>Q551</f>
        <v>#DIV/0!</v>
      </c>
      <c r="R606" s="51" t="e">
        <f>R551</f>
        <v>#DIV/0!</v>
      </c>
      <c r="S606" s="51" t="e">
        <f>S551</f>
        <v>#DIV/0!</v>
      </c>
      <c r="T606" s="51" t="e">
        <f>#REF!</f>
        <v>#REF!</v>
      </c>
      <c r="U606" s="51" t="e">
        <f>#REF!</f>
        <v>#REF!</v>
      </c>
      <c r="V606" s="51" t="e">
        <f>#REF!</f>
        <v>#REF!</v>
      </c>
      <c r="W606" s="51" t="e">
        <f>#REF!</f>
        <v>#REF!</v>
      </c>
      <c r="X606" s="51" t="e">
        <f>#REF!</f>
        <v>#REF!</v>
      </c>
      <c r="Y606" s="51" t="e">
        <f>#REF!</f>
        <v>#REF!</v>
      </c>
      <c r="Z606" s="51" t="e">
        <f>#REF!</f>
        <v>#REF!</v>
      </c>
      <c r="AA606" s="51" t="e">
        <f>#REF!</f>
        <v>#REF!</v>
      </c>
      <c r="AB606" s="51" t="e">
        <f>#REF!</f>
        <v>#REF!</v>
      </c>
      <c r="AC606" s="51" t="e">
        <f>#REF!</f>
        <v>#REF!</v>
      </c>
      <c r="AD606" s="51" t="e">
        <f>#REF!</f>
        <v>#REF!</v>
      </c>
      <c r="AE606" s="51" t="e">
        <f>#REF!</f>
        <v>#REF!</v>
      </c>
      <c r="AF606" s="51" t="e">
        <f>#REF!</f>
        <v>#REF!</v>
      </c>
    </row>
    <row r="607" spans="1:36" ht="15" x14ac:dyDescent="0.4">
      <c r="A607" s="14" t="s">
        <v>668</v>
      </c>
      <c r="D607" s="51"/>
      <c r="F607" s="83">
        <f>(F531*$E$364)/F393</f>
        <v>-5.5808940722219438</v>
      </c>
      <c r="G607" s="83">
        <f>(G531*$E$364)/G393</f>
        <v>-5.5808940722219438</v>
      </c>
      <c r="H607" s="83">
        <f>(H531*$E$364)/H393</f>
        <v>-6.264679060564859</v>
      </c>
      <c r="I607" s="83">
        <f>(I531*$E$364)/I393</f>
        <v>-8.8070730391405991</v>
      </c>
      <c r="J607" s="83">
        <f>(J531*$E$364)/J393</f>
        <v>-12.813409981800129</v>
      </c>
      <c r="K607" s="83"/>
      <c r="L607" s="83"/>
      <c r="M607" s="83" t="e">
        <f>(M531*$E$364)/M393</f>
        <v>#DIV/0!</v>
      </c>
      <c r="N607" s="83" t="e">
        <f>(N531*$E$364)/N393</f>
        <v>#DIV/0!</v>
      </c>
      <c r="P607" s="83" t="e">
        <f t="shared" ref="P607:AF607" si="300">(P531*$E$364)/P393</f>
        <v>#DIV/0!</v>
      </c>
      <c r="Q607" s="83" t="e">
        <f t="shared" si="300"/>
        <v>#DIV/0!</v>
      </c>
      <c r="R607" s="83" t="e">
        <f t="shared" si="300"/>
        <v>#DIV/0!</v>
      </c>
      <c r="S607" s="83" t="e">
        <f t="shared" si="300"/>
        <v>#DIV/0!</v>
      </c>
      <c r="T607" s="83" t="e">
        <f t="shared" si="300"/>
        <v>#DIV/0!</v>
      </c>
      <c r="U607" s="83" t="e">
        <f t="shared" si="300"/>
        <v>#DIV/0!</v>
      </c>
      <c r="V607" s="83" t="e">
        <f t="shared" si="300"/>
        <v>#DIV/0!</v>
      </c>
      <c r="W607" s="83" t="e">
        <f t="shared" si="300"/>
        <v>#DIV/0!</v>
      </c>
      <c r="X607" s="83" t="e">
        <f t="shared" si="300"/>
        <v>#DIV/0!</v>
      </c>
      <c r="Y607" s="83" t="e">
        <f t="shared" si="300"/>
        <v>#DIV/0!</v>
      </c>
      <c r="Z607" s="83" t="e">
        <f t="shared" si="300"/>
        <v>#DIV/0!</v>
      </c>
      <c r="AA607" s="83" t="e">
        <f t="shared" si="300"/>
        <v>#DIV/0!</v>
      </c>
      <c r="AB607" s="83" t="e">
        <f t="shared" si="300"/>
        <v>#DIV/0!</v>
      </c>
      <c r="AC607" s="83" t="e">
        <f t="shared" si="300"/>
        <v>#DIV/0!</v>
      </c>
      <c r="AD607" s="83" t="e">
        <f t="shared" si="300"/>
        <v>#DIV/0!</v>
      </c>
      <c r="AE607" s="83" t="e">
        <f t="shared" si="300"/>
        <v>#DIV/0!</v>
      </c>
      <c r="AF607" s="83" t="e">
        <f t="shared" si="300"/>
        <v>#DIV/0!</v>
      </c>
    </row>
    <row r="608" spans="1:36" x14ac:dyDescent="0.25">
      <c r="B608" s="14" t="s">
        <v>669</v>
      </c>
      <c r="F608" s="51">
        <f t="shared" ref="F608:AF608" si="301">F606+F607</f>
        <v>20.355694299610299</v>
      </c>
      <c r="G608" s="51">
        <f t="shared" ref="G608:I608" si="302">G606+G607</f>
        <v>22.176146793234061</v>
      </c>
      <c r="H608" s="51">
        <f t="shared" ref="H608" si="303">H606+H607</f>
        <v>19.312623096335894</v>
      </c>
      <c r="I608" s="51">
        <f t="shared" si="302"/>
        <v>79.884605629134782</v>
      </c>
      <c r="J608" s="51">
        <f t="shared" ref="J608" si="304">J606+J607</f>
        <v>696.49150343234703</v>
      </c>
      <c r="K608" s="51"/>
      <c r="L608" s="51"/>
      <c r="M608" s="51" t="e">
        <f t="shared" ref="M608:N608" si="305">M606+M607</f>
        <v>#DIV/0!</v>
      </c>
      <c r="N608" s="51" t="e">
        <f t="shared" si="305"/>
        <v>#DIV/0!</v>
      </c>
      <c r="P608" s="51" t="e">
        <f t="shared" si="301"/>
        <v>#DIV/0!</v>
      </c>
      <c r="Q608" s="51" t="e">
        <f t="shared" si="301"/>
        <v>#DIV/0!</v>
      </c>
      <c r="R608" s="51" t="e">
        <f t="shared" si="301"/>
        <v>#DIV/0!</v>
      </c>
      <c r="S608" s="51" t="e">
        <f t="shared" si="301"/>
        <v>#DIV/0!</v>
      </c>
      <c r="T608" s="51" t="e">
        <f t="shared" si="301"/>
        <v>#REF!</v>
      </c>
      <c r="U608" s="51" t="e">
        <f t="shared" si="301"/>
        <v>#REF!</v>
      </c>
      <c r="V608" s="51" t="e">
        <f t="shared" si="301"/>
        <v>#REF!</v>
      </c>
      <c r="W608" s="51" t="e">
        <f t="shared" si="301"/>
        <v>#REF!</v>
      </c>
      <c r="X608" s="51" t="e">
        <f t="shared" si="301"/>
        <v>#REF!</v>
      </c>
      <c r="Y608" s="51" t="e">
        <f t="shared" si="301"/>
        <v>#REF!</v>
      </c>
      <c r="Z608" s="51" t="e">
        <f t="shared" si="301"/>
        <v>#REF!</v>
      </c>
      <c r="AA608" s="51" t="e">
        <f t="shared" si="301"/>
        <v>#REF!</v>
      </c>
      <c r="AB608" s="51" t="e">
        <f t="shared" si="301"/>
        <v>#REF!</v>
      </c>
      <c r="AC608" s="51" t="e">
        <f t="shared" si="301"/>
        <v>#REF!</v>
      </c>
      <c r="AD608" s="51" t="e">
        <f t="shared" si="301"/>
        <v>#REF!</v>
      </c>
      <c r="AE608" s="51" t="e">
        <f t="shared" si="301"/>
        <v>#REF!</v>
      </c>
      <c r="AF608" s="51" t="e">
        <f t="shared" si="301"/>
        <v>#REF!</v>
      </c>
    </row>
    <row r="611" spans="1:36" x14ac:dyDescent="0.25">
      <c r="A611" s="19" t="s">
        <v>695</v>
      </c>
      <c r="C611" s="130">
        <f>C535</f>
        <v>4.7012115544462961E-2</v>
      </c>
      <c r="F611" s="41">
        <f>$C$535</f>
        <v>4.7012115544462961E-2</v>
      </c>
      <c r="G611" s="41">
        <f t="shared" ref="G611:S611" si="306">$C$535</f>
        <v>4.7012115544462961E-2</v>
      </c>
      <c r="H611" s="41">
        <f t="shared" si="306"/>
        <v>4.7012115544462961E-2</v>
      </c>
      <c r="I611" s="41">
        <f t="shared" si="306"/>
        <v>4.7012115544462961E-2</v>
      </c>
      <c r="J611" s="41">
        <f t="shared" si="306"/>
        <v>4.7012115544462961E-2</v>
      </c>
      <c r="K611" s="41"/>
      <c r="L611" s="41"/>
      <c r="M611" s="41">
        <f t="shared" si="306"/>
        <v>4.7012115544462961E-2</v>
      </c>
      <c r="N611" s="41">
        <f t="shared" si="306"/>
        <v>4.7012115544462961E-2</v>
      </c>
      <c r="O611" s="41">
        <f t="shared" si="306"/>
        <v>4.7012115544462961E-2</v>
      </c>
      <c r="P611" s="41">
        <f t="shared" si="306"/>
        <v>4.7012115544462961E-2</v>
      </c>
      <c r="Q611" s="41">
        <f t="shared" si="306"/>
        <v>4.7012115544462961E-2</v>
      </c>
      <c r="R611" s="41">
        <f t="shared" si="306"/>
        <v>4.7012115544462961E-2</v>
      </c>
      <c r="S611" s="41">
        <f t="shared" si="306"/>
        <v>4.7012115544462961E-2</v>
      </c>
      <c r="T611" s="41">
        <v>0.2</v>
      </c>
      <c r="U611" s="41">
        <v>0.2</v>
      </c>
      <c r="V611" s="41">
        <v>0.08</v>
      </c>
      <c r="W611" s="41">
        <v>0.08</v>
      </c>
      <c r="X611" s="41">
        <v>0.2</v>
      </c>
      <c r="Y611" s="41">
        <v>0.08</v>
      </c>
      <c r="Z611" s="41">
        <v>0.08</v>
      </c>
      <c r="AA611" s="41">
        <v>0.08</v>
      </c>
      <c r="AB611" s="41">
        <v>0.08</v>
      </c>
      <c r="AC611" s="41">
        <v>0.08</v>
      </c>
      <c r="AD611" s="41">
        <v>0.08</v>
      </c>
      <c r="AE611" s="41">
        <v>0.08</v>
      </c>
      <c r="AF611" s="41">
        <v>0.08</v>
      </c>
    </row>
    <row r="612" spans="1:36" x14ac:dyDescent="0.25">
      <c r="A612" s="13"/>
    </row>
    <row r="613" spans="1:36" x14ac:dyDescent="0.25">
      <c r="A613" s="13" t="s">
        <v>759</v>
      </c>
    </row>
    <row r="614" spans="1:36" x14ac:dyDescent="0.25">
      <c r="A614" s="14" t="s">
        <v>990</v>
      </c>
      <c r="F614" s="76">
        <f>F566</f>
        <v>6.6879354311172833E-3</v>
      </c>
      <c r="G614" s="76">
        <f>G566</f>
        <v>0</v>
      </c>
      <c r="H614" s="76">
        <f>H566</f>
        <v>5.678271179445229E-3</v>
      </c>
      <c r="I614" s="25">
        <f>I566</f>
        <v>1.5098287962879602</v>
      </c>
      <c r="J614" s="25">
        <f>J566</f>
        <v>9.1297648423762663</v>
      </c>
      <c r="K614" s="25"/>
      <c r="L614" s="25"/>
      <c r="M614" s="76" t="e">
        <f>M566</f>
        <v>#DIV/0!</v>
      </c>
      <c r="N614" s="76" t="e">
        <f>N566</f>
        <v>#DIV/0!</v>
      </c>
      <c r="P614" s="76" t="e">
        <f>P566</f>
        <v>#DIV/0!</v>
      </c>
      <c r="Q614" s="76" t="e">
        <f>Q566</f>
        <v>#DIV/0!</v>
      </c>
      <c r="R614" s="25" t="e">
        <f>R566</f>
        <v>#DIV/0!</v>
      </c>
      <c r="S614" s="76" t="e">
        <f t="shared" ref="S614:AF614" si="307">S590</f>
        <v>#DIV/0!</v>
      </c>
      <c r="T614" s="76">
        <f t="shared" si="307"/>
        <v>0</v>
      </c>
      <c r="U614" s="76" t="e">
        <f t="shared" si="307"/>
        <v>#DIV/0!</v>
      </c>
      <c r="V614" s="76" t="e">
        <f t="shared" si="307"/>
        <v>#DIV/0!</v>
      </c>
      <c r="W614" s="76" t="e">
        <f t="shared" si="307"/>
        <v>#DIV/0!</v>
      </c>
      <c r="X614" s="76" t="e">
        <f t="shared" si="307"/>
        <v>#DIV/0!</v>
      </c>
      <c r="Y614" s="76" t="e">
        <f t="shared" si="307"/>
        <v>#DIV/0!</v>
      </c>
      <c r="Z614" s="76">
        <f t="shared" si="307"/>
        <v>0</v>
      </c>
      <c r="AA614" s="76">
        <f t="shared" si="307"/>
        <v>0</v>
      </c>
      <c r="AB614" s="76">
        <f t="shared" si="307"/>
        <v>0</v>
      </c>
      <c r="AC614" s="76">
        <f t="shared" si="307"/>
        <v>0</v>
      </c>
      <c r="AD614" s="76">
        <f t="shared" si="307"/>
        <v>0</v>
      </c>
      <c r="AE614" s="76">
        <f t="shared" si="307"/>
        <v>0</v>
      </c>
      <c r="AF614" s="76" t="e">
        <f t="shared" si="307"/>
        <v>#REF!</v>
      </c>
    </row>
    <row r="615" spans="1:36" x14ac:dyDescent="0.25">
      <c r="A615" s="14" t="s">
        <v>991</v>
      </c>
      <c r="D615" s="76"/>
      <c r="F615" s="76">
        <f>(F527*$C$535)/F$390</f>
        <v>0</v>
      </c>
      <c r="G615" s="76">
        <f>(G527*$C$535)/G$390</f>
        <v>0</v>
      </c>
      <c r="H615" s="76">
        <f>(H527*$C$535)/H$390</f>
        <v>0</v>
      </c>
      <c r="I615" s="25">
        <f>(I527*$C$535)/I$405</f>
        <v>0</v>
      </c>
      <c r="J615" s="25">
        <f>(J527*$C$535)/J$405</f>
        <v>0</v>
      </c>
      <c r="K615" s="25"/>
      <c r="L615" s="25"/>
      <c r="M615" s="76" t="e">
        <f>(M527*$C$535)/M$390</f>
        <v>#DIV/0!</v>
      </c>
      <c r="N615" s="76" t="e">
        <f>(N527*$C$535)/N$390</f>
        <v>#DIV/0!</v>
      </c>
      <c r="P615" s="76" t="e">
        <f>(P527*$C$535)/P$390</f>
        <v>#DIV/0!</v>
      </c>
      <c r="Q615" s="76" t="e">
        <f>(Q527*$C$535)/Q$390</f>
        <v>#DIV/0!</v>
      </c>
      <c r="R615" s="25" t="e">
        <f>(R527*$C$535)/R$405</f>
        <v>#DIV/0!</v>
      </c>
      <c r="S615" s="76" t="e">
        <f t="shared" ref="S615:AF615" si="308">S591</f>
        <v>#DIV/0!</v>
      </c>
      <c r="T615" s="76" t="e">
        <f t="shared" si="308"/>
        <v>#DIV/0!</v>
      </c>
      <c r="U615" s="76" t="e">
        <f t="shared" si="308"/>
        <v>#DIV/0!</v>
      </c>
      <c r="V615" s="76" t="e">
        <f t="shared" si="308"/>
        <v>#DIV/0!</v>
      </c>
      <c r="W615" s="76" t="e">
        <f t="shared" si="308"/>
        <v>#DIV/0!</v>
      </c>
      <c r="X615" s="76" t="e">
        <f t="shared" si="308"/>
        <v>#DIV/0!</v>
      </c>
      <c r="Y615" s="76" t="e">
        <f t="shared" si="308"/>
        <v>#DIV/0!</v>
      </c>
      <c r="Z615" s="76" t="e">
        <f t="shared" si="308"/>
        <v>#DIV/0!</v>
      </c>
      <c r="AA615" s="76" t="e">
        <f t="shared" si="308"/>
        <v>#DIV/0!</v>
      </c>
      <c r="AB615" s="76" t="e">
        <f t="shared" si="308"/>
        <v>#DIV/0!</v>
      </c>
      <c r="AC615" s="76" t="e">
        <f t="shared" si="308"/>
        <v>#DIV/0!</v>
      </c>
      <c r="AD615" s="76" t="e">
        <f t="shared" si="308"/>
        <v>#DIV/0!</v>
      </c>
      <c r="AE615" s="76">
        <f t="shared" si="308"/>
        <v>0</v>
      </c>
      <c r="AF615" s="76" t="e">
        <f t="shared" si="308"/>
        <v>#REF!</v>
      </c>
    </row>
    <row r="616" spans="1:36" x14ac:dyDescent="0.25">
      <c r="A616" s="14" t="s">
        <v>890</v>
      </c>
      <c r="F616" s="76">
        <f>F568</f>
        <v>5.8722261270253082E-2</v>
      </c>
      <c r="G616" s="76">
        <f>G568</f>
        <v>5.8206738396413042E-2</v>
      </c>
      <c r="H616" s="76">
        <f>H568</f>
        <v>5.8249237072218435E-2</v>
      </c>
      <c r="I616" s="76">
        <f>I568</f>
        <v>5.854978454714771E-2</v>
      </c>
      <c r="J616" s="76">
        <f>J568</f>
        <v>3.9206020376702747E-2</v>
      </c>
      <c r="K616" s="76"/>
      <c r="L616" s="76"/>
      <c r="M616" s="76" t="e">
        <f>M568</f>
        <v>#DIV/0!</v>
      </c>
      <c r="N616" s="76" t="e">
        <f>N568</f>
        <v>#DIV/0!</v>
      </c>
      <c r="P616" s="76" t="e">
        <f>P568</f>
        <v>#DIV/0!</v>
      </c>
      <c r="Q616" s="76" t="e">
        <f>Q568</f>
        <v>#DIV/0!</v>
      </c>
      <c r="R616" s="76" t="e">
        <f>R568</f>
        <v>#DIV/0!</v>
      </c>
      <c r="S616" s="76">
        <f>S598</f>
        <v>0</v>
      </c>
      <c r="T616" s="76" t="e">
        <f>#REF!</f>
        <v>#REF!</v>
      </c>
      <c r="U616" s="76" t="e">
        <f>#REF!</f>
        <v>#REF!</v>
      </c>
      <c r="V616" s="76" t="e">
        <f>#REF!</f>
        <v>#REF!</v>
      </c>
      <c r="W616" s="76" t="e">
        <f>#REF!</f>
        <v>#REF!</v>
      </c>
      <c r="X616" s="76" t="e">
        <f>#REF!</f>
        <v>#REF!</v>
      </c>
      <c r="Y616" s="76" t="e">
        <f>#REF!</f>
        <v>#REF!</v>
      </c>
      <c r="Z616" s="76" t="e">
        <f>#REF!</f>
        <v>#REF!</v>
      </c>
      <c r="AA616" s="76" t="e">
        <f>#REF!</f>
        <v>#REF!</v>
      </c>
      <c r="AB616" s="76" t="e">
        <f>#REF!</f>
        <v>#REF!</v>
      </c>
      <c r="AC616" s="76" t="e">
        <f>#REF!</f>
        <v>#REF!</v>
      </c>
      <c r="AD616" s="76" t="e">
        <f>#REF!</f>
        <v>#REF!</v>
      </c>
      <c r="AE616" s="76" t="e">
        <f>#REF!</f>
        <v>#REF!</v>
      </c>
      <c r="AF616" s="76" t="e">
        <f>#REF!</f>
        <v>#REF!</v>
      </c>
    </row>
    <row r="617" spans="1:36" x14ac:dyDescent="0.25">
      <c r="A617" s="14" t="s">
        <v>891</v>
      </c>
      <c r="D617" s="76"/>
      <c r="F617" s="76">
        <f>(F528*$C$535)/F$390</f>
        <v>0</v>
      </c>
      <c r="G617" s="76">
        <f>(G528*$C$535)/G$390</f>
        <v>0</v>
      </c>
      <c r="H617" s="76">
        <f>(H528*$C$535)/H$390</f>
        <v>0</v>
      </c>
      <c r="I617" s="76">
        <f>(I528*$C$535)/I$390</f>
        <v>0</v>
      </c>
      <c r="J617" s="76">
        <f>(J528*$C$535)/J$390</f>
        <v>0</v>
      </c>
      <c r="K617" s="76"/>
      <c r="L617" s="76"/>
      <c r="M617" s="76" t="e">
        <f>(M528*$C$535)/M$390</f>
        <v>#DIV/0!</v>
      </c>
      <c r="N617" s="76" t="e">
        <f>(N528*$C$535)/N$390</f>
        <v>#DIV/0!</v>
      </c>
      <c r="P617" s="76" t="e">
        <f>(P528*$C$535)/P$390</f>
        <v>#DIV/0!</v>
      </c>
      <c r="Q617" s="76" t="e">
        <f>(Q528*$C$535)/Q$390</f>
        <v>#DIV/0!</v>
      </c>
      <c r="R617" s="76" t="e">
        <f>(R528*$C$535)/R$390</f>
        <v>#DIV/0!</v>
      </c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</row>
    <row r="618" spans="1:36" x14ac:dyDescent="0.25">
      <c r="E618" s="189"/>
      <c r="F618" s="76"/>
      <c r="G618" s="76"/>
      <c r="H618" s="76"/>
      <c r="I618" s="76"/>
      <c r="J618" s="76"/>
      <c r="K618" s="76"/>
      <c r="L618" s="76"/>
      <c r="M618" s="76"/>
      <c r="N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</row>
    <row r="619" spans="1:36" x14ac:dyDescent="0.25">
      <c r="A619" s="13" t="s">
        <v>884</v>
      </c>
      <c r="F619" s="76"/>
      <c r="G619" s="76"/>
      <c r="H619" s="76"/>
      <c r="I619" s="76"/>
      <c r="J619" s="76"/>
      <c r="K619" s="76"/>
      <c r="L619" s="76"/>
      <c r="M619" s="76"/>
      <c r="N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</row>
    <row r="620" spans="1:36" x14ac:dyDescent="0.25">
      <c r="A620" s="14" t="s">
        <v>992</v>
      </c>
      <c r="F620" s="76">
        <f>F572</f>
        <v>0</v>
      </c>
      <c r="G620" s="76">
        <f>G572</f>
        <v>0</v>
      </c>
      <c r="H620" s="76">
        <f>H572</f>
        <v>0</v>
      </c>
      <c r="I620" s="25">
        <f>I572</f>
        <v>0</v>
      </c>
      <c r="J620" s="25">
        <f>J572</f>
        <v>0</v>
      </c>
      <c r="K620" s="76"/>
      <c r="L620" s="25"/>
      <c r="M620" s="76" t="e">
        <f>M572</f>
        <v>#DIV/0!</v>
      </c>
      <c r="N620" s="76" t="e">
        <f>N572</f>
        <v>#DIV/0!</v>
      </c>
      <c r="P620" s="76" t="e">
        <f>P572</f>
        <v>#DIV/0!</v>
      </c>
      <c r="Q620" s="76" t="e">
        <f>Q572</f>
        <v>#DIV/0!</v>
      </c>
      <c r="R620" s="25" t="e">
        <f>R572</f>
        <v>#DIV/0!</v>
      </c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</row>
    <row r="621" spans="1:36" s="48" customFormat="1" ht="15" x14ac:dyDescent="0.4">
      <c r="A621" s="48" t="s">
        <v>993</v>
      </c>
      <c r="D621" s="76"/>
      <c r="E621" s="192"/>
      <c r="F621" s="82">
        <f>(F529*$C$535)/F$390</f>
        <v>0</v>
      </c>
      <c r="G621" s="82">
        <f>(G529*$C$535)/G$390</f>
        <v>0</v>
      </c>
      <c r="H621" s="82">
        <f>(H529*$C$535)/H$390</f>
        <v>0</v>
      </c>
      <c r="I621" s="83">
        <f>(I529*$C$535)/I$405</f>
        <v>0</v>
      </c>
      <c r="J621" s="83">
        <f>(J529*$C$535)/J$405</f>
        <v>0</v>
      </c>
      <c r="K621" s="82"/>
      <c r="L621" s="83"/>
      <c r="M621" s="82" t="e">
        <f>(M529*$C$535)/M$390</f>
        <v>#DIV/0!</v>
      </c>
      <c r="N621" s="82" t="e">
        <f>(N529*$C$535)/N$390</f>
        <v>#DIV/0!</v>
      </c>
      <c r="O621" s="14"/>
      <c r="P621" s="82" t="e">
        <f>(P529*$C$535)/P$390</f>
        <v>#DIV/0!</v>
      </c>
      <c r="Q621" s="82" t="e">
        <f>(Q529*$C$535)/Q$390</f>
        <v>#DIV/0!</v>
      </c>
      <c r="R621" s="83" t="e">
        <f>(R529*$C$535)/R$405</f>
        <v>#DIV/0!</v>
      </c>
      <c r="AJ621" s="52"/>
    </row>
    <row r="622" spans="1:36" x14ac:dyDescent="0.25">
      <c r="B622" s="14" t="s">
        <v>994</v>
      </c>
      <c r="F622" s="76">
        <f>F620+F621</f>
        <v>0</v>
      </c>
      <c r="G622" s="76">
        <f>G620+G621</f>
        <v>0</v>
      </c>
      <c r="H622" s="76">
        <f>H620+H621</f>
        <v>0</v>
      </c>
      <c r="I622" s="25">
        <f t="shared" ref="I622" si="309">I620+I621</f>
        <v>0</v>
      </c>
      <c r="J622" s="25">
        <f t="shared" ref="J622" si="310">J620+J621</f>
        <v>0</v>
      </c>
      <c r="K622" s="76"/>
      <c r="L622" s="25"/>
      <c r="M622" s="76" t="e">
        <f>M620+M621</f>
        <v>#DIV/0!</v>
      </c>
      <c r="N622" s="76" t="e">
        <f>N620+N621</f>
        <v>#DIV/0!</v>
      </c>
      <c r="P622" s="76" t="e">
        <f t="shared" ref="P622:R622" si="311">P620+P621</f>
        <v>#DIV/0!</v>
      </c>
      <c r="Q622" s="76" t="e">
        <f t="shared" si="311"/>
        <v>#DIV/0!</v>
      </c>
      <c r="R622" s="25" t="e">
        <f t="shared" si="311"/>
        <v>#DIV/0!</v>
      </c>
    </row>
    <row r="623" spans="1:36" x14ac:dyDescent="0.25">
      <c r="F623" s="76"/>
      <c r="G623" s="76"/>
      <c r="H623" s="76"/>
      <c r="I623" s="76"/>
      <c r="J623" s="76"/>
      <c r="K623" s="76"/>
      <c r="L623" s="76"/>
      <c r="M623" s="76"/>
      <c r="N623" s="76"/>
      <c r="P623" s="76"/>
      <c r="Q623" s="76"/>
      <c r="R623" s="76"/>
    </row>
    <row r="624" spans="1:36" x14ac:dyDescent="0.25">
      <c r="A624" s="13" t="s">
        <v>665</v>
      </c>
      <c r="P624" s="25"/>
    </row>
    <row r="625" spans="1:32" x14ac:dyDescent="0.25">
      <c r="A625" s="14" t="s">
        <v>995</v>
      </c>
      <c r="F625" s="76">
        <f>F577</f>
        <v>1.4655626677992518E-2</v>
      </c>
      <c r="G625" s="76">
        <f>G577</f>
        <v>1.4671601916890676E-2</v>
      </c>
      <c r="H625" s="76">
        <f>H577</f>
        <v>5.9235944438442044E-3</v>
      </c>
      <c r="I625" s="25">
        <f>I601</f>
        <v>1.9079829783444866</v>
      </c>
      <c r="J625" s="25">
        <f>J601</f>
        <v>1.9066292603853818</v>
      </c>
      <c r="K625" s="25"/>
      <c r="L625" s="25"/>
      <c r="M625" s="76" t="e">
        <f>M577</f>
        <v>#DIV/0!</v>
      </c>
      <c r="N625" s="76" t="e">
        <f>N577</f>
        <v>#DIV/0!</v>
      </c>
      <c r="P625" s="76" t="e">
        <f t="shared" ref="P625:AE625" si="312">P601</f>
        <v>#DIV/0!</v>
      </c>
      <c r="Q625" s="76" t="e">
        <f t="shared" si="312"/>
        <v>#DIV/0!</v>
      </c>
      <c r="R625" s="25" t="e">
        <f t="shared" si="312"/>
        <v>#DIV/0!</v>
      </c>
      <c r="S625" s="76" t="e">
        <f t="shared" si="312"/>
        <v>#DIV/0!</v>
      </c>
      <c r="T625" s="76" t="e">
        <f t="shared" si="312"/>
        <v>#REF!</v>
      </c>
      <c r="U625" s="76" t="e">
        <f t="shared" si="312"/>
        <v>#REF!</v>
      </c>
      <c r="V625" s="76" t="e">
        <f t="shared" si="312"/>
        <v>#REF!</v>
      </c>
      <c r="W625" s="76" t="e">
        <f t="shared" si="312"/>
        <v>#REF!</v>
      </c>
      <c r="X625" s="76" t="e">
        <f t="shared" si="312"/>
        <v>#REF!</v>
      </c>
      <c r="Y625" s="76" t="e">
        <f t="shared" si="312"/>
        <v>#REF!</v>
      </c>
      <c r="Z625" s="76" t="e">
        <f t="shared" si="312"/>
        <v>#REF!</v>
      </c>
      <c r="AA625" s="76" t="e">
        <f t="shared" si="312"/>
        <v>#REF!</v>
      </c>
      <c r="AB625" s="76" t="e">
        <f t="shared" si="312"/>
        <v>#REF!</v>
      </c>
      <c r="AC625" s="76" t="e">
        <f t="shared" si="312"/>
        <v>#REF!</v>
      </c>
      <c r="AD625" s="76" t="e">
        <f t="shared" si="312"/>
        <v>#REF!</v>
      </c>
      <c r="AE625" s="76" t="e">
        <f t="shared" si="312"/>
        <v>#REF!</v>
      </c>
      <c r="AF625" s="76">
        <f>AF550</f>
        <v>0</v>
      </c>
    </row>
    <row r="626" spans="1:32" ht="15" x14ac:dyDescent="0.4">
      <c r="A626" s="48" t="s">
        <v>996</v>
      </c>
      <c r="D626" s="76"/>
      <c r="F626" s="82">
        <f>(F530*F611)/F390</f>
        <v>3.1925121575600841E-3</v>
      </c>
      <c r="G626" s="82">
        <f>(G530*G611)/G390</f>
        <v>3.2016741581829054E-3</v>
      </c>
      <c r="H626" s="82">
        <f>(H530*H611)/H390</f>
        <v>1.2781790472717687E-3</v>
      </c>
      <c r="I626" s="83">
        <f>(I530*I611)/I405</f>
        <v>0.41840340645686347</v>
      </c>
      <c r="J626" s="83">
        <f>(J530*J611)/J405</f>
        <v>0.41840340645686347</v>
      </c>
      <c r="K626" s="83"/>
      <c r="L626" s="83"/>
      <c r="M626" s="82" t="e">
        <f>(M530*M611)/M390</f>
        <v>#DIV/0!</v>
      </c>
      <c r="N626" s="82" t="e">
        <f>(N530*N611)/N390</f>
        <v>#DIV/0!</v>
      </c>
      <c r="P626" s="82" t="e">
        <f>(P530*P611)/P390</f>
        <v>#DIV/0!</v>
      </c>
      <c r="Q626" s="82" t="e">
        <f>(Q530*Q611)/Q390</f>
        <v>#DIV/0!</v>
      </c>
      <c r="R626" s="83" t="e">
        <f>(R530*R611)/R405</f>
        <v>#DIV/0!</v>
      </c>
      <c r="S626" s="82" t="e">
        <f t="shared" ref="S626:AF626" si="313">(S530*S611)/S390</f>
        <v>#DIV/0!</v>
      </c>
      <c r="T626" s="82" t="e">
        <f t="shared" si="313"/>
        <v>#DIV/0!</v>
      </c>
      <c r="U626" s="82" t="e">
        <f t="shared" si="313"/>
        <v>#DIV/0!</v>
      </c>
      <c r="V626" s="82" t="e">
        <f t="shared" si="313"/>
        <v>#DIV/0!</v>
      </c>
      <c r="W626" s="82" t="e">
        <f t="shared" si="313"/>
        <v>#DIV/0!</v>
      </c>
      <c r="X626" s="82" t="e">
        <f t="shared" si="313"/>
        <v>#DIV/0!</v>
      </c>
      <c r="Y626" s="82" t="e">
        <f t="shared" si="313"/>
        <v>#DIV/0!</v>
      </c>
      <c r="Z626" s="82" t="e">
        <f t="shared" si="313"/>
        <v>#DIV/0!</v>
      </c>
      <c r="AA626" s="82" t="e">
        <f t="shared" si="313"/>
        <v>#DIV/0!</v>
      </c>
      <c r="AB626" s="82" t="e">
        <f t="shared" si="313"/>
        <v>#DIV/0!</v>
      </c>
      <c r="AC626" s="82" t="e">
        <f t="shared" si="313"/>
        <v>#DIV/0!</v>
      </c>
      <c r="AD626" s="82" t="e">
        <f t="shared" si="313"/>
        <v>#DIV/0!</v>
      </c>
      <c r="AE626" s="82" t="e">
        <f t="shared" si="313"/>
        <v>#DIV/0!</v>
      </c>
      <c r="AF626" s="82" t="e">
        <f t="shared" si="313"/>
        <v>#DIV/0!</v>
      </c>
    </row>
    <row r="627" spans="1:32" x14ac:dyDescent="0.25">
      <c r="B627" s="14" t="s">
        <v>997</v>
      </c>
      <c r="F627" s="76">
        <f t="shared" ref="F627:AF627" si="314">F625+F626</f>
        <v>1.7848138835552602E-2</v>
      </c>
      <c r="G627" s="76">
        <f t="shared" ref="G627:H627" si="315">G625+G626</f>
        <v>1.787327607507358E-2</v>
      </c>
      <c r="H627" s="76">
        <f t="shared" si="315"/>
        <v>7.2017734911159733E-3</v>
      </c>
      <c r="I627" s="25">
        <f>I625+I626</f>
        <v>2.3263863848013502</v>
      </c>
      <c r="J627" s="25">
        <f>J625+J626</f>
        <v>2.3250326668422452</v>
      </c>
      <c r="K627" s="25"/>
      <c r="L627" s="25"/>
      <c r="M627" s="76" t="e">
        <f t="shared" ref="M627:N627" si="316">M625+M626</f>
        <v>#DIV/0!</v>
      </c>
      <c r="N627" s="76" t="e">
        <f t="shared" si="316"/>
        <v>#DIV/0!</v>
      </c>
      <c r="P627" s="25" t="e">
        <f t="shared" si="314"/>
        <v>#DIV/0!</v>
      </c>
      <c r="Q627" s="76" t="e">
        <f t="shared" si="314"/>
        <v>#DIV/0!</v>
      </c>
      <c r="R627" s="25" t="e">
        <f>R625+R626</f>
        <v>#DIV/0!</v>
      </c>
      <c r="S627" s="76" t="e">
        <f t="shared" si="314"/>
        <v>#DIV/0!</v>
      </c>
      <c r="T627" s="76" t="e">
        <f t="shared" si="314"/>
        <v>#REF!</v>
      </c>
      <c r="U627" s="76" t="e">
        <f t="shared" si="314"/>
        <v>#REF!</v>
      </c>
      <c r="V627" s="76" t="e">
        <f t="shared" si="314"/>
        <v>#REF!</v>
      </c>
      <c r="W627" s="76" t="e">
        <f t="shared" si="314"/>
        <v>#REF!</v>
      </c>
      <c r="X627" s="76" t="e">
        <f t="shared" si="314"/>
        <v>#REF!</v>
      </c>
      <c r="Y627" s="76" t="e">
        <f t="shared" si="314"/>
        <v>#REF!</v>
      </c>
      <c r="Z627" s="76" t="e">
        <f t="shared" si="314"/>
        <v>#REF!</v>
      </c>
      <c r="AA627" s="76" t="e">
        <f t="shared" si="314"/>
        <v>#REF!</v>
      </c>
      <c r="AB627" s="76" t="e">
        <f t="shared" si="314"/>
        <v>#REF!</v>
      </c>
      <c r="AC627" s="76" t="e">
        <f t="shared" si="314"/>
        <v>#REF!</v>
      </c>
      <c r="AD627" s="76" t="e">
        <f t="shared" si="314"/>
        <v>#REF!</v>
      </c>
      <c r="AE627" s="76" t="e">
        <f t="shared" si="314"/>
        <v>#REF!</v>
      </c>
      <c r="AF627" s="76" t="e">
        <f t="shared" si="314"/>
        <v>#DIV/0!</v>
      </c>
    </row>
    <row r="629" spans="1:32" x14ac:dyDescent="0.25">
      <c r="A629" s="13" t="s">
        <v>666</v>
      </c>
    </row>
    <row r="630" spans="1:32" x14ac:dyDescent="0.25">
      <c r="A630" s="14" t="s">
        <v>667</v>
      </c>
      <c r="F630" s="51">
        <f>F606</f>
        <v>25.936588371832244</v>
      </c>
      <c r="G630" s="51">
        <f>G606</f>
        <v>27.757040865456005</v>
      </c>
      <c r="H630" s="51">
        <f>H606</f>
        <v>25.577302156900753</v>
      </c>
      <c r="I630" s="51">
        <f>I606</f>
        <v>88.691678668275387</v>
      </c>
      <c r="J630" s="51">
        <f>J606</f>
        <v>709.30491341414711</v>
      </c>
      <c r="K630" s="51"/>
      <c r="L630" s="51"/>
      <c r="M630" s="51" t="e">
        <f>M606</f>
        <v>#DIV/0!</v>
      </c>
      <c r="N630" s="51" t="e">
        <f>N606</f>
        <v>#DIV/0!</v>
      </c>
      <c r="P630" s="51" t="e">
        <f t="shared" ref="P630:AE630" si="317">P606</f>
        <v>#DIV/0!</v>
      </c>
      <c r="Q630" s="51" t="e">
        <f t="shared" si="317"/>
        <v>#DIV/0!</v>
      </c>
      <c r="R630" s="51" t="e">
        <f t="shared" si="317"/>
        <v>#DIV/0!</v>
      </c>
      <c r="S630" s="51" t="e">
        <f t="shared" si="317"/>
        <v>#DIV/0!</v>
      </c>
      <c r="T630" s="51" t="e">
        <f t="shared" si="317"/>
        <v>#REF!</v>
      </c>
      <c r="U630" s="51" t="e">
        <f t="shared" si="317"/>
        <v>#REF!</v>
      </c>
      <c r="V630" s="51" t="e">
        <f t="shared" si="317"/>
        <v>#REF!</v>
      </c>
      <c r="W630" s="51" t="e">
        <f t="shared" si="317"/>
        <v>#REF!</v>
      </c>
      <c r="X630" s="51" t="e">
        <f t="shared" si="317"/>
        <v>#REF!</v>
      </c>
      <c r="Y630" s="51" t="e">
        <f t="shared" si="317"/>
        <v>#REF!</v>
      </c>
      <c r="Z630" s="51" t="e">
        <f t="shared" si="317"/>
        <v>#REF!</v>
      </c>
      <c r="AA630" s="51" t="e">
        <f t="shared" si="317"/>
        <v>#REF!</v>
      </c>
      <c r="AB630" s="51" t="e">
        <f t="shared" si="317"/>
        <v>#REF!</v>
      </c>
      <c r="AC630" s="51" t="e">
        <f t="shared" si="317"/>
        <v>#REF!</v>
      </c>
      <c r="AD630" s="51" t="e">
        <f t="shared" si="317"/>
        <v>#REF!</v>
      </c>
      <c r="AE630" s="51" t="e">
        <f t="shared" si="317"/>
        <v>#REF!</v>
      </c>
      <c r="AF630" s="51">
        <f>AF551</f>
        <v>0</v>
      </c>
    </row>
    <row r="631" spans="1:32" ht="15" x14ac:dyDescent="0.4">
      <c r="A631" s="14" t="s">
        <v>668</v>
      </c>
      <c r="D631" s="25"/>
      <c r="F631" s="83">
        <f>(F531*F$611)/F393</f>
        <v>4.8355602431027345</v>
      </c>
      <c r="G631" s="83">
        <f>(G531*G$611)/G393</f>
        <v>4.8355602431027345</v>
      </c>
      <c r="H631" s="83">
        <f>(H531*H$611)/H393</f>
        <v>5.428025081473165</v>
      </c>
      <c r="I631" s="83">
        <f>(I531*I$611)/I393</f>
        <v>7.6308798724815921</v>
      </c>
      <c r="J631" s="83">
        <f>(J531*J$611)/J393</f>
        <v>11.102166621467525</v>
      </c>
      <c r="K631" s="83"/>
      <c r="L631" s="83"/>
      <c r="M631" s="83" t="e">
        <f>(M531*M$611)/M393</f>
        <v>#DIV/0!</v>
      </c>
      <c r="N631" s="83" t="e">
        <f>(N531*N$611)/N393</f>
        <v>#DIV/0!</v>
      </c>
      <c r="P631" s="83" t="e">
        <f t="shared" ref="P631:AF631" si="318">(P531*P$611)/P393</f>
        <v>#DIV/0!</v>
      </c>
      <c r="Q631" s="83" t="e">
        <f t="shared" si="318"/>
        <v>#DIV/0!</v>
      </c>
      <c r="R631" s="83" t="e">
        <f t="shared" si="318"/>
        <v>#DIV/0!</v>
      </c>
      <c r="S631" s="83" t="e">
        <f t="shared" si="318"/>
        <v>#DIV/0!</v>
      </c>
      <c r="T631" s="83" t="e">
        <f t="shared" si="318"/>
        <v>#DIV/0!</v>
      </c>
      <c r="U631" s="83" t="e">
        <f t="shared" si="318"/>
        <v>#DIV/0!</v>
      </c>
      <c r="V631" s="83" t="e">
        <f t="shared" si="318"/>
        <v>#DIV/0!</v>
      </c>
      <c r="W631" s="83" t="e">
        <f t="shared" si="318"/>
        <v>#DIV/0!</v>
      </c>
      <c r="X631" s="83" t="e">
        <f t="shared" si="318"/>
        <v>#DIV/0!</v>
      </c>
      <c r="Y631" s="83" t="e">
        <f t="shared" si="318"/>
        <v>#DIV/0!</v>
      </c>
      <c r="Z631" s="83" t="e">
        <f t="shared" si="318"/>
        <v>#DIV/0!</v>
      </c>
      <c r="AA631" s="83" t="e">
        <f t="shared" si="318"/>
        <v>#DIV/0!</v>
      </c>
      <c r="AB631" s="83" t="e">
        <f t="shared" si="318"/>
        <v>#DIV/0!</v>
      </c>
      <c r="AC631" s="83" t="e">
        <f t="shared" si="318"/>
        <v>#DIV/0!</v>
      </c>
      <c r="AD631" s="83" t="e">
        <f t="shared" si="318"/>
        <v>#DIV/0!</v>
      </c>
      <c r="AE631" s="83" t="e">
        <f t="shared" si="318"/>
        <v>#DIV/0!</v>
      </c>
      <c r="AF631" s="83" t="e">
        <f t="shared" si="318"/>
        <v>#DIV/0!</v>
      </c>
    </row>
    <row r="632" spans="1:32" x14ac:dyDescent="0.25">
      <c r="B632" s="14" t="s">
        <v>669</v>
      </c>
      <c r="F632" s="51">
        <f t="shared" ref="F632:AF632" si="319">F630+F631</f>
        <v>30.772148614934977</v>
      </c>
      <c r="G632" s="51">
        <f t="shared" ref="G632:I632" si="320">G630+G631</f>
        <v>32.592601108558739</v>
      </c>
      <c r="H632" s="51">
        <f t="shared" ref="H632" si="321">H630+H631</f>
        <v>31.005327238373919</v>
      </c>
      <c r="I632" s="51">
        <f t="shared" si="320"/>
        <v>96.322558540756972</v>
      </c>
      <c r="J632" s="51">
        <f t="shared" ref="J632" si="322">J630+J631</f>
        <v>720.40708003561463</v>
      </c>
      <c r="K632" s="51"/>
      <c r="L632" s="51"/>
      <c r="M632" s="51" t="e">
        <f t="shared" ref="M632:N632" si="323">M630+M631</f>
        <v>#DIV/0!</v>
      </c>
      <c r="N632" s="51" t="e">
        <f t="shared" si="323"/>
        <v>#DIV/0!</v>
      </c>
      <c r="P632" s="51" t="e">
        <f t="shared" si="319"/>
        <v>#DIV/0!</v>
      </c>
      <c r="Q632" s="51" t="e">
        <f t="shared" si="319"/>
        <v>#DIV/0!</v>
      </c>
      <c r="R632" s="51" t="e">
        <f t="shared" si="319"/>
        <v>#DIV/0!</v>
      </c>
      <c r="S632" s="51" t="e">
        <f t="shared" si="319"/>
        <v>#DIV/0!</v>
      </c>
      <c r="T632" s="51" t="e">
        <f t="shared" si="319"/>
        <v>#REF!</v>
      </c>
      <c r="U632" s="51" t="e">
        <f t="shared" si="319"/>
        <v>#REF!</v>
      </c>
      <c r="V632" s="51" t="e">
        <f t="shared" si="319"/>
        <v>#REF!</v>
      </c>
      <c r="W632" s="51" t="e">
        <f t="shared" si="319"/>
        <v>#REF!</v>
      </c>
      <c r="X632" s="51" t="e">
        <f t="shared" si="319"/>
        <v>#REF!</v>
      </c>
      <c r="Y632" s="51" t="e">
        <f t="shared" si="319"/>
        <v>#REF!</v>
      </c>
      <c r="Z632" s="51" t="e">
        <f t="shared" si="319"/>
        <v>#REF!</v>
      </c>
      <c r="AA632" s="51" t="e">
        <f t="shared" si="319"/>
        <v>#REF!</v>
      </c>
      <c r="AB632" s="51" t="e">
        <f t="shared" si="319"/>
        <v>#REF!</v>
      </c>
      <c r="AC632" s="51" t="e">
        <f t="shared" si="319"/>
        <v>#REF!</v>
      </c>
      <c r="AD632" s="51" t="e">
        <f t="shared" si="319"/>
        <v>#REF!</v>
      </c>
      <c r="AE632" s="51" t="e">
        <f t="shared" si="319"/>
        <v>#REF!</v>
      </c>
      <c r="AF632" s="51" t="e">
        <f t="shared" si="319"/>
        <v>#DIV/0!</v>
      </c>
    </row>
    <row r="633" spans="1:32" x14ac:dyDescent="0.25"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</row>
    <row r="635" spans="1:32" x14ac:dyDescent="0.25">
      <c r="A635" s="19" t="s">
        <v>868</v>
      </c>
      <c r="F635" s="86"/>
      <c r="K635" s="86"/>
      <c r="Q635" s="51"/>
      <c r="R635" s="51"/>
      <c r="S635" s="64"/>
    </row>
    <row r="637" spans="1:32" x14ac:dyDescent="0.25">
      <c r="A637" s="13" t="s">
        <v>869</v>
      </c>
      <c r="E637" s="193">
        <f t="shared" ref="E637:J637" si="324">E292</f>
        <v>-1.2799437575575933E-2</v>
      </c>
      <c r="F637" s="24">
        <f t="shared" si="324"/>
        <v>-4.3310392066258231E-2</v>
      </c>
      <c r="G637" s="24">
        <f t="shared" si="324"/>
        <v>3.7480844997647776E-2</v>
      </c>
      <c r="H637" s="24">
        <f t="shared" si="324"/>
        <v>1.0524073136830315E-2</v>
      </c>
      <c r="I637" s="24">
        <f t="shared" si="324"/>
        <v>0.21366014892899468</v>
      </c>
      <c r="J637" s="24">
        <f t="shared" si="324"/>
        <v>0.27073132050217891</v>
      </c>
      <c r="K637" s="24"/>
      <c r="L637" s="24"/>
      <c r="M637" s="24" t="str">
        <f>M292</f>
        <v>NA</v>
      </c>
      <c r="N637" s="24" t="str">
        <f>N292</f>
        <v>NA</v>
      </c>
      <c r="O637" s="24" t="str">
        <f>O292</f>
        <v>NA</v>
      </c>
      <c r="P637" s="87" t="e">
        <f>P364</f>
        <v>#DIV/0!</v>
      </c>
      <c r="Q637" s="87" t="e">
        <f>Q364</f>
        <v>#DIV/0!</v>
      </c>
      <c r="R637" s="87" t="e">
        <f>R364</f>
        <v>#DIV/0!</v>
      </c>
      <c r="S637" s="87">
        <f>S277</f>
        <v>0</v>
      </c>
    </row>
    <row r="638" spans="1:32" x14ac:dyDescent="0.25"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S638" s="49"/>
    </row>
    <row r="639" spans="1:32" x14ac:dyDescent="0.25">
      <c r="B639" s="14" t="s">
        <v>870</v>
      </c>
      <c r="F639" s="88">
        <f>F584</f>
        <v>16.851818145173123</v>
      </c>
      <c r="G639" s="88">
        <f>G584</f>
        <v>26.033725558924772</v>
      </c>
      <c r="H639" s="88">
        <f>H584</f>
        <v>24.659927874699825</v>
      </c>
      <c r="I639" s="88">
        <f>I584</f>
        <v>112.1557703591582</v>
      </c>
      <c r="J639" s="88">
        <f>J584</f>
        <v>760.45980271718338</v>
      </c>
      <c r="K639" s="88"/>
      <c r="L639" s="88"/>
      <c r="M639" s="88" t="e">
        <f>M584</f>
        <v>#DIV/0!</v>
      </c>
      <c r="N639" s="88" t="e">
        <f>N584</f>
        <v>#DIV/0!</v>
      </c>
      <c r="O639" s="88"/>
      <c r="P639" s="88" t="e">
        <f>P584</f>
        <v>#DIV/0!</v>
      </c>
      <c r="Q639" s="88" t="e">
        <f>Q584</f>
        <v>#DIV/0!</v>
      </c>
      <c r="R639" s="88" t="e">
        <f>R584</f>
        <v>#DIV/0!</v>
      </c>
      <c r="S639" s="88" t="e">
        <f>#REF!</f>
        <v>#REF!</v>
      </c>
    </row>
    <row r="640" spans="1:32" x14ac:dyDescent="0.25">
      <c r="B640" s="14" t="s">
        <v>758</v>
      </c>
      <c r="F640" s="89">
        <f>F566+F567+F568+F569+F574+F579</f>
        <v>7.4067916634509845E-2</v>
      </c>
      <c r="G640" s="89">
        <f>G566+G567+G568+G569+G574+G579</f>
        <v>7.173731552901072E-2</v>
      </c>
      <c r="H640" s="89">
        <f>H566+H567+H568+H569+H574+H579</f>
        <v>6.9635081478137781E-2</v>
      </c>
      <c r="I640" s="89">
        <f>+I568+I569</f>
        <v>5.854978454714771E-2</v>
      </c>
      <c r="J640" s="89">
        <f>+J568+J569</f>
        <v>3.9206020376702747E-2</v>
      </c>
      <c r="K640" s="89"/>
      <c r="L640" s="89"/>
      <c r="M640" s="89" t="e">
        <f>M566+M567+M568+M569+M574+M579</f>
        <v>#DIV/0!</v>
      </c>
      <c r="N640" s="89" t="e">
        <f>N566+N567+N568+N569+N574+N579</f>
        <v>#DIV/0!</v>
      </c>
      <c r="O640" s="89"/>
      <c r="P640" s="89" t="e">
        <f>P566+P567+P568+P569+P574+P579</f>
        <v>#DIV/0!</v>
      </c>
      <c r="Q640" s="89" t="e">
        <f>Q566+Q567+Q568+Q569+Q574+Q579</f>
        <v>#DIV/0!</v>
      </c>
      <c r="R640" s="89" t="e">
        <f>R568+R569</f>
        <v>#DIV/0!</v>
      </c>
      <c r="S640" s="89" t="e">
        <f>S568+S573+S578+S579</f>
        <v>#DIV/0!</v>
      </c>
    </row>
    <row r="641" spans="1:19" x14ac:dyDescent="0.25">
      <c r="B641" s="14" t="s">
        <v>871</v>
      </c>
      <c r="F641" s="88">
        <v>0</v>
      </c>
      <c r="G641" s="88">
        <v>0</v>
      </c>
      <c r="H641" s="88">
        <v>0</v>
      </c>
      <c r="I641" s="88">
        <f>I566+I567+I574+I579</f>
        <v>3.4228697512765307</v>
      </c>
      <c r="J641" s="88">
        <f>J566+J567+J574+J579</f>
        <v>11.040325301715997</v>
      </c>
      <c r="K641" s="88"/>
      <c r="L641" s="88"/>
      <c r="M641" s="88">
        <v>0</v>
      </c>
      <c r="N641" s="88">
        <v>0</v>
      </c>
      <c r="O641" s="88"/>
      <c r="P641" s="88">
        <v>0</v>
      </c>
      <c r="Q641" s="88">
        <v>0</v>
      </c>
      <c r="R641" s="88" t="e">
        <f>R566+R567+R574+R579</f>
        <v>#DIV/0!</v>
      </c>
      <c r="S641" s="88">
        <v>0</v>
      </c>
    </row>
    <row r="642" spans="1:19" x14ac:dyDescent="0.25"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1:19" x14ac:dyDescent="0.25">
      <c r="A643" s="13" t="s">
        <v>872</v>
      </c>
      <c r="E643" s="193">
        <f>E364</f>
        <v>-5.4258374164387849E-2</v>
      </c>
      <c r="F643" s="87">
        <f>$E643</f>
        <v>-5.4258374164387849E-2</v>
      </c>
      <c r="G643" s="87">
        <f>$E643</f>
        <v>-5.4258374164387849E-2</v>
      </c>
      <c r="H643" s="87">
        <f>$E643</f>
        <v>-5.4258374164387849E-2</v>
      </c>
      <c r="I643" s="87">
        <f>$E643</f>
        <v>-5.4258374164387849E-2</v>
      </c>
      <c r="J643" s="87">
        <f>$E643</f>
        <v>-5.4258374164387849E-2</v>
      </c>
      <c r="K643" s="87"/>
      <c r="L643" s="87"/>
      <c r="M643" s="87">
        <f>$E643</f>
        <v>-5.4258374164387849E-2</v>
      </c>
      <c r="N643" s="87">
        <f>$E643</f>
        <v>-5.4258374164387849E-2</v>
      </c>
      <c r="O643" s="87">
        <f>$E643</f>
        <v>-5.4258374164387849E-2</v>
      </c>
      <c r="P643" s="87">
        <f t="shared" ref="P643:S643" si="325">O643</f>
        <v>-5.4258374164387849E-2</v>
      </c>
      <c r="Q643" s="87">
        <f t="shared" si="325"/>
        <v>-5.4258374164387849E-2</v>
      </c>
      <c r="R643" s="87">
        <f t="shared" si="325"/>
        <v>-5.4258374164387849E-2</v>
      </c>
      <c r="S643" s="87">
        <f t="shared" si="325"/>
        <v>-5.4258374164387849E-2</v>
      </c>
    </row>
    <row r="644" spans="1:19" x14ac:dyDescent="0.25"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</row>
    <row r="645" spans="1:19" x14ac:dyDescent="0.25">
      <c r="B645" s="14" t="s">
        <v>870</v>
      </c>
      <c r="F645" s="88">
        <f>F608</f>
        <v>20.355694299610299</v>
      </c>
      <c r="G645" s="88">
        <f>G608</f>
        <v>22.176146793234061</v>
      </c>
      <c r="H645" s="88">
        <f>H608</f>
        <v>19.312623096335894</v>
      </c>
      <c r="I645" s="88">
        <f>I608</f>
        <v>79.884605629134782</v>
      </c>
      <c r="J645" s="88">
        <f>J608</f>
        <v>696.49150343234703</v>
      </c>
      <c r="K645" s="88"/>
      <c r="L645" s="88"/>
      <c r="M645" s="88" t="e">
        <f>M608</f>
        <v>#DIV/0!</v>
      </c>
      <c r="N645" s="88" t="e">
        <f>N608</f>
        <v>#DIV/0!</v>
      </c>
      <c r="O645" s="88"/>
      <c r="P645" s="88" t="e">
        <f>P608</f>
        <v>#DIV/0!</v>
      </c>
      <c r="Q645" s="88" t="e">
        <f>Q608</f>
        <v>#DIV/0!</v>
      </c>
      <c r="R645" s="88" t="e">
        <f>R608</f>
        <v>#DIV/0!</v>
      </c>
      <c r="S645" s="88" t="e">
        <f>S608</f>
        <v>#DIV/0!</v>
      </c>
    </row>
    <row r="646" spans="1:19" x14ac:dyDescent="0.25">
      <c r="B646" s="14" t="s">
        <v>758</v>
      </c>
      <c r="F646" s="89">
        <f>F590+F591+F592+F593+F598+F603</f>
        <v>7.638123022368104E-2</v>
      </c>
      <c r="G646" s="89">
        <f>G590+G591+G592+G593+G598+G603</f>
        <v>6.9183172963031184E-2</v>
      </c>
      <c r="H646" s="89">
        <f>H590+H591+H592+H593+H598+H603</f>
        <v>6.8375910264944717E-2</v>
      </c>
      <c r="I646" s="89">
        <f>+I592+I593</f>
        <v>5.854978454714771E-2</v>
      </c>
      <c r="J646" s="89">
        <f>+J592+J593</f>
        <v>3.9206020376702747E-2</v>
      </c>
      <c r="K646" s="89"/>
      <c r="L646" s="89"/>
      <c r="M646" s="89" t="e">
        <f>M590+M591+M592+M593+M598+M603</f>
        <v>#DIV/0!</v>
      </c>
      <c r="N646" s="89" t="e">
        <f>N590+N591+N592+N593+N598+N603</f>
        <v>#DIV/0!</v>
      </c>
      <c r="O646" s="89"/>
      <c r="P646" s="89" t="e">
        <f>P590+P591+P592+P593+P598+P603</f>
        <v>#DIV/0!</v>
      </c>
      <c r="Q646" s="89" t="e">
        <f>Q590+Q591+Q592+Q593+Q598+Q603</f>
        <v>#DIV/0!</v>
      </c>
      <c r="R646" s="89" t="e">
        <f>R592+R593</f>
        <v>#DIV/0!</v>
      </c>
      <c r="S646" s="89" t="e">
        <f>S590+S591+S601+S602</f>
        <v>#DIV/0!</v>
      </c>
    </row>
    <row r="647" spans="1:19" x14ac:dyDescent="0.25">
      <c r="B647" s="14" t="s">
        <v>871</v>
      </c>
      <c r="F647" s="88">
        <v>0</v>
      </c>
      <c r="G647" s="88">
        <v>0</v>
      </c>
      <c r="H647" s="88">
        <v>0</v>
      </c>
      <c r="I647" s="88">
        <f>I590+I591+I598+I603</f>
        <v>2.9349173480304351</v>
      </c>
      <c r="J647" s="88">
        <f>J590+J591+J598+J603</f>
        <v>10.553499676159637</v>
      </c>
      <c r="K647" s="88"/>
      <c r="L647" s="88"/>
      <c r="M647" s="88">
        <v>0</v>
      </c>
      <c r="N647" s="88">
        <v>0</v>
      </c>
      <c r="O647" s="88"/>
      <c r="P647" s="88">
        <v>0</v>
      </c>
      <c r="Q647" s="88">
        <v>0</v>
      </c>
      <c r="R647" s="88" t="e">
        <f>R590+R591+R598+R603</f>
        <v>#DIV/0!</v>
      </c>
      <c r="S647" s="88">
        <v>0</v>
      </c>
    </row>
    <row r="648" spans="1:19" x14ac:dyDescent="0.25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</row>
    <row r="649" spans="1:19" x14ac:dyDescent="0.25">
      <c r="A649" s="13" t="s">
        <v>873</v>
      </c>
      <c r="E649" s="193">
        <f>C535</f>
        <v>4.7012115544462961E-2</v>
      </c>
      <c r="F649" s="87">
        <f>E$649</f>
        <v>4.7012115544462961E-2</v>
      </c>
      <c r="G649" s="87">
        <f>F$649</f>
        <v>4.7012115544462961E-2</v>
      </c>
      <c r="H649" s="87">
        <f>G$649</f>
        <v>4.7012115544462961E-2</v>
      </c>
      <c r="I649" s="87">
        <f>H$649</f>
        <v>4.7012115544462961E-2</v>
      </c>
      <c r="J649" s="87">
        <f>I$649</f>
        <v>4.7012115544462961E-2</v>
      </c>
      <c r="K649" s="87"/>
      <c r="L649" s="87"/>
      <c r="M649" s="87">
        <f>L$649</f>
        <v>0</v>
      </c>
      <c r="N649" s="87">
        <f>M$649</f>
        <v>0</v>
      </c>
      <c r="O649" s="87">
        <f>N$649</f>
        <v>0</v>
      </c>
      <c r="P649" s="87">
        <f t="shared" ref="P649:R649" si="326">O649</f>
        <v>0</v>
      </c>
      <c r="Q649" s="87">
        <f t="shared" si="326"/>
        <v>0</v>
      </c>
      <c r="R649" s="87">
        <f t="shared" si="326"/>
        <v>0</v>
      </c>
      <c r="S649" s="87">
        <f>$C$584</f>
        <v>0</v>
      </c>
    </row>
    <row r="650" spans="1:19" x14ac:dyDescent="0.25">
      <c r="A650" s="13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</row>
    <row r="651" spans="1:19" x14ac:dyDescent="0.25">
      <c r="B651" s="14" t="s">
        <v>870</v>
      </c>
      <c r="F651" s="88">
        <f>F632</f>
        <v>30.772148614934977</v>
      </c>
      <c r="G651" s="88">
        <f>G632</f>
        <v>32.592601108558739</v>
      </c>
      <c r="H651" s="88">
        <f t="shared" ref="H651" si="327">H632</f>
        <v>31.005327238373919</v>
      </c>
      <c r="I651" s="88">
        <f t="shared" ref="I651:J651" si="328">I632</f>
        <v>96.322558540756972</v>
      </c>
      <c r="J651" s="88">
        <f t="shared" si="328"/>
        <v>720.40708003561463</v>
      </c>
      <c r="K651" s="88"/>
      <c r="L651" s="88"/>
      <c r="M651" s="88" t="e">
        <f>M632</f>
        <v>#DIV/0!</v>
      </c>
      <c r="N651" s="88" t="e">
        <f>N632</f>
        <v>#DIV/0!</v>
      </c>
      <c r="O651" s="88"/>
      <c r="P651" s="88" t="e">
        <f t="shared" ref="P651:R651" si="329">P632</f>
        <v>#DIV/0!</v>
      </c>
      <c r="Q651" s="88" t="e">
        <f t="shared" si="329"/>
        <v>#DIV/0!</v>
      </c>
      <c r="R651" s="88" t="e">
        <f t="shared" si="329"/>
        <v>#DIV/0!</v>
      </c>
      <c r="S651" s="88" t="e">
        <f>S632</f>
        <v>#DIV/0!</v>
      </c>
    </row>
    <row r="652" spans="1:19" x14ac:dyDescent="0.25">
      <c r="B652" s="14" t="s">
        <v>758</v>
      </c>
      <c r="F652" s="89">
        <f>F614+F615+F616+F617+F622+F627</f>
        <v>8.3258335536922967E-2</v>
      </c>
      <c r="G652" s="89">
        <f t="shared" ref="G652:H652" si="330">G614+G615+G616+G617+G622+G627</f>
        <v>7.6080014471486629E-2</v>
      </c>
      <c r="H652" s="89">
        <f t="shared" si="330"/>
        <v>7.1129281742779646E-2</v>
      </c>
      <c r="I652" s="89">
        <f>+I616+I617</f>
        <v>5.854978454714771E-2</v>
      </c>
      <c r="J652" s="89">
        <f>+J616+J617</f>
        <v>3.9206020376702747E-2</v>
      </c>
      <c r="K652" s="89"/>
      <c r="L652" s="89"/>
      <c r="M652" s="89" t="e">
        <f>M614+M615+M616+M617+M622+M627</f>
        <v>#DIV/0!</v>
      </c>
      <c r="N652" s="89" t="e">
        <f>N614+N615+N616+N617+N622+N627</f>
        <v>#DIV/0!</v>
      </c>
      <c r="O652" s="89"/>
      <c r="P652" s="89" t="e">
        <f t="shared" ref="P652:Q652" si="331">P614+P615+P616+P617+P622+P627</f>
        <v>#DIV/0!</v>
      </c>
      <c r="Q652" s="89" t="e">
        <f t="shared" si="331"/>
        <v>#DIV/0!</v>
      </c>
      <c r="R652" s="89" t="e">
        <f>R616+R617</f>
        <v>#DIV/0!</v>
      </c>
      <c r="S652" s="89" t="e">
        <f>S614+S615+S625+S626</f>
        <v>#DIV/0!</v>
      </c>
    </row>
    <row r="653" spans="1:19" x14ac:dyDescent="0.25">
      <c r="B653" s="14" t="s">
        <v>871</v>
      </c>
      <c r="F653" s="88">
        <v>0</v>
      </c>
      <c r="G653" s="88">
        <v>0</v>
      </c>
      <c r="H653" s="88">
        <v>0</v>
      </c>
      <c r="I653" s="88">
        <f>I614+I615+I622+I627</f>
        <v>3.8362151810893104</v>
      </c>
      <c r="J653" s="88">
        <f>J614+J615+J622+J627</f>
        <v>11.454797509218512</v>
      </c>
      <c r="K653" s="88"/>
      <c r="L653" s="88"/>
      <c r="M653" s="88">
        <v>0</v>
      </c>
      <c r="N653" s="88">
        <v>0</v>
      </c>
      <c r="O653" s="88"/>
      <c r="P653" s="88">
        <v>0</v>
      </c>
      <c r="Q653" s="88">
        <v>0</v>
      </c>
      <c r="R653" s="88" t="e">
        <f>R614+R615+R622+R627</f>
        <v>#DIV/0!</v>
      </c>
      <c r="S653" s="88">
        <v>0</v>
      </c>
    </row>
    <row r="654" spans="1:19" x14ac:dyDescent="0.25">
      <c r="B654" s="20"/>
      <c r="G654" s="20"/>
      <c r="H654" s="20"/>
      <c r="I654" s="89"/>
      <c r="J654" s="89"/>
      <c r="K654" s="20"/>
      <c r="L654" s="20"/>
    </row>
  </sheetData>
  <phoneticPr fontId="0" type="noConversion"/>
  <conditionalFormatting sqref="AH1">
    <cfRule type="cellIs" dxfId="2" priority="49" operator="equal">
      <formula>"err"</formula>
    </cfRule>
  </conditionalFormatting>
  <conditionalFormatting sqref="AH4:AH633">
    <cfRule type="containsText" dxfId="1" priority="1" operator="containsText" text="err">
      <formula>NOT(ISERROR(SEARCH("err",AH4)))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55" fitToHeight="20" pageOrder="overThenDown" orientation="landscape" r:id="rId1"/>
  <headerFooter alignWithMargins="0">
    <oddHeader>&amp;C&amp;"Times New Roman,Bold"TAYLOR COUNTY R.E.C.C.
Cost of Service Study
Class Allocation
12 Months Ended December 31, 2021</oddHeader>
    <oddFooter>&amp;RExhibit JW-5
Page &amp;P of &amp;N</oddFooter>
  </headerFooter>
  <rowBreaks count="18" manualBreakCount="18">
    <brk id="42" max="11" man="1"/>
    <brk id="80" max="11" man="1"/>
    <brk id="118" max="11" man="1"/>
    <brk id="156" max="11" man="1"/>
    <brk id="194" max="11" man="1"/>
    <brk id="232" max="11" man="1"/>
    <brk id="270" max="11" man="1"/>
    <brk id="293" max="11" man="1"/>
    <brk id="365" max="11" man="1"/>
    <brk id="405" max="11" man="1"/>
    <brk id="449" max="11" man="1"/>
    <brk id="468" max="11" man="1"/>
    <brk id="505" max="11" man="1"/>
    <brk id="543" max="11" man="1"/>
    <brk id="561" max="11" man="1"/>
    <brk id="585" max="11" man="1"/>
    <brk id="609" max="11" man="1"/>
    <brk id="633" max="11" man="1"/>
  </rowBreaks>
  <ignoredErrors>
    <ignoredError sqref="F413 G413:J413 F420 F383:L383 K413:M413 N413:O413 G420:N420 F427 G427:L427 F434:O434 N441:O441 N448:O448 F460:N460 F467:O467 I547:I548 M573 F591:G591 I597:I602 F615:G615 I621:I626 G651 M591 M615 I651:I652 H615:J615 I549:I559 AG457 AG464 AG512 AG445 AG438 AG431 AG424 F448:M448 K396 J548 J557 AG331 G331 F331 H331:I331 F441:L441 I591 H591 J591" formula="1"/>
    <ignoredError sqref="N547:N551 N556:N560 N563:N574 N582:N584 N577:N579 N590:N593 N596:N608 N614 N616:N617 N620:N632 N637:N640 O637 N645:N646 N651:N652" evalError="1"/>
    <ignoredError sqref="N615" evalError="1" formula="1"/>
    <ignoredError sqref="AG458 AG465" formula="1" formulaRange="1"/>
    <ignoredError sqref="AG304:AG30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211"/>
  <sheetViews>
    <sheetView view="pageBreakPreview" topLeftCell="A83" zoomScale="85" zoomScaleNormal="75" zoomScaleSheetLayoutView="85" workbookViewId="0">
      <selection activeCell="B95" sqref="B95"/>
    </sheetView>
  </sheetViews>
  <sheetFormatPr defaultColWidth="9.109375" defaultRowHeight="13.2" x14ac:dyDescent="0.25"/>
  <cols>
    <col min="1" max="1" width="39.5546875" style="173" customWidth="1"/>
    <col min="2" max="2" width="10.33203125" style="180" customWidth="1"/>
    <col min="3" max="3" width="12.5546875" style="173" bestFit="1" customWidth="1"/>
    <col min="4" max="4" width="14.77734375" style="173" customWidth="1"/>
    <col min="5" max="6" width="12.5546875" style="173" bestFit="1" customWidth="1"/>
    <col min="7" max="7" width="13.109375" style="173" bestFit="1" customWidth="1"/>
    <col min="8" max="8" width="14.5546875" style="173" bestFit="1" customWidth="1"/>
    <col min="9" max="11" width="12.5546875" style="173" bestFit="1" customWidth="1"/>
    <col min="12" max="12" width="16.88671875" style="173" customWidth="1"/>
    <col min="13" max="14" width="12.5546875" style="173" bestFit="1" customWidth="1"/>
    <col min="15" max="15" width="14.33203125" style="173" bestFit="1" customWidth="1"/>
    <col min="16" max="16" width="17.88671875" style="173" customWidth="1"/>
    <col min="17" max="17" width="17.33203125" style="173" customWidth="1"/>
    <col min="18" max="20" width="15" style="173" bestFit="1" customWidth="1"/>
    <col min="21" max="21" width="9.109375" style="173"/>
    <col min="22" max="22" width="11.88671875" style="173" bestFit="1" customWidth="1"/>
    <col min="23" max="25" width="9.109375" style="173"/>
    <col min="26" max="26" width="15.33203125" style="173" bestFit="1" customWidth="1"/>
    <col min="27" max="16384" width="9.109375" style="173"/>
  </cols>
  <sheetData>
    <row r="1" spans="1:27" x14ac:dyDescent="0.25">
      <c r="A1" s="215" t="str">
        <f>'Summary of Returns'!A1</f>
        <v>TAYLOR COUNTY RECC</v>
      </c>
    </row>
    <row r="2" spans="1:27" x14ac:dyDescent="0.25">
      <c r="A2" s="173" t="s">
        <v>674</v>
      </c>
    </row>
    <row r="3" spans="1:27" x14ac:dyDescent="0.25">
      <c r="C3" s="199"/>
      <c r="D3" s="171"/>
      <c r="E3" s="171"/>
      <c r="F3" s="169" t="s">
        <v>720</v>
      </c>
      <c r="G3" s="169" t="s">
        <v>682</v>
      </c>
      <c r="H3" s="171"/>
      <c r="I3" s="171"/>
      <c r="J3" s="171"/>
      <c r="K3" s="171"/>
      <c r="M3" s="199"/>
      <c r="N3" s="171"/>
      <c r="O3" s="171"/>
      <c r="Q3" s="169"/>
      <c r="R3" s="169"/>
    </row>
    <row r="4" spans="1:27" x14ac:dyDescent="0.25">
      <c r="A4" s="180"/>
      <c r="C4" s="171"/>
      <c r="D4" s="171"/>
      <c r="E4" s="171"/>
      <c r="F4" s="169" t="s">
        <v>681</v>
      </c>
      <c r="G4" s="169" t="s">
        <v>681</v>
      </c>
      <c r="H4" s="169" t="s">
        <v>691</v>
      </c>
      <c r="I4" s="169" t="s">
        <v>682</v>
      </c>
      <c r="J4" s="169" t="s">
        <v>684</v>
      </c>
      <c r="K4" s="169" t="s">
        <v>685</v>
      </c>
      <c r="M4" s="171"/>
      <c r="N4" s="171"/>
      <c r="O4" s="171"/>
      <c r="P4" s="180"/>
      <c r="Q4" s="169"/>
      <c r="R4" s="169"/>
      <c r="T4" s="180"/>
    </row>
    <row r="5" spans="1:27" s="169" customFormat="1" x14ac:dyDescent="0.25">
      <c r="B5" s="216"/>
      <c r="C5" s="169" t="s">
        <v>579</v>
      </c>
      <c r="F5" s="169" t="s">
        <v>721</v>
      </c>
      <c r="G5" s="169" t="s">
        <v>12</v>
      </c>
      <c r="H5" s="169" t="s">
        <v>692</v>
      </c>
      <c r="I5" s="169" t="s">
        <v>641</v>
      </c>
      <c r="J5" s="169" t="s">
        <v>641</v>
      </c>
      <c r="K5" s="169" t="s">
        <v>641</v>
      </c>
      <c r="L5" s="173"/>
      <c r="M5" s="169" t="str">
        <f>C5</f>
        <v>Average</v>
      </c>
      <c r="P5" s="171" t="s">
        <v>896</v>
      </c>
      <c r="Q5" s="169" t="s">
        <v>896</v>
      </c>
    </row>
    <row r="6" spans="1:27" s="169" customFormat="1" x14ac:dyDescent="0.25">
      <c r="A6" s="217" t="s">
        <v>857</v>
      </c>
      <c r="B6" s="218" t="s">
        <v>864</v>
      </c>
      <c r="C6" s="219" t="s">
        <v>581</v>
      </c>
      <c r="D6" s="219" t="s">
        <v>934</v>
      </c>
      <c r="E6" s="219" t="s">
        <v>347</v>
      </c>
      <c r="F6" s="219" t="s">
        <v>10</v>
      </c>
      <c r="G6" s="219" t="s">
        <v>680</v>
      </c>
      <c r="H6" s="219" t="s">
        <v>693</v>
      </c>
      <c r="I6" s="219" t="s">
        <v>683</v>
      </c>
      <c r="J6" s="219" t="s">
        <v>683</v>
      </c>
      <c r="K6" s="219" t="s">
        <v>683</v>
      </c>
      <c r="L6" s="217" t="s">
        <v>857</v>
      </c>
      <c r="M6" s="219" t="str">
        <f t="shared" ref="M6:M26" si="0">C6</f>
        <v>Customers</v>
      </c>
      <c r="N6" s="219" t="str">
        <f t="shared" ref="N6:O14" si="1">D6</f>
        <v>kWh</v>
      </c>
      <c r="O6" s="219" t="str">
        <f t="shared" si="1"/>
        <v>Revenue</v>
      </c>
      <c r="P6" s="219" t="s">
        <v>858</v>
      </c>
      <c r="Q6" s="219" t="s">
        <v>897</v>
      </c>
    </row>
    <row r="7" spans="1:27" x14ac:dyDescent="0.25">
      <c r="A7" s="180"/>
      <c r="C7" s="167"/>
      <c r="D7" s="167"/>
      <c r="E7" s="167"/>
      <c r="G7" s="167"/>
      <c r="H7" s="167"/>
      <c r="I7" s="167"/>
      <c r="J7" s="167"/>
      <c r="K7" s="167"/>
      <c r="L7" s="180"/>
      <c r="M7" s="167"/>
      <c r="N7" s="167"/>
      <c r="O7" s="167"/>
      <c r="P7" s="167"/>
      <c r="Q7" s="167"/>
    </row>
    <row r="8" spans="1:27" x14ac:dyDescent="0.25">
      <c r="A8" s="220" t="str">
        <f>'Summary of Returns'!B10</f>
        <v>Residential Farm &amp; Home</v>
      </c>
      <c r="B8" s="221" t="str">
        <f>'Summary of Returns'!C10</f>
        <v>A</v>
      </c>
      <c r="C8" s="200">
        <f>O38</f>
        <v>23921</v>
      </c>
      <c r="D8" s="200">
        <f>O39</f>
        <v>319448483</v>
      </c>
      <c r="E8" s="201">
        <v>30523492.903020002</v>
      </c>
      <c r="F8" s="177">
        <f>O46</f>
        <v>2437463.8206889685</v>
      </c>
      <c r="G8" s="177">
        <f>P46</f>
        <v>309748.37962962966</v>
      </c>
      <c r="H8" s="202">
        <f>Q42</f>
        <v>119002.38576653547</v>
      </c>
      <c r="I8" s="200">
        <f>R44</f>
        <v>823953.86385412992</v>
      </c>
      <c r="J8" s="200">
        <f>S44</f>
        <v>187577.29925872764</v>
      </c>
      <c r="K8" s="200">
        <f>T44</f>
        <v>636376.56459540222</v>
      </c>
      <c r="L8" s="220" t="str">
        <f>A8</f>
        <v>Residential Farm &amp; Home</v>
      </c>
      <c r="M8" s="200">
        <f t="shared" si="0"/>
        <v>23921</v>
      </c>
      <c r="N8" s="200">
        <f t="shared" si="1"/>
        <v>319448483</v>
      </c>
      <c r="O8" s="201">
        <f t="shared" si="1"/>
        <v>30523492.903020002</v>
      </c>
      <c r="P8" s="203">
        <f t="shared" ref="P8:P23" si="2">D8/$D$25</f>
        <v>0.54712990005729589</v>
      </c>
      <c r="Q8" s="203">
        <f t="shared" ref="Q8:Q23" si="3">E8/$E$25</f>
        <v>0.62664935433633207</v>
      </c>
      <c r="R8" s="204"/>
      <c r="W8" s="169"/>
      <c r="X8" s="169"/>
      <c r="Y8" s="169"/>
      <c r="Z8" s="169"/>
      <c r="AA8" s="169"/>
    </row>
    <row r="9" spans="1:27" x14ac:dyDescent="0.25">
      <c r="A9" s="220" t="str">
        <f>'Summary of Returns'!B11</f>
        <v>Residential Marketing Rate (ETS)</v>
      </c>
      <c r="B9" s="221" t="str">
        <f>'Summary of Returns'!C11</f>
        <v>R-1</v>
      </c>
      <c r="C9" s="200">
        <f>O48</f>
        <v>18</v>
      </c>
      <c r="D9" s="200">
        <f>O49</f>
        <v>315315</v>
      </c>
      <c r="E9" s="201">
        <v>26825.100000000006</v>
      </c>
      <c r="F9" s="177">
        <f>O56</f>
        <v>2412.8290343915346</v>
      </c>
      <c r="G9" s="177">
        <f>P56</f>
        <v>402.73644179894177</v>
      </c>
      <c r="H9" s="202">
        <f>Q52</f>
        <v>144.76648081634767</v>
      </c>
      <c r="I9" s="200">
        <f>R54</f>
        <v>0</v>
      </c>
      <c r="J9" s="200">
        <f>S54</f>
        <v>0</v>
      </c>
      <c r="K9" s="200">
        <f>T54</f>
        <v>0</v>
      </c>
      <c r="L9" s="220" t="str">
        <f t="shared" ref="L9:L17" si="4">A9</f>
        <v>Residential Marketing Rate (ETS)</v>
      </c>
      <c r="M9" s="200">
        <f t="shared" si="0"/>
        <v>18</v>
      </c>
      <c r="N9" s="200">
        <f t="shared" si="1"/>
        <v>315315</v>
      </c>
      <c r="O9" s="201">
        <f t="shared" si="1"/>
        <v>26825.100000000006</v>
      </c>
      <c r="P9" s="203">
        <f t="shared" si="2"/>
        <v>5.4005034807620689E-4</v>
      </c>
      <c r="Q9" s="203">
        <f t="shared" si="3"/>
        <v>5.5072110024945295E-4</v>
      </c>
      <c r="R9" s="204"/>
      <c r="W9" s="169"/>
      <c r="X9" s="169"/>
      <c r="Y9" s="169"/>
      <c r="Z9" s="169"/>
      <c r="AA9" s="169"/>
    </row>
    <row r="10" spans="1:27" x14ac:dyDescent="0.25">
      <c r="A10" s="220" t="str">
        <f>'Summary of Returns'!B12</f>
        <v>General Purpose Part 1 &lt; 50 KVA</v>
      </c>
      <c r="B10" s="221" t="str">
        <f>'Summary of Returns'!C12</f>
        <v>GP1</v>
      </c>
      <c r="C10" s="200">
        <f>O58</f>
        <v>2924</v>
      </c>
      <c r="D10" s="200">
        <f>O59</f>
        <v>41685653</v>
      </c>
      <c r="E10" s="201">
        <v>3978193.8882800001</v>
      </c>
      <c r="F10" s="177">
        <f>O66</f>
        <v>127345.35</v>
      </c>
      <c r="G10" s="177">
        <f>P66</f>
        <v>12531.51</v>
      </c>
      <c r="H10" s="202">
        <f>Q62</f>
        <v>12894.324531343316</v>
      </c>
      <c r="I10" s="200">
        <f>R64</f>
        <v>91287.798037208995</v>
      </c>
      <c r="J10" s="200">
        <f>S64</f>
        <v>22285.454695443801</v>
      </c>
      <c r="K10" s="200">
        <f>T64</f>
        <v>69002.343341765198</v>
      </c>
      <c r="L10" s="220" t="str">
        <f t="shared" si="4"/>
        <v>General Purpose Part 1 &lt; 50 KVA</v>
      </c>
      <c r="M10" s="200">
        <f t="shared" si="0"/>
        <v>2924</v>
      </c>
      <c r="N10" s="200">
        <f t="shared" si="1"/>
        <v>41685653</v>
      </c>
      <c r="O10" s="201">
        <f t="shared" si="1"/>
        <v>3978193.8882800001</v>
      </c>
      <c r="P10" s="203">
        <f t="shared" si="2"/>
        <v>7.139638587581934E-2</v>
      </c>
      <c r="Q10" s="203">
        <f t="shared" si="3"/>
        <v>8.1672587060596616E-2</v>
      </c>
      <c r="R10" s="204"/>
      <c r="W10" s="169"/>
      <c r="X10" s="169"/>
      <c r="Y10" s="169"/>
      <c r="Z10" s="169"/>
      <c r="AA10" s="169"/>
    </row>
    <row r="11" spans="1:27" x14ac:dyDescent="0.25">
      <c r="A11" s="220" t="str">
        <f>'Summary of Returns'!B13</f>
        <v>General Purpose Part 2 &gt; 50 KVA</v>
      </c>
      <c r="B11" s="221" t="str">
        <f>'Summary of Returns'!C13</f>
        <v>GP2</v>
      </c>
      <c r="C11" s="200">
        <f>O68</f>
        <v>352</v>
      </c>
      <c r="D11" s="200">
        <f>O69</f>
        <v>85495726</v>
      </c>
      <c r="E11" s="201">
        <v>7641981.4635499995</v>
      </c>
      <c r="F11" s="177">
        <f>O76</f>
        <v>336121.95600000001</v>
      </c>
      <c r="G11" s="177">
        <f>P76</f>
        <v>30762.953999999998</v>
      </c>
      <c r="H11" s="202">
        <f>Q72</f>
        <v>24492.020577268417</v>
      </c>
      <c r="I11" s="200">
        <f>R74</f>
        <v>195719.71713694223</v>
      </c>
      <c r="J11" s="200">
        <f>S74</f>
        <v>50872.053691021283</v>
      </c>
      <c r="K11" s="200">
        <f>T74</f>
        <v>144847.66344592095</v>
      </c>
      <c r="L11" s="220" t="str">
        <f t="shared" si="4"/>
        <v>General Purpose Part 2 &gt; 50 KVA</v>
      </c>
      <c r="M11" s="200">
        <f t="shared" si="0"/>
        <v>352</v>
      </c>
      <c r="N11" s="200">
        <f t="shared" si="1"/>
        <v>85495726</v>
      </c>
      <c r="O11" s="201">
        <f t="shared" si="1"/>
        <v>7641981.4635499995</v>
      </c>
      <c r="P11" s="203">
        <f t="shared" si="2"/>
        <v>0.14643133560194729</v>
      </c>
      <c r="Q11" s="203">
        <f t="shared" si="3"/>
        <v>0.15689039145025291</v>
      </c>
      <c r="R11" s="204"/>
      <c r="W11" s="169"/>
      <c r="X11" s="169"/>
      <c r="Y11" s="169"/>
      <c r="Z11" s="169"/>
      <c r="AA11" s="169"/>
    </row>
    <row r="12" spans="1:27" x14ac:dyDescent="0.25">
      <c r="A12" s="220" t="str">
        <f>'Summary of Returns'!B14</f>
        <v>Large Industrial B</v>
      </c>
      <c r="B12" s="221" t="str">
        <f>'Summary of Returns'!C14</f>
        <v>B1</v>
      </c>
      <c r="C12" s="200">
        <f>O78</f>
        <v>5</v>
      </c>
      <c r="D12" s="200">
        <f>O79</f>
        <v>28456492</v>
      </c>
      <c r="E12" s="201">
        <v>1998139.34</v>
      </c>
      <c r="F12" s="177">
        <f>O86</f>
        <v>58027.22</v>
      </c>
      <c r="G12" s="177">
        <f>P86</f>
        <v>5295.64</v>
      </c>
      <c r="H12" s="202">
        <f>Q82</f>
        <v>4650.0807465388289</v>
      </c>
      <c r="I12" s="200">
        <f>R84</f>
        <v>37870.520972288563</v>
      </c>
      <c r="J12" s="200">
        <f>S84</f>
        <v>9983.4923548827301</v>
      </c>
      <c r="K12" s="200">
        <f>T84</f>
        <v>27887.028617405835</v>
      </c>
      <c r="L12" s="220" t="str">
        <f t="shared" si="4"/>
        <v>Large Industrial B</v>
      </c>
      <c r="M12" s="200">
        <f t="shared" si="0"/>
        <v>5</v>
      </c>
      <c r="N12" s="200">
        <f t="shared" si="1"/>
        <v>28456492</v>
      </c>
      <c r="O12" s="201">
        <f t="shared" si="1"/>
        <v>1998139.34</v>
      </c>
      <c r="P12" s="203">
        <f t="shared" si="2"/>
        <v>4.8738367694615849E-2</v>
      </c>
      <c r="Q12" s="203">
        <f t="shared" si="3"/>
        <v>4.1021934523133761E-2</v>
      </c>
      <c r="R12" s="204"/>
      <c r="W12" s="169"/>
      <c r="X12" s="169"/>
      <c r="Y12" s="169"/>
      <c r="Z12" s="169"/>
      <c r="AA12" s="169"/>
    </row>
    <row r="13" spans="1:27" x14ac:dyDescent="0.25">
      <c r="A13" s="220" t="str">
        <f>'Summary of Returns'!B15</f>
        <v>Lighting</v>
      </c>
      <c r="B13" s="221" t="str">
        <f>'Summary of Returns'!C15</f>
        <v>SL</v>
      </c>
      <c r="C13" s="200">
        <f>O88</f>
        <v>7183</v>
      </c>
      <c r="D13" s="200">
        <f>O89</f>
        <v>0</v>
      </c>
      <c r="E13" s="201">
        <v>491164.80514999997</v>
      </c>
      <c r="F13" s="177">
        <f>O96</f>
        <v>0</v>
      </c>
      <c r="G13" s="177">
        <f>P96</f>
        <v>0</v>
      </c>
      <c r="H13" s="202">
        <f>Q92</f>
        <v>0</v>
      </c>
      <c r="I13" s="200">
        <f>R94</f>
        <v>0</v>
      </c>
      <c r="J13" s="200">
        <f>S94</f>
        <v>0</v>
      </c>
      <c r="K13" s="200">
        <f>T94</f>
        <v>0</v>
      </c>
      <c r="L13" s="220" t="str">
        <f t="shared" si="4"/>
        <v>Lighting</v>
      </c>
      <c r="M13" s="200">
        <f t="shared" si="0"/>
        <v>7183</v>
      </c>
      <c r="N13" s="200">
        <f t="shared" si="1"/>
        <v>0</v>
      </c>
      <c r="O13" s="201">
        <f t="shared" si="1"/>
        <v>491164.80514999997</v>
      </c>
      <c r="P13" s="203">
        <f t="shared" si="2"/>
        <v>0</v>
      </c>
      <c r="Q13" s="203">
        <f t="shared" si="3"/>
        <v>1.0083646357181002E-2</v>
      </c>
      <c r="R13" s="204"/>
      <c r="W13" s="169"/>
      <c r="X13" s="169"/>
      <c r="Y13" s="169"/>
      <c r="Z13" s="169"/>
      <c r="AA13" s="169"/>
    </row>
    <row r="14" spans="1:27" x14ac:dyDescent="0.25">
      <c r="A14" s="220" t="str">
        <f>'Summary of Returns'!B16</f>
        <v>Special Contract</v>
      </c>
      <c r="B14" s="221" t="str">
        <f>'Summary of Returns'!C16</f>
        <v>TGP</v>
      </c>
      <c r="C14" s="200">
        <f>O98</f>
        <v>1</v>
      </c>
      <c r="D14" s="200">
        <f>O99</f>
        <v>108460560</v>
      </c>
      <c r="E14" s="201">
        <v>4049249.58</v>
      </c>
      <c r="F14" s="177">
        <f>O106</f>
        <v>149169</v>
      </c>
      <c r="G14" s="177">
        <f>P106</f>
        <v>13240</v>
      </c>
      <c r="H14" s="202">
        <f>Q102</f>
        <v>13240</v>
      </c>
      <c r="I14" s="200">
        <f>R104</f>
        <v>134252.1</v>
      </c>
      <c r="J14" s="200">
        <f>S104</f>
        <v>35570.699999999997</v>
      </c>
      <c r="K14" s="200">
        <f>T104</f>
        <v>98681.400000000009</v>
      </c>
      <c r="L14" s="220" t="str">
        <f t="shared" si="4"/>
        <v>Special Contract</v>
      </c>
      <c r="M14" s="200">
        <f t="shared" si="0"/>
        <v>1</v>
      </c>
      <c r="N14" s="200">
        <f t="shared" si="1"/>
        <v>108460560</v>
      </c>
      <c r="O14" s="201">
        <f t="shared" si="1"/>
        <v>4049249.58</v>
      </c>
      <c r="P14" s="203">
        <f t="shared" si="2"/>
        <v>0.18576396042224544</v>
      </c>
      <c r="Q14" s="203">
        <f t="shared" si="3"/>
        <v>8.3131365172254154E-2</v>
      </c>
      <c r="R14" s="204"/>
      <c r="W14" s="169"/>
      <c r="X14" s="169"/>
      <c r="Y14" s="169"/>
      <c r="Z14" s="169"/>
      <c r="AA14" s="169"/>
    </row>
    <row r="15" spans="1:27" hidden="1" x14ac:dyDescent="0.25">
      <c r="A15" s="220">
        <f>'Summary of Returns'!B17</f>
        <v>0</v>
      </c>
      <c r="B15" s="221">
        <f>'Summary of Returns'!C17</f>
        <v>0</v>
      </c>
      <c r="C15" s="200">
        <v>0</v>
      </c>
      <c r="D15" s="200">
        <f>O109</f>
        <v>0</v>
      </c>
      <c r="E15" s="201"/>
      <c r="F15" s="177">
        <f>O116</f>
        <v>0</v>
      </c>
      <c r="G15" s="177">
        <f>P116</f>
        <v>0</v>
      </c>
      <c r="H15" s="202">
        <f>Q112</f>
        <v>0</v>
      </c>
      <c r="I15" s="200">
        <f>R114</f>
        <v>0</v>
      </c>
      <c r="J15" s="200">
        <f>S114</f>
        <v>0</v>
      </c>
      <c r="K15" s="200">
        <f>T114</f>
        <v>0</v>
      </c>
      <c r="L15" s="220">
        <f t="shared" si="4"/>
        <v>0</v>
      </c>
      <c r="M15" s="200">
        <f t="shared" si="0"/>
        <v>0</v>
      </c>
      <c r="N15" s="200">
        <f t="shared" ref="N15:N25" si="5">D15</f>
        <v>0</v>
      </c>
      <c r="O15" s="201">
        <f t="shared" ref="O15:O25" si="6">E15</f>
        <v>0</v>
      </c>
      <c r="P15" s="203">
        <f t="shared" ref="P15:P17" si="7">D15/$D$25</f>
        <v>0</v>
      </c>
      <c r="Q15" s="203">
        <f t="shared" ref="Q15:Q17" si="8">E15/$E$25</f>
        <v>0</v>
      </c>
      <c r="R15" s="204"/>
      <c r="W15" s="169"/>
      <c r="X15" s="169"/>
      <c r="Y15" s="169"/>
      <c r="Z15" s="169"/>
      <c r="AA15" s="169"/>
    </row>
    <row r="16" spans="1:27" hidden="1" x14ac:dyDescent="0.25">
      <c r="A16" s="220">
        <f>'Summary of Returns'!B18</f>
        <v>0</v>
      </c>
      <c r="B16" s="221">
        <f>'Summary of Returns'!C18</f>
        <v>0</v>
      </c>
      <c r="C16" s="200">
        <f>O118</f>
        <v>0</v>
      </c>
      <c r="D16" s="200">
        <f>O119</f>
        <v>0</v>
      </c>
      <c r="E16" s="201">
        <v>0</v>
      </c>
      <c r="F16" s="177">
        <f>O126</f>
        <v>0</v>
      </c>
      <c r="G16" s="177">
        <f>P126</f>
        <v>0</v>
      </c>
      <c r="H16" s="202">
        <f>Q122</f>
        <v>0</v>
      </c>
      <c r="I16" s="200">
        <f>R124</f>
        <v>0</v>
      </c>
      <c r="J16" s="200">
        <f>S124</f>
        <v>0</v>
      </c>
      <c r="K16" s="200">
        <f>T124</f>
        <v>0</v>
      </c>
      <c r="L16" s="220">
        <f t="shared" si="4"/>
        <v>0</v>
      </c>
      <c r="M16" s="200">
        <f t="shared" si="0"/>
        <v>0</v>
      </c>
      <c r="N16" s="200">
        <f t="shared" si="5"/>
        <v>0</v>
      </c>
      <c r="O16" s="201">
        <f t="shared" si="6"/>
        <v>0</v>
      </c>
      <c r="P16" s="203">
        <f t="shared" si="7"/>
        <v>0</v>
      </c>
      <c r="Q16" s="203">
        <f t="shared" si="8"/>
        <v>0</v>
      </c>
      <c r="R16" s="204"/>
      <c r="W16" s="169"/>
      <c r="X16" s="169"/>
      <c r="Y16" s="169"/>
      <c r="Z16" s="169"/>
      <c r="AA16" s="169"/>
    </row>
    <row r="17" spans="1:27" hidden="1" x14ac:dyDescent="0.25">
      <c r="A17" s="220">
        <f>'Summary of Returns'!B19</f>
        <v>0</v>
      </c>
      <c r="B17" s="221">
        <f>'Summary of Returns'!C19</f>
        <v>0</v>
      </c>
      <c r="C17" s="200">
        <f>O128</f>
        <v>0</v>
      </c>
      <c r="D17" s="200">
        <f>O129</f>
        <v>0</v>
      </c>
      <c r="E17" s="201">
        <v>0</v>
      </c>
      <c r="F17" s="177">
        <f>O136</f>
        <v>0</v>
      </c>
      <c r="G17" s="177">
        <f>P136</f>
        <v>0</v>
      </c>
      <c r="H17" s="202">
        <f>Q132</f>
        <v>0</v>
      </c>
      <c r="I17" s="200">
        <f>R134</f>
        <v>0</v>
      </c>
      <c r="J17" s="200">
        <f>S134</f>
        <v>0</v>
      </c>
      <c r="K17" s="200">
        <f>T134</f>
        <v>0</v>
      </c>
      <c r="L17" s="220">
        <f t="shared" si="4"/>
        <v>0</v>
      </c>
      <c r="M17" s="200">
        <f t="shared" si="0"/>
        <v>0</v>
      </c>
      <c r="N17" s="200">
        <f t="shared" si="5"/>
        <v>0</v>
      </c>
      <c r="O17" s="201">
        <f t="shared" si="6"/>
        <v>0</v>
      </c>
      <c r="P17" s="203">
        <f t="shared" si="7"/>
        <v>0</v>
      </c>
      <c r="Q17" s="203">
        <f t="shared" si="8"/>
        <v>0</v>
      </c>
      <c r="R17" s="204"/>
      <c r="W17" s="169"/>
      <c r="X17" s="169"/>
      <c r="Y17" s="169"/>
      <c r="Z17" s="169"/>
      <c r="AA17" s="169"/>
    </row>
    <row r="18" spans="1:27" hidden="1" x14ac:dyDescent="0.25">
      <c r="A18" s="220">
        <f>'Summary of Returns'!B20</f>
        <v>0</v>
      </c>
      <c r="B18" s="221">
        <f>'Summary of Returns'!C20</f>
        <v>0</v>
      </c>
      <c r="C18" s="200">
        <v>0</v>
      </c>
      <c r="D18" s="200">
        <f>O139</f>
        <v>0</v>
      </c>
      <c r="E18" s="200">
        <v>0</v>
      </c>
      <c r="F18" s="177">
        <f>O146</f>
        <v>0</v>
      </c>
      <c r="G18" s="177">
        <f>P146</f>
        <v>0</v>
      </c>
      <c r="H18" s="200">
        <f>Q142</f>
        <v>0</v>
      </c>
      <c r="I18" s="200">
        <f>R144</f>
        <v>0</v>
      </c>
      <c r="J18" s="200">
        <f>S144</f>
        <v>0</v>
      </c>
      <c r="K18" s="200">
        <f>T144</f>
        <v>0</v>
      </c>
      <c r="L18" s="220" t="e">
        <f>'Summary of Returns'!#REF!</f>
        <v>#REF!</v>
      </c>
      <c r="M18" s="200">
        <f t="shared" si="0"/>
        <v>0</v>
      </c>
      <c r="N18" s="200">
        <f t="shared" si="5"/>
        <v>0</v>
      </c>
      <c r="O18" s="201">
        <f t="shared" si="6"/>
        <v>0</v>
      </c>
      <c r="P18" s="205">
        <f t="shared" si="2"/>
        <v>0</v>
      </c>
      <c r="Q18" s="205">
        <f t="shared" si="3"/>
        <v>0</v>
      </c>
      <c r="R18" s="204"/>
      <c r="W18" s="169"/>
      <c r="X18" s="169"/>
      <c r="Y18" s="169"/>
      <c r="Z18" s="169"/>
      <c r="AA18" s="169"/>
    </row>
    <row r="19" spans="1:27" hidden="1" x14ac:dyDescent="0.25">
      <c r="A19" s="220">
        <f>'Summary of Returns'!B21</f>
        <v>0</v>
      </c>
      <c r="B19" s="221">
        <f>'Summary of Returns'!C21</f>
        <v>0</v>
      </c>
      <c r="C19" s="200">
        <v>0</v>
      </c>
      <c r="D19" s="200">
        <f>O149</f>
        <v>0</v>
      </c>
      <c r="E19" s="200">
        <v>0</v>
      </c>
      <c r="F19" s="177">
        <f>O156</f>
        <v>0</v>
      </c>
      <c r="G19" s="177">
        <f>P156</f>
        <v>0</v>
      </c>
      <c r="H19" s="177">
        <f>Q152</f>
        <v>0</v>
      </c>
      <c r="I19" s="200">
        <f>R154</f>
        <v>0</v>
      </c>
      <c r="J19" s="200">
        <f>S154</f>
        <v>0</v>
      </c>
      <c r="K19" s="200">
        <f>T154</f>
        <v>0</v>
      </c>
      <c r="L19" s="220" t="e">
        <f>'Summary of Returns'!#REF!</f>
        <v>#REF!</v>
      </c>
      <c r="M19" s="200">
        <f t="shared" si="0"/>
        <v>0</v>
      </c>
      <c r="N19" s="200">
        <f t="shared" si="5"/>
        <v>0</v>
      </c>
      <c r="O19" s="201">
        <f t="shared" si="6"/>
        <v>0</v>
      </c>
      <c r="P19" s="205">
        <f t="shared" si="2"/>
        <v>0</v>
      </c>
      <c r="Q19" s="205">
        <f t="shared" si="3"/>
        <v>0</v>
      </c>
      <c r="R19" s="204"/>
      <c r="W19" s="169"/>
      <c r="X19" s="169"/>
      <c r="Y19" s="169"/>
      <c r="Z19" s="169"/>
      <c r="AA19" s="169"/>
    </row>
    <row r="20" spans="1:27" hidden="1" x14ac:dyDescent="0.25">
      <c r="A20" s="220">
        <f>'Summary of Returns'!B22</f>
        <v>0</v>
      </c>
      <c r="B20" s="221">
        <f>'Summary of Returns'!C22</f>
        <v>0</v>
      </c>
      <c r="C20" s="200">
        <v>0</v>
      </c>
      <c r="D20" s="200">
        <f>O159</f>
        <v>0</v>
      </c>
      <c r="E20" s="200">
        <v>0</v>
      </c>
      <c r="F20" s="177">
        <f>O166</f>
        <v>0</v>
      </c>
      <c r="G20" s="177">
        <f>P166</f>
        <v>0</v>
      </c>
      <c r="H20" s="202">
        <f>Q162</f>
        <v>0</v>
      </c>
      <c r="I20" s="200">
        <f>R164</f>
        <v>0</v>
      </c>
      <c r="J20" s="200">
        <f>S164</f>
        <v>0</v>
      </c>
      <c r="K20" s="200">
        <f>T164</f>
        <v>0</v>
      </c>
      <c r="L20" s="220" t="e">
        <f>'Summary of Returns'!#REF!</f>
        <v>#REF!</v>
      </c>
      <c r="M20" s="200">
        <f t="shared" si="0"/>
        <v>0</v>
      </c>
      <c r="N20" s="200">
        <f t="shared" si="5"/>
        <v>0</v>
      </c>
      <c r="O20" s="201">
        <f t="shared" si="6"/>
        <v>0</v>
      </c>
      <c r="P20" s="205">
        <f t="shared" si="2"/>
        <v>0</v>
      </c>
      <c r="Q20" s="205">
        <f t="shared" si="3"/>
        <v>0</v>
      </c>
      <c r="R20" s="204"/>
      <c r="W20" s="169"/>
      <c r="X20" s="169"/>
      <c r="Y20" s="169"/>
      <c r="Z20" s="169"/>
      <c r="AA20" s="169"/>
    </row>
    <row r="21" spans="1:27" hidden="1" x14ac:dyDescent="0.25">
      <c r="A21" s="220">
        <f>'Summary of Returns'!B23</f>
        <v>0</v>
      </c>
      <c r="B21" s="221">
        <f>'Summary of Returns'!C23</f>
        <v>0</v>
      </c>
      <c r="C21" s="200">
        <v>0</v>
      </c>
      <c r="D21" s="200">
        <f>O169</f>
        <v>0</v>
      </c>
      <c r="E21" s="200"/>
      <c r="F21" s="177">
        <f>O176</f>
        <v>0</v>
      </c>
      <c r="G21" s="177">
        <f>P176</f>
        <v>0</v>
      </c>
      <c r="H21" s="202">
        <f>Q172</f>
        <v>0</v>
      </c>
      <c r="I21" s="200">
        <f>R174</f>
        <v>0</v>
      </c>
      <c r="J21" s="200">
        <f>S174</f>
        <v>0</v>
      </c>
      <c r="K21" s="200">
        <f>T174</f>
        <v>0</v>
      </c>
      <c r="L21" s="220" t="e">
        <f>'Summary of Returns'!#REF!</f>
        <v>#REF!</v>
      </c>
      <c r="M21" s="200">
        <f t="shared" si="0"/>
        <v>0</v>
      </c>
      <c r="N21" s="200">
        <f t="shared" si="5"/>
        <v>0</v>
      </c>
      <c r="O21" s="200">
        <f t="shared" si="6"/>
        <v>0</v>
      </c>
      <c r="P21" s="205">
        <f t="shared" si="2"/>
        <v>0</v>
      </c>
      <c r="Q21" s="205">
        <f t="shared" si="3"/>
        <v>0</v>
      </c>
      <c r="R21" s="204"/>
      <c r="W21" s="169"/>
      <c r="X21" s="169"/>
      <c r="Y21" s="169"/>
      <c r="Z21" s="169"/>
      <c r="AA21" s="169"/>
    </row>
    <row r="22" spans="1:27" hidden="1" x14ac:dyDescent="0.25">
      <c r="A22" s="220">
        <f>'Summary of Returns'!B24</f>
        <v>0</v>
      </c>
      <c r="B22" s="221">
        <f>'Summary of Returns'!C24</f>
        <v>0</v>
      </c>
      <c r="C22" s="200">
        <v>0</v>
      </c>
      <c r="D22" s="200">
        <f>O179</f>
        <v>0</v>
      </c>
      <c r="E22" s="200"/>
      <c r="F22" s="177">
        <f>O186</f>
        <v>0</v>
      </c>
      <c r="G22" s="177">
        <f>P186</f>
        <v>0</v>
      </c>
      <c r="H22" s="202">
        <f>Q182</f>
        <v>0</v>
      </c>
      <c r="I22" s="200">
        <f>R184</f>
        <v>0</v>
      </c>
      <c r="J22" s="200">
        <f>S184</f>
        <v>0</v>
      </c>
      <c r="K22" s="200">
        <f>T184</f>
        <v>0</v>
      </c>
      <c r="L22" s="220" t="e">
        <f>'Summary of Returns'!#REF!</f>
        <v>#REF!</v>
      </c>
      <c r="M22" s="200">
        <f t="shared" si="0"/>
        <v>0</v>
      </c>
      <c r="N22" s="200">
        <f t="shared" si="5"/>
        <v>0</v>
      </c>
      <c r="O22" s="200">
        <f t="shared" si="6"/>
        <v>0</v>
      </c>
      <c r="P22" s="205">
        <f t="shared" si="2"/>
        <v>0</v>
      </c>
      <c r="Q22" s="205">
        <f t="shared" si="3"/>
        <v>0</v>
      </c>
      <c r="R22" s="204"/>
      <c r="W22" s="169"/>
      <c r="X22" s="169"/>
      <c r="Y22" s="169"/>
      <c r="Z22" s="169"/>
      <c r="AA22" s="169"/>
    </row>
    <row r="23" spans="1:27" hidden="1" x14ac:dyDescent="0.25">
      <c r="A23" s="220">
        <f>'Summary of Returns'!B25</f>
        <v>0</v>
      </c>
      <c r="B23" s="221">
        <f>'Summary of Returns'!C25</f>
        <v>0</v>
      </c>
      <c r="C23" s="200">
        <v>0</v>
      </c>
      <c r="D23" s="200">
        <f>O189</f>
        <v>0</v>
      </c>
      <c r="E23" s="200"/>
      <c r="F23" s="177">
        <f>O196</f>
        <v>0</v>
      </c>
      <c r="G23" s="177">
        <f>P196</f>
        <v>0</v>
      </c>
      <c r="H23" s="202">
        <f>Q192</f>
        <v>0</v>
      </c>
      <c r="I23" s="200">
        <f>R194</f>
        <v>0</v>
      </c>
      <c r="J23" s="200">
        <f>S194</f>
        <v>0</v>
      </c>
      <c r="K23" s="200">
        <f>T194</f>
        <v>0</v>
      </c>
      <c r="L23" s="220" t="e">
        <f>'Summary of Returns'!#REF!</f>
        <v>#REF!</v>
      </c>
      <c r="M23" s="200">
        <f t="shared" si="0"/>
        <v>0</v>
      </c>
      <c r="N23" s="200">
        <f t="shared" si="5"/>
        <v>0</v>
      </c>
      <c r="O23" s="200">
        <f t="shared" si="6"/>
        <v>0</v>
      </c>
      <c r="P23" s="205">
        <f t="shared" si="2"/>
        <v>0</v>
      </c>
      <c r="Q23" s="205">
        <f t="shared" si="3"/>
        <v>0</v>
      </c>
      <c r="R23" s="204"/>
      <c r="W23" s="169"/>
      <c r="X23" s="169"/>
      <c r="Y23" s="169"/>
      <c r="Z23" s="169"/>
      <c r="AA23" s="169"/>
    </row>
    <row r="24" spans="1:27" x14ac:dyDescent="0.25">
      <c r="A24" s="222"/>
      <c r="C24" s="200"/>
      <c r="D24" s="200"/>
      <c r="E24" s="200"/>
      <c r="F24" s="177"/>
      <c r="G24" s="177"/>
      <c r="H24" s="177"/>
      <c r="I24" s="177"/>
      <c r="J24" s="177"/>
      <c r="K24" s="177"/>
      <c r="L24" s="222"/>
      <c r="M24" s="200"/>
      <c r="N24" s="200"/>
      <c r="O24" s="200"/>
      <c r="P24" s="205"/>
      <c r="Q24" s="203"/>
      <c r="R24" s="204"/>
    </row>
    <row r="25" spans="1:27" x14ac:dyDescent="0.25">
      <c r="A25" s="181" t="s">
        <v>0</v>
      </c>
      <c r="B25" s="223"/>
      <c r="C25" s="206">
        <f t="shared" ref="C25:K25" si="9">SUM(C8:C24)</f>
        <v>34404</v>
      </c>
      <c r="D25" s="206">
        <f t="shared" si="9"/>
        <v>583862229</v>
      </c>
      <c r="E25" s="207">
        <f t="shared" si="9"/>
        <v>48709047.080000006</v>
      </c>
      <c r="F25" s="224">
        <f t="shared" si="9"/>
        <v>3110540.1757233604</v>
      </c>
      <c r="G25" s="224">
        <f t="shared" si="9"/>
        <v>371981.22007142857</v>
      </c>
      <c r="H25" s="224">
        <f t="shared" si="9"/>
        <v>174423.57810250239</v>
      </c>
      <c r="I25" s="224">
        <f t="shared" si="9"/>
        <v>1283084.00000057</v>
      </c>
      <c r="J25" s="224">
        <f t="shared" si="9"/>
        <v>306289.00000007544</v>
      </c>
      <c r="K25" s="224">
        <f t="shared" si="9"/>
        <v>976795.00000049418</v>
      </c>
      <c r="L25" s="181" t="s">
        <v>0</v>
      </c>
      <c r="M25" s="206">
        <f t="shared" si="0"/>
        <v>34404</v>
      </c>
      <c r="N25" s="206">
        <f t="shared" si="5"/>
        <v>583862229</v>
      </c>
      <c r="O25" s="207">
        <f t="shared" si="6"/>
        <v>48709047.080000006</v>
      </c>
      <c r="P25" s="208">
        <f>D25/$D$25</f>
        <v>1</v>
      </c>
      <c r="Q25" s="208">
        <f>E25/$E$25</f>
        <v>1</v>
      </c>
      <c r="R25" s="204"/>
      <c r="W25" s="169"/>
      <c r="X25" s="169"/>
      <c r="Y25" s="169"/>
      <c r="Z25" s="169"/>
      <c r="AA25" s="169"/>
    </row>
    <row r="26" spans="1:27" x14ac:dyDescent="0.25">
      <c r="A26" s="222" t="s">
        <v>1155</v>
      </c>
      <c r="C26" s="200">
        <f>C25-C13</f>
        <v>27221</v>
      </c>
      <c r="D26" s="200"/>
      <c r="E26" s="201"/>
      <c r="F26" s="177"/>
      <c r="G26" s="177"/>
      <c r="H26" s="177"/>
      <c r="I26" s="177"/>
      <c r="J26" s="177"/>
      <c r="K26" s="177"/>
      <c r="L26" s="167"/>
      <c r="M26" s="200">
        <f t="shared" si="0"/>
        <v>27221</v>
      </c>
      <c r="N26" s="200"/>
      <c r="O26" s="201"/>
      <c r="P26" s="167"/>
      <c r="Q26" s="204"/>
      <c r="R26" s="204"/>
    </row>
    <row r="27" spans="1:27" x14ac:dyDescent="0.25">
      <c r="A27" s="222"/>
      <c r="C27" s="200"/>
      <c r="D27" s="200"/>
      <c r="E27" s="201"/>
      <c r="F27" s="177"/>
      <c r="G27" s="177"/>
      <c r="H27" s="177"/>
      <c r="I27" s="177"/>
      <c r="J27" s="177"/>
      <c r="K27" s="177"/>
      <c r="L27" s="167"/>
      <c r="M27" s="200"/>
      <c r="N27" s="200"/>
      <c r="O27" s="201"/>
      <c r="P27" s="167"/>
      <c r="Q27" s="204"/>
      <c r="R27" s="204"/>
    </row>
    <row r="28" spans="1:27" x14ac:dyDescent="0.25">
      <c r="C28" s="167">
        <v>27254</v>
      </c>
      <c r="D28" s="200">
        <v>583874807</v>
      </c>
      <c r="E28" s="201">
        <v>48719895</v>
      </c>
      <c r="F28" s="200" t="s">
        <v>1035</v>
      </c>
      <c r="G28" s="177"/>
      <c r="H28" s="177"/>
      <c r="I28" s="177"/>
      <c r="J28" s="177"/>
      <c r="K28" s="177"/>
      <c r="L28" s="167"/>
      <c r="M28" s="200"/>
      <c r="N28" s="200"/>
      <c r="O28" s="201"/>
      <c r="Q28" s="177"/>
    </row>
    <row r="29" spans="1:27" x14ac:dyDescent="0.25">
      <c r="C29" s="200">
        <f>C26-C28</f>
        <v>-33</v>
      </c>
      <c r="D29" s="200">
        <f>D25-D28</f>
        <v>-12578</v>
      </c>
      <c r="E29" s="200">
        <f>E25-E28</f>
        <v>-10847.919999994338</v>
      </c>
      <c r="F29" s="200" t="s">
        <v>1036</v>
      </c>
      <c r="G29" s="177"/>
      <c r="H29" s="177"/>
      <c r="I29" s="177"/>
      <c r="J29" s="177"/>
      <c r="K29" s="177"/>
      <c r="L29" s="167"/>
      <c r="M29" s="200"/>
      <c r="N29" s="200"/>
      <c r="O29" s="200"/>
      <c r="Q29" s="177"/>
    </row>
    <row r="30" spans="1:27" x14ac:dyDescent="0.25">
      <c r="C30" s="161">
        <f>C29/C28</f>
        <v>-1.2108314375871433E-3</v>
      </c>
      <c r="D30" s="161">
        <f>D29/D28</f>
        <v>-2.1542289287367727E-5</v>
      </c>
      <c r="E30" s="161">
        <f>E29/E28</f>
        <v>-2.2265893635432378E-4</v>
      </c>
      <c r="F30" s="167" t="s">
        <v>1036</v>
      </c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77"/>
    </row>
    <row r="31" spans="1:27" x14ac:dyDescent="0.25"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U31" s="220"/>
      <c r="W31" s="220"/>
    </row>
    <row r="32" spans="1:27" x14ac:dyDescent="0.25">
      <c r="A32" s="215" t="str">
        <f>A1</f>
        <v>TAYLOR COUNTY RECC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U32" s="220"/>
      <c r="W32" s="220"/>
    </row>
    <row r="33" spans="1:23" x14ac:dyDescent="0.25">
      <c r="A33" s="173" t="s">
        <v>674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94"/>
      <c r="P33" s="194"/>
      <c r="Q33" s="194"/>
      <c r="U33" s="220"/>
      <c r="W33" s="220"/>
    </row>
    <row r="34" spans="1:23" ht="30.75" customHeight="1" x14ac:dyDescent="0.25"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209"/>
    </row>
    <row r="35" spans="1:23" x14ac:dyDescent="0.25">
      <c r="C35" s="230">
        <f>C205</f>
        <v>-8.7035004980862141E-8</v>
      </c>
      <c r="D35" s="230">
        <f t="shared" ref="D35:N35" si="10">D205</f>
        <v>-6.3824700191617012E-8</v>
      </c>
      <c r="E35" s="230">
        <f t="shared" si="10"/>
        <v>-1.2498639989644289E-7</v>
      </c>
      <c r="F35" s="230">
        <f t="shared" si="10"/>
        <v>-4.377216100692749E-8</v>
      </c>
      <c r="G35" s="230">
        <f t="shared" si="10"/>
        <v>-6.7098881117999554E-8</v>
      </c>
      <c r="H35" s="230">
        <f t="shared" si="10"/>
        <v>-2.459273673593998E-8</v>
      </c>
      <c r="I35" s="230">
        <f t="shared" si="10"/>
        <v>-2.0372681319713593E-8</v>
      </c>
      <c r="J35" s="230">
        <f t="shared" si="10"/>
        <v>-3.0529918149113655E-8</v>
      </c>
      <c r="K35" s="230">
        <f t="shared" si="10"/>
        <v>-3.1010131351649761E-8</v>
      </c>
      <c r="L35" s="230">
        <f t="shared" si="10"/>
        <v>-2.3152097128331661E-8</v>
      </c>
      <c r="M35" s="230">
        <f t="shared" si="10"/>
        <v>-1.8684659153223038E-8</v>
      </c>
      <c r="N35" s="230">
        <f t="shared" si="10"/>
        <v>-3.4589902497828007E-8</v>
      </c>
      <c r="O35" s="167"/>
      <c r="P35" s="169" t="s">
        <v>686</v>
      </c>
      <c r="Q35" s="225" t="s">
        <v>692</v>
      </c>
      <c r="R35" s="169" t="s">
        <v>682</v>
      </c>
      <c r="S35" s="169" t="s">
        <v>684</v>
      </c>
      <c r="T35" s="169" t="s">
        <v>685</v>
      </c>
    </row>
    <row r="36" spans="1:23" s="226" customFormat="1" ht="16.8" x14ac:dyDescent="0.55000000000000004">
      <c r="A36" s="210" t="s">
        <v>863</v>
      </c>
      <c r="B36" s="211" t="s">
        <v>864</v>
      </c>
      <c r="C36" s="212" t="s">
        <v>1004</v>
      </c>
      <c r="D36" s="212" t="s">
        <v>1005</v>
      </c>
      <c r="E36" s="212" t="s">
        <v>1006</v>
      </c>
      <c r="F36" s="212" t="s">
        <v>1007</v>
      </c>
      <c r="G36" s="212" t="s">
        <v>1008</v>
      </c>
      <c r="H36" s="212" t="s">
        <v>1009</v>
      </c>
      <c r="I36" s="212" t="s">
        <v>1010</v>
      </c>
      <c r="J36" s="212" t="s">
        <v>1011</v>
      </c>
      <c r="K36" s="212" t="s">
        <v>1012</v>
      </c>
      <c r="L36" s="212" t="s">
        <v>1013</v>
      </c>
      <c r="M36" s="212" t="s">
        <v>1014</v>
      </c>
      <c r="N36" s="212" t="s">
        <v>1015</v>
      </c>
      <c r="O36" s="213" t="s">
        <v>0</v>
      </c>
      <c r="P36" s="213" t="s">
        <v>680</v>
      </c>
      <c r="Q36" s="213" t="s">
        <v>693</v>
      </c>
      <c r="R36" s="213" t="s">
        <v>687</v>
      </c>
      <c r="S36" s="213" t="s">
        <v>687</v>
      </c>
      <c r="T36" s="213" t="s">
        <v>687</v>
      </c>
    </row>
    <row r="37" spans="1:23" x14ac:dyDescent="0.25"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77"/>
    </row>
    <row r="38" spans="1:23" x14ac:dyDescent="0.25">
      <c r="A38" s="227" t="str">
        <f>A8</f>
        <v>Residential Farm &amp; Home</v>
      </c>
      <c r="B38" s="216" t="str">
        <f>B8</f>
        <v>A</v>
      </c>
      <c r="C38" s="167">
        <v>23744</v>
      </c>
      <c r="D38" s="167">
        <v>23801</v>
      </c>
      <c r="E38" s="167">
        <v>23926</v>
      </c>
      <c r="F38" s="167">
        <v>23861</v>
      </c>
      <c r="G38" s="167">
        <v>23866</v>
      </c>
      <c r="H38" s="167">
        <v>23944</v>
      </c>
      <c r="I38" s="167">
        <v>23853</v>
      </c>
      <c r="J38" s="167">
        <v>23982</v>
      </c>
      <c r="K38" s="167">
        <v>23953</v>
      </c>
      <c r="L38" s="167">
        <v>24004</v>
      </c>
      <c r="M38" s="167">
        <v>24015</v>
      </c>
      <c r="N38" s="167">
        <v>24098</v>
      </c>
      <c r="O38" s="167">
        <f>ROUND(SUM(C38:N38)/12,0)</f>
        <v>23921</v>
      </c>
      <c r="P38" s="167"/>
      <c r="Q38" s="177"/>
    </row>
    <row r="39" spans="1:23" x14ac:dyDescent="0.25">
      <c r="A39" s="173" t="s">
        <v>1023</v>
      </c>
      <c r="C39" s="167">
        <v>36246221</v>
      </c>
      <c r="D39" s="167">
        <v>37467164</v>
      </c>
      <c r="E39" s="167">
        <v>38279546</v>
      </c>
      <c r="F39" s="167">
        <v>23739296</v>
      </c>
      <c r="G39" s="167">
        <v>19916018</v>
      </c>
      <c r="H39" s="167">
        <v>18878071</v>
      </c>
      <c r="I39" s="167">
        <v>23610546</v>
      </c>
      <c r="J39" s="167">
        <v>27227917</v>
      </c>
      <c r="K39" s="167">
        <v>27323654</v>
      </c>
      <c r="L39" s="167">
        <v>20025070</v>
      </c>
      <c r="M39" s="167">
        <v>18928965</v>
      </c>
      <c r="N39" s="167">
        <v>27806015</v>
      </c>
      <c r="O39" s="167">
        <f>SUM(C39:N39)</f>
        <v>319448483</v>
      </c>
      <c r="P39" s="194"/>
      <c r="Q39" s="194"/>
      <c r="U39" s="220"/>
      <c r="W39" s="220"/>
    </row>
    <row r="40" spans="1:23" x14ac:dyDescent="0.25">
      <c r="A40" s="173" t="s">
        <v>677</v>
      </c>
      <c r="C40" s="167">
        <f>C39/744</f>
        <v>48718.038978494624</v>
      </c>
      <c r="D40" s="162">
        <f>D39/672</f>
        <v>55754.708333333336</v>
      </c>
      <c r="E40" s="167">
        <f t="shared" ref="E40:N40" si="11">E39/744</f>
        <v>51451.002688172041</v>
      </c>
      <c r="F40" s="167">
        <f>F39/720</f>
        <v>32971.244444444441</v>
      </c>
      <c r="G40" s="167">
        <f t="shared" si="11"/>
        <v>26768.841397849461</v>
      </c>
      <c r="H40" s="162">
        <f>H39/720</f>
        <v>26219.543055555554</v>
      </c>
      <c r="I40" s="162">
        <f>I39/744</f>
        <v>31734.604838709678</v>
      </c>
      <c r="J40" s="167">
        <f t="shared" si="11"/>
        <v>36596.662634408603</v>
      </c>
      <c r="K40" s="167">
        <f>K39/720</f>
        <v>37949.519444444442</v>
      </c>
      <c r="L40" s="167">
        <f t="shared" si="11"/>
        <v>26915.416666666668</v>
      </c>
      <c r="M40" s="167">
        <f>M39/720</f>
        <v>26290.229166666668</v>
      </c>
      <c r="N40" s="167">
        <f t="shared" si="11"/>
        <v>37373.676075268821</v>
      </c>
      <c r="O40" s="167">
        <f>O39/8760</f>
        <v>36466.721803652967</v>
      </c>
      <c r="P40" s="167"/>
      <c r="Q40" s="167"/>
    </row>
    <row r="41" spans="1:23" x14ac:dyDescent="0.25">
      <c r="A41" s="173" t="s">
        <v>752</v>
      </c>
      <c r="C41" s="161">
        <v>0.48475882717768187</v>
      </c>
      <c r="D41" s="161">
        <v>0.46851756772940306</v>
      </c>
      <c r="E41" s="161">
        <v>0.66731788883401555</v>
      </c>
      <c r="F41" s="161">
        <v>0.41847112189454816</v>
      </c>
      <c r="G41" s="161">
        <v>0.45343033437247199</v>
      </c>
      <c r="H41" s="161">
        <v>0.35014158355657721</v>
      </c>
      <c r="I41" s="161">
        <v>0.46545617094388997</v>
      </c>
      <c r="J41" s="161">
        <v>0.62742100583071059</v>
      </c>
      <c r="K41" s="161">
        <v>0.66519455966759611</v>
      </c>
      <c r="L41" s="161">
        <v>0.55278978003986401</v>
      </c>
      <c r="M41" s="161">
        <v>0.27007636447999922</v>
      </c>
      <c r="N41" s="161">
        <v>0.35506709580727369</v>
      </c>
      <c r="O41" s="161"/>
      <c r="Q41" s="177"/>
    </row>
    <row r="42" spans="1:23" x14ac:dyDescent="0.25">
      <c r="A42" s="173" t="s">
        <v>753</v>
      </c>
      <c r="C42" s="167">
        <f>C40/C41</f>
        <v>100499.5396620961</v>
      </c>
      <c r="D42" s="167">
        <f t="shared" ref="D42:N42" si="12">D40/D41</f>
        <v>119002.38576653547</v>
      </c>
      <c r="E42" s="167">
        <f t="shared" si="12"/>
        <v>77101.189027122935</v>
      </c>
      <c r="F42" s="167">
        <f t="shared" si="12"/>
        <v>78789.772386618759</v>
      </c>
      <c r="G42" s="167">
        <f t="shared" si="12"/>
        <v>59036.282684740057</v>
      </c>
      <c r="H42" s="167">
        <f t="shared" si="12"/>
        <v>74882.688280636343</v>
      </c>
      <c r="I42" s="167">
        <f t="shared" si="12"/>
        <v>68179.576982201484</v>
      </c>
      <c r="J42" s="167">
        <f t="shared" si="12"/>
        <v>58328.717550593195</v>
      </c>
      <c r="K42" s="167">
        <f t="shared" si="12"/>
        <v>57050.25528682641</v>
      </c>
      <c r="L42" s="167">
        <f t="shared" si="12"/>
        <v>48690.148838724337</v>
      </c>
      <c r="M42" s="167">
        <f t="shared" si="12"/>
        <v>97343.687283726074</v>
      </c>
      <c r="N42" s="167">
        <f t="shared" si="12"/>
        <v>105258.06676142928</v>
      </c>
      <c r="O42" s="167">
        <f>SUM(C42:N42)</f>
        <v>944162.31051125051</v>
      </c>
      <c r="Q42" s="177">
        <f>MAX(C42:N42)</f>
        <v>119002.38576653547</v>
      </c>
    </row>
    <row r="43" spans="1:23" x14ac:dyDescent="0.25">
      <c r="A43" s="173" t="s">
        <v>678</v>
      </c>
      <c r="C43" s="161">
        <v>0.9</v>
      </c>
      <c r="D43" s="161">
        <v>0.9</v>
      </c>
      <c r="E43" s="161">
        <v>0.85</v>
      </c>
      <c r="F43" s="161">
        <v>0.8</v>
      </c>
      <c r="G43" s="161">
        <v>0.85</v>
      </c>
      <c r="H43" s="161">
        <v>0.9</v>
      </c>
      <c r="I43" s="161">
        <v>0.95</v>
      </c>
      <c r="J43" s="161">
        <v>0.95</v>
      </c>
      <c r="K43" s="161">
        <v>0.9</v>
      </c>
      <c r="L43" s="161">
        <v>0.85</v>
      </c>
      <c r="M43" s="161">
        <v>0.8</v>
      </c>
      <c r="N43" s="161">
        <v>0.85</v>
      </c>
      <c r="O43" s="161"/>
      <c r="P43" s="167"/>
      <c r="Q43" s="177"/>
    </row>
    <row r="44" spans="1:23" x14ac:dyDescent="0.25">
      <c r="A44" s="173" t="s">
        <v>679</v>
      </c>
      <c r="C44" s="167">
        <f>C42*C43</f>
        <v>90449.58569588649</v>
      </c>
      <c r="D44" s="167">
        <f t="shared" ref="D44:N44" si="13">D42*D43</f>
        <v>107102.14718988193</v>
      </c>
      <c r="E44" s="167">
        <f t="shared" si="13"/>
        <v>65536.010673054494</v>
      </c>
      <c r="F44" s="167">
        <f t="shared" si="13"/>
        <v>63031.817909295009</v>
      </c>
      <c r="G44" s="167">
        <f t="shared" si="13"/>
        <v>50180.84028202905</v>
      </c>
      <c r="H44" s="167">
        <f t="shared" si="13"/>
        <v>67394.419452572707</v>
      </c>
      <c r="I44" s="167">
        <f t="shared" si="13"/>
        <v>64770.598133091407</v>
      </c>
      <c r="J44" s="167">
        <f t="shared" si="13"/>
        <v>55412.281673063531</v>
      </c>
      <c r="K44" s="167">
        <f t="shared" si="13"/>
        <v>51345.229758143767</v>
      </c>
      <c r="L44" s="167">
        <f t="shared" si="13"/>
        <v>41386.626512915689</v>
      </c>
      <c r="M44" s="167">
        <f t="shared" si="13"/>
        <v>77874.949826980868</v>
      </c>
      <c r="N44" s="167">
        <f t="shared" si="13"/>
        <v>89469.356747214886</v>
      </c>
      <c r="O44" s="167">
        <f>SUM(C44:N44)</f>
        <v>823953.86385412992</v>
      </c>
      <c r="P44" s="167"/>
      <c r="Q44" s="177"/>
      <c r="R44" s="177">
        <f>O44</f>
        <v>823953.86385412992</v>
      </c>
      <c r="S44" s="177">
        <f>H44+I44+J44</f>
        <v>187577.29925872764</v>
      </c>
      <c r="T44" s="177">
        <f>R44-S44</f>
        <v>636376.56459540222</v>
      </c>
    </row>
    <row r="45" spans="1:23" x14ac:dyDescent="0.25">
      <c r="A45" s="173" t="s">
        <v>754</v>
      </c>
      <c r="C45" s="161">
        <v>0.18</v>
      </c>
      <c r="D45" s="161">
        <v>0.18</v>
      </c>
      <c r="E45" s="161">
        <v>0.18</v>
      </c>
      <c r="F45" s="161">
        <v>0.18</v>
      </c>
      <c r="G45" s="161">
        <v>0.18</v>
      </c>
      <c r="H45" s="161">
        <v>0.18</v>
      </c>
      <c r="I45" s="161">
        <v>0.18</v>
      </c>
      <c r="J45" s="161">
        <v>0.18</v>
      </c>
      <c r="K45" s="161">
        <v>0.18</v>
      </c>
      <c r="L45" s="161">
        <v>0.18</v>
      </c>
      <c r="M45" s="161">
        <v>0.18</v>
      </c>
      <c r="N45" s="161">
        <v>0.18</v>
      </c>
      <c r="O45" s="161"/>
      <c r="P45" s="194"/>
      <c r="Q45" s="194"/>
      <c r="U45" s="220"/>
      <c r="W45" s="220"/>
    </row>
    <row r="46" spans="1:23" x14ac:dyDescent="0.25">
      <c r="A46" s="173" t="s">
        <v>755</v>
      </c>
      <c r="C46" s="167">
        <f>C40/C45</f>
        <v>270655.77210274793</v>
      </c>
      <c r="D46" s="167">
        <f t="shared" ref="D46:N46" si="14">D40/D45</f>
        <v>309748.37962962966</v>
      </c>
      <c r="E46" s="167">
        <f t="shared" si="14"/>
        <v>285838.90382317803</v>
      </c>
      <c r="F46" s="167">
        <f t="shared" si="14"/>
        <v>183173.58024691357</v>
      </c>
      <c r="G46" s="167">
        <f t="shared" si="14"/>
        <v>148715.78554360813</v>
      </c>
      <c r="H46" s="167">
        <f t="shared" si="14"/>
        <v>145664.12808641975</v>
      </c>
      <c r="I46" s="167">
        <f t="shared" si="14"/>
        <v>176303.36021505378</v>
      </c>
      <c r="J46" s="167">
        <f t="shared" si="14"/>
        <v>203314.79241338113</v>
      </c>
      <c r="K46" s="167">
        <f t="shared" si="14"/>
        <v>210830.66358024691</v>
      </c>
      <c r="L46" s="167">
        <f t="shared" si="14"/>
        <v>149530.09259259261</v>
      </c>
      <c r="M46" s="167">
        <f t="shared" si="14"/>
        <v>146056.82870370371</v>
      </c>
      <c r="N46" s="167">
        <f t="shared" si="14"/>
        <v>207631.53375149347</v>
      </c>
      <c r="O46" s="167">
        <f>SUM(C46:N46)</f>
        <v>2437463.8206889685</v>
      </c>
      <c r="P46" s="167">
        <f>MAX(C46:N46)</f>
        <v>309748.37962962966</v>
      </c>
      <c r="Q46" s="167"/>
    </row>
    <row r="47" spans="1:23" x14ac:dyDescent="0.25"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23" x14ac:dyDescent="0.25">
      <c r="A48" s="227" t="str">
        <f>A9</f>
        <v>Residential Marketing Rate (ETS)</v>
      </c>
      <c r="B48" s="216" t="str">
        <f>B9</f>
        <v>R-1</v>
      </c>
      <c r="C48" s="167">
        <v>18</v>
      </c>
      <c r="D48" s="167">
        <v>18</v>
      </c>
      <c r="E48" s="167">
        <v>18</v>
      </c>
      <c r="F48" s="167">
        <v>18</v>
      </c>
      <c r="G48" s="167">
        <v>18</v>
      </c>
      <c r="H48" s="167">
        <v>18</v>
      </c>
      <c r="I48" s="167">
        <v>18</v>
      </c>
      <c r="J48" s="167">
        <v>18</v>
      </c>
      <c r="K48" s="167">
        <v>18</v>
      </c>
      <c r="L48" s="167">
        <v>17</v>
      </c>
      <c r="M48" s="167">
        <v>17</v>
      </c>
      <c r="N48" s="167">
        <v>17</v>
      </c>
      <c r="O48" s="167">
        <f>ROUND(SUM(C48:N48)/12,0)</f>
        <v>18</v>
      </c>
      <c r="P48" s="167"/>
      <c r="Q48" s="177"/>
    </row>
    <row r="49" spans="1:23" x14ac:dyDescent="0.25">
      <c r="A49" s="173" t="s">
        <v>1023</v>
      </c>
      <c r="C49" s="167">
        <v>45686</v>
      </c>
      <c r="D49" s="167">
        <v>48715</v>
      </c>
      <c r="E49" s="167">
        <v>48209</v>
      </c>
      <c r="F49" s="167">
        <v>30866</v>
      </c>
      <c r="G49" s="167">
        <v>20385</v>
      </c>
      <c r="H49" s="167">
        <v>14546</v>
      </c>
      <c r="I49" s="167">
        <v>14774</v>
      </c>
      <c r="J49" s="167">
        <v>18384</v>
      </c>
      <c r="K49" s="167">
        <v>19083</v>
      </c>
      <c r="L49" s="167">
        <v>13357</v>
      </c>
      <c r="M49" s="167">
        <v>13253</v>
      </c>
      <c r="N49" s="167">
        <v>28057</v>
      </c>
      <c r="O49" s="167">
        <f>SUM(C49:N49)</f>
        <v>315315</v>
      </c>
      <c r="P49" s="194"/>
      <c r="Q49" s="194"/>
      <c r="U49" s="220"/>
      <c r="W49" s="220"/>
    </row>
    <row r="50" spans="1:23" x14ac:dyDescent="0.25">
      <c r="A50" s="173" t="s">
        <v>677</v>
      </c>
      <c r="C50" s="167">
        <f>C49/744</f>
        <v>61.405913978494624</v>
      </c>
      <c r="D50" s="162">
        <f>D49/672</f>
        <v>72.492559523809518</v>
      </c>
      <c r="E50" s="167">
        <f t="shared" ref="E50:N50" si="15">E49/744</f>
        <v>64.797043010752688</v>
      </c>
      <c r="F50" s="167">
        <f>F49/720</f>
        <v>42.869444444444447</v>
      </c>
      <c r="G50" s="167">
        <f t="shared" si="15"/>
        <v>27.399193548387096</v>
      </c>
      <c r="H50" s="162">
        <f>H49/720</f>
        <v>20.202777777777779</v>
      </c>
      <c r="I50" s="162">
        <f>I49/744</f>
        <v>19.857526881720432</v>
      </c>
      <c r="J50" s="167">
        <f t="shared" si="15"/>
        <v>24.70967741935484</v>
      </c>
      <c r="K50" s="167">
        <f>K49/720</f>
        <v>26.504166666666666</v>
      </c>
      <c r="L50" s="167">
        <f t="shared" si="15"/>
        <v>17.952956989247312</v>
      </c>
      <c r="M50" s="167">
        <f>M49/720</f>
        <v>18.406944444444445</v>
      </c>
      <c r="N50" s="167">
        <f t="shared" si="15"/>
        <v>37.711021505376344</v>
      </c>
      <c r="O50" s="167">
        <f>O49/8760</f>
        <v>35.994863013698627</v>
      </c>
      <c r="P50" s="167"/>
      <c r="Q50" s="167"/>
    </row>
    <row r="51" spans="1:23" x14ac:dyDescent="0.25">
      <c r="A51" s="173" t="s">
        <v>752</v>
      </c>
      <c r="C51" s="161">
        <v>0.51750745008572707</v>
      </c>
      <c r="D51" s="161">
        <v>0.6882339427837586</v>
      </c>
      <c r="E51" s="161">
        <v>0.44759700343171926</v>
      </c>
      <c r="F51" s="161">
        <v>0.56174046741290129</v>
      </c>
      <c r="G51" s="161">
        <v>0.31792728079164634</v>
      </c>
      <c r="H51" s="161">
        <v>0.40319693944768292</v>
      </c>
      <c r="I51" s="161">
        <v>0.47276430907806793</v>
      </c>
      <c r="J51" s="161">
        <v>0.50093060839110937</v>
      </c>
      <c r="K51" s="161">
        <v>0.52069771478630933</v>
      </c>
      <c r="L51" s="161">
        <v>0.43213693723634539</v>
      </c>
      <c r="M51" s="161">
        <v>0.35635803369473146</v>
      </c>
      <c r="N51" s="161">
        <v>0.51851966179936337</v>
      </c>
      <c r="O51" s="161"/>
      <c r="Q51" s="177"/>
    </row>
    <row r="52" spans="1:23" x14ac:dyDescent="0.25">
      <c r="A52" s="173" t="s">
        <v>753</v>
      </c>
      <c r="C52" s="167">
        <f>C50/C51</f>
        <v>118.65706275015461</v>
      </c>
      <c r="D52" s="167">
        <f t="shared" ref="D52:N52" si="16">D50/D51</f>
        <v>105.33127620906443</v>
      </c>
      <c r="E52" s="167">
        <f t="shared" si="16"/>
        <v>144.76648081634767</v>
      </c>
      <c r="F52" s="167">
        <f t="shared" si="16"/>
        <v>76.315392839472466</v>
      </c>
      <c r="G52" s="167">
        <f t="shared" si="16"/>
        <v>86.180693522627138</v>
      </c>
      <c r="H52" s="167">
        <f t="shared" si="16"/>
        <v>50.106476020012558</v>
      </c>
      <c r="I52" s="167">
        <f t="shared" si="16"/>
        <v>42.003016091558095</v>
      </c>
      <c r="J52" s="167">
        <f t="shared" si="16"/>
        <v>49.327545583044859</v>
      </c>
      <c r="K52" s="167">
        <f t="shared" si="16"/>
        <v>50.901254055904182</v>
      </c>
      <c r="L52" s="167">
        <f t="shared" si="16"/>
        <v>41.544601820113414</v>
      </c>
      <c r="M52" s="167">
        <f t="shared" si="16"/>
        <v>51.652952098766114</v>
      </c>
      <c r="N52" s="167">
        <f t="shared" si="16"/>
        <v>72.728238259108281</v>
      </c>
      <c r="O52" s="167">
        <f>SUM(C52:N52)</f>
        <v>889.51499006617382</v>
      </c>
      <c r="Q52" s="177">
        <f>MAX(C52:N52)</f>
        <v>144.76648081634767</v>
      </c>
    </row>
    <row r="53" spans="1:23" x14ac:dyDescent="0.25">
      <c r="A53" s="173" t="s">
        <v>678</v>
      </c>
      <c r="C53" s="161">
        <v>0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1"/>
      <c r="P53" s="167"/>
      <c r="Q53" s="177"/>
    </row>
    <row r="54" spans="1:23" x14ac:dyDescent="0.25">
      <c r="A54" s="173" t="s">
        <v>679</v>
      </c>
      <c r="C54" s="167">
        <f>C52*C53</f>
        <v>0</v>
      </c>
      <c r="D54" s="167">
        <f t="shared" ref="D54:N54" si="17">D52*D53</f>
        <v>0</v>
      </c>
      <c r="E54" s="167">
        <f t="shared" si="17"/>
        <v>0</v>
      </c>
      <c r="F54" s="167">
        <f t="shared" si="17"/>
        <v>0</v>
      </c>
      <c r="G54" s="167">
        <f t="shared" si="17"/>
        <v>0</v>
      </c>
      <c r="H54" s="167">
        <f t="shared" si="17"/>
        <v>0</v>
      </c>
      <c r="I54" s="167">
        <f t="shared" si="17"/>
        <v>0</v>
      </c>
      <c r="J54" s="167">
        <f t="shared" si="17"/>
        <v>0</v>
      </c>
      <c r="K54" s="167">
        <f t="shared" si="17"/>
        <v>0</v>
      </c>
      <c r="L54" s="167">
        <f t="shared" si="17"/>
        <v>0</v>
      </c>
      <c r="M54" s="167">
        <f t="shared" si="17"/>
        <v>0</v>
      </c>
      <c r="N54" s="167">
        <f t="shared" si="17"/>
        <v>0</v>
      </c>
      <c r="O54" s="167">
        <f>SUM(C54:N54)</f>
        <v>0</v>
      </c>
      <c r="P54" s="167"/>
      <c r="Q54" s="177"/>
      <c r="R54" s="177">
        <f>O54</f>
        <v>0</v>
      </c>
      <c r="S54" s="177">
        <f>H54+I54+J54</f>
        <v>0</v>
      </c>
      <c r="T54" s="177">
        <f>R54-S54</f>
        <v>0</v>
      </c>
    </row>
    <row r="55" spans="1:23" x14ac:dyDescent="0.25">
      <c r="A55" s="173" t="s">
        <v>754</v>
      </c>
      <c r="C55" s="161">
        <v>0.18</v>
      </c>
      <c r="D55" s="161">
        <v>0.18</v>
      </c>
      <c r="E55" s="161">
        <v>0.18</v>
      </c>
      <c r="F55" s="161">
        <v>0.18</v>
      </c>
      <c r="G55" s="161">
        <v>0.18</v>
      </c>
      <c r="H55" s="161">
        <v>0.18</v>
      </c>
      <c r="I55" s="161">
        <v>0.18</v>
      </c>
      <c r="J55" s="161">
        <v>0.18</v>
      </c>
      <c r="K55" s="161">
        <v>0.18</v>
      </c>
      <c r="L55" s="161">
        <v>0.18</v>
      </c>
      <c r="M55" s="161">
        <v>0.18</v>
      </c>
      <c r="N55" s="161">
        <v>0.18</v>
      </c>
      <c r="O55" s="161"/>
      <c r="P55" s="194"/>
      <c r="Q55" s="194"/>
      <c r="U55" s="220"/>
      <c r="W55" s="220"/>
    </row>
    <row r="56" spans="1:23" x14ac:dyDescent="0.25">
      <c r="A56" s="173" t="s">
        <v>755</v>
      </c>
      <c r="C56" s="167">
        <f>C50/C55</f>
        <v>341.14396654719235</v>
      </c>
      <c r="D56" s="167">
        <f t="shared" ref="D56:N56" si="18">D50/D55</f>
        <v>402.73644179894177</v>
      </c>
      <c r="E56" s="167">
        <f t="shared" si="18"/>
        <v>359.98357228195937</v>
      </c>
      <c r="F56" s="167">
        <f t="shared" si="18"/>
        <v>238.1635802469136</v>
      </c>
      <c r="G56" s="167">
        <f t="shared" si="18"/>
        <v>152.21774193548387</v>
      </c>
      <c r="H56" s="167">
        <f t="shared" si="18"/>
        <v>112.23765432098767</v>
      </c>
      <c r="I56" s="167">
        <f t="shared" si="18"/>
        <v>110.31959378733573</v>
      </c>
      <c r="J56" s="167">
        <f t="shared" si="18"/>
        <v>137.27598566308245</v>
      </c>
      <c r="K56" s="167">
        <f t="shared" si="18"/>
        <v>147.24537037037038</v>
      </c>
      <c r="L56" s="167">
        <f t="shared" si="18"/>
        <v>99.738649940262846</v>
      </c>
      <c r="M56" s="167">
        <f t="shared" si="18"/>
        <v>102.26080246913581</v>
      </c>
      <c r="N56" s="167">
        <f t="shared" si="18"/>
        <v>209.5056750298686</v>
      </c>
      <c r="O56" s="167">
        <f>SUM(C56:N56)</f>
        <v>2412.8290343915346</v>
      </c>
      <c r="P56" s="167">
        <f>MAX(C56:N56)</f>
        <v>402.73644179894177</v>
      </c>
      <c r="Q56" s="167"/>
    </row>
    <row r="57" spans="1:23" x14ac:dyDescent="0.25"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U57" s="220"/>
      <c r="W57" s="220"/>
    </row>
    <row r="58" spans="1:23" x14ac:dyDescent="0.25">
      <c r="A58" s="227" t="str">
        <f>A10</f>
        <v>General Purpose Part 1 &lt; 50 KVA</v>
      </c>
      <c r="B58" s="216" t="str">
        <f>B10</f>
        <v>GP1</v>
      </c>
      <c r="C58" s="167">
        <v>2880</v>
      </c>
      <c r="D58" s="167">
        <v>2886</v>
      </c>
      <c r="E58" s="167">
        <v>2923</v>
      </c>
      <c r="F58" s="167">
        <v>2911</v>
      </c>
      <c r="G58" s="167">
        <v>2927</v>
      </c>
      <c r="H58" s="167">
        <v>2941</v>
      </c>
      <c r="I58" s="167">
        <v>2946</v>
      </c>
      <c r="J58" s="167">
        <v>2924</v>
      </c>
      <c r="K58" s="167">
        <v>2936</v>
      </c>
      <c r="L58" s="167">
        <v>2937</v>
      </c>
      <c r="M58" s="167">
        <v>2943</v>
      </c>
      <c r="N58" s="167">
        <v>2928</v>
      </c>
      <c r="O58" s="167">
        <f>ROUND(SUM(C58:N58)/12,0)</f>
        <v>2924</v>
      </c>
      <c r="P58" s="167"/>
      <c r="Q58" s="177"/>
    </row>
    <row r="59" spans="1:23" x14ac:dyDescent="0.25">
      <c r="A59" s="173" t="s">
        <v>1023</v>
      </c>
      <c r="C59" s="167">
        <v>4026129</v>
      </c>
      <c r="D59" s="167">
        <v>4277815</v>
      </c>
      <c r="E59" s="167">
        <v>4293967</v>
      </c>
      <c r="F59" s="167">
        <v>3148536</v>
      </c>
      <c r="G59" s="167">
        <v>2819047</v>
      </c>
      <c r="H59" s="167">
        <v>2841958</v>
      </c>
      <c r="I59" s="167">
        <v>3396215</v>
      </c>
      <c r="J59" s="167">
        <v>3827070</v>
      </c>
      <c r="K59" s="167">
        <v>3843746</v>
      </c>
      <c r="L59" s="167">
        <v>3014474</v>
      </c>
      <c r="M59" s="167">
        <v>2877722</v>
      </c>
      <c r="N59" s="167">
        <v>3318974</v>
      </c>
      <c r="O59" s="167">
        <f>SUM(C59:N59)</f>
        <v>41685653</v>
      </c>
      <c r="P59" s="194"/>
      <c r="Q59" s="194"/>
      <c r="U59" s="220"/>
      <c r="W59" s="220"/>
    </row>
    <row r="60" spans="1:23" x14ac:dyDescent="0.25">
      <c r="A60" s="173" t="s">
        <v>677</v>
      </c>
      <c r="C60" s="167">
        <f>C59/744</f>
        <v>5411.4637096774195</v>
      </c>
      <c r="D60" s="162">
        <f>D59/672</f>
        <v>6365.7961309523807</v>
      </c>
      <c r="E60" s="167">
        <f t="shared" ref="E60:N60" si="19">E59/744</f>
        <v>5771.4610215053763</v>
      </c>
      <c r="F60" s="167">
        <f>F59/720</f>
        <v>4372.9666666666662</v>
      </c>
      <c r="G60" s="167">
        <f t="shared" si="19"/>
        <v>3789.0416666666665</v>
      </c>
      <c r="H60" s="162">
        <f>H59/720</f>
        <v>3947.1638888888888</v>
      </c>
      <c r="I60" s="162">
        <f>I59/744</f>
        <v>4564.8051075268813</v>
      </c>
      <c r="J60" s="167">
        <f t="shared" si="19"/>
        <v>5143.9112903225805</v>
      </c>
      <c r="K60" s="167">
        <f>K59/720</f>
        <v>5338.5361111111115</v>
      </c>
      <c r="L60" s="167">
        <f t="shared" si="19"/>
        <v>4051.7123655913979</v>
      </c>
      <c r="M60" s="167">
        <f>M59/720</f>
        <v>3996.8361111111112</v>
      </c>
      <c r="N60" s="167">
        <f t="shared" si="19"/>
        <v>4460.9865591397847</v>
      </c>
      <c r="O60" s="167">
        <f>O59/8760</f>
        <v>4758.6361872146117</v>
      </c>
      <c r="P60" s="167"/>
      <c r="Q60" s="167"/>
    </row>
    <row r="61" spans="1:23" x14ac:dyDescent="0.25">
      <c r="A61" s="173" t="s">
        <v>752</v>
      </c>
      <c r="C61" s="161">
        <v>0.50532120340067488</v>
      </c>
      <c r="D61" s="161">
        <f t="shared" ref="D61:N61" si="20">D51</f>
        <v>0.6882339427837586</v>
      </c>
      <c r="E61" s="161">
        <f t="shared" si="20"/>
        <v>0.44759700343171926</v>
      </c>
      <c r="F61" s="161">
        <f t="shared" si="20"/>
        <v>0.56174046741290129</v>
      </c>
      <c r="G61" s="161">
        <f t="shared" si="20"/>
        <v>0.31792728079164634</v>
      </c>
      <c r="H61" s="161">
        <f t="shared" si="20"/>
        <v>0.40319693944768292</v>
      </c>
      <c r="I61" s="161">
        <f t="shared" si="20"/>
        <v>0.47276430907806793</v>
      </c>
      <c r="J61" s="161">
        <f t="shared" si="20"/>
        <v>0.50093060839110937</v>
      </c>
      <c r="K61" s="161">
        <f t="shared" si="20"/>
        <v>0.52069771478630933</v>
      </c>
      <c r="L61" s="161">
        <f t="shared" si="20"/>
        <v>0.43213693723634539</v>
      </c>
      <c r="M61" s="161">
        <f t="shared" si="20"/>
        <v>0.35635803369473146</v>
      </c>
      <c r="N61" s="161">
        <f t="shared" si="20"/>
        <v>0.51851966179936337</v>
      </c>
      <c r="O61" s="161"/>
      <c r="Q61" s="177"/>
    </row>
    <row r="62" spans="1:23" x14ac:dyDescent="0.25">
      <c r="A62" s="173" t="s">
        <v>753</v>
      </c>
      <c r="C62" s="167">
        <f>C60/C61</f>
        <v>10708.958328405248</v>
      </c>
      <c r="D62" s="167">
        <f t="shared" ref="D62:N62" si="21">D60/D61</f>
        <v>9249.4655308689107</v>
      </c>
      <c r="E62" s="167">
        <f t="shared" si="21"/>
        <v>12894.324531343316</v>
      </c>
      <c r="F62" s="167">
        <f t="shared" si="21"/>
        <v>7784.6744543906325</v>
      </c>
      <c r="G62" s="167">
        <f t="shared" si="21"/>
        <v>11917.950725184277</v>
      </c>
      <c r="H62" s="167">
        <f t="shared" si="21"/>
        <v>9789.6672883873798</v>
      </c>
      <c r="I62" s="167">
        <f t="shared" si="21"/>
        <v>9655.5620208062101</v>
      </c>
      <c r="J62" s="167">
        <f t="shared" si="21"/>
        <v>10268.710284731476</v>
      </c>
      <c r="K62" s="167">
        <f t="shared" si="21"/>
        <v>10252.658998709087</v>
      </c>
      <c r="L62" s="167">
        <f t="shared" si="21"/>
        <v>9375.9917666455476</v>
      </c>
      <c r="M62" s="167">
        <f t="shared" si="21"/>
        <v>11215.787868374362</v>
      </c>
      <c r="N62" s="167">
        <f t="shared" si="21"/>
        <v>8603.3122517655356</v>
      </c>
      <c r="O62" s="167">
        <f>SUM(C62:N62)</f>
        <v>121717.064049612</v>
      </c>
      <c r="Q62" s="177">
        <f>MAX(C62:N62)</f>
        <v>12894.324531343316</v>
      </c>
    </row>
    <row r="63" spans="1:23" x14ac:dyDescent="0.25">
      <c r="A63" s="173" t="s">
        <v>678</v>
      </c>
      <c r="C63" s="161">
        <v>0.75</v>
      </c>
      <c r="D63" s="161">
        <f>C63</f>
        <v>0.75</v>
      </c>
      <c r="E63" s="161">
        <f t="shared" ref="E63:N63" si="22">D63</f>
        <v>0.75</v>
      </c>
      <c r="F63" s="161">
        <f t="shared" si="22"/>
        <v>0.75</v>
      </c>
      <c r="G63" s="161">
        <f t="shared" si="22"/>
        <v>0.75</v>
      </c>
      <c r="H63" s="161">
        <f t="shared" si="22"/>
        <v>0.75</v>
      </c>
      <c r="I63" s="161">
        <f t="shared" si="22"/>
        <v>0.75</v>
      </c>
      <c r="J63" s="161">
        <f t="shared" si="22"/>
        <v>0.75</v>
      </c>
      <c r="K63" s="161">
        <f t="shared" si="22"/>
        <v>0.75</v>
      </c>
      <c r="L63" s="161">
        <f t="shared" si="22"/>
        <v>0.75</v>
      </c>
      <c r="M63" s="161">
        <f t="shared" si="22"/>
        <v>0.75</v>
      </c>
      <c r="N63" s="161">
        <f t="shared" si="22"/>
        <v>0.75</v>
      </c>
      <c r="O63" s="161"/>
      <c r="P63" s="167"/>
      <c r="Q63" s="177"/>
    </row>
    <row r="64" spans="1:23" x14ac:dyDescent="0.25">
      <c r="A64" s="173" t="s">
        <v>679</v>
      </c>
      <c r="C64" s="167">
        <f>C62*C63</f>
        <v>8031.7187463039354</v>
      </c>
      <c r="D64" s="167">
        <f t="shared" ref="D64:N64" si="23">D62*D63</f>
        <v>6937.099148151683</v>
      </c>
      <c r="E64" s="167">
        <f t="shared" si="23"/>
        <v>9670.7433985074877</v>
      </c>
      <c r="F64" s="167">
        <f t="shared" si="23"/>
        <v>5838.5058407929746</v>
      </c>
      <c r="G64" s="167">
        <f t="shared" si="23"/>
        <v>8938.4630438882086</v>
      </c>
      <c r="H64" s="167">
        <f t="shared" si="23"/>
        <v>7342.2504662905349</v>
      </c>
      <c r="I64" s="167">
        <f t="shared" si="23"/>
        <v>7241.6715156046575</v>
      </c>
      <c r="J64" s="167">
        <f t="shared" si="23"/>
        <v>7701.5327135486077</v>
      </c>
      <c r="K64" s="167">
        <f t="shared" si="23"/>
        <v>7689.4942490318153</v>
      </c>
      <c r="L64" s="167">
        <f t="shared" si="23"/>
        <v>7031.9938249841607</v>
      </c>
      <c r="M64" s="167">
        <f t="shared" si="23"/>
        <v>8411.8409012807715</v>
      </c>
      <c r="N64" s="167">
        <f t="shared" si="23"/>
        <v>6452.4841888241517</v>
      </c>
      <c r="O64" s="167">
        <f>SUM(C64:N64)</f>
        <v>91287.798037208995</v>
      </c>
      <c r="P64" s="167"/>
      <c r="Q64" s="177"/>
      <c r="R64" s="177">
        <f>O64</f>
        <v>91287.798037208995</v>
      </c>
      <c r="S64" s="177">
        <f>H64+I64+J64</f>
        <v>22285.454695443801</v>
      </c>
      <c r="T64" s="177">
        <f>R64-S64</f>
        <v>69002.343341765198</v>
      </c>
    </row>
    <row r="65" spans="1:23" x14ac:dyDescent="0.25">
      <c r="A65" s="173" t="s">
        <v>754</v>
      </c>
      <c r="C65" s="161">
        <v>0.23</v>
      </c>
      <c r="D65" s="161">
        <f>C65</f>
        <v>0.23</v>
      </c>
      <c r="E65" s="161">
        <f>D65</f>
        <v>0.23</v>
      </c>
      <c r="F65" s="161">
        <f t="shared" ref="F65:N65" si="24">E65</f>
        <v>0.23</v>
      </c>
      <c r="G65" s="161">
        <f t="shared" si="24"/>
        <v>0.23</v>
      </c>
      <c r="H65" s="161">
        <f t="shared" si="24"/>
        <v>0.23</v>
      </c>
      <c r="I65" s="161">
        <f t="shared" si="24"/>
        <v>0.23</v>
      </c>
      <c r="J65" s="161">
        <f t="shared" si="24"/>
        <v>0.23</v>
      </c>
      <c r="K65" s="161">
        <f t="shared" si="24"/>
        <v>0.23</v>
      </c>
      <c r="L65" s="161">
        <f t="shared" si="24"/>
        <v>0.23</v>
      </c>
      <c r="M65" s="161">
        <f t="shared" si="24"/>
        <v>0.23</v>
      </c>
      <c r="N65" s="161">
        <f t="shared" si="24"/>
        <v>0.23</v>
      </c>
      <c r="O65" s="161"/>
      <c r="P65" s="194"/>
      <c r="Q65" s="194"/>
      <c r="U65" s="220"/>
      <c r="W65" s="220"/>
    </row>
    <row r="66" spans="1:23" x14ac:dyDescent="0.25">
      <c r="A66" s="173" t="s">
        <v>755</v>
      </c>
      <c r="C66" s="167">
        <v>11010.5</v>
      </c>
      <c r="D66" s="167">
        <v>11331.5</v>
      </c>
      <c r="E66" s="167">
        <v>12531.51</v>
      </c>
      <c r="F66" s="167">
        <v>10855.78</v>
      </c>
      <c r="G66" s="167">
        <v>9703.84</v>
      </c>
      <c r="H66" s="167">
        <v>9002.52</v>
      </c>
      <c r="I66" s="167">
        <v>10015.370000000001</v>
      </c>
      <c r="J66" s="167">
        <v>10443.42</v>
      </c>
      <c r="K66" s="167">
        <v>10369.41</v>
      </c>
      <c r="L66" s="167">
        <v>10671.84</v>
      </c>
      <c r="M66" s="167">
        <v>10995.02</v>
      </c>
      <c r="N66" s="167">
        <v>10414.64</v>
      </c>
      <c r="O66" s="167">
        <f>SUM(C66:N66)</f>
        <v>127345.35</v>
      </c>
      <c r="P66" s="167">
        <f>MAX(C66:N66)</f>
        <v>12531.51</v>
      </c>
      <c r="Q66" s="167"/>
    </row>
    <row r="67" spans="1:23" x14ac:dyDescent="0.25">
      <c r="C67" s="162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77"/>
    </row>
    <row r="68" spans="1:23" x14ac:dyDescent="0.25">
      <c r="A68" s="227" t="str">
        <f>A11</f>
        <v>General Purpose Part 2 &gt; 50 KVA</v>
      </c>
      <c r="B68" s="216" t="str">
        <f>B11</f>
        <v>GP2</v>
      </c>
      <c r="C68" s="167">
        <v>345</v>
      </c>
      <c r="D68" s="167">
        <v>348</v>
      </c>
      <c r="E68" s="167">
        <v>352</v>
      </c>
      <c r="F68" s="167">
        <v>352</v>
      </c>
      <c r="G68" s="167">
        <v>352</v>
      </c>
      <c r="H68" s="167">
        <v>353</v>
      </c>
      <c r="I68" s="167">
        <v>352</v>
      </c>
      <c r="J68" s="167">
        <v>355</v>
      </c>
      <c r="K68" s="167">
        <v>351</v>
      </c>
      <c r="L68" s="167">
        <v>353</v>
      </c>
      <c r="M68" s="167">
        <v>354</v>
      </c>
      <c r="N68" s="167">
        <v>354</v>
      </c>
      <c r="O68" s="167">
        <f>ROUND(SUM(C68:N68)/12,0)</f>
        <v>352</v>
      </c>
      <c r="P68" s="167"/>
      <c r="Q68" s="177"/>
    </row>
    <row r="69" spans="1:23" x14ac:dyDescent="0.25">
      <c r="A69" s="173" t="s">
        <v>1023</v>
      </c>
      <c r="C69" s="167">
        <v>6644153</v>
      </c>
      <c r="D69" s="167">
        <v>6909342</v>
      </c>
      <c r="E69" s="167">
        <v>6866385</v>
      </c>
      <c r="F69" s="167">
        <v>6902706</v>
      </c>
      <c r="G69" s="167">
        <v>6278271</v>
      </c>
      <c r="H69" s="167">
        <v>6761746</v>
      </c>
      <c r="I69" s="167">
        <v>7722817</v>
      </c>
      <c r="J69" s="167">
        <v>8151712</v>
      </c>
      <c r="K69" s="167">
        <v>8650734</v>
      </c>
      <c r="L69" s="167">
        <v>7014148</v>
      </c>
      <c r="M69" s="167">
        <v>7014564</v>
      </c>
      <c r="N69" s="167">
        <v>6579148</v>
      </c>
      <c r="O69" s="167">
        <f>SUM(C69:N69)</f>
        <v>85495726</v>
      </c>
      <c r="P69" s="194"/>
      <c r="Q69" s="194"/>
      <c r="U69" s="220"/>
      <c r="W69" s="220"/>
    </row>
    <row r="70" spans="1:23" x14ac:dyDescent="0.25">
      <c r="A70" s="173" t="s">
        <v>677</v>
      </c>
      <c r="C70" s="167">
        <f>C69/744</f>
        <v>8930.3131720430101</v>
      </c>
      <c r="D70" s="162">
        <f>D69/672</f>
        <v>10281.758928571429</v>
      </c>
      <c r="E70" s="167">
        <f t="shared" ref="E70:N70" si="25">E69/744</f>
        <v>9229.0120967741932</v>
      </c>
      <c r="F70" s="167">
        <f>F69/720</f>
        <v>9587.0916666666672</v>
      </c>
      <c r="G70" s="167">
        <f t="shared" si="25"/>
        <v>8438.5362903225814</v>
      </c>
      <c r="H70" s="162">
        <f>H69/720</f>
        <v>9391.3138888888898</v>
      </c>
      <c r="I70" s="162">
        <f>I69/744</f>
        <v>10380.130376344086</v>
      </c>
      <c r="J70" s="167">
        <f t="shared" si="25"/>
        <v>10956.602150537634</v>
      </c>
      <c r="K70" s="167">
        <f>K69/720</f>
        <v>12014.908333333333</v>
      </c>
      <c r="L70" s="167">
        <f t="shared" si="25"/>
        <v>9427.6182795698933</v>
      </c>
      <c r="M70" s="167">
        <f>M69/720</f>
        <v>9742.4500000000007</v>
      </c>
      <c r="N70" s="167">
        <f t="shared" si="25"/>
        <v>8842.9408602150543</v>
      </c>
      <c r="O70" s="167">
        <f>O69/8760</f>
        <v>9759.7860730593602</v>
      </c>
      <c r="P70" s="167"/>
      <c r="Q70" s="167"/>
    </row>
    <row r="71" spans="1:23" x14ac:dyDescent="0.25">
      <c r="A71" s="173" t="s">
        <v>752</v>
      </c>
      <c r="C71" s="161">
        <f>C75+0.1</f>
        <v>0.44188833935737626</v>
      </c>
      <c r="D71" s="161">
        <f t="shared" ref="D71:N71" si="26">D75+0.1</f>
        <v>0.49283967114137273</v>
      </c>
      <c r="E71" s="161">
        <f t="shared" si="26"/>
        <v>0.44475148571013479</v>
      </c>
      <c r="F71" s="161">
        <f t="shared" si="26"/>
        <v>0.46186245722024832</v>
      </c>
      <c r="G71" s="161">
        <f t="shared" si="26"/>
        <v>0.40192787517834661</v>
      </c>
      <c r="H71" s="161">
        <f t="shared" si="26"/>
        <v>0.43671570742189658</v>
      </c>
      <c r="I71" s="161">
        <f t="shared" si="26"/>
        <v>0.45609739231728108</v>
      </c>
      <c r="J71" s="161">
        <f t="shared" si="26"/>
        <v>0.464924507162087</v>
      </c>
      <c r="K71" s="161">
        <f t="shared" si="26"/>
        <v>0.49056419397608353</v>
      </c>
      <c r="L71" s="161">
        <f t="shared" si="26"/>
        <v>0.42141112559712657</v>
      </c>
      <c r="M71" s="161">
        <f t="shared" si="26"/>
        <v>0.45248312748586905</v>
      </c>
      <c r="N71" s="161">
        <f t="shared" si="26"/>
        <v>0.41790230315575794</v>
      </c>
      <c r="O71" s="161"/>
      <c r="Q71" s="177"/>
    </row>
    <row r="72" spans="1:23" x14ac:dyDescent="0.25">
      <c r="A72" s="173" t="s">
        <v>753</v>
      </c>
      <c r="C72" s="167">
        <f>C70/C71</f>
        <v>20209.433869719378</v>
      </c>
      <c r="D72" s="167">
        <f t="shared" ref="D72:N72" si="27">D70/D71</f>
        <v>20862.279419917217</v>
      </c>
      <c r="E72" s="167">
        <f t="shared" si="27"/>
        <v>20750.941578167472</v>
      </c>
      <c r="F72" s="167">
        <f t="shared" si="27"/>
        <v>20757.460401452096</v>
      </c>
      <c r="G72" s="167">
        <f t="shared" si="27"/>
        <v>20995.150651290776</v>
      </c>
      <c r="H72" s="167">
        <f t="shared" si="27"/>
        <v>21504.410602333232</v>
      </c>
      <c r="I72" s="167">
        <f t="shared" si="27"/>
        <v>22758.583037728087</v>
      </c>
      <c r="J72" s="167">
        <f t="shared" si="27"/>
        <v>23566.411281300396</v>
      </c>
      <c r="K72" s="167">
        <f t="shared" si="27"/>
        <v>24492.020577268417</v>
      </c>
      <c r="L72" s="167">
        <f t="shared" si="27"/>
        <v>22371.545758815097</v>
      </c>
      <c r="M72" s="167">
        <f t="shared" si="27"/>
        <v>21531.079079416624</v>
      </c>
      <c r="N72" s="167">
        <f t="shared" si="27"/>
        <v>21160.30659184754</v>
      </c>
      <c r="O72" s="167">
        <f>SUM(C72:N72)</f>
        <v>260959.62284925635</v>
      </c>
      <c r="Q72" s="177">
        <f>MAX(C72:N72)</f>
        <v>24492.020577268417</v>
      </c>
    </row>
    <row r="73" spans="1:23" x14ac:dyDescent="0.25">
      <c r="A73" s="173" t="s">
        <v>678</v>
      </c>
      <c r="C73" s="161">
        <v>0.75</v>
      </c>
      <c r="D73" s="161">
        <f t="shared" ref="D73:N73" si="28">D63</f>
        <v>0.75</v>
      </c>
      <c r="E73" s="161">
        <f t="shared" si="28"/>
        <v>0.75</v>
      </c>
      <c r="F73" s="161">
        <f t="shared" si="28"/>
        <v>0.75</v>
      </c>
      <c r="G73" s="161">
        <f t="shared" si="28"/>
        <v>0.75</v>
      </c>
      <c r="H73" s="161">
        <f t="shared" si="28"/>
        <v>0.75</v>
      </c>
      <c r="I73" s="161">
        <f t="shared" si="28"/>
        <v>0.75</v>
      </c>
      <c r="J73" s="161">
        <f t="shared" si="28"/>
        <v>0.75</v>
      </c>
      <c r="K73" s="161">
        <f t="shared" si="28"/>
        <v>0.75</v>
      </c>
      <c r="L73" s="161">
        <f t="shared" si="28"/>
        <v>0.75</v>
      </c>
      <c r="M73" s="161">
        <f t="shared" si="28"/>
        <v>0.75</v>
      </c>
      <c r="N73" s="161">
        <f t="shared" si="28"/>
        <v>0.75</v>
      </c>
      <c r="O73" s="161"/>
      <c r="P73" s="167"/>
      <c r="Q73" s="177"/>
    </row>
    <row r="74" spans="1:23" x14ac:dyDescent="0.25">
      <c r="A74" s="173" t="s">
        <v>679</v>
      </c>
      <c r="C74" s="167">
        <f>C72*C73</f>
        <v>15157.075402289534</v>
      </c>
      <c r="D74" s="167">
        <f t="shared" ref="D74:N74" si="29">D72*D73</f>
        <v>15646.709564937912</v>
      </c>
      <c r="E74" s="167">
        <f t="shared" si="29"/>
        <v>15563.206183625603</v>
      </c>
      <c r="F74" s="167">
        <f t="shared" si="29"/>
        <v>15568.095301089072</v>
      </c>
      <c r="G74" s="167">
        <f t="shared" si="29"/>
        <v>15746.362988468081</v>
      </c>
      <c r="H74" s="167">
        <f t="shared" si="29"/>
        <v>16128.307951749925</v>
      </c>
      <c r="I74" s="167">
        <f t="shared" si="29"/>
        <v>17068.937278296064</v>
      </c>
      <c r="J74" s="167">
        <f t="shared" si="29"/>
        <v>17674.808460975299</v>
      </c>
      <c r="K74" s="167">
        <f t="shared" si="29"/>
        <v>18369.015432951313</v>
      </c>
      <c r="L74" s="167">
        <f t="shared" si="29"/>
        <v>16778.659319111321</v>
      </c>
      <c r="M74" s="167">
        <f t="shared" si="29"/>
        <v>16148.309309562468</v>
      </c>
      <c r="N74" s="167">
        <f t="shared" si="29"/>
        <v>15870.229943885655</v>
      </c>
      <c r="O74" s="167">
        <f>SUM(C74:N74)</f>
        <v>195719.71713694223</v>
      </c>
      <c r="P74" s="167"/>
      <c r="Q74" s="177"/>
      <c r="R74" s="177">
        <f>O74</f>
        <v>195719.71713694223</v>
      </c>
      <c r="S74" s="177">
        <f>H74+I74+J74</f>
        <v>50872.053691021283</v>
      </c>
      <c r="T74" s="177">
        <f>R74-S74</f>
        <v>144847.66344592095</v>
      </c>
    </row>
    <row r="75" spans="1:23" x14ac:dyDescent="0.25">
      <c r="A75" s="173" t="s">
        <v>754</v>
      </c>
      <c r="C75" s="161">
        <f>C70/C76</f>
        <v>0.34188833935737623</v>
      </c>
      <c r="D75" s="161">
        <f t="shared" ref="D75:N75" si="30">D70/D76</f>
        <v>0.39283967114137269</v>
      </c>
      <c r="E75" s="161">
        <f t="shared" si="30"/>
        <v>0.34475148571013481</v>
      </c>
      <c r="F75" s="161">
        <f t="shared" si="30"/>
        <v>0.36186245722024829</v>
      </c>
      <c r="G75" s="161">
        <f t="shared" si="30"/>
        <v>0.30192787517834657</v>
      </c>
      <c r="H75" s="161">
        <f t="shared" si="30"/>
        <v>0.33671570742189655</v>
      </c>
      <c r="I75" s="161">
        <f t="shared" si="30"/>
        <v>0.3560973923172811</v>
      </c>
      <c r="J75" s="161">
        <f t="shared" si="30"/>
        <v>0.36492450716208696</v>
      </c>
      <c r="K75" s="161">
        <f t="shared" si="30"/>
        <v>0.3905641939760835</v>
      </c>
      <c r="L75" s="161">
        <f t="shared" si="30"/>
        <v>0.32141112559712659</v>
      </c>
      <c r="M75" s="161">
        <f t="shared" si="30"/>
        <v>0.35248312748586907</v>
      </c>
      <c r="N75" s="161">
        <f t="shared" si="30"/>
        <v>0.31790230315575796</v>
      </c>
      <c r="O75" s="161"/>
      <c r="P75" s="194"/>
      <c r="Q75" s="194"/>
      <c r="U75" s="220"/>
      <c r="W75" s="220"/>
    </row>
    <row r="76" spans="1:23" x14ac:dyDescent="0.25">
      <c r="A76" s="173" t="s">
        <v>755</v>
      </c>
      <c r="C76" s="167">
        <v>26120.555</v>
      </c>
      <c r="D76" s="167">
        <v>26172.914000000001</v>
      </c>
      <c r="E76" s="167">
        <v>26770.042999999998</v>
      </c>
      <c r="F76" s="167">
        <v>26493.744999999999</v>
      </c>
      <c r="G76" s="167">
        <v>27948.848000000002</v>
      </c>
      <c r="H76" s="167">
        <v>27890.929</v>
      </c>
      <c r="I76" s="167">
        <v>29149.695</v>
      </c>
      <c r="J76" s="167">
        <v>30024.298000000003</v>
      </c>
      <c r="K76" s="167">
        <v>30762.953999999998</v>
      </c>
      <c r="L76" s="167">
        <v>29331.96</v>
      </c>
      <c r="M76" s="167">
        <v>27639.478999999999</v>
      </c>
      <c r="N76" s="167">
        <v>27816.536</v>
      </c>
      <c r="O76" s="167">
        <f>SUM(C76:N76)</f>
        <v>336121.95600000001</v>
      </c>
      <c r="P76" s="167">
        <f>MAX(C76:N76)</f>
        <v>30762.953999999998</v>
      </c>
      <c r="Q76" s="167"/>
    </row>
    <row r="77" spans="1:23" x14ac:dyDescent="0.25">
      <c r="C77" s="162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</row>
    <row r="78" spans="1:23" x14ac:dyDescent="0.25">
      <c r="A78" s="227" t="str">
        <f>A12</f>
        <v>Large Industrial B</v>
      </c>
      <c r="B78" s="216" t="str">
        <f>B12</f>
        <v>B1</v>
      </c>
      <c r="C78" s="167">
        <v>5</v>
      </c>
      <c r="D78" s="167">
        <v>5</v>
      </c>
      <c r="E78" s="167">
        <v>5</v>
      </c>
      <c r="F78" s="167">
        <v>5</v>
      </c>
      <c r="G78" s="167">
        <v>5</v>
      </c>
      <c r="H78" s="167">
        <v>5</v>
      </c>
      <c r="I78" s="167">
        <v>5</v>
      </c>
      <c r="J78" s="167">
        <v>5</v>
      </c>
      <c r="K78" s="167">
        <v>5</v>
      </c>
      <c r="L78" s="167">
        <v>5</v>
      </c>
      <c r="M78" s="167">
        <v>5</v>
      </c>
      <c r="N78" s="167">
        <v>5</v>
      </c>
      <c r="O78" s="167">
        <f>ROUND(SUM(C78:N78)/12,0)</f>
        <v>5</v>
      </c>
      <c r="P78" s="167"/>
      <c r="Q78" s="177"/>
    </row>
    <row r="79" spans="1:23" x14ac:dyDescent="0.25">
      <c r="A79" s="173" t="s">
        <v>1023</v>
      </c>
      <c r="C79" s="167">
        <v>2209596</v>
      </c>
      <c r="D79" s="167">
        <v>2334182</v>
      </c>
      <c r="E79" s="167">
        <v>2106331</v>
      </c>
      <c r="F79" s="167">
        <v>2261220</v>
      </c>
      <c r="G79" s="167">
        <v>2148906</v>
      </c>
      <c r="H79" s="167">
        <v>2287585</v>
      </c>
      <c r="I79" s="167">
        <v>2667247</v>
      </c>
      <c r="J79" s="167">
        <v>2756572</v>
      </c>
      <c r="K79" s="167">
        <v>2746473</v>
      </c>
      <c r="L79" s="167">
        <v>2363144</v>
      </c>
      <c r="M79" s="167">
        <v>2367591</v>
      </c>
      <c r="N79" s="167">
        <v>2207645</v>
      </c>
      <c r="O79" s="167">
        <f>SUM(C79:N79)</f>
        <v>28456492</v>
      </c>
      <c r="P79" s="194"/>
      <c r="Q79" s="194"/>
      <c r="U79" s="220"/>
      <c r="W79" s="220"/>
    </row>
    <row r="80" spans="1:23" x14ac:dyDescent="0.25">
      <c r="A80" s="173" t="s">
        <v>677</v>
      </c>
      <c r="C80" s="167">
        <f>C79/744</f>
        <v>2969.8870967741937</v>
      </c>
      <c r="D80" s="162">
        <f>D79/672</f>
        <v>3473.4851190476193</v>
      </c>
      <c r="E80" s="167">
        <f t="shared" ref="E80:N80" si="31">E79/744</f>
        <v>2831.0900537634407</v>
      </c>
      <c r="F80" s="167">
        <f>F79/720</f>
        <v>3140.5833333333335</v>
      </c>
      <c r="G80" s="167">
        <f t="shared" si="31"/>
        <v>2888.3145161290322</v>
      </c>
      <c r="H80" s="162">
        <f>H79/720</f>
        <v>3177.2013888888887</v>
      </c>
      <c r="I80" s="162">
        <f>I79/744</f>
        <v>3585.0094086021504</v>
      </c>
      <c r="J80" s="167">
        <f t="shared" si="31"/>
        <v>3705.0698924731182</v>
      </c>
      <c r="K80" s="167">
        <f>K79/720</f>
        <v>3814.5458333333331</v>
      </c>
      <c r="L80" s="167">
        <f t="shared" si="31"/>
        <v>3176.2688172043013</v>
      </c>
      <c r="M80" s="167">
        <f>M79/720</f>
        <v>3288.3208333333332</v>
      </c>
      <c r="N80" s="167">
        <f t="shared" si="31"/>
        <v>2967.2647849462364</v>
      </c>
      <c r="O80" s="167">
        <f>O79/8760</f>
        <v>3248.4579908675801</v>
      </c>
      <c r="P80" s="167"/>
      <c r="Q80" s="167"/>
    </row>
    <row r="81" spans="1:23" x14ac:dyDescent="0.25">
      <c r="A81" s="173" t="s">
        <v>752</v>
      </c>
      <c r="C81" s="161">
        <f>C85+0.1</f>
        <v>0.73654987499446878</v>
      </c>
      <c r="D81" s="161">
        <f t="shared" ref="D81:N81" si="32">D85+0.1</f>
        <v>0.84731711662534792</v>
      </c>
      <c r="E81" s="161">
        <f t="shared" si="32"/>
        <v>0.70263397669650451</v>
      </c>
      <c r="F81" s="161">
        <f t="shared" si="32"/>
        <v>0.7757895657961934</v>
      </c>
      <c r="G81" s="161">
        <f t="shared" si="32"/>
        <v>0.72487333330355674</v>
      </c>
      <c r="H81" s="161">
        <f t="shared" si="32"/>
        <v>0.74724340857658023</v>
      </c>
      <c r="I81" s="161">
        <f t="shared" si="32"/>
        <v>0.8011091397407859</v>
      </c>
      <c r="J81" s="161">
        <f t="shared" si="32"/>
        <v>0.80819616806642547</v>
      </c>
      <c r="K81" s="161">
        <f t="shared" si="32"/>
        <v>0.820318192576031</v>
      </c>
      <c r="L81" s="161">
        <f t="shared" si="32"/>
        <v>0.7577651167981605</v>
      </c>
      <c r="M81" s="161">
        <f t="shared" si="32"/>
        <v>0.78117280242392106</v>
      </c>
      <c r="N81" s="161">
        <f t="shared" si="32"/>
        <v>0.75351345781640633</v>
      </c>
      <c r="O81" s="161"/>
      <c r="Q81" s="177"/>
    </row>
    <row r="82" spans="1:23" x14ac:dyDescent="0.25">
      <c r="A82" s="173" t="s">
        <v>753</v>
      </c>
      <c r="C82" s="167">
        <f>C80/C81</f>
        <v>4032.1602074761013</v>
      </c>
      <c r="D82" s="167">
        <f t="shared" ref="D82:N82" si="33">D80/D81</f>
        <v>4099.3921294563734</v>
      </c>
      <c r="E82" s="167">
        <f t="shared" si="33"/>
        <v>4029.2529932498564</v>
      </c>
      <c r="F82" s="167">
        <f t="shared" si="33"/>
        <v>4048.2412651556488</v>
      </c>
      <c r="G82" s="167">
        <f t="shared" si="33"/>
        <v>3984.578247575686</v>
      </c>
      <c r="H82" s="167">
        <f t="shared" si="33"/>
        <v>4251.8961725485433</v>
      </c>
      <c r="I82" s="167">
        <f t="shared" si="33"/>
        <v>4475.0574307043216</v>
      </c>
      <c r="J82" s="167">
        <f t="shared" si="33"/>
        <v>4584.3695365907743</v>
      </c>
      <c r="K82" s="167">
        <f t="shared" si="33"/>
        <v>4650.0807465388289</v>
      </c>
      <c r="L82" s="167">
        <f t="shared" si="33"/>
        <v>4191.6271240159731</v>
      </c>
      <c r="M82" s="167">
        <f t="shared" si="33"/>
        <v>4209.4666162594476</v>
      </c>
      <c r="N82" s="167">
        <f t="shared" si="33"/>
        <v>3937.9054934798669</v>
      </c>
      <c r="O82" s="167">
        <f>SUM(C82:N82)</f>
        <v>50494.02796305142</v>
      </c>
      <c r="Q82" s="177">
        <f>MAX(C82:N82)</f>
        <v>4650.0807465388289</v>
      </c>
    </row>
    <row r="83" spans="1:23" x14ac:dyDescent="0.25">
      <c r="A83" s="173" t="s">
        <v>678</v>
      </c>
      <c r="C83" s="161">
        <v>0.75</v>
      </c>
      <c r="D83" s="161">
        <f t="shared" ref="D83:N83" si="34">D73</f>
        <v>0.75</v>
      </c>
      <c r="E83" s="161">
        <f t="shared" si="34"/>
        <v>0.75</v>
      </c>
      <c r="F83" s="161">
        <f t="shared" si="34"/>
        <v>0.75</v>
      </c>
      <c r="G83" s="161">
        <f t="shared" si="34"/>
        <v>0.75</v>
      </c>
      <c r="H83" s="161">
        <f t="shared" si="34"/>
        <v>0.75</v>
      </c>
      <c r="I83" s="161">
        <f t="shared" si="34"/>
        <v>0.75</v>
      </c>
      <c r="J83" s="161">
        <f t="shared" si="34"/>
        <v>0.75</v>
      </c>
      <c r="K83" s="161">
        <f t="shared" si="34"/>
        <v>0.75</v>
      </c>
      <c r="L83" s="161">
        <f t="shared" si="34"/>
        <v>0.75</v>
      </c>
      <c r="M83" s="161">
        <f t="shared" si="34"/>
        <v>0.75</v>
      </c>
      <c r="N83" s="161">
        <f t="shared" si="34"/>
        <v>0.75</v>
      </c>
      <c r="O83" s="161"/>
      <c r="P83" s="167"/>
      <c r="Q83" s="177"/>
    </row>
    <row r="84" spans="1:23" x14ac:dyDescent="0.25">
      <c r="A84" s="173" t="s">
        <v>679</v>
      </c>
      <c r="C84" s="167">
        <f>C82*C83</f>
        <v>3024.120155607076</v>
      </c>
      <c r="D84" s="167">
        <f t="shared" ref="D84:N84" si="35">D82*D83</f>
        <v>3074.54409709228</v>
      </c>
      <c r="E84" s="167">
        <f t="shared" si="35"/>
        <v>3021.9397449373923</v>
      </c>
      <c r="F84" s="167">
        <f t="shared" si="35"/>
        <v>3036.1809488667368</v>
      </c>
      <c r="G84" s="167">
        <f t="shared" si="35"/>
        <v>2988.4336856817645</v>
      </c>
      <c r="H84" s="167">
        <f t="shared" si="35"/>
        <v>3188.9221294114077</v>
      </c>
      <c r="I84" s="167">
        <f t="shared" si="35"/>
        <v>3356.2930730282415</v>
      </c>
      <c r="J84" s="167">
        <f t="shared" si="35"/>
        <v>3438.2771524430809</v>
      </c>
      <c r="K84" s="167">
        <f t="shared" si="35"/>
        <v>3487.5605599041219</v>
      </c>
      <c r="L84" s="167">
        <f t="shared" si="35"/>
        <v>3143.7203430119798</v>
      </c>
      <c r="M84" s="167">
        <f t="shared" si="35"/>
        <v>3157.0999621945857</v>
      </c>
      <c r="N84" s="167">
        <f t="shared" si="35"/>
        <v>2953.4291201099004</v>
      </c>
      <c r="O84" s="167">
        <f>SUM(C84:N84)</f>
        <v>37870.520972288563</v>
      </c>
      <c r="P84" s="167"/>
      <c r="Q84" s="177"/>
      <c r="R84" s="177">
        <f>O84</f>
        <v>37870.520972288563</v>
      </c>
      <c r="S84" s="177">
        <f>H84+I84+J84</f>
        <v>9983.4923548827301</v>
      </c>
      <c r="T84" s="177">
        <f>R84-S84</f>
        <v>27887.028617405835</v>
      </c>
    </row>
    <row r="85" spans="1:23" x14ac:dyDescent="0.25">
      <c r="A85" s="173" t="s">
        <v>754</v>
      </c>
      <c r="C85" s="161">
        <f>C80/C86</f>
        <v>0.6365498749944688</v>
      </c>
      <c r="D85" s="161">
        <f t="shared" ref="D85:N85" si="36">D80/D86</f>
        <v>0.74731711662534794</v>
      </c>
      <c r="E85" s="161">
        <f t="shared" si="36"/>
        <v>0.60263397669650454</v>
      </c>
      <c r="F85" s="161">
        <f t="shared" si="36"/>
        <v>0.67578956579619343</v>
      </c>
      <c r="G85" s="161">
        <f t="shared" si="36"/>
        <v>0.62487333330355677</v>
      </c>
      <c r="H85" s="161">
        <f t="shared" si="36"/>
        <v>0.64724340857658025</v>
      </c>
      <c r="I85" s="161">
        <f t="shared" si="36"/>
        <v>0.70110913974078592</v>
      </c>
      <c r="J85" s="161">
        <f t="shared" si="36"/>
        <v>0.70819616806642549</v>
      </c>
      <c r="K85" s="161">
        <f t="shared" si="36"/>
        <v>0.72031819257603102</v>
      </c>
      <c r="L85" s="161">
        <f t="shared" si="36"/>
        <v>0.65776511679816052</v>
      </c>
      <c r="M85" s="161">
        <f t="shared" si="36"/>
        <v>0.68117280242392109</v>
      </c>
      <c r="N85" s="161">
        <f t="shared" si="36"/>
        <v>0.65351345781640635</v>
      </c>
      <c r="O85" s="161"/>
      <c r="P85" s="194"/>
      <c r="Q85" s="194"/>
      <c r="U85" s="220"/>
      <c r="W85" s="220"/>
    </row>
    <row r="86" spans="1:23" x14ac:dyDescent="0.25">
      <c r="A86" s="173" t="s">
        <v>755</v>
      </c>
      <c r="C86" s="167">
        <v>4665.6000000000004</v>
      </c>
      <c r="D86" s="167">
        <v>4647.9399999999996</v>
      </c>
      <c r="E86" s="167">
        <v>4697.8599999999997</v>
      </c>
      <c r="F86" s="167">
        <v>4647.28</v>
      </c>
      <c r="G86" s="167">
        <v>4622.24</v>
      </c>
      <c r="H86" s="167">
        <v>4908.82</v>
      </c>
      <c r="I86" s="167">
        <v>5113.34</v>
      </c>
      <c r="J86" s="167">
        <v>5231.7</v>
      </c>
      <c r="K86" s="167">
        <v>5295.64</v>
      </c>
      <c r="L86" s="167">
        <v>4828.88</v>
      </c>
      <c r="M86" s="167">
        <v>4827.4399999999996</v>
      </c>
      <c r="N86" s="167">
        <v>4540.4799999999996</v>
      </c>
      <c r="O86" s="167">
        <f>SUM(C86:N86)</f>
        <v>58027.22</v>
      </c>
      <c r="P86" s="167">
        <f>MAX(C86:N86)</f>
        <v>5295.64</v>
      </c>
      <c r="Q86" s="167"/>
    </row>
    <row r="87" spans="1:23" x14ac:dyDescent="0.25">
      <c r="H87" s="228"/>
    </row>
    <row r="88" spans="1:23" x14ac:dyDescent="0.25">
      <c r="A88" s="227" t="str">
        <f>A13</f>
        <v>Lighting</v>
      </c>
      <c r="B88" s="216"/>
      <c r="C88" s="167">
        <v>7118</v>
      </c>
      <c r="D88" s="167">
        <v>7135</v>
      </c>
      <c r="E88" s="167">
        <v>7174</v>
      </c>
      <c r="F88" s="167">
        <v>7164</v>
      </c>
      <c r="G88" s="167">
        <v>7175</v>
      </c>
      <c r="H88" s="167">
        <v>7203</v>
      </c>
      <c r="I88" s="167">
        <v>7183</v>
      </c>
      <c r="J88" s="167">
        <v>7201</v>
      </c>
      <c r="K88" s="167">
        <v>7187</v>
      </c>
      <c r="L88" s="167">
        <v>7206</v>
      </c>
      <c r="M88" s="167">
        <v>7221</v>
      </c>
      <c r="N88" s="167">
        <v>7229</v>
      </c>
      <c r="O88" s="167">
        <f>ROUND(SUM(C88:N88)/12,0)</f>
        <v>7183</v>
      </c>
      <c r="P88" s="167"/>
      <c r="Q88" s="177"/>
    </row>
    <row r="89" spans="1:23" x14ac:dyDescent="0.25">
      <c r="A89" s="173" t="s">
        <v>1023</v>
      </c>
      <c r="C89" s="167">
        <v>0</v>
      </c>
      <c r="D89" s="167">
        <v>0</v>
      </c>
      <c r="E89" s="167">
        <v>0</v>
      </c>
      <c r="F89" s="167">
        <v>0</v>
      </c>
      <c r="G89" s="167">
        <v>0</v>
      </c>
      <c r="H89" s="167">
        <v>0</v>
      </c>
      <c r="I89" s="167">
        <v>0</v>
      </c>
      <c r="J89" s="167">
        <v>0</v>
      </c>
      <c r="K89" s="167">
        <v>0</v>
      </c>
      <c r="L89" s="167">
        <v>0</v>
      </c>
      <c r="M89" s="167">
        <v>0</v>
      </c>
      <c r="N89" s="167">
        <v>0</v>
      </c>
      <c r="O89" s="167">
        <f>SUM(C89:N89)</f>
        <v>0</v>
      </c>
      <c r="P89" s="194"/>
      <c r="Q89" s="194"/>
      <c r="U89" s="220"/>
      <c r="W89" s="220"/>
    </row>
    <row r="90" spans="1:23" x14ac:dyDescent="0.25">
      <c r="A90" s="173" t="s">
        <v>677</v>
      </c>
      <c r="C90" s="167">
        <f>C89/744</f>
        <v>0</v>
      </c>
      <c r="D90" s="162">
        <f>D89/720</f>
        <v>0</v>
      </c>
      <c r="E90" s="167">
        <f t="shared" ref="E90" si="37">E89/744</f>
        <v>0</v>
      </c>
      <c r="F90" s="167">
        <f>F89/720</f>
        <v>0</v>
      </c>
      <c r="G90" s="167">
        <f t="shared" ref="G90" si="38">G89/744</f>
        <v>0</v>
      </c>
      <c r="H90" s="162">
        <f>H89/744</f>
        <v>0</v>
      </c>
      <c r="I90" s="162">
        <f>I89/672</f>
        <v>0</v>
      </c>
      <c r="J90" s="167">
        <f t="shared" ref="J90" si="39">J89/744</f>
        <v>0</v>
      </c>
      <c r="K90" s="167">
        <f>K89/720</f>
        <v>0</v>
      </c>
      <c r="L90" s="167">
        <f t="shared" ref="L90" si="40">L89/744</f>
        <v>0</v>
      </c>
      <c r="M90" s="167">
        <f>M89/720</f>
        <v>0</v>
      </c>
      <c r="N90" s="167">
        <f t="shared" ref="N90" si="41">N89/744</f>
        <v>0</v>
      </c>
      <c r="O90" s="167">
        <f>O89/8760</f>
        <v>0</v>
      </c>
      <c r="P90" s="167"/>
      <c r="Q90" s="167"/>
    </row>
    <row r="91" spans="1:23" x14ac:dyDescent="0.25">
      <c r="A91" s="173" t="s">
        <v>752</v>
      </c>
      <c r="C91" s="161">
        <v>0.5</v>
      </c>
      <c r="D91" s="161">
        <v>0.5</v>
      </c>
      <c r="E91" s="161">
        <v>0.5</v>
      </c>
      <c r="F91" s="161">
        <v>0.5</v>
      </c>
      <c r="G91" s="161">
        <v>0.5</v>
      </c>
      <c r="H91" s="161">
        <v>0.5</v>
      </c>
      <c r="I91" s="161">
        <v>0.5</v>
      </c>
      <c r="J91" s="161">
        <v>0.5</v>
      </c>
      <c r="K91" s="161">
        <v>0.5</v>
      </c>
      <c r="L91" s="161">
        <v>0.5</v>
      </c>
      <c r="M91" s="161">
        <v>0.5</v>
      </c>
      <c r="N91" s="161">
        <v>0.5</v>
      </c>
      <c r="O91" s="161"/>
      <c r="Q91" s="177"/>
    </row>
    <row r="92" spans="1:23" x14ac:dyDescent="0.25">
      <c r="A92" s="173" t="s">
        <v>753</v>
      </c>
      <c r="C92" s="167">
        <f>C90/C91</f>
        <v>0</v>
      </c>
      <c r="D92" s="167">
        <f t="shared" ref="D92:N92" si="42">D90/D91</f>
        <v>0</v>
      </c>
      <c r="E92" s="167">
        <f t="shared" si="42"/>
        <v>0</v>
      </c>
      <c r="F92" s="167">
        <f t="shared" si="42"/>
        <v>0</v>
      </c>
      <c r="G92" s="167">
        <f t="shared" si="42"/>
        <v>0</v>
      </c>
      <c r="H92" s="167">
        <f t="shared" si="42"/>
        <v>0</v>
      </c>
      <c r="I92" s="167">
        <f t="shared" si="42"/>
        <v>0</v>
      </c>
      <c r="J92" s="167">
        <f t="shared" si="42"/>
        <v>0</v>
      </c>
      <c r="K92" s="167">
        <f t="shared" si="42"/>
        <v>0</v>
      </c>
      <c r="L92" s="167">
        <f t="shared" si="42"/>
        <v>0</v>
      </c>
      <c r="M92" s="167">
        <f t="shared" si="42"/>
        <v>0</v>
      </c>
      <c r="N92" s="167">
        <f t="shared" si="42"/>
        <v>0</v>
      </c>
      <c r="O92" s="167">
        <f>SUM(C92:N92)</f>
        <v>0</v>
      </c>
      <c r="Q92" s="177">
        <f>MAX(C92:N92)</f>
        <v>0</v>
      </c>
    </row>
    <row r="93" spans="1:23" x14ac:dyDescent="0.25">
      <c r="A93" s="173" t="s">
        <v>678</v>
      </c>
      <c r="C93" s="161">
        <v>1</v>
      </c>
      <c r="D93" s="161">
        <v>1</v>
      </c>
      <c r="E93" s="161">
        <v>1</v>
      </c>
      <c r="F93" s="161">
        <v>0</v>
      </c>
      <c r="G93" s="161">
        <v>0</v>
      </c>
      <c r="H93" s="161">
        <v>0</v>
      </c>
      <c r="I93" s="161">
        <v>0</v>
      </c>
      <c r="J93" s="161">
        <v>0</v>
      </c>
      <c r="K93" s="161">
        <v>0</v>
      </c>
      <c r="L93" s="161">
        <v>1</v>
      </c>
      <c r="M93" s="161">
        <v>1</v>
      </c>
      <c r="N93" s="161">
        <v>1</v>
      </c>
      <c r="O93" s="161"/>
      <c r="P93" s="167"/>
      <c r="Q93" s="177"/>
    </row>
    <row r="94" spans="1:23" x14ac:dyDescent="0.25">
      <c r="A94" s="173" t="s">
        <v>679</v>
      </c>
      <c r="C94" s="167">
        <f t="shared" ref="C94:N94" si="43">C92*C93</f>
        <v>0</v>
      </c>
      <c r="D94" s="167">
        <f t="shared" si="43"/>
        <v>0</v>
      </c>
      <c r="E94" s="167">
        <f t="shared" si="43"/>
        <v>0</v>
      </c>
      <c r="F94" s="167">
        <f t="shared" si="43"/>
        <v>0</v>
      </c>
      <c r="G94" s="167">
        <f t="shared" si="43"/>
        <v>0</v>
      </c>
      <c r="H94" s="167">
        <f t="shared" si="43"/>
        <v>0</v>
      </c>
      <c r="I94" s="167">
        <f t="shared" si="43"/>
        <v>0</v>
      </c>
      <c r="J94" s="167">
        <f t="shared" si="43"/>
        <v>0</v>
      </c>
      <c r="K94" s="167">
        <f t="shared" si="43"/>
        <v>0</v>
      </c>
      <c r="L94" s="167">
        <f t="shared" si="43"/>
        <v>0</v>
      </c>
      <c r="M94" s="167">
        <f t="shared" si="43"/>
        <v>0</v>
      </c>
      <c r="N94" s="167">
        <f t="shared" si="43"/>
        <v>0</v>
      </c>
      <c r="O94" s="167">
        <f>SUM(C94:N94)</f>
        <v>0</v>
      </c>
      <c r="P94" s="167"/>
      <c r="Q94" s="177"/>
      <c r="R94" s="177">
        <f>O94</f>
        <v>0</v>
      </c>
      <c r="S94" s="177">
        <f>H94+I94+J94</f>
        <v>0</v>
      </c>
      <c r="T94" s="177">
        <f>R94-S94</f>
        <v>0</v>
      </c>
    </row>
    <row r="95" spans="1:23" x14ac:dyDescent="0.25">
      <c r="A95" s="173" t="s">
        <v>754</v>
      </c>
      <c r="C95" s="161">
        <v>0.5</v>
      </c>
      <c r="D95" s="161">
        <v>0.5</v>
      </c>
      <c r="E95" s="161">
        <v>0.5</v>
      </c>
      <c r="F95" s="161">
        <v>0.5</v>
      </c>
      <c r="G95" s="161">
        <v>0.5</v>
      </c>
      <c r="H95" s="161">
        <v>0.5</v>
      </c>
      <c r="I95" s="161">
        <v>0.5</v>
      </c>
      <c r="J95" s="161">
        <v>0.5</v>
      </c>
      <c r="K95" s="161">
        <v>0.5</v>
      </c>
      <c r="L95" s="161">
        <v>0.5</v>
      </c>
      <c r="M95" s="161">
        <v>0.5</v>
      </c>
      <c r="N95" s="161">
        <v>0.5</v>
      </c>
      <c r="O95" s="161"/>
      <c r="P95" s="194"/>
      <c r="Q95" s="194"/>
      <c r="U95" s="220"/>
      <c r="W95" s="220"/>
    </row>
    <row r="96" spans="1:23" x14ac:dyDescent="0.25">
      <c r="A96" s="173" t="s">
        <v>755</v>
      </c>
      <c r="C96" s="167">
        <f>C90/C95</f>
        <v>0</v>
      </c>
      <c r="D96" s="167">
        <f t="shared" ref="D96:N96" si="44">D90/D95</f>
        <v>0</v>
      </c>
      <c r="E96" s="167">
        <f t="shared" si="44"/>
        <v>0</v>
      </c>
      <c r="F96" s="167">
        <f t="shared" si="44"/>
        <v>0</v>
      </c>
      <c r="G96" s="167">
        <f t="shared" si="44"/>
        <v>0</v>
      </c>
      <c r="H96" s="167">
        <f t="shared" si="44"/>
        <v>0</v>
      </c>
      <c r="I96" s="167">
        <f t="shared" si="44"/>
        <v>0</v>
      </c>
      <c r="J96" s="167">
        <f t="shared" si="44"/>
        <v>0</v>
      </c>
      <c r="K96" s="167">
        <f t="shared" si="44"/>
        <v>0</v>
      </c>
      <c r="L96" s="167">
        <f t="shared" si="44"/>
        <v>0</v>
      </c>
      <c r="M96" s="167">
        <f t="shared" si="44"/>
        <v>0</v>
      </c>
      <c r="N96" s="167">
        <f t="shared" si="44"/>
        <v>0</v>
      </c>
      <c r="O96" s="167">
        <f>SUM(C96:N96)</f>
        <v>0</v>
      </c>
      <c r="P96" s="167">
        <f>MAX(C96:N96)</f>
        <v>0</v>
      </c>
      <c r="Q96" s="167"/>
    </row>
    <row r="97" spans="1:23" ht="16.5" customHeight="1" x14ac:dyDescent="0.25">
      <c r="C97" s="167"/>
      <c r="H97" s="228"/>
      <c r="M97" s="167"/>
    </row>
    <row r="98" spans="1:23" ht="14.25" customHeight="1" x14ac:dyDescent="0.25">
      <c r="A98" s="227" t="str">
        <f>A14</f>
        <v>Special Contract</v>
      </c>
      <c r="B98" s="216" t="s">
        <v>1154</v>
      </c>
      <c r="C98" s="167">
        <v>1</v>
      </c>
      <c r="D98" s="167">
        <v>1</v>
      </c>
      <c r="E98" s="167">
        <v>1</v>
      </c>
      <c r="F98" s="167">
        <v>1</v>
      </c>
      <c r="G98" s="167">
        <v>1</v>
      </c>
      <c r="H98" s="167">
        <v>1</v>
      </c>
      <c r="I98" s="167">
        <v>1</v>
      </c>
      <c r="J98" s="167">
        <v>1</v>
      </c>
      <c r="K98" s="167">
        <v>1</v>
      </c>
      <c r="L98" s="167">
        <v>1</v>
      </c>
      <c r="M98" s="167">
        <v>1</v>
      </c>
      <c r="N98" s="167">
        <v>1</v>
      </c>
      <c r="O98" s="167">
        <f>ROUND(SUM(C98:N98)/12,0)</f>
        <v>1</v>
      </c>
      <c r="P98" s="167"/>
      <c r="Q98" s="177"/>
    </row>
    <row r="99" spans="1:23" x14ac:dyDescent="0.25">
      <c r="A99" s="173" t="s">
        <v>1023</v>
      </c>
      <c r="C99" s="167">
        <v>9193339</v>
      </c>
      <c r="D99" s="167">
        <v>9076800</v>
      </c>
      <c r="E99" s="167">
        <v>7782239</v>
      </c>
      <c r="F99" s="167">
        <v>9657602</v>
      </c>
      <c r="G99" s="167">
        <v>9876976</v>
      </c>
      <c r="H99" s="167">
        <v>9262066</v>
      </c>
      <c r="I99" s="167">
        <v>9564681</v>
      </c>
      <c r="J99" s="167">
        <v>9083412</v>
      </c>
      <c r="K99" s="167">
        <v>8741595</v>
      </c>
      <c r="L99" s="167">
        <v>9041978</v>
      </c>
      <c r="M99" s="167">
        <v>9676336</v>
      </c>
      <c r="N99" s="167">
        <v>7503536</v>
      </c>
      <c r="O99" s="167">
        <f>SUM(C99:N99)</f>
        <v>108460560</v>
      </c>
      <c r="P99" s="194"/>
      <c r="Q99" s="194"/>
      <c r="U99" s="220"/>
      <c r="W99" s="220"/>
    </row>
    <row r="100" spans="1:23" x14ac:dyDescent="0.25">
      <c r="A100" s="173" t="s">
        <v>677</v>
      </c>
      <c r="C100" s="167">
        <f>C99/744</f>
        <v>12356.638440860215</v>
      </c>
      <c r="D100" s="162">
        <f>D99/672</f>
        <v>13507.142857142857</v>
      </c>
      <c r="E100" s="167">
        <f t="shared" ref="E100" si="45">E99/744</f>
        <v>10459.998655913978</v>
      </c>
      <c r="F100" s="167">
        <f>F99/720</f>
        <v>13413.336111111112</v>
      </c>
      <c r="G100" s="167">
        <f t="shared" ref="G100" si="46">G99/744</f>
        <v>13275.505376344086</v>
      </c>
      <c r="H100" s="162">
        <f>H99/720</f>
        <v>12863.980555555556</v>
      </c>
      <c r="I100" s="162">
        <f>I99/744</f>
        <v>12855.754032258064</v>
      </c>
      <c r="J100" s="167">
        <f t="shared" ref="J100" si="47">J99/744</f>
        <v>12208.887096774193</v>
      </c>
      <c r="K100" s="167">
        <f>K99/720</f>
        <v>12141.104166666666</v>
      </c>
      <c r="L100" s="167">
        <f t="shared" ref="L100" si="48">L99/744</f>
        <v>12153.196236559139</v>
      </c>
      <c r="M100" s="167">
        <f>M99/720</f>
        <v>13439.355555555556</v>
      </c>
      <c r="N100" s="167">
        <f t="shared" ref="N100" si="49">N99/744</f>
        <v>10085.397849462366</v>
      </c>
      <c r="O100" s="167">
        <f>O99/8760</f>
        <v>12381.342465753425</v>
      </c>
      <c r="P100" s="167"/>
      <c r="Q100" s="167"/>
    </row>
    <row r="101" spans="1:23" x14ac:dyDescent="0.25">
      <c r="A101" s="173" t="s">
        <v>752</v>
      </c>
      <c r="C101" s="161">
        <f>C105</f>
        <v>1.4113807470999675</v>
      </c>
      <c r="D101" s="161">
        <f t="shared" ref="D101:N101" si="50">D105</f>
        <v>1.5463243110638645</v>
      </c>
      <c r="E101" s="161">
        <f t="shared" si="50"/>
        <v>0.79610310190379618</v>
      </c>
      <c r="F101" s="161">
        <f t="shared" si="50"/>
        <v>1.0234500313681605</v>
      </c>
      <c r="G101" s="161">
        <f t="shared" si="50"/>
        <v>1.0148693048195159</v>
      </c>
      <c r="H101" s="161">
        <f t="shared" si="50"/>
        <v>0.97832386915777292</v>
      </c>
      <c r="I101" s="161">
        <f t="shared" si="50"/>
        <v>0.97650999105644243</v>
      </c>
      <c r="J101" s="161">
        <f t="shared" si="50"/>
        <v>0.92428549449422315</v>
      </c>
      <c r="K101" s="161">
        <f t="shared" si="50"/>
        <v>0.92026863993531915</v>
      </c>
      <c r="L101" s="161">
        <f t="shared" si="50"/>
        <v>0.91791512360718575</v>
      </c>
      <c r="M101" s="161">
        <f t="shared" si="50"/>
        <v>1.0210724476185653</v>
      </c>
      <c r="N101" s="161">
        <f t="shared" si="50"/>
        <v>0.76202477139874314</v>
      </c>
      <c r="O101" s="161"/>
      <c r="Q101" s="177"/>
    </row>
    <row r="102" spans="1:23" x14ac:dyDescent="0.25">
      <c r="A102" s="173" t="s">
        <v>753</v>
      </c>
      <c r="C102" s="167">
        <f>C100/C101</f>
        <v>8755</v>
      </c>
      <c r="D102" s="167">
        <f t="shared" ref="D102:N102" si="51">D100/D101</f>
        <v>8735</v>
      </c>
      <c r="E102" s="167">
        <f t="shared" si="51"/>
        <v>13139</v>
      </c>
      <c r="F102" s="167">
        <f t="shared" si="51"/>
        <v>13106</v>
      </c>
      <c r="G102" s="167">
        <f t="shared" si="51"/>
        <v>13081</v>
      </c>
      <c r="H102" s="167">
        <f t="shared" si="51"/>
        <v>13149</v>
      </c>
      <c r="I102" s="167">
        <f t="shared" si="51"/>
        <v>13165</v>
      </c>
      <c r="J102" s="167">
        <f t="shared" si="51"/>
        <v>13209</v>
      </c>
      <c r="K102" s="167">
        <f t="shared" si="51"/>
        <v>13193</v>
      </c>
      <c r="L102" s="167">
        <f t="shared" si="51"/>
        <v>13240</v>
      </c>
      <c r="M102" s="167">
        <f t="shared" si="51"/>
        <v>13162</v>
      </c>
      <c r="N102" s="167">
        <f t="shared" si="51"/>
        <v>13235</v>
      </c>
      <c r="O102" s="167">
        <f>SUM(C102:N102)</f>
        <v>149169</v>
      </c>
      <c r="P102" s="167"/>
      <c r="Q102" s="167">
        <f>MAX(C102:N102)</f>
        <v>13240</v>
      </c>
    </row>
    <row r="103" spans="1:23" x14ac:dyDescent="0.25">
      <c r="A103" s="173" t="s">
        <v>678</v>
      </c>
      <c r="C103" s="161">
        <v>0.9</v>
      </c>
      <c r="D103" s="161">
        <v>0.9</v>
      </c>
      <c r="E103" s="161">
        <v>0.9</v>
      </c>
      <c r="F103" s="161">
        <v>0.9</v>
      </c>
      <c r="G103" s="161">
        <v>0.9</v>
      </c>
      <c r="H103" s="161">
        <v>0.9</v>
      </c>
      <c r="I103" s="161">
        <v>0.9</v>
      </c>
      <c r="J103" s="161">
        <v>0.9</v>
      </c>
      <c r="K103" s="161">
        <v>0.9</v>
      </c>
      <c r="L103" s="161">
        <v>0.9</v>
      </c>
      <c r="M103" s="161">
        <v>0.9</v>
      </c>
      <c r="N103" s="161">
        <v>0.9</v>
      </c>
      <c r="O103" s="161"/>
      <c r="P103" s="167"/>
      <c r="Q103" s="177"/>
    </row>
    <row r="104" spans="1:23" x14ac:dyDescent="0.25">
      <c r="A104" s="173" t="s">
        <v>679</v>
      </c>
      <c r="C104" s="167">
        <f>C102*C103</f>
        <v>7879.5</v>
      </c>
      <c r="D104" s="167">
        <f t="shared" ref="D104:N104" si="52">D102*D103</f>
        <v>7861.5</v>
      </c>
      <c r="E104" s="167">
        <f t="shared" si="52"/>
        <v>11825.1</v>
      </c>
      <c r="F104" s="167">
        <f t="shared" si="52"/>
        <v>11795.4</v>
      </c>
      <c r="G104" s="167">
        <f t="shared" si="52"/>
        <v>11772.9</v>
      </c>
      <c r="H104" s="167">
        <f t="shared" si="52"/>
        <v>11834.1</v>
      </c>
      <c r="I104" s="167">
        <f t="shared" si="52"/>
        <v>11848.5</v>
      </c>
      <c r="J104" s="167">
        <f t="shared" si="52"/>
        <v>11888.1</v>
      </c>
      <c r="K104" s="167">
        <f t="shared" si="52"/>
        <v>11873.7</v>
      </c>
      <c r="L104" s="167">
        <f t="shared" si="52"/>
        <v>11916</v>
      </c>
      <c r="M104" s="167">
        <f t="shared" si="52"/>
        <v>11845.800000000001</v>
      </c>
      <c r="N104" s="167">
        <f t="shared" si="52"/>
        <v>11911.5</v>
      </c>
      <c r="O104" s="167">
        <f>SUM(C104:N104)</f>
        <v>134252.1</v>
      </c>
      <c r="P104" s="167"/>
      <c r="Q104" s="177"/>
      <c r="R104" s="177">
        <f>O104</f>
        <v>134252.1</v>
      </c>
      <c r="S104" s="177">
        <f>H104+I104+J104</f>
        <v>35570.699999999997</v>
      </c>
      <c r="T104" s="177">
        <f>R104-S104</f>
        <v>98681.400000000009</v>
      </c>
    </row>
    <row r="105" spans="1:23" hidden="1" x14ac:dyDescent="0.25">
      <c r="A105" s="173" t="s">
        <v>754</v>
      </c>
      <c r="C105" s="161">
        <f>C100/C106</f>
        <v>1.4113807470999675</v>
      </c>
      <c r="D105" s="161">
        <f t="shared" ref="D105:N105" si="53">D100/D106</f>
        <v>1.5463243110638645</v>
      </c>
      <c r="E105" s="161">
        <f t="shared" si="53"/>
        <v>0.79610310190379618</v>
      </c>
      <c r="F105" s="161">
        <f t="shared" si="53"/>
        <v>1.0234500313681605</v>
      </c>
      <c r="G105" s="161">
        <f t="shared" si="53"/>
        <v>1.0148693048195159</v>
      </c>
      <c r="H105" s="161">
        <f t="shared" si="53"/>
        <v>0.97832386915777292</v>
      </c>
      <c r="I105" s="161">
        <f t="shared" si="53"/>
        <v>0.97650999105644243</v>
      </c>
      <c r="J105" s="161">
        <f t="shared" si="53"/>
        <v>0.92428549449422315</v>
      </c>
      <c r="K105" s="161">
        <f t="shared" si="53"/>
        <v>0.92026863993531915</v>
      </c>
      <c r="L105" s="161">
        <f t="shared" si="53"/>
        <v>0.91791512360718575</v>
      </c>
      <c r="M105" s="161">
        <f t="shared" si="53"/>
        <v>1.0210724476185653</v>
      </c>
      <c r="N105" s="161">
        <f t="shared" si="53"/>
        <v>0.76202477139874314</v>
      </c>
      <c r="O105" s="161"/>
      <c r="P105" s="194"/>
      <c r="Q105" s="194"/>
      <c r="U105" s="220"/>
      <c r="W105" s="220"/>
    </row>
    <row r="106" spans="1:23" x14ac:dyDescent="0.25">
      <c r="A106" s="173" t="s">
        <v>755</v>
      </c>
      <c r="C106" s="167">
        <v>8755</v>
      </c>
      <c r="D106" s="167">
        <v>8735</v>
      </c>
      <c r="E106" s="167">
        <v>13139</v>
      </c>
      <c r="F106" s="167">
        <v>13106</v>
      </c>
      <c r="G106" s="167">
        <v>13081</v>
      </c>
      <c r="H106" s="167">
        <v>13149</v>
      </c>
      <c r="I106" s="167">
        <v>13165</v>
      </c>
      <c r="J106" s="167">
        <v>13209</v>
      </c>
      <c r="K106" s="167">
        <v>13193</v>
      </c>
      <c r="L106" s="167">
        <v>13240</v>
      </c>
      <c r="M106" s="167">
        <v>13162</v>
      </c>
      <c r="N106" s="167">
        <v>13235</v>
      </c>
      <c r="O106" s="167">
        <f>SUM(C106:N106)</f>
        <v>149169</v>
      </c>
      <c r="P106" s="167">
        <f>MAX(C106:N106)</f>
        <v>13240</v>
      </c>
      <c r="Q106" s="167"/>
    </row>
    <row r="108" spans="1:23" hidden="1" x14ac:dyDescent="0.25">
      <c r="A108" s="227">
        <f>A15</f>
        <v>0</v>
      </c>
      <c r="B108" s="216" t="s">
        <v>1029</v>
      </c>
      <c r="C108" s="167">
        <v>0</v>
      </c>
      <c r="D108" s="167">
        <v>0</v>
      </c>
      <c r="E108" s="167">
        <v>0</v>
      </c>
      <c r="F108" s="167">
        <v>0</v>
      </c>
      <c r="G108" s="167">
        <v>0</v>
      </c>
      <c r="H108" s="167">
        <v>0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f>ROUND(SUM(C108:N108)/12,0)</f>
        <v>0</v>
      </c>
      <c r="P108" s="167"/>
      <c r="Q108" s="177"/>
    </row>
    <row r="109" spans="1:23" hidden="1" x14ac:dyDescent="0.25">
      <c r="A109" s="173" t="s">
        <v>1023</v>
      </c>
      <c r="C109" s="167">
        <v>0</v>
      </c>
      <c r="D109" s="167">
        <v>0</v>
      </c>
      <c r="E109" s="167">
        <v>0</v>
      </c>
      <c r="F109" s="167">
        <v>0</v>
      </c>
      <c r="G109" s="167">
        <v>0</v>
      </c>
      <c r="H109" s="167">
        <v>0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f>SUM(C109:N109)</f>
        <v>0</v>
      </c>
      <c r="P109" s="194"/>
      <c r="Q109" s="194"/>
      <c r="U109" s="220"/>
      <c r="W109" s="220"/>
    </row>
    <row r="110" spans="1:23" hidden="1" x14ac:dyDescent="0.25">
      <c r="A110" s="173" t="s">
        <v>677</v>
      </c>
      <c r="C110" s="167">
        <f>C109/744</f>
        <v>0</v>
      </c>
      <c r="D110" s="162">
        <f>D109/720</f>
        <v>0</v>
      </c>
      <c r="E110" s="167">
        <f t="shared" ref="E110" si="54">E109/744</f>
        <v>0</v>
      </c>
      <c r="F110" s="167">
        <f>F109/720</f>
        <v>0</v>
      </c>
      <c r="G110" s="167">
        <f t="shared" ref="G110" si="55">G109/744</f>
        <v>0</v>
      </c>
      <c r="H110" s="162">
        <f>H109/744</f>
        <v>0</v>
      </c>
      <c r="I110" s="162">
        <f>I109/672</f>
        <v>0</v>
      </c>
      <c r="J110" s="167">
        <f t="shared" ref="J110" si="56">J109/744</f>
        <v>0</v>
      </c>
      <c r="K110" s="167">
        <f>K109/720</f>
        <v>0</v>
      </c>
      <c r="L110" s="167">
        <f t="shared" ref="L110" si="57">L109/744</f>
        <v>0</v>
      </c>
      <c r="M110" s="167">
        <f>M109/720</f>
        <v>0</v>
      </c>
      <c r="N110" s="167">
        <f t="shared" ref="N110" si="58">N109/744</f>
        <v>0</v>
      </c>
      <c r="O110" s="167">
        <f>O109/8760</f>
        <v>0</v>
      </c>
      <c r="P110" s="167"/>
      <c r="Q110" s="167"/>
    </row>
    <row r="111" spans="1:23" hidden="1" x14ac:dyDescent="0.25">
      <c r="A111" s="173" t="s">
        <v>752</v>
      </c>
      <c r="C111" s="161">
        <v>0.5</v>
      </c>
      <c r="D111" s="161">
        <v>0.5</v>
      </c>
      <c r="E111" s="161">
        <v>0.5</v>
      </c>
      <c r="F111" s="161">
        <v>0.5</v>
      </c>
      <c r="G111" s="161">
        <v>0.5</v>
      </c>
      <c r="H111" s="161">
        <v>0.5</v>
      </c>
      <c r="I111" s="161">
        <v>0.5</v>
      </c>
      <c r="J111" s="161">
        <v>0.5</v>
      </c>
      <c r="K111" s="161">
        <v>0.5</v>
      </c>
      <c r="L111" s="161">
        <v>0.5</v>
      </c>
      <c r="M111" s="161">
        <v>0.5</v>
      </c>
      <c r="N111" s="161">
        <v>0.5</v>
      </c>
      <c r="O111" s="161"/>
      <c r="Q111" s="177"/>
    </row>
    <row r="112" spans="1:23" hidden="1" x14ac:dyDescent="0.25">
      <c r="A112" s="173" t="s">
        <v>753</v>
      </c>
      <c r="C112" s="167">
        <f>C110/C111</f>
        <v>0</v>
      </c>
      <c r="D112" s="167">
        <f t="shared" ref="D112:N112" si="59">D110/D111</f>
        <v>0</v>
      </c>
      <c r="E112" s="167">
        <f t="shared" si="59"/>
        <v>0</v>
      </c>
      <c r="F112" s="167">
        <f t="shared" si="59"/>
        <v>0</v>
      </c>
      <c r="G112" s="167">
        <f t="shared" si="59"/>
        <v>0</v>
      </c>
      <c r="H112" s="167">
        <f t="shared" si="59"/>
        <v>0</v>
      </c>
      <c r="I112" s="167">
        <f t="shared" si="59"/>
        <v>0</v>
      </c>
      <c r="J112" s="167">
        <f t="shared" si="59"/>
        <v>0</v>
      </c>
      <c r="K112" s="167">
        <f t="shared" si="59"/>
        <v>0</v>
      </c>
      <c r="L112" s="167">
        <f t="shared" si="59"/>
        <v>0</v>
      </c>
      <c r="M112" s="167">
        <f t="shared" si="59"/>
        <v>0</v>
      </c>
      <c r="N112" s="167">
        <f t="shared" si="59"/>
        <v>0</v>
      </c>
      <c r="O112" s="167">
        <f>SUM(C112:N112)</f>
        <v>0</v>
      </c>
      <c r="Q112" s="177">
        <f>MAX(C112:N112)</f>
        <v>0</v>
      </c>
    </row>
    <row r="113" spans="1:23" hidden="1" x14ac:dyDescent="0.25">
      <c r="A113" s="173" t="s">
        <v>678</v>
      </c>
      <c r="C113" s="161">
        <v>1</v>
      </c>
      <c r="D113" s="161">
        <v>1</v>
      </c>
      <c r="E113" s="161">
        <v>1</v>
      </c>
      <c r="F113" s="161">
        <v>0</v>
      </c>
      <c r="G113" s="161">
        <v>0</v>
      </c>
      <c r="H113" s="161">
        <v>0</v>
      </c>
      <c r="I113" s="161">
        <v>0</v>
      </c>
      <c r="J113" s="161">
        <v>0</v>
      </c>
      <c r="K113" s="161">
        <v>0</v>
      </c>
      <c r="L113" s="161">
        <v>1</v>
      </c>
      <c r="M113" s="161">
        <v>1</v>
      </c>
      <c r="N113" s="161">
        <v>1</v>
      </c>
      <c r="O113" s="161"/>
      <c r="P113" s="167"/>
      <c r="Q113" s="177"/>
    </row>
    <row r="114" spans="1:23" hidden="1" x14ac:dyDescent="0.25">
      <c r="A114" s="173" t="s">
        <v>679</v>
      </c>
      <c r="C114" s="167">
        <f t="shared" ref="C114:N114" si="60">C112*C113</f>
        <v>0</v>
      </c>
      <c r="D114" s="167">
        <f t="shared" si="60"/>
        <v>0</v>
      </c>
      <c r="E114" s="167">
        <f t="shared" si="60"/>
        <v>0</v>
      </c>
      <c r="F114" s="167">
        <f t="shared" si="60"/>
        <v>0</v>
      </c>
      <c r="G114" s="167">
        <f t="shared" si="60"/>
        <v>0</v>
      </c>
      <c r="H114" s="167">
        <f t="shared" si="60"/>
        <v>0</v>
      </c>
      <c r="I114" s="167">
        <f t="shared" si="60"/>
        <v>0</v>
      </c>
      <c r="J114" s="167">
        <f t="shared" si="60"/>
        <v>0</v>
      </c>
      <c r="K114" s="167">
        <f t="shared" si="60"/>
        <v>0</v>
      </c>
      <c r="L114" s="167">
        <f t="shared" si="60"/>
        <v>0</v>
      </c>
      <c r="M114" s="167">
        <f t="shared" si="60"/>
        <v>0</v>
      </c>
      <c r="N114" s="167">
        <f t="shared" si="60"/>
        <v>0</v>
      </c>
      <c r="O114" s="167">
        <f>SUM(C114:N114)</f>
        <v>0</v>
      </c>
      <c r="P114" s="167"/>
      <c r="Q114" s="177"/>
      <c r="R114" s="177">
        <f>O114</f>
        <v>0</v>
      </c>
      <c r="S114" s="177">
        <f>H114+I114+J114</f>
        <v>0</v>
      </c>
      <c r="T114" s="177">
        <f>R114-S114</f>
        <v>0</v>
      </c>
    </row>
    <row r="115" spans="1:23" hidden="1" x14ac:dyDescent="0.25">
      <c r="A115" s="173" t="s">
        <v>754</v>
      </c>
      <c r="C115" s="161">
        <v>0.5</v>
      </c>
      <c r="D115" s="161">
        <v>0.5</v>
      </c>
      <c r="E115" s="161">
        <v>0.5</v>
      </c>
      <c r="F115" s="161">
        <v>0.5</v>
      </c>
      <c r="G115" s="161">
        <v>0.5</v>
      </c>
      <c r="H115" s="161">
        <v>0.5</v>
      </c>
      <c r="I115" s="161">
        <v>0.5</v>
      </c>
      <c r="J115" s="161">
        <v>0.5</v>
      </c>
      <c r="K115" s="161">
        <v>0.5</v>
      </c>
      <c r="L115" s="161">
        <v>0.5</v>
      </c>
      <c r="M115" s="161">
        <v>0.5</v>
      </c>
      <c r="N115" s="161">
        <v>0.5</v>
      </c>
      <c r="O115" s="161"/>
      <c r="P115" s="194"/>
      <c r="Q115" s="194"/>
      <c r="U115" s="220"/>
      <c r="W115" s="220"/>
    </row>
    <row r="116" spans="1:23" hidden="1" x14ac:dyDescent="0.25">
      <c r="A116" s="173" t="s">
        <v>755</v>
      </c>
      <c r="C116" s="167">
        <f>C110/C115</f>
        <v>0</v>
      </c>
      <c r="D116" s="167">
        <f t="shared" ref="D116:N116" si="61">D110/D115</f>
        <v>0</v>
      </c>
      <c r="E116" s="167">
        <f t="shared" si="61"/>
        <v>0</v>
      </c>
      <c r="F116" s="167">
        <f t="shared" si="61"/>
        <v>0</v>
      </c>
      <c r="G116" s="167">
        <f t="shared" si="61"/>
        <v>0</v>
      </c>
      <c r="H116" s="167">
        <f t="shared" si="61"/>
        <v>0</v>
      </c>
      <c r="I116" s="167">
        <f t="shared" si="61"/>
        <v>0</v>
      </c>
      <c r="J116" s="167">
        <f t="shared" si="61"/>
        <v>0</v>
      </c>
      <c r="K116" s="167">
        <f t="shared" si="61"/>
        <v>0</v>
      </c>
      <c r="L116" s="167">
        <f t="shared" si="61"/>
        <v>0</v>
      </c>
      <c r="M116" s="167">
        <f t="shared" si="61"/>
        <v>0</v>
      </c>
      <c r="N116" s="167">
        <f t="shared" si="61"/>
        <v>0</v>
      </c>
      <c r="O116" s="167">
        <f>SUM(C116:N116)</f>
        <v>0</v>
      </c>
      <c r="P116" s="167">
        <f>MAX(C116:N116)</f>
        <v>0</v>
      </c>
      <c r="Q116" s="167"/>
    </row>
    <row r="117" spans="1:23" hidden="1" x14ac:dyDescent="0.25"/>
    <row r="118" spans="1:23" hidden="1" x14ac:dyDescent="0.25">
      <c r="A118" s="227">
        <f>A16</f>
        <v>0</v>
      </c>
      <c r="B118" s="216">
        <f>B16</f>
        <v>0</v>
      </c>
      <c r="C118" s="167">
        <v>0</v>
      </c>
      <c r="D118" s="167">
        <v>0</v>
      </c>
      <c r="E118" s="167">
        <v>0</v>
      </c>
      <c r="F118" s="167">
        <v>0</v>
      </c>
      <c r="G118" s="167">
        <v>0</v>
      </c>
      <c r="H118" s="167">
        <v>0</v>
      </c>
      <c r="I118" s="167">
        <v>0</v>
      </c>
      <c r="J118" s="167">
        <v>0</v>
      </c>
      <c r="K118" s="167">
        <v>0</v>
      </c>
      <c r="L118" s="167">
        <v>0</v>
      </c>
      <c r="M118" s="167">
        <v>0</v>
      </c>
      <c r="N118" s="167">
        <v>0</v>
      </c>
      <c r="O118" s="167">
        <f>ROUND(SUM(C118:N118)/12,0)</f>
        <v>0</v>
      </c>
      <c r="P118" s="167"/>
      <c r="Q118" s="177"/>
    </row>
    <row r="119" spans="1:23" hidden="1" x14ac:dyDescent="0.25">
      <c r="A119" s="173" t="s">
        <v>676</v>
      </c>
      <c r="C119" s="167">
        <v>0</v>
      </c>
      <c r="D119" s="167">
        <v>0</v>
      </c>
      <c r="E119" s="167">
        <v>0</v>
      </c>
      <c r="F119" s="167">
        <v>0</v>
      </c>
      <c r="G119" s="167">
        <v>0</v>
      </c>
      <c r="H119" s="167">
        <v>0</v>
      </c>
      <c r="I119" s="167">
        <v>0</v>
      </c>
      <c r="J119" s="167">
        <v>0</v>
      </c>
      <c r="K119" s="167">
        <v>0</v>
      </c>
      <c r="L119" s="167">
        <v>0</v>
      </c>
      <c r="M119" s="167">
        <v>0</v>
      </c>
      <c r="N119" s="167">
        <v>0</v>
      </c>
      <c r="O119" s="167">
        <f>SUM(C119:N119)</f>
        <v>0</v>
      </c>
      <c r="P119" s="194"/>
      <c r="Q119" s="194"/>
      <c r="U119" s="220"/>
      <c r="W119" s="220"/>
    </row>
    <row r="120" spans="1:23" hidden="1" x14ac:dyDescent="0.25">
      <c r="A120" s="173" t="s">
        <v>677</v>
      </c>
      <c r="C120" s="167">
        <f>C119/744</f>
        <v>0</v>
      </c>
      <c r="D120" s="162">
        <f>D119/720</f>
        <v>0</v>
      </c>
      <c r="E120" s="167">
        <f t="shared" ref="E120" si="62">E119/744</f>
        <v>0</v>
      </c>
      <c r="F120" s="167">
        <f>F119/720</f>
        <v>0</v>
      </c>
      <c r="G120" s="167">
        <f t="shared" ref="G120" si="63">G119/744</f>
        <v>0</v>
      </c>
      <c r="H120" s="162">
        <f>H119/744</f>
        <v>0</v>
      </c>
      <c r="I120" s="162">
        <f>I119/672</f>
        <v>0</v>
      </c>
      <c r="J120" s="167">
        <f t="shared" ref="J120" si="64">J119/744</f>
        <v>0</v>
      </c>
      <c r="K120" s="167">
        <f>K119/720</f>
        <v>0</v>
      </c>
      <c r="L120" s="167">
        <f t="shared" ref="L120" si="65">L119/744</f>
        <v>0</v>
      </c>
      <c r="M120" s="167">
        <f>M119/720</f>
        <v>0</v>
      </c>
      <c r="N120" s="167">
        <f t="shared" ref="N120" si="66">N119/744</f>
        <v>0</v>
      </c>
      <c r="O120" s="167">
        <f>O119/8760</f>
        <v>0</v>
      </c>
      <c r="P120" s="167"/>
      <c r="Q120" s="167"/>
    </row>
    <row r="121" spans="1:23" hidden="1" x14ac:dyDescent="0.25">
      <c r="A121" s="173" t="s">
        <v>752</v>
      </c>
      <c r="C121" s="161">
        <v>0.5</v>
      </c>
      <c r="D121" s="161">
        <v>0.5</v>
      </c>
      <c r="E121" s="161">
        <v>0.5</v>
      </c>
      <c r="F121" s="161">
        <v>0.5</v>
      </c>
      <c r="G121" s="161">
        <v>0.5</v>
      </c>
      <c r="H121" s="161">
        <v>0.5</v>
      </c>
      <c r="I121" s="161">
        <v>0.5</v>
      </c>
      <c r="J121" s="161">
        <v>0.5</v>
      </c>
      <c r="K121" s="161">
        <v>0.5</v>
      </c>
      <c r="L121" s="161">
        <v>0.5</v>
      </c>
      <c r="M121" s="161">
        <v>0.5</v>
      </c>
      <c r="N121" s="161">
        <v>0.5</v>
      </c>
      <c r="O121" s="161"/>
      <c r="Q121" s="177"/>
    </row>
    <row r="122" spans="1:23" hidden="1" x14ac:dyDescent="0.25">
      <c r="A122" s="173" t="s">
        <v>753</v>
      </c>
      <c r="C122" s="167">
        <f>C120/C121</f>
        <v>0</v>
      </c>
      <c r="D122" s="167">
        <f t="shared" ref="D122:N122" si="67">D120/D121</f>
        <v>0</v>
      </c>
      <c r="E122" s="167">
        <f t="shared" si="67"/>
        <v>0</v>
      </c>
      <c r="F122" s="167">
        <f t="shared" si="67"/>
        <v>0</v>
      </c>
      <c r="G122" s="167">
        <f t="shared" si="67"/>
        <v>0</v>
      </c>
      <c r="H122" s="167">
        <f t="shared" si="67"/>
        <v>0</v>
      </c>
      <c r="I122" s="167">
        <f t="shared" si="67"/>
        <v>0</v>
      </c>
      <c r="J122" s="167">
        <f t="shared" si="67"/>
        <v>0</v>
      </c>
      <c r="K122" s="167">
        <f t="shared" si="67"/>
        <v>0</v>
      </c>
      <c r="L122" s="167">
        <f t="shared" si="67"/>
        <v>0</v>
      </c>
      <c r="M122" s="167">
        <f t="shared" si="67"/>
        <v>0</v>
      </c>
      <c r="N122" s="167">
        <f t="shared" si="67"/>
        <v>0</v>
      </c>
      <c r="O122" s="167">
        <f>SUM(C122:N122)</f>
        <v>0</v>
      </c>
      <c r="Q122" s="177">
        <f>MAX(C122:N122)</f>
        <v>0</v>
      </c>
    </row>
    <row r="123" spans="1:23" hidden="1" x14ac:dyDescent="0.25">
      <c r="A123" s="173" t="s">
        <v>678</v>
      </c>
      <c r="C123" s="161">
        <v>1</v>
      </c>
      <c r="D123" s="161">
        <v>1</v>
      </c>
      <c r="E123" s="161">
        <v>1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>
        <v>0</v>
      </c>
      <c r="L123" s="161">
        <v>1</v>
      </c>
      <c r="M123" s="161">
        <v>1</v>
      </c>
      <c r="N123" s="161">
        <v>1</v>
      </c>
      <c r="O123" s="161"/>
      <c r="P123" s="167"/>
      <c r="Q123" s="177"/>
    </row>
    <row r="124" spans="1:23" hidden="1" x14ac:dyDescent="0.25">
      <c r="A124" s="173" t="s">
        <v>679</v>
      </c>
      <c r="C124" s="167">
        <f t="shared" ref="C124:N124" si="68">C122*C123</f>
        <v>0</v>
      </c>
      <c r="D124" s="167">
        <f t="shared" si="68"/>
        <v>0</v>
      </c>
      <c r="E124" s="167">
        <f t="shared" si="68"/>
        <v>0</v>
      </c>
      <c r="F124" s="167">
        <f t="shared" si="68"/>
        <v>0</v>
      </c>
      <c r="G124" s="167">
        <f t="shared" si="68"/>
        <v>0</v>
      </c>
      <c r="H124" s="167">
        <f t="shared" si="68"/>
        <v>0</v>
      </c>
      <c r="I124" s="167">
        <f t="shared" si="68"/>
        <v>0</v>
      </c>
      <c r="J124" s="167">
        <f t="shared" si="68"/>
        <v>0</v>
      </c>
      <c r="K124" s="167">
        <f t="shared" si="68"/>
        <v>0</v>
      </c>
      <c r="L124" s="167">
        <f t="shared" si="68"/>
        <v>0</v>
      </c>
      <c r="M124" s="167">
        <f t="shared" si="68"/>
        <v>0</v>
      </c>
      <c r="N124" s="167">
        <f t="shared" si="68"/>
        <v>0</v>
      </c>
      <c r="O124" s="167">
        <f>SUM(C124:N124)</f>
        <v>0</v>
      </c>
      <c r="P124" s="167"/>
      <c r="Q124" s="177"/>
      <c r="R124" s="177">
        <f>O124</f>
        <v>0</v>
      </c>
      <c r="S124" s="177">
        <f>H124+I124+J124</f>
        <v>0</v>
      </c>
      <c r="T124" s="177">
        <f>R124-S124</f>
        <v>0</v>
      </c>
    </row>
    <row r="125" spans="1:23" hidden="1" x14ac:dyDescent="0.25">
      <c r="A125" s="173" t="s">
        <v>754</v>
      </c>
      <c r="C125" s="161">
        <v>0.5</v>
      </c>
      <c r="D125" s="161">
        <v>0.5</v>
      </c>
      <c r="E125" s="161">
        <v>0.5</v>
      </c>
      <c r="F125" s="161">
        <v>0.5</v>
      </c>
      <c r="G125" s="161">
        <v>0.5</v>
      </c>
      <c r="H125" s="161">
        <v>0.5</v>
      </c>
      <c r="I125" s="161">
        <v>0.5</v>
      </c>
      <c r="J125" s="161">
        <v>0.5</v>
      </c>
      <c r="K125" s="161">
        <v>0.5</v>
      </c>
      <c r="L125" s="161">
        <v>0.5</v>
      </c>
      <c r="M125" s="161">
        <v>0.5</v>
      </c>
      <c r="N125" s="161">
        <v>0.5</v>
      </c>
      <c r="O125" s="161"/>
      <c r="P125" s="194"/>
      <c r="Q125" s="194"/>
      <c r="U125" s="220"/>
      <c r="W125" s="220"/>
    </row>
    <row r="126" spans="1:23" hidden="1" x14ac:dyDescent="0.25">
      <c r="A126" s="173" t="s">
        <v>755</v>
      </c>
      <c r="C126" s="167">
        <f>C120/C125</f>
        <v>0</v>
      </c>
      <c r="D126" s="167">
        <f t="shared" ref="D126:N126" si="69">D120/D125</f>
        <v>0</v>
      </c>
      <c r="E126" s="167">
        <f t="shared" si="69"/>
        <v>0</v>
      </c>
      <c r="F126" s="167">
        <f t="shared" si="69"/>
        <v>0</v>
      </c>
      <c r="G126" s="167">
        <f t="shared" si="69"/>
        <v>0</v>
      </c>
      <c r="H126" s="167">
        <f t="shared" si="69"/>
        <v>0</v>
      </c>
      <c r="I126" s="167">
        <f t="shared" si="69"/>
        <v>0</v>
      </c>
      <c r="J126" s="167">
        <f t="shared" si="69"/>
        <v>0</v>
      </c>
      <c r="K126" s="167">
        <f t="shared" si="69"/>
        <v>0</v>
      </c>
      <c r="L126" s="167">
        <f t="shared" si="69"/>
        <v>0</v>
      </c>
      <c r="M126" s="167">
        <f t="shared" si="69"/>
        <v>0</v>
      </c>
      <c r="N126" s="167">
        <f t="shared" si="69"/>
        <v>0</v>
      </c>
      <c r="O126" s="167">
        <f>SUM(C126:N126)</f>
        <v>0</v>
      </c>
      <c r="P126" s="167">
        <f>MAX(C126:N126)</f>
        <v>0</v>
      </c>
      <c r="Q126" s="167"/>
    </row>
    <row r="127" spans="1:23" hidden="1" x14ac:dyDescent="0.25"/>
    <row r="128" spans="1:23" hidden="1" x14ac:dyDescent="0.25">
      <c r="A128" s="227">
        <f>A17</f>
        <v>0</v>
      </c>
      <c r="B128" s="216">
        <f>B17</f>
        <v>0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167">
        <v>0</v>
      </c>
      <c r="J128" s="167">
        <v>0</v>
      </c>
      <c r="K128" s="167">
        <v>0</v>
      </c>
      <c r="L128" s="167">
        <v>0</v>
      </c>
      <c r="M128" s="167">
        <v>0</v>
      </c>
      <c r="N128" s="167">
        <v>0</v>
      </c>
      <c r="O128" s="167">
        <f>ROUND(SUM(C128:N128)/12,0)</f>
        <v>0</v>
      </c>
      <c r="P128" s="167"/>
      <c r="Q128" s="177"/>
    </row>
    <row r="129" spans="1:23" hidden="1" x14ac:dyDescent="0.25">
      <c r="A129" s="173" t="s">
        <v>676</v>
      </c>
      <c r="C129" s="167">
        <v>0</v>
      </c>
      <c r="D129" s="167">
        <v>0</v>
      </c>
      <c r="E129" s="167">
        <v>0</v>
      </c>
      <c r="F129" s="167">
        <v>0</v>
      </c>
      <c r="G129" s="167">
        <v>0</v>
      </c>
      <c r="H129" s="167">
        <v>0</v>
      </c>
      <c r="I129" s="167">
        <v>0</v>
      </c>
      <c r="J129" s="167">
        <v>0</v>
      </c>
      <c r="K129" s="167">
        <v>0</v>
      </c>
      <c r="L129" s="167">
        <v>0</v>
      </c>
      <c r="M129" s="167">
        <v>0</v>
      </c>
      <c r="N129" s="167">
        <v>0</v>
      </c>
      <c r="O129" s="167">
        <f>SUM(C129:N129)</f>
        <v>0</v>
      </c>
      <c r="P129" s="194"/>
      <c r="Q129" s="194"/>
      <c r="U129" s="220"/>
      <c r="W129" s="220"/>
    </row>
    <row r="130" spans="1:23" hidden="1" x14ac:dyDescent="0.25">
      <c r="A130" s="173" t="s">
        <v>677</v>
      </c>
      <c r="C130" s="167">
        <f>C129/744</f>
        <v>0</v>
      </c>
      <c r="D130" s="162">
        <f>D129/720</f>
        <v>0</v>
      </c>
      <c r="E130" s="167">
        <f t="shared" ref="E130:N130" si="70">E129/744</f>
        <v>0</v>
      </c>
      <c r="F130" s="167">
        <f>F129/720</f>
        <v>0</v>
      </c>
      <c r="G130" s="167">
        <f t="shared" si="70"/>
        <v>0</v>
      </c>
      <c r="H130" s="162">
        <f>H129/744</f>
        <v>0</v>
      </c>
      <c r="I130" s="162">
        <f>I129/672</f>
        <v>0</v>
      </c>
      <c r="J130" s="167">
        <f t="shared" si="70"/>
        <v>0</v>
      </c>
      <c r="K130" s="167">
        <f>K129/720</f>
        <v>0</v>
      </c>
      <c r="L130" s="167">
        <f t="shared" si="70"/>
        <v>0</v>
      </c>
      <c r="M130" s="167">
        <f>M129/720</f>
        <v>0</v>
      </c>
      <c r="N130" s="167">
        <f t="shared" si="70"/>
        <v>0</v>
      </c>
      <c r="O130" s="167">
        <f>O129/8760</f>
        <v>0</v>
      </c>
      <c r="P130" s="167"/>
      <c r="Q130" s="167"/>
    </row>
    <row r="131" spans="1:23" hidden="1" x14ac:dyDescent="0.25">
      <c r="A131" s="173" t="s">
        <v>752</v>
      </c>
      <c r="C131" s="161">
        <v>0.5</v>
      </c>
      <c r="D131" s="161">
        <v>0.5</v>
      </c>
      <c r="E131" s="161">
        <v>0.5</v>
      </c>
      <c r="F131" s="161">
        <v>0.5</v>
      </c>
      <c r="G131" s="161">
        <v>0.5</v>
      </c>
      <c r="H131" s="161">
        <v>0.5</v>
      </c>
      <c r="I131" s="161">
        <v>0.5</v>
      </c>
      <c r="J131" s="161">
        <v>0.5</v>
      </c>
      <c r="K131" s="161">
        <v>0.5</v>
      </c>
      <c r="L131" s="161">
        <v>0.5</v>
      </c>
      <c r="M131" s="161">
        <v>0.5</v>
      </c>
      <c r="N131" s="161">
        <v>0.5</v>
      </c>
      <c r="O131" s="161"/>
      <c r="Q131" s="177"/>
    </row>
    <row r="132" spans="1:23" hidden="1" x14ac:dyDescent="0.25">
      <c r="A132" s="173" t="s">
        <v>753</v>
      </c>
      <c r="C132" s="167"/>
      <c r="D132" s="167"/>
      <c r="E132" s="167"/>
      <c r="F132" s="167">
        <v>0</v>
      </c>
      <c r="G132" s="167">
        <v>0</v>
      </c>
      <c r="H132" s="167">
        <v>0</v>
      </c>
      <c r="I132" s="167">
        <v>0</v>
      </c>
      <c r="J132" s="167">
        <v>0</v>
      </c>
      <c r="K132" s="167"/>
      <c r="L132" s="167"/>
      <c r="M132" s="167"/>
      <c r="N132" s="167"/>
      <c r="O132" s="167">
        <f>SUM(C132:N132)</f>
        <v>0</v>
      </c>
      <c r="Q132" s="177">
        <f>MAX(C132:N132)</f>
        <v>0</v>
      </c>
    </row>
    <row r="133" spans="1:23" hidden="1" x14ac:dyDescent="0.25">
      <c r="A133" s="173" t="s">
        <v>678</v>
      </c>
      <c r="C133" s="161">
        <v>1</v>
      </c>
      <c r="D133" s="161">
        <v>1</v>
      </c>
      <c r="E133" s="161">
        <v>1</v>
      </c>
      <c r="F133" s="161">
        <v>0</v>
      </c>
      <c r="G133" s="161">
        <v>0</v>
      </c>
      <c r="H133" s="161">
        <v>0</v>
      </c>
      <c r="I133" s="161">
        <v>0</v>
      </c>
      <c r="J133" s="161">
        <v>0</v>
      </c>
      <c r="K133" s="161">
        <v>0</v>
      </c>
      <c r="L133" s="161">
        <v>1</v>
      </c>
      <c r="M133" s="161">
        <v>1</v>
      </c>
      <c r="N133" s="161">
        <v>1</v>
      </c>
      <c r="O133" s="161"/>
      <c r="P133" s="167"/>
      <c r="Q133" s="177"/>
    </row>
    <row r="134" spans="1:23" hidden="1" x14ac:dyDescent="0.25">
      <c r="A134" s="173" t="s">
        <v>679</v>
      </c>
      <c r="C134" s="167">
        <f t="shared" ref="C134:N134" si="71">C132*C133</f>
        <v>0</v>
      </c>
      <c r="D134" s="167">
        <f t="shared" si="71"/>
        <v>0</v>
      </c>
      <c r="E134" s="167">
        <f t="shared" si="71"/>
        <v>0</v>
      </c>
      <c r="F134" s="167">
        <f t="shared" si="71"/>
        <v>0</v>
      </c>
      <c r="G134" s="167">
        <f t="shared" si="71"/>
        <v>0</v>
      </c>
      <c r="H134" s="167">
        <f t="shared" si="71"/>
        <v>0</v>
      </c>
      <c r="I134" s="167">
        <f t="shared" si="71"/>
        <v>0</v>
      </c>
      <c r="J134" s="167">
        <f t="shared" si="71"/>
        <v>0</v>
      </c>
      <c r="K134" s="167">
        <f t="shared" si="71"/>
        <v>0</v>
      </c>
      <c r="L134" s="167">
        <f t="shared" si="71"/>
        <v>0</v>
      </c>
      <c r="M134" s="167">
        <f t="shared" si="71"/>
        <v>0</v>
      </c>
      <c r="N134" s="167">
        <f t="shared" si="71"/>
        <v>0</v>
      </c>
      <c r="O134" s="167">
        <f>SUM(C134:N134)</f>
        <v>0</v>
      </c>
      <c r="P134" s="167"/>
      <c r="Q134" s="177"/>
      <c r="R134" s="177">
        <f>O134</f>
        <v>0</v>
      </c>
      <c r="S134" s="177">
        <f>H134+I134+J134</f>
        <v>0</v>
      </c>
      <c r="T134" s="177">
        <f>R134-S134</f>
        <v>0</v>
      </c>
    </row>
    <row r="135" spans="1:23" hidden="1" x14ac:dyDescent="0.25">
      <c r="A135" s="173" t="s">
        <v>754</v>
      </c>
      <c r="C135" s="161">
        <v>0.5</v>
      </c>
      <c r="D135" s="161">
        <v>0.5</v>
      </c>
      <c r="E135" s="161">
        <v>0.5</v>
      </c>
      <c r="F135" s="161">
        <v>0.5</v>
      </c>
      <c r="G135" s="161">
        <v>0.5</v>
      </c>
      <c r="H135" s="161">
        <v>0.5</v>
      </c>
      <c r="I135" s="161">
        <v>0.5</v>
      </c>
      <c r="J135" s="161">
        <v>0.5</v>
      </c>
      <c r="K135" s="161">
        <v>0.5</v>
      </c>
      <c r="L135" s="161">
        <v>0.5</v>
      </c>
      <c r="M135" s="161">
        <v>0.5</v>
      </c>
      <c r="N135" s="161">
        <v>0.5</v>
      </c>
      <c r="O135" s="161"/>
      <c r="P135" s="194"/>
      <c r="Q135" s="194"/>
      <c r="U135" s="220"/>
      <c r="W135" s="220"/>
    </row>
    <row r="136" spans="1:23" hidden="1" x14ac:dyDescent="0.25">
      <c r="A136" s="173" t="s">
        <v>755</v>
      </c>
      <c r="C136" s="167">
        <f>C130/C135</f>
        <v>0</v>
      </c>
      <c r="D136" s="167">
        <f t="shared" ref="D136:N136" si="72">D130/D135</f>
        <v>0</v>
      </c>
      <c r="E136" s="167">
        <f t="shared" si="72"/>
        <v>0</v>
      </c>
      <c r="F136" s="167">
        <f t="shared" si="72"/>
        <v>0</v>
      </c>
      <c r="G136" s="167">
        <f t="shared" si="72"/>
        <v>0</v>
      </c>
      <c r="H136" s="167">
        <f t="shared" si="72"/>
        <v>0</v>
      </c>
      <c r="I136" s="167">
        <f t="shared" si="72"/>
        <v>0</v>
      </c>
      <c r="J136" s="167">
        <f t="shared" si="72"/>
        <v>0</v>
      </c>
      <c r="K136" s="167">
        <f t="shared" si="72"/>
        <v>0</v>
      </c>
      <c r="L136" s="167">
        <f t="shared" si="72"/>
        <v>0</v>
      </c>
      <c r="M136" s="167">
        <f t="shared" si="72"/>
        <v>0</v>
      </c>
      <c r="N136" s="167">
        <f t="shared" si="72"/>
        <v>0</v>
      </c>
      <c r="O136" s="167">
        <f>SUM(C136:N136)</f>
        <v>0</v>
      </c>
      <c r="P136" s="167">
        <f>MAX(C136:N136)</f>
        <v>0</v>
      </c>
      <c r="Q136" s="167"/>
    </row>
    <row r="137" spans="1:23" hidden="1" x14ac:dyDescent="0.25">
      <c r="L137" s="167"/>
    </row>
    <row r="138" spans="1:23" hidden="1" x14ac:dyDescent="0.25">
      <c r="A138" s="227">
        <f>A18</f>
        <v>0</v>
      </c>
      <c r="B138" s="216">
        <f>B18</f>
        <v>0</v>
      </c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77"/>
    </row>
    <row r="139" spans="1:23" hidden="1" x14ac:dyDescent="0.25">
      <c r="A139" s="173" t="s">
        <v>676</v>
      </c>
      <c r="C139" s="167">
        <v>0</v>
      </c>
      <c r="D139" s="167">
        <v>0</v>
      </c>
      <c r="E139" s="167">
        <v>0</v>
      </c>
      <c r="F139" s="167">
        <v>0</v>
      </c>
      <c r="G139" s="167">
        <v>0</v>
      </c>
      <c r="H139" s="167">
        <v>0</v>
      </c>
      <c r="I139" s="167">
        <v>0</v>
      </c>
      <c r="J139" s="167">
        <v>0</v>
      </c>
      <c r="K139" s="167">
        <v>0</v>
      </c>
      <c r="L139" s="167">
        <v>0</v>
      </c>
      <c r="M139" s="167">
        <v>0</v>
      </c>
      <c r="N139" s="167">
        <v>0</v>
      </c>
      <c r="O139" s="167">
        <f>SUM(C139:N139)</f>
        <v>0</v>
      </c>
      <c r="P139" s="194"/>
      <c r="Q139" s="194"/>
      <c r="U139" s="220"/>
      <c r="W139" s="220"/>
    </row>
    <row r="140" spans="1:23" hidden="1" x14ac:dyDescent="0.25">
      <c r="A140" s="173" t="s">
        <v>677</v>
      </c>
      <c r="C140" s="167">
        <f>C139/744</f>
        <v>0</v>
      </c>
      <c r="D140" s="162">
        <f>D139/720</f>
        <v>0</v>
      </c>
      <c r="E140" s="167">
        <f t="shared" ref="E140:N140" si="73">E139/744</f>
        <v>0</v>
      </c>
      <c r="F140" s="167">
        <f>F139/720</f>
        <v>0</v>
      </c>
      <c r="G140" s="167">
        <f t="shared" si="73"/>
        <v>0</v>
      </c>
      <c r="H140" s="162">
        <f>H139/744</f>
        <v>0</v>
      </c>
      <c r="I140" s="162">
        <f>I139/672</f>
        <v>0</v>
      </c>
      <c r="J140" s="167">
        <f t="shared" si="73"/>
        <v>0</v>
      </c>
      <c r="K140" s="167">
        <f>K139/720</f>
        <v>0</v>
      </c>
      <c r="L140" s="167">
        <f t="shared" si="73"/>
        <v>0</v>
      </c>
      <c r="M140" s="167">
        <f>M139/720</f>
        <v>0</v>
      </c>
      <c r="N140" s="167">
        <f t="shared" si="73"/>
        <v>0</v>
      </c>
      <c r="O140" s="167">
        <f>O139/8760</f>
        <v>0</v>
      </c>
      <c r="P140" s="167"/>
      <c r="Q140" s="167"/>
    </row>
    <row r="141" spans="1:23" hidden="1" x14ac:dyDescent="0.25">
      <c r="A141" s="173" t="s">
        <v>752</v>
      </c>
      <c r="C141" s="161">
        <v>0</v>
      </c>
      <c r="D141" s="161">
        <v>0</v>
      </c>
      <c r="E141" s="161">
        <v>0</v>
      </c>
      <c r="F141" s="161">
        <v>0.25</v>
      </c>
      <c r="G141" s="161">
        <v>0.25</v>
      </c>
      <c r="H141" s="161">
        <v>0.25</v>
      </c>
      <c r="I141" s="161">
        <v>0.25</v>
      </c>
      <c r="J141" s="161">
        <v>0</v>
      </c>
      <c r="K141" s="161">
        <v>0</v>
      </c>
      <c r="L141" s="161">
        <v>0</v>
      </c>
      <c r="M141" s="161">
        <v>0</v>
      </c>
      <c r="N141" s="161">
        <v>0</v>
      </c>
      <c r="O141" s="161"/>
      <c r="Q141" s="177"/>
    </row>
    <row r="142" spans="1:23" hidden="1" x14ac:dyDescent="0.25">
      <c r="A142" s="173" t="s">
        <v>753</v>
      </c>
      <c r="C142" s="167"/>
      <c r="D142" s="167"/>
      <c r="E142" s="167"/>
      <c r="F142" s="167">
        <v>0</v>
      </c>
      <c r="G142" s="167">
        <v>0</v>
      </c>
      <c r="H142" s="167">
        <v>0</v>
      </c>
      <c r="I142" s="167">
        <v>0</v>
      </c>
      <c r="J142" s="167">
        <v>0</v>
      </c>
      <c r="K142" s="167"/>
      <c r="L142" s="167"/>
      <c r="M142" s="167"/>
      <c r="N142" s="167"/>
      <c r="O142" s="167">
        <f>SUM(C142:N142)</f>
        <v>0</v>
      </c>
      <c r="Q142" s="177">
        <f>MAX(C142:N142)</f>
        <v>0</v>
      </c>
    </row>
    <row r="143" spans="1:23" hidden="1" x14ac:dyDescent="0.25">
      <c r="A143" s="173" t="s">
        <v>678</v>
      </c>
      <c r="C143" s="161">
        <v>1</v>
      </c>
      <c r="D143" s="161">
        <v>1</v>
      </c>
      <c r="E143" s="161">
        <v>1</v>
      </c>
      <c r="F143" s="161">
        <v>0</v>
      </c>
      <c r="G143" s="161">
        <v>0</v>
      </c>
      <c r="H143" s="161">
        <v>0</v>
      </c>
      <c r="I143" s="161">
        <v>0</v>
      </c>
      <c r="J143" s="161">
        <v>0</v>
      </c>
      <c r="K143" s="161">
        <v>0</v>
      </c>
      <c r="L143" s="161">
        <v>1</v>
      </c>
      <c r="M143" s="161">
        <v>1</v>
      </c>
      <c r="N143" s="161">
        <v>1</v>
      </c>
      <c r="O143" s="161"/>
      <c r="P143" s="167"/>
      <c r="Q143" s="177"/>
    </row>
    <row r="144" spans="1:23" hidden="1" x14ac:dyDescent="0.25">
      <c r="A144" s="173" t="s">
        <v>679</v>
      </c>
      <c r="C144" s="167">
        <f t="shared" ref="C144:N144" si="74">C142*C143</f>
        <v>0</v>
      </c>
      <c r="D144" s="167">
        <f t="shared" si="74"/>
        <v>0</v>
      </c>
      <c r="E144" s="167">
        <f t="shared" si="74"/>
        <v>0</v>
      </c>
      <c r="F144" s="167">
        <f t="shared" si="74"/>
        <v>0</v>
      </c>
      <c r="G144" s="167">
        <f t="shared" si="74"/>
        <v>0</v>
      </c>
      <c r="H144" s="167">
        <f t="shared" si="74"/>
        <v>0</v>
      </c>
      <c r="I144" s="167">
        <f t="shared" si="74"/>
        <v>0</v>
      </c>
      <c r="J144" s="167">
        <f t="shared" si="74"/>
        <v>0</v>
      </c>
      <c r="K144" s="167">
        <f t="shared" si="74"/>
        <v>0</v>
      </c>
      <c r="L144" s="167">
        <f t="shared" si="74"/>
        <v>0</v>
      </c>
      <c r="M144" s="167">
        <f t="shared" si="74"/>
        <v>0</v>
      </c>
      <c r="N144" s="167">
        <f t="shared" si="74"/>
        <v>0</v>
      </c>
      <c r="O144" s="167">
        <f>SUM(C144:N144)</f>
        <v>0</v>
      </c>
      <c r="P144" s="167"/>
      <c r="Q144" s="177"/>
      <c r="R144" s="177">
        <f>O144</f>
        <v>0</v>
      </c>
      <c r="S144" s="177">
        <f>H144+I144+J144</f>
        <v>0</v>
      </c>
      <c r="T144" s="177">
        <f>R144-S144</f>
        <v>0</v>
      </c>
    </row>
    <row r="145" spans="1:23" hidden="1" x14ac:dyDescent="0.25">
      <c r="A145" s="173" t="s">
        <v>754</v>
      </c>
      <c r="C145" s="161">
        <v>0.65</v>
      </c>
      <c r="D145" s="161">
        <v>0.65</v>
      </c>
      <c r="E145" s="161">
        <v>0.65</v>
      </c>
      <c r="F145" s="161">
        <v>0.65</v>
      </c>
      <c r="G145" s="161">
        <v>0.65</v>
      </c>
      <c r="H145" s="161">
        <v>0.65</v>
      </c>
      <c r="I145" s="161">
        <v>0.65</v>
      </c>
      <c r="J145" s="161">
        <v>0.65</v>
      </c>
      <c r="K145" s="161">
        <v>0.65</v>
      </c>
      <c r="L145" s="161">
        <v>0.65</v>
      </c>
      <c r="M145" s="161">
        <v>0.65</v>
      </c>
      <c r="N145" s="161">
        <v>0.65</v>
      </c>
      <c r="O145" s="161"/>
      <c r="P145" s="194"/>
      <c r="Q145" s="194"/>
      <c r="U145" s="220"/>
      <c r="W145" s="220"/>
    </row>
    <row r="146" spans="1:23" hidden="1" x14ac:dyDescent="0.25">
      <c r="A146" s="173" t="s">
        <v>755</v>
      </c>
      <c r="C146" s="167">
        <f>C140/C145</f>
        <v>0</v>
      </c>
      <c r="D146" s="167">
        <f t="shared" ref="D146:N146" si="75">D140/D145</f>
        <v>0</v>
      </c>
      <c r="E146" s="167">
        <f t="shared" si="75"/>
        <v>0</v>
      </c>
      <c r="F146" s="167">
        <f t="shared" si="75"/>
        <v>0</v>
      </c>
      <c r="G146" s="167">
        <f t="shared" si="75"/>
        <v>0</v>
      </c>
      <c r="H146" s="167">
        <f t="shared" si="75"/>
        <v>0</v>
      </c>
      <c r="I146" s="167">
        <f t="shared" si="75"/>
        <v>0</v>
      </c>
      <c r="J146" s="167">
        <f t="shared" si="75"/>
        <v>0</v>
      </c>
      <c r="K146" s="167">
        <f t="shared" si="75"/>
        <v>0</v>
      </c>
      <c r="L146" s="167">
        <f t="shared" si="75"/>
        <v>0</v>
      </c>
      <c r="M146" s="167">
        <f t="shared" si="75"/>
        <v>0</v>
      </c>
      <c r="N146" s="167">
        <f t="shared" si="75"/>
        <v>0</v>
      </c>
      <c r="O146" s="167">
        <f>SUM(C146:N146)</f>
        <v>0</v>
      </c>
      <c r="P146" s="167">
        <f>MAX(C146:N146)</f>
        <v>0</v>
      </c>
      <c r="Q146" s="167"/>
    </row>
    <row r="147" spans="1:23" hidden="1" x14ac:dyDescent="0.25"/>
    <row r="148" spans="1:23" hidden="1" x14ac:dyDescent="0.25">
      <c r="A148" s="227">
        <f>A19</f>
        <v>0</v>
      </c>
      <c r="B148" s="216">
        <f>B19</f>
        <v>0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77"/>
    </row>
    <row r="149" spans="1:23" hidden="1" x14ac:dyDescent="0.25">
      <c r="A149" s="173" t="s">
        <v>676</v>
      </c>
      <c r="C149" s="167">
        <v>0</v>
      </c>
      <c r="D149" s="167">
        <v>0</v>
      </c>
      <c r="E149" s="167">
        <v>0</v>
      </c>
      <c r="F149" s="167">
        <v>0</v>
      </c>
      <c r="G149" s="167">
        <v>0</v>
      </c>
      <c r="H149" s="167">
        <v>0</v>
      </c>
      <c r="I149" s="167">
        <v>0</v>
      </c>
      <c r="J149" s="167">
        <v>0</v>
      </c>
      <c r="K149" s="167">
        <v>0</v>
      </c>
      <c r="L149" s="167">
        <v>0</v>
      </c>
      <c r="M149" s="167">
        <v>0</v>
      </c>
      <c r="N149" s="167">
        <v>0</v>
      </c>
      <c r="O149" s="167">
        <f>SUM(C149:N149)</f>
        <v>0</v>
      </c>
      <c r="P149" s="194"/>
      <c r="Q149" s="194"/>
      <c r="U149" s="220"/>
      <c r="W149" s="220"/>
    </row>
    <row r="150" spans="1:23" hidden="1" x14ac:dyDescent="0.25">
      <c r="A150" s="173" t="s">
        <v>677</v>
      </c>
      <c r="C150" s="167">
        <f>C149/744</f>
        <v>0</v>
      </c>
      <c r="D150" s="162">
        <f>D149/720</f>
        <v>0</v>
      </c>
      <c r="E150" s="167">
        <f t="shared" ref="E150:N150" si="76">E149/744</f>
        <v>0</v>
      </c>
      <c r="F150" s="167">
        <f>F149/720</f>
        <v>0</v>
      </c>
      <c r="G150" s="167">
        <f t="shared" si="76"/>
        <v>0</v>
      </c>
      <c r="H150" s="162">
        <f>H149/744</f>
        <v>0</v>
      </c>
      <c r="I150" s="162">
        <f>I149/672</f>
        <v>0</v>
      </c>
      <c r="J150" s="167">
        <f t="shared" si="76"/>
        <v>0</v>
      </c>
      <c r="K150" s="167">
        <f>K149/720</f>
        <v>0</v>
      </c>
      <c r="L150" s="167">
        <f t="shared" si="76"/>
        <v>0</v>
      </c>
      <c r="M150" s="167">
        <f>M149/720</f>
        <v>0</v>
      </c>
      <c r="N150" s="167">
        <f t="shared" si="76"/>
        <v>0</v>
      </c>
      <c r="O150" s="167">
        <f>O149/8760</f>
        <v>0</v>
      </c>
      <c r="P150" s="167"/>
      <c r="Q150" s="167"/>
    </row>
    <row r="151" spans="1:23" hidden="1" x14ac:dyDescent="0.25">
      <c r="A151" s="173" t="s">
        <v>752</v>
      </c>
      <c r="C151" s="161">
        <v>0</v>
      </c>
      <c r="D151" s="161">
        <v>0</v>
      </c>
      <c r="E151" s="161">
        <v>0</v>
      </c>
      <c r="F151" s="161">
        <v>0.25</v>
      </c>
      <c r="G151" s="161">
        <v>0.25</v>
      </c>
      <c r="H151" s="161">
        <v>0.25</v>
      </c>
      <c r="I151" s="161">
        <v>0.25</v>
      </c>
      <c r="J151" s="161">
        <v>0</v>
      </c>
      <c r="K151" s="161">
        <v>0</v>
      </c>
      <c r="L151" s="161">
        <v>0</v>
      </c>
      <c r="M151" s="161">
        <v>0</v>
      </c>
      <c r="N151" s="161">
        <v>0</v>
      </c>
      <c r="O151" s="161"/>
      <c r="Q151" s="177"/>
    </row>
    <row r="152" spans="1:23" hidden="1" x14ac:dyDescent="0.25">
      <c r="A152" s="173" t="s">
        <v>753</v>
      </c>
      <c r="C152" s="167"/>
      <c r="D152" s="167"/>
      <c r="E152" s="167"/>
      <c r="F152" s="167">
        <v>0</v>
      </c>
      <c r="G152" s="167">
        <v>0</v>
      </c>
      <c r="H152" s="167">
        <v>0</v>
      </c>
      <c r="I152" s="167">
        <v>0</v>
      </c>
      <c r="J152" s="167">
        <v>0</v>
      </c>
      <c r="K152" s="167"/>
      <c r="L152" s="167"/>
      <c r="M152" s="167"/>
      <c r="N152" s="167"/>
      <c r="O152" s="167">
        <f>SUM(C152:N152)</f>
        <v>0</v>
      </c>
      <c r="Q152" s="177">
        <f>MAX(C152:N152)</f>
        <v>0</v>
      </c>
    </row>
    <row r="153" spans="1:23" hidden="1" x14ac:dyDescent="0.25">
      <c r="A153" s="173" t="s">
        <v>678</v>
      </c>
      <c r="C153" s="161">
        <v>1</v>
      </c>
      <c r="D153" s="161">
        <v>1</v>
      </c>
      <c r="E153" s="161">
        <v>1</v>
      </c>
      <c r="F153" s="161">
        <v>0</v>
      </c>
      <c r="G153" s="161">
        <v>0</v>
      </c>
      <c r="H153" s="161">
        <v>0</v>
      </c>
      <c r="I153" s="161">
        <v>0</v>
      </c>
      <c r="J153" s="161">
        <v>0</v>
      </c>
      <c r="K153" s="161">
        <v>0</v>
      </c>
      <c r="L153" s="161">
        <v>1</v>
      </c>
      <c r="M153" s="161">
        <v>1</v>
      </c>
      <c r="N153" s="161">
        <v>1</v>
      </c>
      <c r="O153" s="161"/>
      <c r="P153" s="167"/>
      <c r="Q153" s="177"/>
    </row>
    <row r="154" spans="1:23" hidden="1" x14ac:dyDescent="0.25">
      <c r="A154" s="173" t="s">
        <v>679</v>
      </c>
      <c r="C154" s="167">
        <f t="shared" ref="C154:N154" si="77">C152*C153</f>
        <v>0</v>
      </c>
      <c r="D154" s="167">
        <f t="shared" si="77"/>
        <v>0</v>
      </c>
      <c r="E154" s="167">
        <f t="shared" si="77"/>
        <v>0</v>
      </c>
      <c r="F154" s="167">
        <f t="shared" si="77"/>
        <v>0</v>
      </c>
      <c r="G154" s="167">
        <f t="shared" si="77"/>
        <v>0</v>
      </c>
      <c r="H154" s="167">
        <f t="shared" si="77"/>
        <v>0</v>
      </c>
      <c r="I154" s="167">
        <f t="shared" si="77"/>
        <v>0</v>
      </c>
      <c r="J154" s="167">
        <f t="shared" si="77"/>
        <v>0</v>
      </c>
      <c r="K154" s="167">
        <f t="shared" si="77"/>
        <v>0</v>
      </c>
      <c r="L154" s="167">
        <f t="shared" si="77"/>
        <v>0</v>
      </c>
      <c r="M154" s="167">
        <f t="shared" si="77"/>
        <v>0</v>
      </c>
      <c r="N154" s="167">
        <f t="shared" si="77"/>
        <v>0</v>
      </c>
      <c r="O154" s="167">
        <f>SUM(C154:N154)</f>
        <v>0</v>
      </c>
      <c r="P154" s="167"/>
      <c r="Q154" s="177"/>
      <c r="R154" s="177">
        <f>O154</f>
        <v>0</v>
      </c>
      <c r="S154" s="177">
        <f>H154+I154+J154</f>
        <v>0</v>
      </c>
      <c r="T154" s="177">
        <f>R154-S154</f>
        <v>0</v>
      </c>
    </row>
    <row r="155" spans="1:23" hidden="1" x14ac:dyDescent="0.25">
      <c r="A155" s="173" t="s">
        <v>754</v>
      </c>
      <c r="C155" s="161">
        <v>0.65</v>
      </c>
      <c r="D155" s="161">
        <v>0.65</v>
      </c>
      <c r="E155" s="161">
        <v>0.65</v>
      </c>
      <c r="F155" s="161">
        <v>0.65</v>
      </c>
      <c r="G155" s="161">
        <v>0.65</v>
      </c>
      <c r="H155" s="161">
        <v>0.65</v>
      </c>
      <c r="I155" s="161">
        <v>0.65</v>
      </c>
      <c r="J155" s="161">
        <v>0.65</v>
      </c>
      <c r="K155" s="161">
        <v>0.65</v>
      </c>
      <c r="L155" s="161">
        <v>0.65</v>
      </c>
      <c r="M155" s="161">
        <v>0.65</v>
      </c>
      <c r="N155" s="161">
        <v>0.65</v>
      </c>
      <c r="O155" s="161"/>
      <c r="P155" s="194"/>
      <c r="Q155" s="194"/>
      <c r="U155" s="220"/>
      <c r="W155" s="220"/>
    </row>
    <row r="156" spans="1:23" hidden="1" x14ac:dyDescent="0.25">
      <c r="A156" s="173" t="s">
        <v>755</v>
      </c>
      <c r="C156" s="167">
        <f>C150/C155</f>
        <v>0</v>
      </c>
      <c r="D156" s="167">
        <f t="shared" ref="D156:N156" si="78">D150/D155</f>
        <v>0</v>
      </c>
      <c r="E156" s="167">
        <f t="shared" si="78"/>
        <v>0</v>
      </c>
      <c r="F156" s="167">
        <f t="shared" si="78"/>
        <v>0</v>
      </c>
      <c r="G156" s="167">
        <f t="shared" si="78"/>
        <v>0</v>
      </c>
      <c r="H156" s="167">
        <f t="shared" si="78"/>
        <v>0</v>
      </c>
      <c r="I156" s="167">
        <f t="shared" si="78"/>
        <v>0</v>
      </c>
      <c r="J156" s="167">
        <f t="shared" si="78"/>
        <v>0</v>
      </c>
      <c r="K156" s="167">
        <f t="shared" si="78"/>
        <v>0</v>
      </c>
      <c r="L156" s="167">
        <f t="shared" si="78"/>
        <v>0</v>
      </c>
      <c r="M156" s="167">
        <f t="shared" si="78"/>
        <v>0</v>
      </c>
      <c r="N156" s="167">
        <f t="shared" si="78"/>
        <v>0</v>
      </c>
      <c r="O156" s="167">
        <f>SUM(C156:N156)</f>
        <v>0</v>
      </c>
      <c r="P156" s="167">
        <f>MAX(C156:N156)</f>
        <v>0</v>
      </c>
      <c r="Q156" s="167"/>
    </row>
    <row r="157" spans="1:23" hidden="1" x14ac:dyDescent="0.25"/>
    <row r="158" spans="1:23" hidden="1" x14ac:dyDescent="0.25">
      <c r="A158" s="227">
        <f>A20</f>
        <v>0</v>
      </c>
      <c r="B158" s="216">
        <f>B20</f>
        <v>0</v>
      </c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77"/>
    </row>
    <row r="159" spans="1:23" hidden="1" x14ac:dyDescent="0.25">
      <c r="A159" s="173" t="s">
        <v>676</v>
      </c>
      <c r="C159" s="167">
        <v>0</v>
      </c>
      <c r="D159" s="167">
        <v>0</v>
      </c>
      <c r="E159" s="167">
        <v>0</v>
      </c>
      <c r="F159" s="167">
        <v>0</v>
      </c>
      <c r="G159" s="167">
        <v>0</v>
      </c>
      <c r="H159" s="167">
        <v>0</v>
      </c>
      <c r="I159" s="167">
        <v>0</v>
      </c>
      <c r="J159" s="167">
        <v>0</v>
      </c>
      <c r="K159" s="167">
        <v>0</v>
      </c>
      <c r="L159" s="167">
        <v>0</v>
      </c>
      <c r="M159" s="167">
        <v>0</v>
      </c>
      <c r="N159" s="167">
        <v>0</v>
      </c>
      <c r="O159" s="167">
        <f>SUM(C159:N159)</f>
        <v>0</v>
      </c>
      <c r="P159" s="194"/>
      <c r="Q159" s="194"/>
      <c r="U159" s="220"/>
      <c r="W159" s="220"/>
    </row>
    <row r="160" spans="1:23" hidden="1" x14ac:dyDescent="0.25">
      <c r="A160" s="173" t="s">
        <v>677</v>
      </c>
      <c r="C160" s="167">
        <f>C159/744</f>
        <v>0</v>
      </c>
      <c r="D160" s="162">
        <f>D159/720</f>
        <v>0</v>
      </c>
      <c r="E160" s="167">
        <f t="shared" ref="E160:N160" si="79">E159/744</f>
        <v>0</v>
      </c>
      <c r="F160" s="167">
        <f>F159/720</f>
        <v>0</v>
      </c>
      <c r="G160" s="167">
        <f t="shared" si="79"/>
        <v>0</v>
      </c>
      <c r="H160" s="162">
        <f>H159/744</f>
        <v>0</v>
      </c>
      <c r="I160" s="162">
        <f>I159/672</f>
        <v>0</v>
      </c>
      <c r="J160" s="167">
        <f t="shared" si="79"/>
        <v>0</v>
      </c>
      <c r="K160" s="167">
        <f>K159/720</f>
        <v>0</v>
      </c>
      <c r="L160" s="167">
        <f t="shared" si="79"/>
        <v>0</v>
      </c>
      <c r="M160" s="167">
        <f>M159/720</f>
        <v>0</v>
      </c>
      <c r="N160" s="167">
        <f t="shared" si="79"/>
        <v>0</v>
      </c>
      <c r="O160" s="167">
        <f>O159/8760</f>
        <v>0</v>
      </c>
      <c r="P160" s="167"/>
      <c r="Q160" s="167"/>
    </row>
    <row r="161" spans="1:23" hidden="1" x14ac:dyDescent="0.25">
      <c r="A161" s="173" t="s">
        <v>752</v>
      </c>
      <c r="C161" s="161">
        <v>0</v>
      </c>
      <c r="D161" s="161">
        <v>0</v>
      </c>
      <c r="E161" s="161">
        <v>0</v>
      </c>
      <c r="F161" s="161">
        <v>0.25</v>
      </c>
      <c r="G161" s="161">
        <v>0.25</v>
      </c>
      <c r="H161" s="161">
        <v>0.25</v>
      </c>
      <c r="I161" s="161">
        <v>0.25</v>
      </c>
      <c r="J161" s="161">
        <v>0</v>
      </c>
      <c r="K161" s="161">
        <v>0</v>
      </c>
      <c r="L161" s="161">
        <v>0</v>
      </c>
      <c r="M161" s="161">
        <v>0</v>
      </c>
      <c r="N161" s="161">
        <v>0</v>
      </c>
      <c r="O161" s="161"/>
      <c r="Q161" s="177"/>
    </row>
    <row r="162" spans="1:23" hidden="1" x14ac:dyDescent="0.25">
      <c r="A162" s="173" t="s">
        <v>753</v>
      </c>
      <c r="C162" s="167"/>
      <c r="D162" s="167"/>
      <c r="E162" s="167"/>
      <c r="F162" s="167">
        <v>0</v>
      </c>
      <c r="G162" s="167">
        <v>0</v>
      </c>
      <c r="H162" s="167">
        <v>0</v>
      </c>
      <c r="I162" s="167">
        <v>0</v>
      </c>
      <c r="J162" s="167">
        <v>0</v>
      </c>
      <c r="K162" s="167"/>
      <c r="L162" s="167"/>
      <c r="M162" s="167"/>
      <c r="N162" s="167"/>
      <c r="O162" s="167">
        <f>SUM(C162:N162)</f>
        <v>0</v>
      </c>
      <c r="Q162" s="177">
        <f>MAX(C162:N162)</f>
        <v>0</v>
      </c>
    </row>
    <row r="163" spans="1:23" hidden="1" x14ac:dyDescent="0.25">
      <c r="A163" s="173" t="s">
        <v>678</v>
      </c>
      <c r="C163" s="161">
        <v>1</v>
      </c>
      <c r="D163" s="161">
        <v>1</v>
      </c>
      <c r="E163" s="161">
        <v>1</v>
      </c>
      <c r="F163" s="161">
        <v>0</v>
      </c>
      <c r="G163" s="161">
        <v>0</v>
      </c>
      <c r="H163" s="161">
        <v>0</v>
      </c>
      <c r="I163" s="161">
        <v>0</v>
      </c>
      <c r="J163" s="161">
        <v>0</v>
      </c>
      <c r="K163" s="161">
        <v>0</v>
      </c>
      <c r="L163" s="161">
        <v>1</v>
      </c>
      <c r="M163" s="161">
        <v>1</v>
      </c>
      <c r="N163" s="161">
        <v>1</v>
      </c>
      <c r="O163" s="161"/>
      <c r="P163" s="167"/>
      <c r="Q163" s="177"/>
    </row>
    <row r="164" spans="1:23" hidden="1" x14ac:dyDescent="0.25">
      <c r="A164" s="173" t="s">
        <v>679</v>
      </c>
      <c r="C164" s="167">
        <f t="shared" ref="C164:N164" si="80">C162*C163</f>
        <v>0</v>
      </c>
      <c r="D164" s="167">
        <f t="shared" si="80"/>
        <v>0</v>
      </c>
      <c r="E164" s="167">
        <f t="shared" si="80"/>
        <v>0</v>
      </c>
      <c r="F164" s="167">
        <f t="shared" si="80"/>
        <v>0</v>
      </c>
      <c r="G164" s="167">
        <f t="shared" si="80"/>
        <v>0</v>
      </c>
      <c r="H164" s="167">
        <f t="shared" si="80"/>
        <v>0</v>
      </c>
      <c r="I164" s="167">
        <f t="shared" si="80"/>
        <v>0</v>
      </c>
      <c r="J164" s="167">
        <f t="shared" si="80"/>
        <v>0</v>
      </c>
      <c r="K164" s="167">
        <f t="shared" si="80"/>
        <v>0</v>
      </c>
      <c r="L164" s="167">
        <f t="shared" si="80"/>
        <v>0</v>
      </c>
      <c r="M164" s="167">
        <f t="shared" si="80"/>
        <v>0</v>
      </c>
      <c r="N164" s="167">
        <f t="shared" si="80"/>
        <v>0</v>
      </c>
      <c r="O164" s="167">
        <f>SUM(C164:N164)</f>
        <v>0</v>
      </c>
      <c r="P164" s="167"/>
      <c r="Q164" s="177"/>
      <c r="R164" s="177">
        <f>O164</f>
        <v>0</v>
      </c>
      <c r="S164" s="177">
        <f>H164+I164+J164</f>
        <v>0</v>
      </c>
      <c r="T164" s="177">
        <f>R164-S164</f>
        <v>0</v>
      </c>
    </row>
    <row r="165" spans="1:23" hidden="1" x14ac:dyDescent="0.25">
      <c r="A165" s="173" t="s">
        <v>754</v>
      </c>
      <c r="C165" s="161">
        <v>0.65</v>
      </c>
      <c r="D165" s="161">
        <v>0.65</v>
      </c>
      <c r="E165" s="161">
        <v>0.65</v>
      </c>
      <c r="F165" s="161">
        <v>0.65</v>
      </c>
      <c r="G165" s="161">
        <v>0.65</v>
      </c>
      <c r="H165" s="161">
        <v>0.65</v>
      </c>
      <c r="I165" s="161">
        <v>0.65</v>
      </c>
      <c r="J165" s="161">
        <v>0.65</v>
      </c>
      <c r="K165" s="161">
        <v>0.65</v>
      </c>
      <c r="L165" s="161">
        <v>0.65</v>
      </c>
      <c r="M165" s="161">
        <v>0.65</v>
      </c>
      <c r="N165" s="161">
        <v>0.65</v>
      </c>
      <c r="O165" s="161"/>
      <c r="P165" s="194"/>
      <c r="Q165" s="194"/>
      <c r="U165" s="220"/>
      <c r="W165" s="220"/>
    </row>
    <row r="166" spans="1:23" hidden="1" x14ac:dyDescent="0.25">
      <c r="A166" s="173" t="s">
        <v>755</v>
      </c>
      <c r="C166" s="167">
        <f>C160/C165</f>
        <v>0</v>
      </c>
      <c r="D166" s="167">
        <f t="shared" ref="D166:N166" si="81">D160/D165</f>
        <v>0</v>
      </c>
      <c r="E166" s="167">
        <f t="shared" si="81"/>
        <v>0</v>
      </c>
      <c r="F166" s="167">
        <f t="shared" si="81"/>
        <v>0</v>
      </c>
      <c r="G166" s="167">
        <f t="shared" si="81"/>
        <v>0</v>
      </c>
      <c r="H166" s="167">
        <f t="shared" si="81"/>
        <v>0</v>
      </c>
      <c r="I166" s="167">
        <f t="shared" si="81"/>
        <v>0</v>
      </c>
      <c r="J166" s="167">
        <f t="shared" si="81"/>
        <v>0</v>
      </c>
      <c r="K166" s="167">
        <f t="shared" si="81"/>
        <v>0</v>
      </c>
      <c r="L166" s="167">
        <f t="shared" si="81"/>
        <v>0</v>
      </c>
      <c r="M166" s="167">
        <f t="shared" si="81"/>
        <v>0</v>
      </c>
      <c r="N166" s="167">
        <f t="shared" si="81"/>
        <v>0</v>
      </c>
      <c r="O166" s="167">
        <f>SUM(C166:N166)</f>
        <v>0</v>
      </c>
      <c r="P166" s="167">
        <f>MAX(C166:N166)</f>
        <v>0</v>
      </c>
      <c r="Q166" s="167"/>
    </row>
    <row r="167" spans="1:23" ht="15.75" hidden="1" customHeight="1" x14ac:dyDescent="0.25"/>
    <row r="168" spans="1:23" hidden="1" x14ac:dyDescent="0.25">
      <c r="A168" s="227">
        <f>A21</f>
        <v>0</v>
      </c>
      <c r="B168" s="216">
        <f>B21</f>
        <v>0</v>
      </c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77"/>
    </row>
    <row r="169" spans="1:23" hidden="1" x14ac:dyDescent="0.25">
      <c r="A169" s="173" t="s">
        <v>676</v>
      </c>
      <c r="C169" s="167">
        <v>0</v>
      </c>
      <c r="D169" s="167">
        <v>0</v>
      </c>
      <c r="E169" s="167">
        <v>0</v>
      </c>
      <c r="F169" s="167">
        <v>0</v>
      </c>
      <c r="G169" s="167">
        <v>0</v>
      </c>
      <c r="H169" s="167">
        <v>0</v>
      </c>
      <c r="I169" s="167">
        <v>0</v>
      </c>
      <c r="J169" s="167">
        <v>0</v>
      </c>
      <c r="K169" s="167">
        <v>0</v>
      </c>
      <c r="L169" s="167">
        <v>0</v>
      </c>
      <c r="M169" s="167">
        <v>0</v>
      </c>
      <c r="N169" s="167">
        <v>0</v>
      </c>
      <c r="O169" s="167">
        <f>SUM(C169:N169)</f>
        <v>0</v>
      </c>
      <c r="P169" s="194"/>
      <c r="Q169" s="194"/>
      <c r="U169" s="220"/>
      <c r="W169" s="220"/>
    </row>
    <row r="170" spans="1:23" hidden="1" x14ac:dyDescent="0.25">
      <c r="A170" s="173" t="s">
        <v>677</v>
      </c>
      <c r="C170" s="167">
        <f>C169/744</f>
        <v>0</v>
      </c>
      <c r="D170" s="162">
        <f>D169/720</f>
        <v>0</v>
      </c>
      <c r="E170" s="167">
        <f t="shared" ref="E170:N170" si="82">E169/744</f>
        <v>0</v>
      </c>
      <c r="F170" s="167">
        <f>F169/720</f>
        <v>0</v>
      </c>
      <c r="G170" s="167">
        <f t="shared" si="82"/>
        <v>0</v>
      </c>
      <c r="H170" s="162">
        <f>H169/744</f>
        <v>0</v>
      </c>
      <c r="I170" s="162">
        <f>I169/672</f>
        <v>0</v>
      </c>
      <c r="J170" s="167">
        <f t="shared" si="82"/>
        <v>0</v>
      </c>
      <c r="K170" s="167">
        <f>K169/720</f>
        <v>0</v>
      </c>
      <c r="L170" s="167">
        <f t="shared" si="82"/>
        <v>0</v>
      </c>
      <c r="M170" s="167">
        <f>M169/720</f>
        <v>0</v>
      </c>
      <c r="N170" s="167">
        <f t="shared" si="82"/>
        <v>0</v>
      </c>
      <c r="O170" s="167">
        <f>O169/8760</f>
        <v>0</v>
      </c>
      <c r="P170" s="167"/>
      <c r="Q170" s="167"/>
    </row>
    <row r="171" spans="1:23" hidden="1" x14ac:dyDescent="0.25">
      <c r="A171" s="173" t="s">
        <v>752</v>
      </c>
      <c r="C171" s="161">
        <v>0</v>
      </c>
      <c r="D171" s="161">
        <v>0</v>
      </c>
      <c r="E171" s="161">
        <v>0</v>
      </c>
      <c r="F171" s="161">
        <v>0.25</v>
      </c>
      <c r="G171" s="161">
        <v>0.25</v>
      </c>
      <c r="H171" s="161">
        <v>0.25</v>
      </c>
      <c r="I171" s="161">
        <v>0.25</v>
      </c>
      <c r="J171" s="161">
        <v>0</v>
      </c>
      <c r="K171" s="161">
        <v>0</v>
      </c>
      <c r="L171" s="161">
        <v>0</v>
      </c>
      <c r="M171" s="161">
        <v>0</v>
      </c>
      <c r="N171" s="161">
        <v>0</v>
      </c>
      <c r="O171" s="161"/>
      <c r="Q171" s="177"/>
    </row>
    <row r="172" spans="1:23" hidden="1" x14ac:dyDescent="0.25">
      <c r="A172" s="173" t="s">
        <v>753</v>
      </c>
      <c r="C172" s="167"/>
      <c r="D172" s="167"/>
      <c r="E172" s="167"/>
      <c r="F172" s="167">
        <v>0</v>
      </c>
      <c r="G172" s="167">
        <v>0</v>
      </c>
      <c r="H172" s="167">
        <v>0</v>
      </c>
      <c r="I172" s="167">
        <v>0</v>
      </c>
      <c r="J172" s="167">
        <v>0</v>
      </c>
      <c r="K172" s="167"/>
      <c r="L172" s="167"/>
      <c r="M172" s="167"/>
      <c r="N172" s="167"/>
      <c r="O172" s="167">
        <f>SUM(C172:N172)</f>
        <v>0</v>
      </c>
      <c r="Q172" s="177">
        <f>MAX(C172:N172)</f>
        <v>0</v>
      </c>
    </row>
    <row r="173" spans="1:23" hidden="1" x14ac:dyDescent="0.25">
      <c r="A173" s="173" t="s">
        <v>678</v>
      </c>
      <c r="C173" s="161">
        <v>1</v>
      </c>
      <c r="D173" s="161">
        <v>1</v>
      </c>
      <c r="E173" s="161">
        <v>1</v>
      </c>
      <c r="F173" s="161">
        <v>0</v>
      </c>
      <c r="G173" s="161">
        <v>0</v>
      </c>
      <c r="H173" s="161">
        <v>0</v>
      </c>
      <c r="I173" s="161">
        <v>0</v>
      </c>
      <c r="J173" s="161">
        <v>0</v>
      </c>
      <c r="K173" s="161">
        <v>0</v>
      </c>
      <c r="L173" s="161">
        <v>1</v>
      </c>
      <c r="M173" s="161">
        <v>1</v>
      </c>
      <c r="N173" s="161">
        <v>1</v>
      </c>
      <c r="O173" s="161"/>
      <c r="P173" s="167"/>
      <c r="Q173" s="177"/>
    </row>
    <row r="174" spans="1:23" hidden="1" x14ac:dyDescent="0.25">
      <c r="A174" s="173" t="s">
        <v>679</v>
      </c>
      <c r="C174" s="167">
        <f t="shared" ref="C174:N174" si="83">C172*C173</f>
        <v>0</v>
      </c>
      <c r="D174" s="167">
        <f t="shared" si="83"/>
        <v>0</v>
      </c>
      <c r="E174" s="167">
        <f t="shared" si="83"/>
        <v>0</v>
      </c>
      <c r="F174" s="167">
        <f t="shared" si="83"/>
        <v>0</v>
      </c>
      <c r="G174" s="167">
        <f t="shared" si="83"/>
        <v>0</v>
      </c>
      <c r="H174" s="167">
        <f t="shared" si="83"/>
        <v>0</v>
      </c>
      <c r="I174" s="167">
        <f t="shared" si="83"/>
        <v>0</v>
      </c>
      <c r="J174" s="167">
        <f t="shared" si="83"/>
        <v>0</v>
      </c>
      <c r="K174" s="167">
        <f t="shared" si="83"/>
        <v>0</v>
      </c>
      <c r="L174" s="167">
        <f t="shared" si="83"/>
        <v>0</v>
      </c>
      <c r="M174" s="167">
        <f t="shared" si="83"/>
        <v>0</v>
      </c>
      <c r="N174" s="167">
        <f t="shared" si="83"/>
        <v>0</v>
      </c>
      <c r="O174" s="167">
        <f>SUM(C174:N174)</f>
        <v>0</v>
      </c>
      <c r="P174" s="167"/>
      <c r="Q174" s="177"/>
      <c r="R174" s="177">
        <f>O174</f>
        <v>0</v>
      </c>
      <c r="S174" s="177">
        <f>H174+I174+J174</f>
        <v>0</v>
      </c>
      <c r="T174" s="177">
        <f>R174-S174</f>
        <v>0</v>
      </c>
    </row>
    <row r="175" spans="1:23" hidden="1" x14ac:dyDescent="0.25">
      <c r="A175" s="173" t="s">
        <v>754</v>
      </c>
      <c r="C175" s="161">
        <v>0.65</v>
      </c>
      <c r="D175" s="161">
        <v>0.65</v>
      </c>
      <c r="E175" s="161">
        <v>0.65</v>
      </c>
      <c r="F175" s="161">
        <v>0.65</v>
      </c>
      <c r="G175" s="161">
        <v>0.65</v>
      </c>
      <c r="H175" s="161">
        <v>0.65</v>
      </c>
      <c r="I175" s="161">
        <v>0.65</v>
      </c>
      <c r="J175" s="161">
        <v>0.65</v>
      </c>
      <c r="K175" s="161">
        <v>0.65</v>
      </c>
      <c r="L175" s="161">
        <v>0.65</v>
      </c>
      <c r="M175" s="161">
        <v>0.65</v>
      </c>
      <c r="N175" s="161">
        <v>0.65</v>
      </c>
      <c r="O175" s="161"/>
      <c r="P175" s="194"/>
      <c r="Q175" s="194"/>
      <c r="U175" s="220"/>
      <c r="W175" s="220"/>
    </row>
    <row r="176" spans="1:23" hidden="1" x14ac:dyDescent="0.25">
      <c r="A176" s="173" t="s">
        <v>755</v>
      </c>
      <c r="C176" s="167">
        <f>C170/C175</f>
        <v>0</v>
      </c>
      <c r="D176" s="167">
        <f t="shared" ref="D176:N176" si="84">D170/D175</f>
        <v>0</v>
      </c>
      <c r="E176" s="167">
        <f t="shared" si="84"/>
        <v>0</v>
      </c>
      <c r="F176" s="167">
        <f t="shared" si="84"/>
        <v>0</v>
      </c>
      <c r="G176" s="167">
        <f t="shared" si="84"/>
        <v>0</v>
      </c>
      <c r="H176" s="167">
        <f t="shared" si="84"/>
        <v>0</v>
      </c>
      <c r="I176" s="167">
        <f t="shared" si="84"/>
        <v>0</v>
      </c>
      <c r="J176" s="167">
        <f t="shared" si="84"/>
        <v>0</v>
      </c>
      <c r="K176" s="167">
        <f t="shared" si="84"/>
        <v>0</v>
      </c>
      <c r="L176" s="167">
        <f t="shared" si="84"/>
        <v>0</v>
      </c>
      <c r="M176" s="167">
        <f t="shared" si="84"/>
        <v>0</v>
      </c>
      <c r="N176" s="167">
        <f t="shared" si="84"/>
        <v>0</v>
      </c>
      <c r="O176" s="167">
        <f>SUM(C176:N176)</f>
        <v>0</v>
      </c>
      <c r="P176" s="167">
        <f>MAX(C176:N176)</f>
        <v>0</v>
      </c>
      <c r="Q176" s="167"/>
    </row>
    <row r="177" spans="1:23" hidden="1" x14ac:dyDescent="0.25"/>
    <row r="178" spans="1:23" hidden="1" x14ac:dyDescent="0.25">
      <c r="A178" s="227">
        <f>A22</f>
        <v>0</v>
      </c>
      <c r="B178" s="216">
        <f>B22</f>
        <v>0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77"/>
    </row>
    <row r="179" spans="1:23" hidden="1" x14ac:dyDescent="0.25">
      <c r="A179" s="173" t="s">
        <v>676</v>
      </c>
      <c r="C179" s="167">
        <v>0</v>
      </c>
      <c r="D179" s="167">
        <v>0</v>
      </c>
      <c r="E179" s="167">
        <v>0</v>
      </c>
      <c r="F179" s="167">
        <v>0</v>
      </c>
      <c r="G179" s="167">
        <v>0</v>
      </c>
      <c r="H179" s="167">
        <v>0</v>
      </c>
      <c r="I179" s="167">
        <v>0</v>
      </c>
      <c r="J179" s="167">
        <v>0</v>
      </c>
      <c r="K179" s="167">
        <v>0</v>
      </c>
      <c r="L179" s="167">
        <v>0</v>
      </c>
      <c r="M179" s="167">
        <v>0</v>
      </c>
      <c r="N179" s="167">
        <v>0</v>
      </c>
      <c r="O179" s="167">
        <f>SUM(C179:N179)</f>
        <v>0</v>
      </c>
      <c r="P179" s="194"/>
      <c r="Q179" s="194"/>
      <c r="U179" s="220"/>
      <c r="W179" s="220"/>
    </row>
    <row r="180" spans="1:23" hidden="1" x14ac:dyDescent="0.25">
      <c r="A180" s="173" t="s">
        <v>677</v>
      </c>
      <c r="C180" s="167">
        <f>C179/744</f>
        <v>0</v>
      </c>
      <c r="D180" s="162">
        <f>D179/720</f>
        <v>0</v>
      </c>
      <c r="E180" s="167">
        <f t="shared" ref="E180:N180" si="85">E179/744</f>
        <v>0</v>
      </c>
      <c r="F180" s="167">
        <f>F179/720</f>
        <v>0</v>
      </c>
      <c r="G180" s="167">
        <f t="shared" si="85"/>
        <v>0</v>
      </c>
      <c r="H180" s="162">
        <f>H179/744</f>
        <v>0</v>
      </c>
      <c r="I180" s="162">
        <f>I179/672</f>
        <v>0</v>
      </c>
      <c r="J180" s="167">
        <f t="shared" si="85"/>
        <v>0</v>
      </c>
      <c r="K180" s="167">
        <f>K179/720</f>
        <v>0</v>
      </c>
      <c r="L180" s="167">
        <f t="shared" si="85"/>
        <v>0</v>
      </c>
      <c r="M180" s="167">
        <f>M179/720</f>
        <v>0</v>
      </c>
      <c r="N180" s="167">
        <f t="shared" si="85"/>
        <v>0</v>
      </c>
      <c r="O180" s="167">
        <f>O179/8760</f>
        <v>0</v>
      </c>
      <c r="P180" s="167"/>
      <c r="Q180" s="167"/>
    </row>
    <row r="181" spans="1:23" hidden="1" x14ac:dyDescent="0.25">
      <c r="A181" s="173" t="s">
        <v>752</v>
      </c>
      <c r="C181" s="161">
        <v>0</v>
      </c>
      <c r="D181" s="161">
        <v>0</v>
      </c>
      <c r="E181" s="161">
        <v>0</v>
      </c>
      <c r="F181" s="161">
        <v>0.25</v>
      </c>
      <c r="G181" s="161">
        <v>0.25</v>
      </c>
      <c r="H181" s="161">
        <v>0.25</v>
      </c>
      <c r="I181" s="161">
        <v>0.25</v>
      </c>
      <c r="J181" s="161">
        <v>0</v>
      </c>
      <c r="K181" s="161">
        <v>0</v>
      </c>
      <c r="L181" s="161">
        <v>0</v>
      </c>
      <c r="M181" s="161">
        <v>0</v>
      </c>
      <c r="N181" s="161">
        <v>0</v>
      </c>
      <c r="O181" s="161"/>
      <c r="Q181" s="177"/>
    </row>
    <row r="182" spans="1:23" hidden="1" x14ac:dyDescent="0.25">
      <c r="A182" s="173" t="s">
        <v>753</v>
      </c>
      <c r="C182" s="167"/>
      <c r="D182" s="167"/>
      <c r="E182" s="167"/>
      <c r="F182" s="167">
        <v>0</v>
      </c>
      <c r="G182" s="167">
        <v>0</v>
      </c>
      <c r="H182" s="167">
        <v>0</v>
      </c>
      <c r="I182" s="167">
        <v>0</v>
      </c>
      <c r="J182" s="167">
        <v>0</v>
      </c>
      <c r="K182" s="167"/>
      <c r="L182" s="167"/>
      <c r="M182" s="167"/>
      <c r="N182" s="167"/>
      <c r="O182" s="167">
        <f>SUM(C182:N182)</f>
        <v>0</v>
      </c>
      <c r="Q182" s="177">
        <f>MAX(C182:N182)</f>
        <v>0</v>
      </c>
    </row>
    <row r="183" spans="1:23" hidden="1" x14ac:dyDescent="0.25">
      <c r="A183" s="173" t="s">
        <v>678</v>
      </c>
      <c r="C183" s="161">
        <v>1</v>
      </c>
      <c r="D183" s="161">
        <v>1</v>
      </c>
      <c r="E183" s="161">
        <v>1</v>
      </c>
      <c r="F183" s="161">
        <v>0</v>
      </c>
      <c r="G183" s="161">
        <v>0</v>
      </c>
      <c r="H183" s="161">
        <v>0</v>
      </c>
      <c r="I183" s="161">
        <v>0</v>
      </c>
      <c r="J183" s="161">
        <v>0</v>
      </c>
      <c r="K183" s="161">
        <v>0</v>
      </c>
      <c r="L183" s="161">
        <v>1</v>
      </c>
      <c r="M183" s="161">
        <v>1</v>
      </c>
      <c r="N183" s="161">
        <v>1</v>
      </c>
      <c r="O183" s="161"/>
      <c r="P183" s="167"/>
      <c r="Q183" s="177"/>
    </row>
    <row r="184" spans="1:23" hidden="1" x14ac:dyDescent="0.25">
      <c r="A184" s="173" t="s">
        <v>679</v>
      </c>
      <c r="C184" s="167">
        <f t="shared" ref="C184:N184" si="86">C182*C183</f>
        <v>0</v>
      </c>
      <c r="D184" s="167">
        <f t="shared" si="86"/>
        <v>0</v>
      </c>
      <c r="E184" s="167">
        <f t="shared" si="86"/>
        <v>0</v>
      </c>
      <c r="F184" s="167">
        <f t="shared" si="86"/>
        <v>0</v>
      </c>
      <c r="G184" s="167">
        <f t="shared" si="86"/>
        <v>0</v>
      </c>
      <c r="H184" s="167">
        <f t="shared" si="86"/>
        <v>0</v>
      </c>
      <c r="I184" s="167">
        <f t="shared" si="86"/>
        <v>0</v>
      </c>
      <c r="J184" s="167">
        <f t="shared" si="86"/>
        <v>0</v>
      </c>
      <c r="K184" s="167">
        <f t="shared" si="86"/>
        <v>0</v>
      </c>
      <c r="L184" s="167">
        <f t="shared" si="86"/>
        <v>0</v>
      </c>
      <c r="M184" s="167">
        <f t="shared" si="86"/>
        <v>0</v>
      </c>
      <c r="N184" s="167">
        <f t="shared" si="86"/>
        <v>0</v>
      </c>
      <c r="O184" s="167">
        <f>SUM(C184:N184)</f>
        <v>0</v>
      </c>
      <c r="P184" s="167"/>
      <c r="Q184" s="177"/>
      <c r="R184" s="177">
        <f>O184</f>
        <v>0</v>
      </c>
      <c r="S184" s="177">
        <f>H184+I184+J184</f>
        <v>0</v>
      </c>
      <c r="T184" s="177">
        <f>R184-S184</f>
        <v>0</v>
      </c>
    </row>
    <row r="185" spans="1:23" hidden="1" x14ac:dyDescent="0.25">
      <c r="A185" s="173" t="s">
        <v>754</v>
      </c>
      <c r="C185" s="161">
        <v>0.65</v>
      </c>
      <c r="D185" s="161">
        <v>0.65</v>
      </c>
      <c r="E185" s="161">
        <v>0.65</v>
      </c>
      <c r="F185" s="161">
        <v>0.65</v>
      </c>
      <c r="G185" s="161">
        <v>0.65</v>
      </c>
      <c r="H185" s="161">
        <v>0.65</v>
      </c>
      <c r="I185" s="161">
        <v>0.65</v>
      </c>
      <c r="J185" s="161">
        <v>0.65</v>
      </c>
      <c r="K185" s="161">
        <v>0.65</v>
      </c>
      <c r="L185" s="161">
        <v>0.65</v>
      </c>
      <c r="M185" s="161">
        <v>0.65</v>
      </c>
      <c r="N185" s="161">
        <v>0.65</v>
      </c>
      <c r="O185" s="161"/>
      <c r="P185" s="194"/>
      <c r="Q185" s="194"/>
      <c r="U185" s="220"/>
      <c r="W185" s="220"/>
    </row>
    <row r="186" spans="1:23" hidden="1" x14ac:dyDescent="0.25">
      <c r="A186" s="173" t="s">
        <v>755</v>
      </c>
      <c r="C186" s="167">
        <f>C180/C185</f>
        <v>0</v>
      </c>
      <c r="D186" s="167">
        <f t="shared" ref="D186:N186" si="87">D180/D185</f>
        <v>0</v>
      </c>
      <c r="E186" s="167">
        <f t="shared" si="87"/>
        <v>0</v>
      </c>
      <c r="F186" s="167">
        <f t="shared" si="87"/>
        <v>0</v>
      </c>
      <c r="G186" s="167">
        <f t="shared" si="87"/>
        <v>0</v>
      </c>
      <c r="H186" s="167">
        <f t="shared" si="87"/>
        <v>0</v>
      </c>
      <c r="I186" s="167">
        <f t="shared" si="87"/>
        <v>0</v>
      </c>
      <c r="J186" s="167">
        <f t="shared" si="87"/>
        <v>0</v>
      </c>
      <c r="K186" s="167">
        <f t="shared" si="87"/>
        <v>0</v>
      </c>
      <c r="L186" s="167">
        <f t="shared" si="87"/>
        <v>0</v>
      </c>
      <c r="M186" s="167">
        <f t="shared" si="87"/>
        <v>0</v>
      </c>
      <c r="N186" s="167">
        <f t="shared" si="87"/>
        <v>0</v>
      </c>
      <c r="O186" s="167">
        <f>SUM(C186:N186)</f>
        <v>0</v>
      </c>
      <c r="P186" s="167">
        <f>MAX(C186:N186)</f>
        <v>0</v>
      </c>
      <c r="Q186" s="167"/>
    </row>
    <row r="187" spans="1:23" hidden="1" x14ac:dyDescent="0.25"/>
    <row r="188" spans="1:23" hidden="1" x14ac:dyDescent="0.25">
      <c r="A188" s="227">
        <f>A23</f>
        <v>0</v>
      </c>
      <c r="B188" s="216">
        <f>B23</f>
        <v>0</v>
      </c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77"/>
    </row>
    <row r="189" spans="1:23" hidden="1" x14ac:dyDescent="0.25">
      <c r="A189" s="173" t="s">
        <v>676</v>
      </c>
      <c r="C189" s="167">
        <v>0</v>
      </c>
      <c r="D189" s="167">
        <v>0</v>
      </c>
      <c r="E189" s="167">
        <v>0</v>
      </c>
      <c r="F189" s="167">
        <v>0</v>
      </c>
      <c r="G189" s="167">
        <v>0</v>
      </c>
      <c r="H189" s="167">
        <v>0</v>
      </c>
      <c r="I189" s="167">
        <v>0</v>
      </c>
      <c r="J189" s="167">
        <v>0</v>
      </c>
      <c r="K189" s="167">
        <v>0</v>
      </c>
      <c r="L189" s="167">
        <v>0</v>
      </c>
      <c r="M189" s="167">
        <v>0</v>
      </c>
      <c r="N189" s="167">
        <v>0</v>
      </c>
      <c r="O189" s="167">
        <f>SUM(C189:N189)</f>
        <v>0</v>
      </c>
      <c r="P189" s="194"/>
      <c r="Q189" s="194"/>
      <c r="U189" s="220"/>
      <c r="W189" s="220"/>
    </row>
    <row r="190" spans="1:23" hidden="1" x14ac:dyDescent="0.25">
      <c r="A190" s="173" t="s">
        <v>677</v>
      </c>
      <c r="C190" s="167">
        <f>C189/744</f>
        <v>0</v>
      </c>
      <c r="D190" s="162">
        <f>D189/720</f>
        <v>0</v>
      </c>
      <c r="E190" s="167">
        <f t="shared" ref="E190:N190" si="88">E189/744</f>
        <v>0</v>
      </c>
      <c r="F190" s="167">
        <f>F189/720</f>
        <v>0</v>
      </c>
      <c r="G190" s="167">
        <f t="shared" si="88"/>
        <v>0</v>
      </c>
      <c r="H190" s="162">
        <f>H189/744</f>
        <v>0</v>
      </c>
      <c r="I190" s="162">
        <f>I189/672</f>
        <v>0</v>
      </c>
      <c r="J190" s="167">
        <f t="shared" si="88"/>
        <v>0</v>
      </c>
      <c r="K190" s="167">
        <f>K189/720</f>
        <v>0</v>
      </c>
      <c r="L190" s="167">
        <f t="shared" si="88"/>
        <v>0</v>
      </c>
      <c r="M190" s="167">
        <f>M189/720</f>
        <v>0</v>
      </c>
      <c r="N190" s="167">
        <f t="shared" si="88"/>
        <v>0</v>
      </c>
      <c r="O190" s="167">
        <f>O189/8760</f>
        <v>0</v>
      </c>
      <c r="P190" s="167"/>
      <c r="Q190" s="167"/>
    </row>
    <row r="191" spans="1:23" hidden="1" x14ac:dyDescent="0.25">
      <c r="A191" s="173" t="s">
        <v>752</v>
      </c>
      <c r="C191" s="161">
        <v>0</v>
      </c>
      <c r="D191" s="161">
        <v>0</v>
      </c>
      <c r="E191" s="161">
        <v>0</v>
      </c>
      <c r="F191" s="161">
        <v>0.25</v>
      </c>
      <c r="G191" s="161">
        <v>0.25</v>
      </c>
      <c r="H191" s="161">
        <v>0.25</v>
      </c>
      <c r="I191" s="161">
        <v>0.25</v>
      </c>
      <c r="J191" s="161">
        <v>0</v>
      </c>
      <c r="K191" s="161">
        <v>0</v>
      </c>
      <c r="L191" s="161">
        <v>0</v>
      </c>
      <c r="M191" s="161">
        <v>0</v>
      </c>
      <c r="N191" s="161">
        <v>0</v>
      </c>
      <c r="O191" s="161"/>
      <c r="Q191" s="177"/>
    </row>
    <row r="192" spans="1:23" hidden="1" x14ac:dyDescent="0.25">
      <c r="A192" s="173" t="s">
        <v>753</v>
      </c>
      <c r="C192" s="167"/>
      <c r="D192" s="167"/>
      <c r="E192" s="167"/>
      <c r="F192" s="167">
        <v>0</v>
      </c>
      <c r="G192" s="167">
        <v>0</v>
      </c>
      <c r="H192" s="167">
        <v>0</v>
      </c>
      <c r="I192" s="167">
        <v>0</v>
      </c>
      <c r="J192" s="167">
        <v>0</v>
      </c>
      <c r="K192" s="167"/>
      <c r="L192" s="167"/>
      <c r="M192" s="167"/>
      <c r="N192" s="167"/>
      <c r="O192" s="167">
        <f>SUM(C192:N192)</f>
        <v>0</v>
      </c>
      <c r="Q192" s="177">
        <f>MAX(C192:N192)</f>
        <v>0</v>
      </c>
    </row>
    <row r="193" spans="1:23" hidden="1" x14ac:dyDescent="0.25">
      <c r="A193" s="173" t="s">
        <v>678</v>
      </c>
      <c r="C193" s="161">
        <v>1</v>
      </c>
      <c r="D193" s="161">
        <v>1</v>
      </c>
      <c r="E193" s="161">
        <v>1</v>
      </c>
      <c r="F193" s="161">
        <v>0</v>
      </c>
      <c r="G193" s="161">
        <v>0</v>
      </c>
      <c r="H193" s="161">
        <v>0</v>
      </c>
      <c r="I193" s="161">
        <v>0</v>
      </c>
      <c r="J193" s="161">
        <v>0</v>
      </c>
      <c r="K193" s="161">
        <v>0</v>
      </c>
      <c r="L193" s="161">
        <v>1</v>
      </c>
      <c r="M193" s="161">
        <v>1</v>
      </c>
      <c r="N193" s="161">
        <v>1</v>
      </c>
      <c r="O193" s="161"/>
      <c r="P193" s="167"/>
      <c r="Q193" s="177"/>
    </row>
    <row r="194" spans="1:23" hidden="1" x14ac:dyDescent="0.25">
      <c r="A194" s="173" t="s">
        <v>679</v>
      </c>
      <c r="C194" s="167">
        <f t="shared" ref="C194:N194" si="89">C192*C193</f>
        <v>0</v>
      </c>
      <c r="D194" s="167">
        <f t="shared" si="89"/>
        <v>0</v>
      </c>
      <c r="E194" s="167">
        <f t="shared" si="89"/>
        <v>0</v>
      </c>
      <c r="F194" s="167">
        <f t="shared" si="89"/>
        <v>0</v>
      </c>
      <c r="G194" s="167">
        <f t="shared" si="89"/>
        <v>0</v>
      </c>
      <c r="H194" s="167">
        <f t="shared" si="89"/>
        <v>0</v>
      </c>
      <c r="I194" s="167">
        <f t="shared" si="89"/>
        <v>0</v>
      </c>
      <c r="J194" s="167">
        <f t="shared" si="89"/>
        <v>0</v>
      </c>
      <c r="K194" s="167">
        <f t="shared" si="89"/>
        <v>0</v>
      </c>
      <c r="L194" s="167">
        <f t="shared" si="89"/>
        <v>0</v>
      </c>
      <c r="M194" s="167">
        <f t="shared" si="89"/>
        <v>0</v>
      </c>
      <c r="N194" s="167">
        <f t="shared" si="89"/>
        <v>0</v>
      </c>
      <c r="O194" s="167">
        <f>SUM(C194:N194)</f>
        <v>0</v>
      </c>
      <c r="P194" s="167"/>
      <c r="Q194" s="177"/>
      <c r="R194" s="177">
        <f>O194</f>
        <v>0</v>
      </c>
      <c r="S194" s="177">
        <f>H194+I194+J194</f>
        <v>0</v>
      </c>
      <c r="T194" s="177">
        <f>R194-S194</f>
        <v>0</v>
      </c>
    </row>
    <row r="195" spans="1:23" hidden="1" x14ac:dyDescent="0.25">
      <c r="A195" s="173" t="s">
        <v>754</v>
      </c>
      <c r="C195" s="161">
        <v>0.65</v>
      </c>
      <c r="D195" s="161">
        <v>0.65</v>
      </c>
      <c r="E195" s="161">
        <v>0.65</v>
      </c>
      <c r="F195" s="161">
        <v>0.65</v>
      </c>
      <c r="G195" s="161">
        <v>0.65</v>
      </c>
      <c r="H195" s="161">
        <v>0.65</v>
      </c>
      <c r="I195" s="161">
        <v>0.65</v>
      </c>
      <c r="J195" s="161">
        <v>0.65</v>
      </c>
      <c r="K195" s="161">
        <v>0.65</v>
      </c>
      <c r="L195" s="161">
        <v>0.65</v>
      </c>
      <c r="M195" s="161">
        <v>0.65</v>
      </c>
      <c r="N195" s="161">
        <v>0.65</v>
      </c>
      <c r="O195" s="161"/>
      <c r="P195" s="194"/>
      <c r="Q195" s="194"/>
      <c r="U195" s="220"/>
      <c r="W195" s="220"/>
    </row>
    <row r="196" spans="1:23" ht="1.5" customHeight="1" x14ac:dyDescent="0.25">
      <c r="A196" s="173" t="s">
        <v>755</v>
      </c>
      <c r="C196" s="167">
        <f>C190/C195</f>
        <v>0</v>
      </c>
      <c r="D196" s="167">
        <f t="shared" ref="D196:N196" si="90">D190/D195</f>
        <v>0</v>
      </c>
      <c r="E196" s="167">
        <f t="shared" si="90"/>
        <v>0</v>
      </c>
      <c r="F196" s="167">
        <f t="shared" si="90"/>
        <v>0</v>
      </c>
      <c r="G196" s="167">
        <f t="shared" si="90"/>
        <v>0</v>
      </c>
      <c r="H196" s="167">
        <f t="shared" si="90"/>
        <v>0</v>
      </c>
      <c r="I196" s="167">
        <f t="shared" si="90"/>
        <v>0</v>
      </c>
      <c r="J196" s="167">
        <f t="shared" si="90"/>
        <v>0</v>
      </c>
      <c r="K196" s="167">
        <f t="shared" si="90"/>
        <v>0</v>
      </c>
      <c r="L196" s="167">
        <f t="shared" si="90"/>
        <v>0</v>
      </c>
      <c r="M196" s="167">
        <f t="shared" si="90"/>
        <v>0</v>
      </c>
      <c r="N196" s="167">
        <f t="shared" si="90"/>
        <v>0</v>
      </c>
      <c r="O196" s="167">
        <f>SUM(C196:N196)</f>
        <v>0</v>
      </c>
      <c r="P196" s="167">
        <f>MAX(C196:N196)</f>
        <v>0</v>
      </c>
      <c r="Q196" s="167"/>
    </row>
    <row r="197" spans="1:23" x14ac:dyDescent="0.25"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</row>
    <row r="198" spans="1:23" x14ac:dyDescent="0.25">
      <c r="A198" s="173" t="s">
        <v>740</v>
      </c>
      <c r="C198" s="167">
        <f>C39+C49+C59+C69+C79+C89+C99+C109+C119+C129+C139+C149+C159+C169+C179+C189</f>
        <v>58365124</v>
      </c>
      <c r="D198" s="167">
        <f t="shared" ref="D198:N198" si="91">D39+D49+D59+D69+D79+D89+D99+D109+D119+D129+D139+D149+D159+D169+D179+D189</f>
        <v>60114018</v>
      </c>
      <c r="E198" s="167">
        <f t="shared" si="91"/>
        <v>59376677</v>
      </c>
      <c r="F198" s="167">
        <f t="shared" si="91"/>
        <v>45740226</v>
      </c>
      <c r="G198" s="167">
        <f t="shared" si="91"/>
        <v>41059603</v>
      </c>
      <c r="H198" s="167">
        <f t="shared" si="91"/>
        <v>40045972</v>
      </c>
      <c r="I198" s="167">
        <f t="shared" si="91"/>
        <v>46976280</v>
      </c>
      <c r="J198" s="167">
        <f t="shared" si="91"/>
        <v>51065067</v>
      </c>
      <c r="K198" s="167">
        <f t="shared" si="91"/>
        <v>51325285</v>
      </c>
      <c r="L198" s="167">
        <f t="shared" si="91"/>
        <v>41472171</v>
      </c>
      <c r="M198" s="167">
        <f t="shared" si="91"/>
        <v>40878431</v>
      </c>
      <c r="N198" s="167">
        <f t="shared" si="91"/>
        <v>47443375</v>
      </c>
      <c r="O198" s="167">
        <f>SUM(C198:N198)</f>
        <v>583862229</v>
      </c>
      <c r="P198" s="167"/>
      <c r="Q198" s="167"/>
    </row>
    <row r="199" spans="1:23" x14ac:dyDescent="0.25"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</row>
    <row r="200" spans="1:23" x14ac:dyDescent="0.25">
      <c r="A200" s="173" t="s">
        <v>712</v>
      </c>
      <c r="C200" s="167">
        <f>'Purchased Power'!C61</f>
        <v>124542</v>
      </c>
      <c r="D200" s="167">
        <f>'Purchased Power'!D61</f>
        <v>140622</v>
      </c>
      <c r="E200" s="167">
        <f>'Purchased Power'!E61</f>
        <v>105617</v>
      </c>
      <c r="F200" s="167">
        <f>'Purchased Power'!F61</f>
        <v>99270</v>
      </c>
      <c r="G200" s="167">
        <f>'Purchased Power'!G61</f>
        <v>89627</v>
      </c>
      <c r="H200" s="167">
        <f>'Purchased Power'!H61</f>
        <v>105888</v>
      </c>
      <c r="I200" s="167">
        <f>'Purchased Power'!I61</f>
        <v>104286</v>
      </c>
      <c r="J200" s="167">
        <f>'Purchased Power'!J61</f>
        <v>96115</v>
      </c>
      <c r="K200" s="167">
        <f>'Purchased Power'!K61</f>
        <v>92765</v>
      </c>
      <c r="L200" s="167">
        <f>'Purchased Power'!L61</f>
        <v>80257</v>
      </c>
      <c r="M200" s="167">
        <f>'Purchased Power'!M61</f>
        <v>117438</v>
      </c>
      <c r="N200" s="167">
        <f>'Purchased Power'!N61</f>
        <v>126657</v>
      </c>
      <c r="O200" s="167">
        <f>SUM(C200:N200)</f>
        <v>1283084</v>
      </c>
      <c r="P200" s="167"/>
      <c r="Q200" s="167"/>
      <c r="R200" s="167"/>
      <c r="S200" s="167"/>
    </row>
    <row r="201" spans="1:23" x14ac:dyDescent="0.25">
      <c r="A201" s="173" t="s">
        <v>859</v>
      </c>
      <c r="C201" s="167">
        <f>'Purchased Power'!C62</f>
        <v>63133110</v>
      </c>
      <c r="D201" s="167">
        <f>'Purchased Power'!D62</f>
        <v>61830983</v>
      </c>
      <c r="E201" s="167">
        <f>'Purchased Power'!E62</f>
        <v>48260651</v>
      </c>
      <c r="F201" s="167">
        <f>'Purchased Power'!F62</f>
        <v>42897761</v>
      </c>
      <c r="G201" s="167">
        <f>'Purchased Power'!G62</f>
        <v>40794701</v>
      </c>
      <c r="H201" s="167">
        <f>'Purchased Power'!H62</f>
        <v>49760644</v>
      </c>
      <c r="I201" s="167">
        <f>'Purchased Power'!I62</f>
        <v>53183634</v>
      </c>
      <c r="J201" s="167">
        <f>'Purchased Power'!J62</f>
        <v>51995743</v>
      </c>
      <c r="K201" s="167">
        <f>'Purchased Power'!K62</f>
        <v>42356731</v>
      </c>
      <c r="L201" s="167">
        <f>'Purchased Power'!L62</f>
        <v>41279290</v>
      </c>
      <c r="M201" s="167">
        <f>'Purchased Power'!M62</f>
        <v>50398272</v>
      </c>
      <c r="N201" s="167">
        <f>'Purchased Power'!N62</f>
        <v>61298405</v>
      </c>
      <c r="O201" s="167">
        <f>SUM(C201:N201)</f>
        <v>607189925</v>
      </c>
      <c r="P201" s="204"/>
      <c r="Q201" s="167"/>
      <c r="R201" s="167"/>
      <c r="S201" s="167"/>
    </row>
    <row r="202" spans="1:23" x14ac:dyDescent="0.25">
      <c r="P202" s="204"/>
    </row>
    <row r="203" spans="1:23" x14ac:dyDescent="0.25">
      <c r="A203" s="173" t="s">
        <v>713</v>
      </c>
      <c r="C203" s="177">
        <f>(C44+C54+C64+C74+C84+C94+C104+C114+C124+C134+C144+C154+C164+C174+C184+C194)</f>
        <v>124542.00000008704</v>
      </c>
      <c r="D203" s="177">
        <f t="shared" ref="D203:N203" si="92">(D44+D54+D64+D74+D84+D94+D104+D114+D124+D134+D144+D154+D164+D174+D184+D194)</f>
        <v>140622.00000006382</v>
      </c>
      <c r="E203" s="177">
        <f t="shared" si="92"/>
        <v>105617.00000012499</v>
      </c>
      <c r="F203" s="177">
        <f t="shared" si="92"/>
        <v>99270.000000043772</v>
      </c>
      <c r="G203" s="177">
        <f t="shared" si="92"/>
        <v>89627.000000067099</v>
      </c>
      <c r="H203" s="177">
        <f t="shared" si="92"/>
        <v>105888.00000002459</v>
      </c>
      <c r="I203" s="177">
        <f t="shared" si="92"/>
        <v>104286.00000002037</v>
      </c>
      <c r="J203" s="177">
        <f t="shared" si="92"/>
        <v>96115.00000003053</v>
      </c>
      <c r="K203" s="177">
        <f t="shared" si="92"/>
        <v>92765.00000003101</v>
      </c>
      <c r="L203" s="177">
        <f t="shared" si="92"/>
        <v>80257.000000023152</v>
      </c>
      <c r="M203" s="177">
        <f t="shared" si="92"/>
        <v>117438.00000001868</v>
      </c>
      <c r="N203" s="177">
        <f t="shared" si="92"/>
        <v>126657.00000003459</v>
      </c>
      <c r="O203" s="177">
        <f>SUM(C203:N203)</f>
        <v>1283084.0000005697</v>
      </c>
      <c r="P203" s="204"/>
    </row>
    <row r="205" spans="1:23" x14ac:dyDescent="0.25">
      <c r="A205" s="173" t="s">
        <v>714</v>
      </c>
      <c r="C205" s="177">
        <f>C200-C203</f>
        <v>-8.7035004980862141E-8</v>
      </c>
      <c r="D205" s="177">
        <f t="shared" ref="D205:O205" si="93">D200-D203</f>
        <v>-6.3824700191617012E-8</v>
      </c>
      <c r="E205" s="177">
        <f t="shared" si="93"/>
        <v>-1.2498639989644289E-7</v>
      </c>
      <c r="F205" s="177">
        <f t="shared" si="93"/>
        <v>-4.377216100692749E-8</v>
      </c>
      <c r="G205" s="177">
        <f t="shared" si="93"/>
        <v>-6.7098881117999554E-8</v>
      </c>
      <c r="H205" s="177">
        <f t="shared" si="93"/>
        <v>-2.459273673593998E-8</v>
      </c>
      <c r="I205" s="177">
        <f t="shared" si="93"/>
        <v>-2.0372681319713593E-8</v>
      </c>
      <c r="J205" s="177">
        <f t="shared" si="93"/>
        <v>-3.0529918149113655E-8</v>
      </c>
      <c r="K205" s="177">
        <f t="shared" si="93"/>
        <v>-3.1010131351649761E-8</v>
      </c>
      <c r="L205" s="177">
        <f t="shared" si="93"/>
        <v>-2.3152097128331661E-8</v>
      </c>
      <c r="M205" s="177">
        <f t="shared" si="93"/>
        <v>-1.8684659153223038E-8</v>
      </c>
      <c r="N205" s="177">
        <f t="shared" si="93"/>
        <v>-3.4589902497828007E-8</v>
      </c>
      <c r="O205" s="177">
        <f t="shared" si="93"/>
        <v>-5.6973658502101898E-7</v>
      </c>
    </row>
    <row r="206" spans="1:23" x14ac:dyDescent="0.25"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</row>
    <row r="207" spans="1:23" x14ac:dyDescent="0.25"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</row>
    <row r="208" spans="1:23" x14ac:dyDescent="0.25"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</row>
    <row r="209" spans="3:15" x14ac:dyDescent="0.25"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</row>
    <row r="210" spans="3:15" x14ac:dyDescent="0.25"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</row>
    <row r="211" spans="3:15" x14ac:dyDescent="0.25"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</row>
  </sheetData>
  <printOptions horizontalCentered="1"/>
  <pageMargins left="0.25" right="0.25" top="1" bottom="0.32" header="0.5" footer="0.25"/>
  <pageSetup scale="65" fitToWidth="2" fitToHeight="5" pageOrder="overThenDown" orientation="landscape" r:id="rId1"/>
  <headerFooter alignWithMargins="0">
    <oddFooter>&amp;RExhibit JW-6
Page &amp;P of &amp;N</oddFooter>
  </headerFooter>
  <rowBreaks count="3" manualBreakCount="3">
    <brk id="30" max="19" man="1"/>
    <brk id="67" max="19" man="1"/>
    <brk id="196" max="19" man="1"/>
  </rowBreaks>
  <colBreaks count="1" manualBreakCount="1">
    <brk id="11" max="218" man="1"/>
  </colBreaks>
  <ignoredErrors>
    <ignoredError sqref="D120:M120 D130:M130 D140:M140 D150:M150 D160:M160 D170:M170 D180:M180 D190:M190 D40:M40 D50:M50 D64:N64 D60:M60 D70:M70 D80:M80 D100:N100 D110:M1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98"/>
  <sheetViews>
    <sheetView view="pageBreakPreview" topLeftCell="A45" zoomScale="60" zoomScaleNormal="85" workbookViewId="0">
      <selection activeCell="I92" sqref="I92"/>
    </sheetView>
  </sheetViews>
  <sheetFormatPr defaultColWidth="9.109375" defaultRowHeight="13.2" x14ac:dyDescent="0.25"/>
  <cols>
    <col min="1" max="1" width="5.6640625" style="14" customWidth="1"/>
    <col min="2" max="2" width="28.88671875" style="14" customWidth="1"/>
    <col min="3" max="14" width="12.88671875" style="14" bestFit="1" customWidth="1"/>
    <col min="15" max="15" width="14" style="14" bestFit="1" customWidth="1"/>
    <col min="16" max="16" width="14.44140625" style="14" bestFit="1" customWidth="1"/>
    <col min="17" max="17" width="11.44140625" style="14" bestFit="1" customWidth="1"/>
    <col min="18" max="16384" width="9.109375" style="14"/>
  </cols>
  <sheetData>
    <row r="1" spans="1:18" x14ac:dyDescent="0.25">
      <c r="A1" s="13" t="str">
        <f>'Summary of Returns'!A1</f>
        <v>TAYLOR COUNTY RECC</v>
      </c>
    </row>
    <row r="2" spans="1:18" x14ac:dyDescent="0.25">
      <c r="A2" s="13" t="s">
        <v>96</v>
      </c>
    </row>
    <row r="3" spans="1:18" ht="25.5" customHeight="1" x14ac:dyDescent="0.25"/>
    <row r="4" spans="1:18" x14ac:dyDescent="0.25">
      <c r="A4" s="37" t="s">
        <v>942</v>
      </c>
      <c r="B4" s="37" t="s">
        <v>943</v>
      </c>
      <c r="C4" s="142" t="s">
        <v>1004</v>
      </c>
      <c r="D4" s="142" t="s">
        <v>1005</v>
      </c>
      <c r="E4" s="142" t="s">
        <v>1006</v>
      </c>
      <c r="F4" s="142" t="s">
        <v>1007</v>
      </c>
      <c r="G4" s="142" t="s">
        <v>1008</v>
      </c>
      <c r="H4" s="142" t="s">
        <v>1009</v>
      </c>
      <c r="I4" s="142" t="s">
        <v>1010</v>
      </c>
      <c r="J4" s="142" t="s">
        <v>1011</v>
      </c>
      <c r="K4" s="142" t="s">
        <v>1012</v>
      </c>
      <c r="L4" s="142" t="s">
        <v>1013</v>
      </c>
      <c r="M4" s="142" t="s">
        <v>1014</v>
      </c>
      <c r="N4" s="142" t="s">
        <v>1015</v>
      </c>
      <c r="O4" s="37" t="s">
        <v>856</v>
      </c>
      <c r="P4" s="33"/>
      <c r="R4" s="21"/>
    </row>
    <row r="5" spans="1:18" x14ac:dyDescent="0.25">
      <c r="A5" s="21">
        <v>1</v>
      </c>
      <c r="B5" s="129" t="s">
        <v>1135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01"/>
      <c r="P5" s="33"/>
      <c r="R5" s="21"/>
    </row>
    <row r="6" spans="1:18" x14ac:dyDescent="0.25">
      <c r="A6" s="21">
        <f>A5+1</f>
        <v>2</v>
      </c>
      <c r="B6" s="154" t="s">
        <v>1136</v>
      </c>
      <c r="C6" s="155">
        <v>107901</v>
      </c>
      <c r="D6" s="155">
        <v>123996</v>
      </c>
      <c r="E6" s="155">
        <v>89154</v>
      </c>
      <c r="F6" s="155">
        <v>82901</v>
      </c>
      <c r="G6" s="155">
        <v>72858</v>
      </c>
      <c r="H6" s="155">
        <v>88904</v>
      </c>
      <c r="I6" s="155">
        <v>87286</v>
      </c>
      <c r="J6" s="155">
        <v>79028</v>
      </c>
      <c r="K6" s="155">
        <v>76195</v>
      </c>
      <c r="L6" s="155">
        <v>63801</v>
      </c>
      <c r="M6" s="155">
        <v>100976</v>
      </c>
      <c r="N6" s="155">
        <v>110071</v>
      </c>
      <c r="O6" s="101">
        <f t="shared" ref="O6:O50" si="0">SUM(C6:N6)</f>
        <v>1083071</v>
      </c>
      <c r="P6" s="33"/>
      <c r="R6" s="96"/>
    </row>
    <row r="7" spans="1:18" x14ac:dyDescent="0.25">
      <c r="A7" s="21">
        <f t="shared" ref="A7:A70" si="1">A6+1</f>
        <v>3</v>
      </c>
      <c r="B7" s="154" t="s">
        <v>858</v>
      </c>
      <c r="C7" s="155">
        <v>22910648</v>
      </c>
      <c r="D7" s="155">
        <v>22807973</v>
      </c>
      <c r="E7" s="155">
        <v>16332500</v>
      </c>
      <c r="F7" s="155">
        <v>13886861</v>
      </c>
      <c r="G7" s="155">
        <v>17208135</v>
      </c>
      <c r="H7" s="155">
        <v>22794955</v>
      </c>
      <c r="I7" s="155">
        <v>25282489</v>
      </c>
      <c r="J7" s="155">
        <v>25751836</v>
      </c>
      <c r="K7" s="155">
        <v>19249665</v>
      </c>
      <c r="L7" s="155">
        <v>14090917</v>
      </c>
      <c r="M7" s="155">
        <v>18199560</v>
      </c>
      <c r="N7" s="155">
        <v>22143866</v>
      </c>
      <c r="O7" s="101">
        <f t="shared" si="0"/>
        <v>240659405</v>
      </c>
      <c r="P7" s="33"/>
      <c r="R7" s="21"/>
    </row>
    <row r="8" spans="1:18" x14ac:dyDescent="0.25">
      <c r="A8" s="21">
        <f t="shared" si="1"/>
        <v>4</v>
      </c>
      <c r="B8" s="154" t="s">
        <v>1137</v>
      </c>
      <c r="C8" s="155">
        <v>649563</v>
      </c>
      <c r="D8" s="155">
        <v>746457</v>
      </c>
      <c r="E8" s="155">
        <v>536708</v>
      </c>
      <c r="F8" s="155">
        <v>499064</v>
      </c>
      <c r="G8" s="155">
        <v>438604</v>
      </c>
      <c r="H8" s="155">
        <v>535203</v>
      </c>
      <c r="I8" s="155">
        <v>525461</v>
      </c>
      <c r="J8" s="155">
        <v>550836</v>
      </c>
      <c r="K8" s="155">
        <v>458695</v>
      </c>
      <c r="L8" s="155">
        <v>415982</v>
      </c>
      <c r="M8" s="155">
        <v>658365</v>
      </c>
      <c r="N8" s="155">
        <v>662628</v>
      </c>
      <c r="O8" s="101">
        <f t="shared" si="0"/>
        <v>6677566</v>
      </c>
      <c r="P8" s="33"/>
      <c r="R8" s="21"/>
    </row>
    <row r="9" spans="1:18" x14ac:dyDescent="0.25">
      <c r="A9" s="21">
        <f t="shared" si="1"/>
        <v>5</v>
      </c>
      <c r="B9" s="154" t="s">
        <v>1138</v>
      </c>
      <c r="C9" s="155">
        <v>1131304</v>
      </c>
      <c r="D9" s="155">
        <v>1126236</v>
      </c>
      <c r="E9" s="155">
        <v>806452</v>
      </c>
      <c r="F9" s="155">
        <v>685718</v>
      </c>
      <c r="G9" s="155">
        <v>849720</v>
      </c>
      <c r="H9" s="155">
        <v>1125594</v>
      </c>
      <c r="I9" s="155">
        <v>1248423</v>
      </c>
      <c r="J9" s="155">
        <v>1271601</v>
      </c>
      <c r="K9" s="155">
        <v>950258</v>
      </c>
      <c r="L9" s="155">
        <v>724259</v>
      </c>
      <c r="M9" s="155">
        <v>935438</v>
      </c>
      <c r="N9" s="155">
        <v>1093441</v>
      </c>
      <c r="O9" s="101">
        <f t="shared" si="0"/>
        <v>11948444</v>
      </c>
      <c r="P9" s="33"/>
      <c r="R9" s="21"/>
    </row>
    <row r="10" spans="1:18" x14ac:dyDescent="0.25">
      <c r="A10" s="21">
        <f t="shared" si="1"/>
        <v>6</v>
      </c>
      <c r="B10" s="154" t="s">
        <v>1139</v>
      </c>
      <c r="C10" s="155">
        <v>2160</v>
      </c>
      <c r="D10" s="155">
        <v>2160</v>
      </c>
      <c r="E10" s="155">
        <v>2160</v>
      </c>
      <c r="F10" s="155">
        <v>2160</v>
      </c>
      <c r="G10" s="155">
        <v>2160</v>
      </c>
      <c r="H10" s="155">
        <v>2160</v>
      </c>
      <c r="I10" s="155">
        <v>2160</v>
      </c>
      <c r="J10" s="155">
        <v>2160</v>
      </c>
      <c r="K10" s="155">
        <v>2160</v>
      </c>
      <c r="L10" s="155">
        <v>2265</v>
      </c>
      <c r="M10" s="155">
        <v>2265</v>
      </c>
      <c r="N10" s="155">
        <v>2160</v>
      </c>
      <c r="O10" s="101">
        <f t="shared" si="0"/>
        <v>26130</v>
      </c>
      <c r="P10" s="33"/>
      <c r="R10" s="21"/>
    </row>
    <row r="11" spans="1:18" x14ac:dyDescent="0.25">
      <c r="A11" s="21">
        <f t="shared" si="1"/>
        <v>7</v>
      </c>
      <c r="B11" s="154" t="s">
        <v>1140</v>
      </c>
      <c r="C11" s="155">
        <v>50843</v>
      </c>
      <c r="D11" s="155">
        <v>50843</v>
      </c>
      <c r="E11" s="155">
        <v>50843</v>
      </c>
      <c r="F11" s="155">
        <v>50843</v>
      </c>
      <c r="G11" s="155">
        <v>50843</v>
      </c>
      <c r="H11" s="155">
        <v>50843</v>
      </c>
      <c r="I11" s="155">
        <v>50843</v>
      </c>
      <c r="J11" s="155">
        <v>50843</v>
      </c>
      <c r="K11" s="155">
        <v>50843</v>
      </c>
      <c r="L11" s="155">
        <v>53391</v>
      </c>
      <c r="M11" s="155">
        <v>53391</v>
      </c>
      <c r="N11" s="155">
        <v>50843</v>
      </c>
      <c r="O11" s="101">
        <f t="shared" si="0"/>
        <v>615212</v>
      </c>
      <c r="P11" s="33"/>
      <c r="R11" s="21"/>
    </row>
    <row r="12" spans="1:18" x14ac:dyDescent="0.25">
      <c r="A12" s="21">
        <f t="shared" si="1"/>
        <v>8</v>
      </c>
      <c r="B12" s="154" t="s">
        <v>1141</v>
      </c>
      <c r="C12" s="155">
        <v>-204926</v>
      </c>
      <c r="D12" s="155">
        <v>-252868</v>
      </c>
      <c r="E12" s="155">
        <v>77924</v>
      </c>
      <c r="F12" s="155">
        <v>-128927</v>
      </c>
      <c r="G12" s="155">
        <v>-214845</v>
      </c>
      <c r="H12" s="155">
        <v>-174661</v>
      </c>
      <c r="I12" s="155">
        <v>-166463</v>
      </c>
      <c r="J12" s="155">
        <v>-146433</v>
      </c>
      <c r="K12" s="155">
        <v>-85741</v>
      </c>
      <c r="L12" s="155">
        <v>-27648</v>
      </c>
      <c r="M12" s="155">
        <v>456473</v>
      </c>
      <c r="N12" s="155">
        <v>-247467</v>
      </c>
      <c r="O12" s="101">
        <f t="shared" si="0"/>
        <v>-1115582</v>
      </c>
      <c r="P12" s="33"/>
      <c r="R12" s="21"/>
    </row>
    <row r="13" spans="1:18" x14ac:dyDescent="0.25">
      <c r="A13" s="21">
        <f t="shared" si="1"/>
        <v>9</v>
      </c>
      <c r="B13" s="154" t="s">
        <v>1142</v>
      </c>
      <c r="C13" s="155">
        <v>583813</v>
      </c>
      <c r="D13" s="155">
        <v>399303</v>
      </c>
      <c r="E13" s="155">
        <v>301662</v>
      </c>
      <c r="F13" s="155">
        <v>292445</v>
      </c>
      <c r="G13" s="155">
        <v>297703</v>
      </c>
      <c r="H13" s="155">
        <v>545252</v>
      </c>
      <c r="I13" s="155">
        <v>532186</v>
      </c>
      <c r="J13" s="155">
        <v>502240</v>
      </c>
      <c r="K13" s="155">
        <v>359994</v>
      </c>
      <c r="L13" s="155">
        <v>334128</v>
      </c>
      <c r="M13" s="155">
        <v>648276</v>
      </c>
      <c r="N13" s="155">
        <v>634075</v>
      </c>
      <c r="O13" s="101">
        <f t="shared" si="0"/>
        <v>5431077</v>
      </c>
      <c r="P13" s="33"/>
      <c r="R13" s="21"/>
    </row>
    <row r="14" spans="1:18" x14ac:dyDescent="0.25">
      <c r="A14" s="21">
        <f t="shared" si="1"/>
        <v>10</v>
      </c>
      <c r="B14" s="154" t="s">
        <v>1143</v>
      </c>
      <c r="C14" s="155">
        <v>3379849</v>
      </c>
      <c r="D14" s="155">
        <v>3251469</v>
      </c>
      <c r="E14" s="155">
        <v>2585252</v>
      </c>
      <c r="F14" s="155">
        <v>2087686</v>
      </c>
      <c r="G14" s="155">
        <v>1962717</v>
      </c>
      <c r="H14" s="155">
        <v>2682651</v>
      </c>
      <c r="I14" s="155">
        <v>2844029</v>
      </c>
      <c r="J14" s="155">
        <v>2894999</v>
      </c>
      <c r="K14" s="155">
        <v>2262692</v>
      </c>
      <c r="L14" s="155">
        <v>2214417</v>
      </c>
      <c r="M14" s="155">
        <v>3709066</v>
      </c>
      <c r="N14" s="155">
        <v>3319690</v>
      </c>
      <c r="O14" s="101">
        <f t="shared" si="0"/>
        <v>33194517</v>
      </c>
      <c r="P14" s="33"/>
      <c r="R14" s="96"/>
    </row>
    <row r="15" spans="1:18" x14ac:dyDescent="0.25">
      <c r="A15" s="21">
        <f t="shared" si="1"/>
        <v>11</v>
      </c>
      <c r="B15" s="156" t="s">
        <v>1144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01">
        <f t="shared" si="0"/>
        <v>0</v>
      </c>
      <c r="P15" s="144"/>
      <c r="R15" s="21"/>
    </row>
    <row r="16" spans="1:18" x14ac:dyDescent="0.25">
      <c r="A16" s="21">
        <f t="shared" si="1"/>
        <v>12</v>
      </c>
      <c r="B16" s="154" t="s">
        <v>858</v>
      </c>
      <c r="C16" s="155">
        <v>28707948</v>
      </c>
      <c r="D16" s="155">
        <v>29009157</v>
      </c>
      <c r="E16" s="155">
        <v>19911337</v>
      </c>
      <c r="F16" s="155">
        <v>16883536</v>
      </c>
      <c r="G16" s="155">
        <v>11960611</v>
      </c>
      <c r="H16" s="155">
        <v>14685783</v>
      </c>
      <c r="I16" s="155">
        <v>16023481</v>
      </c>
      <c r="J16" s="155">
        <v>14722326</v>
      </c>
      <c r="K16" s="155">
        <v>11634724</v>
      </c>
      <c r="L16" s="155">
        <v>15068236</v>
      </c>
      <c r="M16" s="155">
        <v>22375663</v>
      </c>
      <c r="N16" s="155">
        <v>27648212</v>
      </c>
      <c r="O16" s="101">
        <f t="shared" si="0"/>
        <v>228631014</v>
      </c>
      <c r="P16" s="33"/>
      <c r="R16" s="21"/>
    </row>
    <row r="17" spans="1:18" x14ac:dyDescent="0.25">
      <c r="A17" s="21">
        <f t="shared" si="1"/>
        <v>13</v>
      </c>
      <c r="B17" s="154" t="s">
        <v>1138</v>
      </c>
      <c r="C17" s="151">
        <v>1167092</v>
      </c>
      <c r="D17" s="151">
        <v>1179338</v>
      </c>
      <c r="E17" s="151">
        <v>809473</v>
      </c>
      <c r="F17" s="151">
        <v>686383</v>
      </c>
      <c r="G17" s="151">
        <v>535822</v>
      </c>
      <c r="H17" s="151">
        <v>597038</v>
      </c>
      <c r="I17" s="151">
        <v>651419</v>
      </c>
      <c r="J17" s="151">
        <v>663752</v>
      </c>
      <c r="K17" s="151">
        <v>522953</v>
      </c>
      <c r="L17" s="151">
        <v>709562</v>
      </c>
      <c r="M17" s="151">
        <v>954858</v>
      </c>
      <c r="N17" s="151">
        <v>1124010</v>
      </c>
      <c r="O17" s="101">
        <f t="shared" si="0"/>
        <v>9601700</v>
      </c>
      <c r="P17" s="33"/>
      <c r="R17" s="21"/>
    </row>
    <row r="18" spans="1:18" x14ac:dyDescent="0.25">
      <c r="A18" s="21">
        <f t="shared" si="1"/>
        <v>14</v>
      </c>
      <c r="B18" s="129" t="s">
        <v>1145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01">
        <f t="shared" si="0"/>
        <v>0</v>
      </c>
      <c r="P18" s="33"/>
      <c r="R18" s="21"/>
    </row>
    <row r="19" spans="1:18" x14ac:dyDescent="0.25">
      <c r="A19" s="21">
        <f t="shared" si="1"/>
        <v>15</v>
      </c>
      <c r="B19" s="154" t="s">
        <v>1136</v>
      </c>
      <c r="C19" s="151">
        <v>107901</v>
      </c>
      <c r="D19" s="151">
        <v>123996</v>
      </c>
      <c r="E19" s="151">
        <v>89154</v>
      </c>
      <c r="F19" s="151">
        <v>82901</v>
      </c>
      <c r="G19" s="151">
        <v>72858</v>
      </c>
      <c r="H19" s="151">
        <v>88904</v>
      </c>
      <c r="I19" s="151">
        <v>87286</v>
      </c>
      <c r="J19" s="151">
        <v>79028</v>
      </c>
      <c r="K19" s="151">
        <v>76195</v>
      </c>
      <c r="L19" s="151">
        <v>63801</v>
      </c>
      <c r="M19" s="151">
        <v>100976</v>
      </c>
      <c r="N19" s="151">
        <v>110071</v>
      </c>
      <c r="O19" s="101">
        <f t="shared" si="0"/>
        <v>1083071</v>
      </c>
      <c r="P19" s="33"/>
      <c r="R19" s="21"/>
    </row>
    <row r="20" spans="1:18" x14ac:dyDescent="0.25">
      <c r="A20" s="21">
        <f t="shared" si="1"/>
        <v>16</v>
      </c>
      <c r="B20" s="154" t="s">
        <v>858</v>
      </c>
      <c r="C20" s="151">
        <v>51618596</v>
      </c>
      <c r="D20" s="151">
        <v>51817130</v>
      </c>
      <c r="E20" s="151">
        <v>36243837</v>
      </c>
      <c r="F20" s="151">
        <v>30770397</v>
      </c>
      <c r="G20" s="151">
        <v>29168746</v>
      </c>
      <c r="H20" s="151">
        <v>37480738</v>
      </c>
      <c r="I20" s="151">
        <v>41305970</v>
      </c>
      <c r="J20" s="151">
        <v>40474162</v>
      </c>
      <c r="K20" s="151">
        <v>30884389</v>
      </c>
      <c r="L20" s="151">
        <v>29159153</v>
      </c>
      <c r="M20" s="151">
        <v>40575223</v>
      </c>
      <c r="N20" s="151">
        <v>49792078</v>
      </c>
      <c r="O20" s="101">
        <f t="shared" si="0"/>
        <v>469290419</v>
      </c>
      <c r="P20" s="33"/>
      <c r="R20" s="21"/>
    </row>
    <row r="21" spans="1:18" x14ac:dyDescent="0.25">
      <c r="A21" s="21">
        <f t="shared" si="1"/>
        <v>17</v>
      </c>
      <c r="B21" s="154" t="s">
        <v>1137</v>
      </c>
      <c r="C21" s="151">
        <v>649563</v>
      </c>
      <c r="D21" s="151">
        <v>746457</v>
      </c>
      <c r="E21" s="151">
        <v>536708</v>
      </c>
      <c r="F21" s="151">
        <v>499064</v>
      </c>
      <c r="G21" s="151">
        <v>438604</v>
      </c>
      <c r="H21" s="151">
        <v>535203</v>
      </c>
      <c r="I21" s="151">
        <v>525461</v>
      </c>
      <c r="J21" s="151">
        <v>550836</v>
      </c>
      <c r="K21" s="151">
        <v>458695</v>
      </c>
      <c r="L21" s="151">
        <v>415982</v>
      </c>
      <c r="M21" s="151">
        <v>658365</v>
      </c>
      <c r="N21" s="151">
        <v>662628</v>
      </c>
      <c r="O21" s="101">
        <f t="shared" si="0"/>
        <v>6677566</v>
      </c>
      <c r="P21" s="33"/>
      <c r="R21" s="96"/>
    </row>
    <row r="22" spans="1:18" x14ac:dyDescent="0.25">
      <c r="A22" s="21">
        <f t="shared" si="1"/>
        <v>18</v>
      </c>
      <c r="B22" s="154" t="s">
        <v>1138</v>
      </c>
      <c r="C22" s="151">
        <v>2298396</v>
      </c>
      <c r="D22" s="151">
        <v>2305574</v>
      </c>
      <c r="E22" s="151">
        <v>1615925</v>
      </c>
      <c r="F22" s="151">
        <v>1372101</v>
      </c>
      <c r="G22" s="151">
        <v>1385542</v>
      </c>
      <c r="H22" s="151">
        <v>1722632</v>
      </c>
      <c r="I22" s="151">
        <v>1899842</v>
      </c>
      <c r="J22" s="151">
        <v>1935353</v>
      </c>
      <c r="K22" s="151">
        <v>1473211</v>
      </c>
      <c r="L22" s="151">
        <v>1433821</v>
      </c>
      <c r="M22" s="151">
        <v>1890296</v>
      </c>
      <c r="N22" s="151">
        <v>2217451</v>
      </c>
      <c r="O22" s="101">
        <f t="shared" si="0"/>
        <v>21550144</v>
      </c>
      <c r="P22" s="144"/>
      <c r="R22" s="21"/>
    </row>
    <row r="23" spans="1:18" x14ac:dyDescent="0.25">
      <c r="A23" s="21">
        <f t="shared" si="1"/>
        <v>19</v>
      </c>
      <c r="B23" s="154" t="s">
        <v>1139</v>
      </c>
      <c r="C23" s="151">
        <v>2160</v>
      </c>
      <c r="D23" s="151">
        <v>2160</v>
      </c>
      <c r="E23" s="151">
        <v>2160</v>
      </c>
      <c r="F23" s="151">
        <v>2160</v>
      </c>
      <c r="G23" s="151">
        <v>2160</v>
      </c>
      <c r="H23" s="151">
        <v>2160</v>
      </c>
      <c r="I23" s="151">
        <v>2160</v>
      </c>
      <c r="J23" s="151">
        <v>2160</v>
      </c>
      <c r="K23" s="151">
        <v>2160</v>
      </c>
      <c r="L23" s="151">
        <v>2265</v>
      </c>
      <c r="M23" s="151">
        <v>2265</v>
      </c>
      <c r="N23" s="151">
        <v>2160</v>
      </c>
      <c r="O23" s="101">
        <f t="shared" si="0"/>
        <v>26130</v>
      </c>
    </row>
    <row r="24" spans="1:18" x14ac:dyDescent="0.25">
      <c r="A24" s="21">
        <f t="shared" si="1"/>
        <v>20</v>
      </c>
      <c r="B24" s="154" t="s">
        <v>1140</v>
      </c>
      <c r="C24" s="151">
        <v>50843</v>
      </c>
      <c r="D24" s="151">
        <v>50843</v>
      </c>
      <c r="E24" s="151">
        <v>50843</v>
      </c>
      <c r="F24" s="151">
        <v>50843</v>
      </c>
      <c r="G24" s="151">
        <v>50843</v>
      </c>
      <c r="H24" s="151">
        <v>50843</v>
      </c>
      <c r="I24" s="151">
        <v>50843</v>
      </c>
      <c r="J24" s="151">
        <v>50843</v>
      </c>
      <c r="K24" s="151">
        <v>50843</v>
      </c>
      <c r="L24" s="151">
        <v>53391</v>
      </c>
      <c r="M24" s="151">
        <v>53391</v>
      </c>
      <c r="N24" s="151">
        <v>50843</v>
      </c>
      <c r="O24" s="101">
        <f t="shared" si="0"/>
        <v>615212</v>
      </c>
    </row>
    <row r="25" spans="1:18" x14ac:dyDescent="0.25">
      <c r="A25" s="21">
        <f t="shared" si="1"/>
        <v>21</v>
      </c>
      <c r="B25" s="154" t="s">
        <v>1141</v>
      </c>
      <c r="C25" s="151">
        <v>-204926</v>
      </c>
      <c r="D25" s="151">
        <v>-252868</v>
      </c>
      <c r="E25" s="151">
        <v>77924</v>
      </c>
      <c r="F25" s="151">
        <v>-128927</v>
      </c>
      <c r="G25" s="151">
        <v>-214845</v>
      </c>
      <c r="H25" s="151">
        <v>-174661</v>
      </c>
      <c r="I25" s="151">
        <v>-166463</v>
      </c>
      <c r="J25" s="151">
        <v>-146433</v>
      </c>
      <c r="K25" s="151">
        <v>-85741</v>
      </c>
      <c r="L25" s="151">
        <v>-27648</v>
      </c>
      <c r="M25" s="151">
        <v>456473</v>
      </c>
      <c r="N25" s="151">
        <v>-247467</v>
      </c>
      <c r="O25" s="101">
        <f t="shared" si="0"/>
        <v>-1115582</v>
      </c>
    </row>
    <row r="26" spans="1:18" x14ac:dyDescent="0.25">
      <c r="A26" s="21">
        <f t="shared" si="1"/>
        <v>22</v>
      </c>
      <c r="B26" s="154" t="s">
        <v>1142</v>
      </c>
      <c r="C26" s="151">
        <v>583813</v>
      </c>
      <c r="D26" s="151">
        <v>399303</v>
      </c>
      <c r="E26" s="151">
        <v>301662</v>
      </c>
      <c r="F26" s="151">
        <v>292445</v>
      </c>
      <c r="G26" s="151">
        <v>297703</v>
      </c>
      <c r="H26" s="151">
        <v>545252</v>
      </c>
      <c r="I26" s="151">
        <v>532186</v>
      </c>
      <c r="J26" s="151">
        <v>502240</v>
      </c>
      <c r="K26" s="151">
        <v>359994</v>
      </c>
      <c r="L26" s="151">
        <v>334128</v>
      </c>
      <c r="M26" s="151">
        <v>648276</v>
      </c>
      <c r="N26" s="151">
        <v>634075</v>
      </c>
      <c r="O26" s="101">
        <f t="shared" si="0"/>
        <v>5431077</v>
      </c>
    </row>
    <row r="27" spans="1:18" x14ac:dyDescent="0.25">
      <c r="A27" s="21">
        <f t="shared" si="1"/>
        <v>23</v>
      </c>
      <c r="B27" s="154" t="s">
        <v>1143</v>
      </c>
      <c r="C27" s="151">
        <v>3379849</v>
      </c>
      <c r="D27" s="151">
        <v>3251469</v>
      </c>
      <c r="E27" s="151">
        <v>2585252</v>
      </c>
      <c r="F27" s="151">
        <v>2087686</v>
      </c>
      <c r="G27" s="151">
        <v>1962717</v>
      </c>
      <c r="H27" s="151">
        <v>2682651</v>
      </c>
      <c r="I27" s="151">
        <v>2844029</v>
      </c>
      <c r="J27" s="151">
        <v>2894999</v>
      </c>
      <c r="K27" s="151">
        <v>2262692</v>
      </c>
      <c r="L27" s="151">
        <v>2214417</v>
      </c>
      <c r="M27" s="151">
        <v>3709066</v>
      </c>
      <c r="N27" s="151">
        <v>3319690</v>
      </c>
      <c r="O27" s="101">
        <f t="shared" si="0"/>
        <v>33194517</v>
      </c>
    </row>
    <row r="28" spans="1:18" x14ac:dyDescent="0.25">
      <c r="A28" s="21">
        <f t="shared" si="1"/>
        <v>24</v>
      </c>
      <c r="B28" s="129" t="s">
        <v>1146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01">
        <f t="shared" si="0"/>
        <v>0</v>
      </c>
    </row>
    <row r="29" spans="1:18" x14ac:dyDescent="0.25">
      <c r="A29" s="21">
        <f t="shared" si="1"/>
        <v>25</v>
      </c>
      <c r="B29" s="154" t="s">
        <v>1136</v>
      </c>
      <c r="C29" s="151">
        <v>4641</v>
      </c>
      <c r="D29" s="151">
        <v>4626</v>
      </c>
      <c r="E29" s="151">
        <v>4463</v>
      </c>
      <c r="F29" s="151">
        <v>4369</v>
      </c>
      <c r="G29" s="151">
        <v>4769</v>
      </c>
      <c r="H29" s="151">
        <v>4984</v>
      </c>
      <c r="I29" s="151">
        <v>5000</v>
      </c>
      <c r="J29" s="151">
        <v>5087</v>
      </c>
      <c r="K29" s="151">
        <v>4570</v>
      </c>
      <c r="L29" s="151">
        <v>4456</v>
      </c>
      <c r="M29" s="151">
        <v>4462</v>
      </c>
      <c r="N29" s="151">
        <v>4586</v>
      </c>
      <c r="O29" s="101">
        <f t="shared" si="0"/>
        <v>56013</v>
      </c>
    </row>
    <row r="30" spans="1:18" x14ac:dyDescent="0.25">
      <c r="A30" s="21">
        <f t="shared" si="1"/>
        <v>26</v>
      </c>
      <c r="B30" s="154" t="s">
        <v>858</v>
      </c>
      <c r="C30" s="151">
        <v>2437714</v>
      </c>
      <c r="D30" s="151">
        <v>2231614</v>
      </c>
      <c r="E30" s="151">
        <v>2359212</v>
      </c>
      <c r="F30" s="151">
        <v>2250388</v>
      </c>
      <c r="G30" s="151">
        <v>2363889</v>
      </c>
      <c r="H30" s="151">
        <v>2715225</v>
      </c>
      <c r="I30" s="151">
        <v>2794252</v>
      </c>
      <c r="J30" s="151">
        <v>2779986</v>
      </c>
      <c r="K30" s="151">
        <v>2430364</v>
      </c>
      <c r="L30" s="151">
        <v>2443801</v>
      </c>
      <c r="M30" s="151">
        <v>2319513</v>
      </c>
      <c r="N30" s="151">
        <v>2312988</v>
      </c>
      <c r="O30" s="101">
        <f t="shared" si="0"/>
        <v>29438946</v>
      </c>
    </row>
    <row r="31" spans="1:18" x14ac:dyDescent="0.25">
      <c r="A31" s="21">
        <f t="shared" si="1"/>
        <v>27</v>
      </c>
      <c r="B31" s="154" t="s">
        <v>1137</v>
      </c>
      <c r="C31" s="151">
        <v>34347</v>
      </c>
      <c r="D31" s="151">
        <v>34197</v>
      </c>
      <c r="E31" s="151">
        <v>32570</v>
      </c>
      <c r="F31" s="151">
        <v>31632</v>
      </c>
      <c r="G31" s="151">
        <v>35624</v>
      </c>
      <c r="H31" s="151">
        <v>37770</v>
      </c>
      <c r="I31" s="151">
        <v>37930</v>
      </c>
      <c r="J31" s="151">
        <v>38798</v>
      </c>
      <c r="K31" s="151">
        <v>33638</v>
      </c>
      <c r="L31" s="151">
        <v>33864</v>
      </c>
      <c r="M31" s="151">
        <v>33924</v>
      </c>
      <c r="N31" s="151">
        <v>33797</v>
      </c>
      <c r="O31" s="101">
        <f t="shared" si="0"/>
        <v>418091</v>
      </c>
    </row>
    <row r="32" spans="1:18" x14ac:dyDescent="0.25">
      <c r="A32" s="21">
        <f t="shared" si="1"/>
        <v>28</v>
      </c>
      <c r="B32" s="154" t="s">
        <v>1138</v>
      </c>
      <c r="C32" s="151">
        <v>92309</v>
      </c>
      <c r="D32" s="151">
        <v>83705</v>
      </c>
      <c r="E32" s="151">
        <v>89396</v>
      </c>
      <c r="F32" s="151">
        <v>85062</v>
      </c>
      <c r="G32" s="151">
        <v>90147</v>
      </c>
      <c r="H32" s="151">
        <v>104586</v>
      </c>
      <c r="I32" s="151">
        <v>107937</v>
      </c>
      <c r="J32" s="151">
        <v>107490</v>
      </c>
      <c r="K32" s="151">
        <v>92976</v>
      </c>
      <c r="L32" s="151">
        <v>95469</v>
      </c>
      <c r="M32" s="151">
        <v>89576</v>
      </c>
      <c r="N32" s="151">
        <v>87451</v>
      </c>
      <c r="O32" s="101">
        <f t="shared" si="0"/>
        <v>1126104</v>
      </c>
    </row>
    <row r="33" spans="1:15" x14ac:dyDescent="0.25">
      <c r="A33" s="21">
        <f t="shared" si="1"/>
        <v>29</v>
      </c>
      <c r="B33" s="154" t="s">
        <v>1141</v>
      </c>
      <c r="C33" s="151">
        <v>-9267</v>
      </c>
      <c r="D33" s="151">
        <v>-10279</v>
      </c>
      <c r="E33" s="151">
        <v>4862</v>
      </c>
      <c r="F33" s="151">
        <v>-9003</v>
      </c>
      <c r="G33" s="151">
        <v>-16172</v>
      </c>
      <c r="H33" s="151">
        <v>-12430</v>
      </c>
      <c r="I33" s="151">
        <v>-11110</v>
      </c>
      <c r="J33" s="151">
        <v>-9558</v>
      </c>
      <c r="K33" s="151">
        <v>-6310</v>
      </c>
      <c r="L33" s="151">
        <v>-2131</v>
      </c>
      <c r="M33" s="151">
        <v>24836</v>
      </c>
      <c r="N33" s="151">
        <v>-10982</v>
      </c>
      <c r="O33" s="101">
        <f t="shared" si="0"/>
        <v>-67544</v>
      </c>
    </row>
    <row r="34" spans="1:15" x14ac:dyDescent="0.25">
      <c r="A34" s="21">
        <f t="shared" si="1"/>
        <v>30</v>
      </c>
      <c r="B34" s="154" t="s">
        <v>1142</v>
      </c>
      <c r="C34" s="151">
        <v>24512</v>
      </c>
      <c r="D34" s="151">
        <v>15066</v>
      </c>
      <c r="E34" s="151">
        <v>16753</v>
      </c>
      <c r="F34" s="151">
        <v>17542</v>
      </c>
      <c r="G34" s="151">
        <v>19596</v>
      </c>
      <c r="H34" s="151">
        <v>33145</v>
      </c>
      <c r="I34" s="151">
        <v>31021</v>
      </c>
      <c r="J34" s="151">
        <v>28700</v>
      </c>
      <c r="K34" s="151">
        <v>22762</v>
      </c>
      <c r="L34" s="151">
        <v>22604</v>
      </c>
      <c r="M34" s="151">
        <v>31418</v>
      </c>
      <c r="N34" s="151">
        <v>26035</v>
      </c>
      <c r="O34" s="101">
        <f t="shared" si="0"/>
        <v>289154</v>
      </c>
    </row>
    <row r="35" spans="1:15" x14ac:dyDescent="0.25">
      <c r="A35" s="21">
        <f t="shared" si="1"/>
        <v>31</v>
      </c>
      <c r="B35" s="154" t="s">
        <v>1143</v>
      </c>
      <c r="C35" s="151">
        <v>141901</v>
      </c>
      <c r="D35" s="151">
        <v>122689</v>
      </c>
      <c r="E35" s="151">
        <v>143581</v>
      </c>
      <c r="F35" s="151">
        <v>125233</v>
      </c>
      <c r="G35" s="151">
        <v>129195</v>
      </c>
      <c r="H35" s="151">
        <v>163071</v>
      </c>
      <c r="I35" s="151">
        <v>165778</v>
      </c>
      <c r="J35" s="151">
        <v>165430</v>
      </c>
      <c r="K35" s="151">
        <v>143066</v>
      </c>
      <c r="L35" s="151">
        <v>149806</v>
      </c>
      <c r="M35" s="151">
        <v>179754</v>
      </c>
      <c r="N35" s="151">
        <v>136301</v>
      </c>
      <c r="O35" s="101">
        <f t="shared" si="0"/>
        <v>1765805</v>
      </c>
    </row>
    <row r="36" spans="1:15" x14ac:dyDescent="0.25">
      <c r="A36" s="21">
        <f t="shared" si="1"/>
        <v>32</v>
      </c>
      <c r="B36" s="156" t="s">
        <v>1147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01"/>
    </row>
    <row r="37" spans="1:15" x14ac:dyDescent="0.25">
      <c r="A37" s="21">
        <f t="shared" si="1"/>
        <v>33</v>
      </c>
      <c r="B37" s="154" t="s">
        <v>1142</v>
      </c>
      <c r="C37" s="151">
        <v>-220</v>
      </c>
      <c r="D37" s="151">
        <v>-148</v>
      </c>
      <c r="E37" s="151">
        <v>-140</v>
      </c>
      <c r="F37" s="151">
        <v>-1066</v>
      </c>
      <c r="G37" s="151">
        <v>-1076</v>
      </c>
      <c r="H37" s="151">
        <v>-1076</v>
      </c>
      <c r="I37" s="151">
        <v>0</v>
      </c>
      <c r="J37" s="151">
        <v>-1085</v>
      </c>
      <c r="K37" s="151">
        <v>-1803</v>
      </c>
      <c r="L37" s="151">
        <v>-156</v>
      </c>
      <c r="M37" s="151">
        <v>-1105</v>
      </c>
      <c r="N37" s="151">
        <v>-1045</v>
      </c>
      <c r="O37" s="101">
        <f t="shared" si="0"/>
        <v>-8920</v>
      </c>
    </row>
    <row r="38" spans="1:15" x14ac:dyDescent="0.25">
      <c r="A38" s="21">
        <f t="shared" si="1"/>
        <v>34</v>
      </c>
      <c r="B38" s="154" t="s">
        <v>1148</v>
      </c>
      <c r="C38" s="151">
        <v>-1055</v>
      </c>
      <c r="D38" s="151">
        <v>-1055</v>
      </c>
      <c r="E38" s="151">
        <v>-1061</v>
      </c>
      <c r="F38" s="151">
        <v>-174</v>
      </c>
      <c r="G38" s="151">
        <v>-192</v>
      </c>
      <c r="H38" s="151">
        <v>-274</v>
      </c>
      <c r="I38" s="151">
        <v>0</v>
      </c>
      <c r="J38" s="151">
        <v>-228</v>
      </c>
      <c r="K38" s="151">
        <v>-205</v>
      </c>
      <c r="L38" s="151">
        <v>-28</v>
      </c>
      <c r="M38" s="151">
        <v>-234</v>
      </c>
      <c r="N38" s="151">
        <v>-247</v>
      </c>
      <c r="O38" s="101">
        <f t="shared" si="0"/>
        <v>-4753</v>
      </c>
    </row>
    <row r="39" spans="1:15" x14ac:dyDescent="0.25">
      <c r="A39" s="21">
        <f t="shared" si="1"/>
        <v>35</v>
      </c>
      <c r="B39" s="154" t="s">
        <v>1143</v>
      </c>
      <c r="C39" s="151">
        <v>-1275</v>
      </c>
      <c r="D39" s="151">
        <v>-1203</v>
      </c>
      <c r="E39" s="151">
        <v>-1201</v>
      </c>
      <c r="F39" s="151">
        <v>-1240</v>
      </c>
      <c r="G39" s="151">
        <v>-1268</v>
      </c>
      <c r="H39" s="151">
        <v>-1350</v>
      </c>
      <c r="I39" s="151">
        <v>0</v>
      </c>
      <c r="J39" s="151">
        <v>-1313</v>
      </c>
      <c r="K39" s="151">
        <v>-1288</v>
      </c>
      <c r="L39" s="151">
        <v>-184</v>
      </c>
      <c r="M39" s="151">
        <v>-1339</v>
      </c>
      <c r="N39" s="151">
        <v>-1292</v>
      </c>
      <c r="O39" s="101">
        <f t="shared" si="0"/>
        <v>-12953</v>
      </c>
    </row>
    <row r="40" spans="1:15" x14ac:dyDescent="0.25">
      <c r="A40" s="21">
        <f t="shared" si="1"/>
        <v>36</v>
      </c>
      <c r="B40" s="129" t="s">
        <v>1149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01"/>
    </row>
    <row r="41" spans="1:15" x14ac:dyDescent="0.25">
      <c r="A41" s="21">
        <f t="shared" si="1"/>
        <v>37</v>
      </c>
      <c r="B41" s="154" t="s">
        <v>1136</v>
      </c>
      <c r="C41" s="151">
        <v>112542</v>
      </c>
      <c r="D41" s="151">
        <v>128622</v>
      </c>
      <c r="E41" s="151">
        <v>93617</v>
      </c>
      <c r="F41" s="151">
        <v>87270</v>
      </c>
      <c r="G41" s="151">
        <v>77627</v>
      </c>
      <c r="H41" s="151">
        <v>93888</v>
      </c>
      <c r="I41" s="151">
        <v>92286</v>
      </c>
      <c r="J41" s="151">
        <v>84115</v>
      </c>
      <c r="K41" s="151">
        <v>80765</v>
      </c>
      <c r="L41" s="151">
        <v>68257</v>
      </c>
      <c r="M41" s="151">
        <v>105438</v>
      </c>
      <c r="N41" s="151">
        <v>114657</v>
      </c>
      <c r="O41" s="101">
        <f t="shared" si="0"/>
        <v>1139084</v>
      </c>
    </row>
    <row r="42" spans="1:15" x14ac:dyDescent="0.25">
      <c r="A42" s="21">
        <f t="shared" si="1"/>
        <v>38</v>
      </c>
      <c r="B42" s="154" t="s">
        <v>858</v>
      </c>
      <c r="C42" s="151">
        <v>54056310</v>
      </c>
      <c r="D42" s="151">
        <v>54048744</v>
      </c>
      <c r="E42" s="151">
        <v>38603049</v>
      </c>
      <c r="F42" s="151">
        <v>33020785</v>
      </c>
      <c r="G42" s="151">
        <v>31532635</v>
      </c>
      <c r="H42" s="151">
        <v>40195963</v>
      </c>
      <c r="I42" s="151">
        <v>44100222</v>
      </c>
      <c r="J42" s="151">
        <v>43254148</v>
      </c>
      <c r="K42" s="151">
        <v>33314753</v>
      </c>
      <c r="L42" s="151">
        <v>31602954</v>
      </c>
      <c r="M42" s="151">
        <v>42894736</v>
      </c>
      <c r="N42" s="151">
        <v>52105066</v>
      </c>
      <c r="O42" s="101">
        <f t="shared" si="0"/>
        <v>498729365</v>
      </c>
    </row>
    <row r="43" spans="1:15" x14ac:dyDescent="0.25">
      <c r="A43" s="21">
        <f t="shared" si="1"/>
        <v>39</v>
      </c>
      <c r="B43" s="154" t="s">
        <v>1137</v>
      </c>
      <c r="C43" s="151">
        <v>683910</v>
      </c>
      <c r="D43" s="151">
        <v>780654</v>
      </c>
      <c r="E43" s="151">
        <v>569278</v>
      </c>
      <c r="F43" s="151">
        <v>530696</v>
      </c>
      <c r="G43" s="151">
        <v>474228</v>
      </c>
      <c r="H43" s="151">
        <v>572973</v>
      </c>
      <c r="I43" s="151">
        <v>563391</v>
      </c>
      <c r="J43" s="151">
        <v>589634</v>
      </c>
      <c r="K43" s="151">
        <v>492333</v>
      </c>
      <c r="L43" s="151">
        <v>449846</v>
      </c>
      <c r="M43" s="151">
        <v>692289</v>
      </c>
      <c r="N43" s="151">
        <v>696425</v>
      </c>
      <c r="O43" s="101">
        <f t="shared" si="0"/>
        <v>7095657</v>
      </c>
    </row>
    <row r="44" spans="1:15" x14ac:dyDescent="0.25">
      <c r="A44" s="21">
        <f t="shared" si="1"/>
        <v>40</v>
      </c>
      <c r="B44" s="154" t="s">
        <v>1138</v>
      </c>
      <c r="C44" s="151">
        <v>2390705</v>
      </c>
      <c r="D44" s="151">
        <v>2389279</v>
      </c>
      <c r="E44" s="151">
        <v>1705321</v>
      </c>
      <c r="F44" s="151">
        <v>1457163</v>
      </c>
      <c r="G44" s="151">
        <v>1475689</v>
      </c>
      <c r="H44" s="151">
        <v>1827218</v>
      </c>
      <c r="I44" s="151">
        <v>2007779</v>
      </c>
      <c r="J44" s="151">
        <v>2042843</v>
      </c>
      <c r="K44" s="151">
        <v>1566187</v>
      </c>
      <c r="L44" s="151">
        <v>1529290</v>
      </c>
      <c r="M44" s="151">
        <v>1979872</v>
      </c>
      <c r="N44" s="151">
        <v>2304902</v>
      </c>
      <c r="O44" s="101">
        <f t="shared" si="0"/>
        <v>22676248</v>
      </c>
    </row>
    <row r="45" spans="1:15" x14ac:dyDescent="0.25">
      <c r="A45" s="21">
        <f t="shared" si="1"/>
        <v>41</v>
      </c>
      <c r="B45" s="154" t="s">
        <v>1139</v>
      </c>
      <c r="C45" s="151">
        <v>2160</v>
      </c>
      <c r="D45" s="151">
        <v>2160</v>
      </c>
      <c r="E45" s="151">
        <v>2160</v>
      </c>
      <c r="F45" s="151">
        <v>2160</v>
      </c>
      <c r="G45" s="151">
        <v>2160</v>
      </c>
      <c r="H45" s="151">
        <v>2160</v>
      </c>
      <c r="I45" s="151">
        <v>2160</v>
      </c>
      <c r="J45" s="151">
        <v>2160</v>
      </c>
      <c r="K45" s="151">
        <v>2160</v>
      </c>
      <c r="L45" s="151">
        <v>2265</v>
      </c>
      <c r="M45" s="151">
        <v>2265</v>
      </c>
      <c r="N45" s="151">
        <v>2160</v>
      </c>
      <c r="O45" s="101">
        <f t="shared" si="0"/>
        <v>26130</v>
      </c>
    </row>
    <row r="46" spans="1:15" x14ac:dyDescent="0.25">
      <c r="A46" s="21">
        <f t="shared" si="1"/>
        <v>42</v>
      </c>
      <c r="B46" s="154" t="s">
        <v>1140</v>
      </c>
      <c r="C46" s="151">
        <v>50843</v>
      </c>
      <c r="D46" s="151">
        <v>50843</v>
      </c>
      <c r="E46" s="151">
        <v>50843</v>
      </c>
      <c r="F46" s="151">
        <v>50843</v>
      </c>
      <c r="G46" s="151">
        <v>50843</v>
      </c>
      <c r="H46" s="151">
        <v>50843</v>
      </c>
      <c r="I46" s="151">
        <v>50843</v>
      </c>
      <c r="J46" s="151">
        <v>50843</v>
      </c>
      <c r="K46" s="151">
        <v>50843</v>
      </c>
      <c r="L46" s="151">
        <v>53391</v>
      </c>
      <c r="M46" s="151">
        <v>53391</v>
      </c>
      <c r="N46" s="151">
        <v>50843</v>
      </c>
      <c r="O46" s="101">
        <f t="shared" si="0"/>
        <v>615212</v>
      </c>
    </row>
    <row r="47" spans="1:15" x14ac:dyDescent="0.25">
      <c r="A47" s="21">
        <f t="shared" si="1"/>
        <v>43</v>
      </c>
      <c r="B47" s="154" t="s">
        <v>1141</v>
      </c>
      <c r="C47" s="151">
        <v>-214193</v>
      </c>
      <c r="D47" s="151">
        <v>-263147</v>
      </c>
      <c r="E47" s="151">
        <v>82786</v>
      </c>
      <c r="F47" s="151">
        <v>-137930</v>
      </c>
      <c r="G47" s="151">
        <v>-231017</v>
      </c>
      <c r="H47" s="151">
        <v>-187091</v>
      </c>
      <c r="I47" s="151">
        <v>-177573</v>
      </c>
      <c r="J47" s="151">
        <v>-155991</v>
      </c>
      <c r="K47" s="151">
        <v>-92051</v>
      </c>
      <c r="L47" s="151">
        <v>-29779</v>
      </c>
      <c r="M47" s="151">
        <v>481309</v>
      </c>
      <c r="N47" s="151">
        <v>-258449</v>
      </c>
      <c r="O47" s="101">
        <f t="shared" si="0"/>
        <v>-1183126</v>
      </c>
    </row>
    <row r="48" spans="1:15" x14ac:dyDescent="0.25">
      <c r="A48" s="21">
        <f t="shared" si="1"/>
        <v>44</v>
      </c>
      <c r="B48" s="154" t="s">
        <v>1142</v>
      </c>
      <c r="C48" s="101">
        <v>608105</v>
      </c>
      <c r="D48" s="101">
        <v>414221</v>
      </c>
      <c r="E48" s="101">
        <v>318275</v>
      </c>
      <c r="F48" s="101">
        <v>308921</v>
      </c>
      <c r="G48" s="101">
        <v>316223</v>
      </c>
      <c r="H48" s="101">
        <v>577321</v>
      </c>
      <c r="I48" s="101">
        <v>563207</v>
      </c>
      <c r="J48" s="101">
        <v>529855</v>
      </c>
      <c r="K48" s="101">
        <v>380953</v>
      </c>
      <c r="L48" s="101">
        <v>356576</v>
      </c>
      <c r="M48" s="101">
        <v>678589</v>
      </c>
      <c r="N48" s="101">
        <v>659065</v>
      </c>
      <c r="O48" s="101">
        <f t="shared" si="0"/>
        <v>5711311</v>
      </c>
    </row>
    <row r="49" spans="1:15" x14ac:dyDescent="0.25">
      <c r="A49" s="21">
        <f t="shared" si="1"/>
        <v>45</v>
      </c>
      <c r="B49" s="154" t="s">
        <v>1148</v>
      </c>
      <c r="C49" s="101">
        <v>-1055</v>
      </c>
      <c r="D49" s="101">
        <v>-1055</v>
      </c>
      <c r="E49" s="101">
        <v>-1061</v>
      </c>
      <c r="F49" s="101">
        <v>-174</v>
      </c>
      <c r="G49" s="101">
        <v>-192</v>
      </c>
      <c r="H49" s="101">
        <v>-274</v>
      </c>
      <c r="I49" s="101">
        <v>0</v>
      </c>
      <c r="J49" s="101">
        <v>-228</v>
      </c>
      <c r="K49" s="101">
        <v>-205</v>
      </c>
      <c r="L49" s="101">
        <v>-28</v>
      </c>
      <c r="M49" s="101">
        <v>-234</v>
      </c>
      <c r="N49" s="101">
        <v>-247</v>
      </c>
      <c r="O49" s="101">
        <f t="shared" si="0"/>
        <v>-4753</v>
      </c>
    </row>
    <row r="50" spans="1:15" x14ac:dyDescent="0.25">
      <c r="A50" s="21">
        <f t="shared" si="1"/>
        <v>46</v>
      </c>
      <c r="B50" s="154" t="s">
        <v>1143</v>
      </c>
      <c r="C50" s="101">
        <v>3520475</v>
      </c>
      <c r="D50" s="101">
        <v>3372955</v>
      </c>
      <c r="E50" s="101">
        <v>2727632</v>
      </c>
      <c r="F50" s="101">
        <v>2211679</v>
      </c>
      <c r="G50" s="101">
        <v>2090644</v>
      </c>
      <c r="H50" s="101">
        <v>2844372</v>
      </c>
      <c r="I50" s="101">
        <v>3009807</v>
      </c>
      <c r="J50" s="101">
        <v>3059116</v>
      </c>
      <c r="K50" s="101">
        <v>2404470</v>
      </c>
      <c r="L50" s="101">
        <v>2364039</v>
      </c>
      <c r="M50" s="101">
        <v>3887481</v>
      </c>
      <c r="N50" s="101">
        <v>3454699</v>
      </c>
      <c r="O50" s="101">
        <f t="shared" si="0"/>
        <v>34947369</v>
      </c>
    </row>
    <row r="51" spans="1:15" x14ac:dyDescent="0.25">
      <c r="A51" s="21">
        <f t="shared" si="1"/>
        <v>47</v>
      </c>
      <c r="B51" s="129" t="s">
        <v>1150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01"/>
    </row>
    <row r="52" spans="1:15" x14ac:dyDescent="0.25">
      <c r="A52" s="21">
        <f t="shared" si="1"/>
        <v>48</v>
      </c>
      <c r="B52" s="154" t="s">
        <v>1136</v>
      </c>
      <c r="C52" s="27">
        <v>12000</v>
      </c>
      <c r="D52" s="27">
        <v>12000</v>
      </c>
      <c r="E52" s="27">
        <v>13665</v>
      </c>
      <c r="F52" s="27">
        <v>13630</v>
      </c>
      <c r="G52" s="27">
        <v>15262</v>
      </c>
      <c r="H52" s="27">
        <v>15301</v>
      </c>
      <c r="I52" s="27">
        <v>13692</v>
      </c>
      <c r="J52" s="27">
        <v>13737</v>
      </c>
      <c r="K52" s="27">
        <v>13721</v>
      </c>
      <c r="L52" s="27">
        <v>13770</v>
      </c>
      <c r="M52" s="27">
        <v>13688</v>
      </c>
      <c r="N52" s="27">
        <v>13704</v>
      </c>
      <c r="O52" s="101">
        <f t="shared" ref="O52:O59" si="2">SUM(C52:N52)</f>
        <v>164170</v>
      </c>
    </row>
    <row r="53" spans="1:15" x14ac:dyDescent="0.25">
      <c r="A53" s="21">
        <f t="shared" si="1"/>
        <v>49</v>
      </c>
      <c r="B53" s="154" t="s">
        <v>858</v>
      </c>
      <c r="C53" s="151">
        <v>9076800</v>
      </c>
      <c r="D53" s="151">
        <v>7782239</v>
      </c>
      <c r="E53" s="151">
        <v>9657602</v>
      </c>
      <c r="F53" s="151">
        <v>9876976</v>
      </c>
      <c r="G53" s="151">
        <v>9262066</v>
      </c>
      <c r="H53" s="151">
        <v>9564681</v>
      </c>
      <c r="I53" s="151">
        <v>9083412</v>
      </c>
      <c r="J53" s="151">
        <v>8741595</v>
      </c>
      <c r="K53" s="151">
        <v>9041978</v>
      </c>
      <c r="L53" s="151">
        <v>9676336</v>
      </c>
      <c r="M53" s="151">
        <v>7503536</v>
      </c>
      <c r="N53" s="151">
        <v>9193339</v>
      </c>
      <c r="O53" s="101">
        <f t="shared" si="2"/>
        <v>108460560</v>
      </c>
    </row>
    <row r="54" spans="1:15" x14ac:dyDescent="0.25">
      <c r="A54" s="21">
        <f t="shared" si="1"/>
        <v>50</v>
      </c>
      <c r="B54" s="154" t="s">
        <v>929</v>
      </c>
      <c r="C54" s="151">
        <v>21000</v>
      </c>
      <c r="D54" s="151">
        <v>21000</v>
      </c>
      <c r="E54" s="151">
        <v>23914</v>
      </c>
      <c r="F54" s="151">
        <v>23853</v>
      </c>
      <c r="G54" s="151">
        <v>26709</v>
      </c>
      <c r="H54" s="151">
        <v>26777</v>
      </c>
      <c r="I54" s="151">
        <v>23961</v>
      </c>
      <c r="J54" s="151">
        <v>24040</v>
      </c>
      <c r="K54" s="151">
        <v>24012</v>
      </c>
      <c r="L54" s="151">
        <v>24098</v>
      </c>
      <c r="M54" s="151">
        <v>23954</v>
      </c>
      <c r="N54" s="151">
        <v>24087</v>
      </c>
      <c r="O54" s="101">
        <f t="shared" si="2"/>
        <v>287405</v>
      </c>
    </row>
    <row r="55" spans="1:15" x14ac:dyDescent="0.25">
      <c r="A55" s="21">
        <f t="shared" si="1"/>
        <v>51</v>
      </c>
      <c r="B55" s="154" t="s">
        <v>930</v>
      </c>
      <c r="C55" s="151">
        <v>186705</v>
      </c>
      <c r="D55" s="151">
        <v>256141</v>
      </c>
      <c r="E55" s="151">
        <v>196653</v>
      </c>
      <c r="F55" s="151">
        <v>238020</v>
      </c>
      <c r="G55" s="151">
        <v>217772</v>
      </c>
      <c r="H55" s="151">
        <v>258331</v>
      </c>
      <c r="I55" s="151">
        <v>269048</v>
      </c>
      <c r="J55" s="151">
        <v>287960</v>
      </c>
      <c r="K55" s="151">
        <v>295684</v>
      </c>
      <c r="L55" s="151">
        <v>391907</v>
      </c>
      <c r="M55" s="151">
        <v>304089</v>
      </c>
      <c r="N55" s="151">
        <v>195170</v>
      </c>
      <c r="O55" s="101">
        <f t="shared" si="2"/>
        <v>3097480</v>
      </c>
    </row>
    <row r="56" spans="1:15" x14ac:dyDescent="0.25">
      <c r="A56" s="21">
        <f t="shared" si="1"/>
        <v>52</v>
      </c>
      <c r="B56" s="154" t="s">
        <v>1151</v>
      </c>
      <c r="C56" s="151">
        <v>293</v>
      </c>
      <c r="D56" s="151">
        <v>293</v>
      </c>
      <c r="E56" s="151">
        <v>293</v>
      </c>
      <c r="F56" s="151">
        <v>293</v>
      </c>
      <c r="G56" s="151">
        <v>293</v>
      </c>
      <c r="H56" s="151">
        <v>293</v>
      </c>
      <c r="I56" s="151">
        <v>293</v>
      </c>
      <c r="J56" s="151">
        <v>293</v>
      </c>
      <c r="K56" s="151">
        <v>293</v>
      </c>
      <c r="L56" s="151">
        <v>293</v>
      </c>
      <c r="M56" s="151">
        <v>293</v>
      </c>
      <c r="N56" s="151">
        <v>293</v>
      </c>
      <c r="O56" s="101">
        <f t="shared" si="2"/>
        <v>3516</v>
      </c>
    </row>
    <row r="57" spans="1:15" x14ac:dyDescent="0.25">
      <c r="A57" s="21">
        <f t="shared" si="1"/>
        <v>53</v>
      </c>
      <c r="B57" s="154" t="s">
        <v>1152</v>
      </c>
      <c r="C57" s="151">
        <v>15005</v>
      </c>
      <c r="D57" s="151">
        <v>10581</v>
      </c>
      <c r="E57" s="151">
        <v>14978</v>
      </c>
      <c r="F57" s="151">
        <v>26602</v>
      </c>
      <c r="G57" s="151">
        <v>33807</v>
      </c>
      <c r="H57" s="151">
        <v>37244</v>
      </c>
      <c r="I57" s="151">
        <v>31697</v>
      </c>
      <c r="J57" s="151">
        <v>26833</v>
      </c>
      <c r="K57" s="151">
        <v>24927</v>
      </c>
      <c r="L57" s="151">
        <v>25534</v>
      </c>
      <c r="M57" s="151">
        <v>23717</v>
      </c>
      <c r="N57" s="151">
        <v>21675</v>
      </c>
      <c r="O57" s="101">
        <f t="shared" si="2"/>
        <v>292600</v>
      </c>
    </row>
    <row r="58" spans="1:15" x14ac:dyDescent="0.25">
      <c r="A58" s="21">
        <f t="shared" si="1"/>
        <v>54</v>
      </c>
      <c r="B58" s="154" t="s">
        <v>1059</v>
      </c>
      <c r="C58" s="151">
        <v>-66714</v>
      </c>
      <c r="D58" s="151">
        <v>-56219</v>
      </c>
      <c r="E58" s="151">
        <v>13096</v>
      </c>
      <c r="F58" s="151">
        <v>61651</v>
      </c>
      <c r="G58" s="151">
        <v>104912</v>
      </c>
      <c r="H58" s="151">
        <v>82529</v>
      </c>
      <c r="I58" s="151">
        <v>14978</v>
      </c>
      <c r="J58" s="151">
        <v>12440</v>
      </c>
      <c r="K58" s="151">
        <v>16008</v>
      </c>
      <c r="L58" s="151">
        <v>15282</v>
      </c>
      <c r="M58" s="151">
        <v>10997</v>
      </c>
      <c r="N58" s="151">
        <v>-37309</v>
      </c>
      <c r="O58" s="101">
        <f t="shared" si="2"/>
        <v>171651</v>
      </c>
    </row>
    <row r="59" spans="1:15" x14ac:dyDescent="0.25">
      <c r="A59" s="21">
        <f t="shared" si="1"/>
        <v>55</v>
      </c>
      <c r="B59" s="154" t="s">
        <v>0</v>
      </c>
      <c r="C59" s="151">
        <v>156289</v>
      </c>
      <c r="D59" s="151">
        <v>231796</v>
      </c>
      <c r="E59" s="151">
        <v>248934</v>
      </c>
      <c r="F59" s="151">
        <v>350419</v>
      </c>
      <c r="G59" s="151">
        <v>383493</v>
      </c>
      <c r="H59" s="151">
        <v>405174</v>
      </c>
      <c r="I59" s="151">
        <v>339977</v>
      </c>
      <c r="J59" s="151">
        <v>351566</v>
      </c>
      <c r="K59" s="151">
        <v>360924</v>
      </c>
      <c r="L59" s="151">
        <v>457114</v>
      </c>
      <c r="M59" s="151">
        <v>363050</v>
      </c>
      <c r="N59" s="151">
        <v>203916</v>
      </c>
      <c r="O59" s="101">
        <f t="shared" si="2"/>
        <v>3852652</v>
      </c>
    </row>
    <row r="60" spans="1:15" x14ac:dyDescent="0.25">
      <c r="A60" s="21">
        <f t="shared" si="1"/>
        <v>56</v>
      </c>
      <c r="B60" s="129" t="s">
        <v>856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01"/>
    </row>
    <row r="61" spans="1:15" x14ac:dyDescent="0.25">
      <c r="A61" s="21">
        <f t="shared" si="1"/>
        <v>57</v>
      </c>
      <c r="B61" s="154" t="s">
        <v>1136</v>
      </c>
      <c r="C61" s="151">
        <v>124542</v>
      </c>
      <c r="D61" s="151">
        <v>140622</v>
      </c>
      <c r="E61" s="151">
        <v>105617</v>
      </c>
      <c r="F61" s="151">
        <v>99270</v>
      </c>
      <c r="G61" s="151">
        <v>89627</v>
      </c>
      <c r="H61" s="151">
        <v>105888</v>
      </c>
      <c r="I61" s="151">
        <v>104286</v>
      </c>
      <c r="J61" s="151">
        <v>96115</v>
      </c>
      <c r="K61" s="151">
        <v>92765</v>
      </c>
      <c r="L61" s="151">
        <v>80257</v>
      </c>
      <c r="M61" s="151">
        <v>117438</v>
      </c>
      <c r="N61" s="151">
        <v>126657</v>
      </c>
      <c r="O61" s="101">
        <f t="shared" ref="O61:O75" si="3">SUM(C61:N61)</f>
        <v>1283084</v>
      </c>
    </row>
    <row r="62" spans="1:15" x14ac:dyDescent="0.25">
      <c r="A62" s="21">
        <f t="shared" si="1"/>
        <v>58</v>
      </c>
      <c r="B62" s="154" t="s">
        <v>858</v>
      </c>
      <c r="C62" s="151">
        <v>63133110</v>
      </c>
      <c r="D62" s="151">
        <v>61830983</v>
      </c>
      <c r="E62" s="151">
        <v>48260651</v>
      </c>
      <c r="F62" s="151">
        <v>42897761</v>
      </c>
      <c r="G62" s="151">
        <v>40794701</v>
      </c>
      <c r="H62" s="151">
        <v>49760644</v>
      </c>
      <c r="I62" s="151">
        <v>53183634</v>
      </c>
      <c r="J62" s="151">
        <v>51995743</v>
      </c>
      <c r="K62" s="151">
        <v>42356731</v>
      </c>
      <c r="L62" s="151">
        <v>41279290</v>
      </c>
      <c r="M62" s="151">
        <v>50398272</v>
      </c>
      <c r="N62" s="151">
        <v>61298405</v>
      </c>
      <c r="O62" s="101">
        <f t="shared" si="3"/>
        <v>607189925</v>
      </c>
    </row>
    <row r="63" spans="1:15" x14ac:dyDescent="0.25">
      <c r="A63" s="21">
        <f t="shared" si="1"/>
        <v>59</v>
      </c>
      <c r="B63" s="154" t="s">
        <v>1137</v>
      </c>
      <c r="C63" s="151">
        <v>704910</v>
      </c>
      <c r="D63" s="151">
        <v>801654</v>
      </c>
      <c r="E63" s="151">
        <v>593192</v>
      </c>
      <c r="F63" s="151">
        <v>554549</v>
      </c>
      <c r="G63" s="151">
        <v>500937</v>
      </c>
      <c r="H63" s="151">
        <v>599750</v>
      </c>
      <c r="I63" s="151">
        <v>587352</v>
      </c>
      <c r="J63" s="151">
        <v>613674</v>
      </c>
      <c r="K63" s="151">
        <v>516345</v>
      </c>
      <c r="L63" s="151">
        <v>473944</v>
      </c>
      <c r="M63" s="151">
        <v>716243</v>
      </c>
      <c r="N63" s="151">
        <v>720512</v>
      </c>
      <c r="O63" s="101">
        <f t="shared" si="3"/>
        <v>7383062</v>
      </c>
    </row>
    <row r="64" spans="1:15" x14ac:dyDescent="0.25">
      <c r="A64" s="21">
        <f t="shared" si="1"/>
        <v>60</v>
      </c>
      <c r="B64" s="154" t="s">
        <v>1138</v>
      </c>
      <c r="C64" s="151">
        <v>2577410</v>
      </c>
      <c r="D64" s="151">
        <v>2645420</v>
      </c>
      <c r="E64" s="151">
        <v>1901974</v>
      </c>
      <c r="F64" s="151">
        <v>1695183</v>
      </c>
      <c r="G64" s="151">
        <v>1693461</v>
      </c>
      <c r="H64" s="151">
        <v>2085549</v>
      </c>
      <c r="I64" s="151">
        <v>2276827</v>
      </c>
      <c r="J64" s="151">
        <v>2330803</v>
      </c>
      <c r="K64" s="151">
        <v>1861871</v>
      </c>
      <c r="L64" s="151">
        <v>1921197</v>
      </c>
      <c r="M64" s="151">
        <v>2283961</v>
      </c>
      <c r="N64" s="151">
        <v>2500072</v>
      </c>
      <c r="O64" s="101">
        <f t="shared" si="3"/>
        <v>25773728</v>
      </c>
    </row>
    <row r="65" spans="1:15" x14ac:dyDescent="0.25">
      <c r="A65" s="21">
        <f t="shared" si="1"/>
        <v>61</v>
      </c>
      <c r="B65" s="154" t="s">
        <v>1139</v>
      </c>
      <c r="C65" s="151">
        <v>2160</v>
      </c>
      <c r="D65" s="151">
        <v>2160</v>
      </c>
      <c r="E65" s="151">
        <v>2160</v>
      </c>
      <c r="F65" s="151">
        <v>2160</v>
      </c>
      <c r="G65" s="151">
        <v>2160</v>
      </c>
      <c r="H65" s="151">
        <v>2160</v>
      </c>
      <c r="I65" s="151">
        <v>2160</v>
      </c>
      <c r="J65" s="151">
        <v>2160</v>
      </c>
      <c r="K65" s="151">
        <v>2160</v>
      </c>
      <c r="L65" s="151">
        <v>2265</v>
      </c>
      <c r="M65" s="151">
        <v>2265</v>
      </c>
      <c r="N65" s="151">
        <v>2160</v>
      </c>
      <c r="O65" s="101">
        <f t="shared" si="3"/>
        <v>26130</v>
      </c>
    </row>
    <row r="66" spans="1:15" x14ac:dyDescent="0.25">
      <c r="A66" s="21">
        <f t="shared" si="1"/>
        <v>62</v>
      </c>
      <c r="B66" s="154" t="s">
        <v>1140</v>
      </c>
      <c r="C66" s="151">
        <v>51136</v>
      </c>
      <c r="D66" s="151">
        <v>51136</v>
      </c>
      <c r="E66" s="151">
        <v>51136</v>
      </c>
      <c r="F66" s="151">
        <v>51136</v>
      </c>
      <c r="G66" s="151">
        <v>51136</v>
      </c>
      <c r="H66" s="151">
        <v>51136</v>
      </c>
      <c r="I66" s="151">
        <v>51136</v>
      </c>
      <c r="J66" s="151">
        <v>51136</v>
      </c>
      <c r="K66" s="151">
        <v>51136</v>
      </c>
      <c r="L66" s="151">
        <v>53684</v>
      </c>
      <c r="M66" s="151">
        <v>53684</v>
      </c>
      <c r="N66" s="151">
        <v>51136</v>
      </c>
      <c r="O66" s="101">
        <f t="shared" si="3"/>
        <v>618728</v>
      </c>
    </row>
    <row r="67" spans="1:15" x14ac:dyDescent="0.25">
      <c r="A67" s="21">
        <f t="shared" si="1"/>
        <v>63</v>
      </c>
      <c r="B67" s="154" t="s">
        <v>1141</v>
      </c>
      <c r="C67" s="151">
        <v>-214193</v>
      </c>
      <c r="D67" s="151">
        <v>-263147</v>
      </c>
      <c r="E67" s="151">
        <v>82786</v>
      </c>
      <c r="F67" s="151">
        <v>-137930</v>
      </c>
      <c r="G67" s="151">
        <v>-231017</v>
      </c>
      <c r="H67" s="151">
        <v>-187091</v>
      </c>
      <c r="I67" s="151">
        <v>-177573</v>
      </c>
      <c r="J67" s="151">
        <v>-155991</v>
      </c>
      <c r="K67" s="151">
        <v>-92051</v>
      </c>
      <c r="L67" s="151">
        <v>-29779</v>
      </c>
      <c r="M67" s="151">
        <v>481309</v>
      </c>
      <c r="N67" s="151">
        <v>-258449</v>
      </c>
      <c r="O67" s="101">
        <f t="shared" si="3"/>
        <v>-1183126</v>
      </c>
    </row>
    <row r="68" spans="1:15" x14ac:dyDescent="0.25">
      <c r="A68" s="21">
        <f t="shared" si="1"/>
        <v>64</v>
      </c>
      <c r="B68" s="154" t="s">
        <v>1142</v>
      </c>
      <c r="C68" s="101">
        <v>623110</v>
      </c>
      <c r="D68" s="101">
        <v>424802</v>
      </c>
      <c r="E68" s="101">
        <v>333253</v>
      </c>
      <c r="F68" s="101">
        <v>335523</v>
      </c>
      <c r="G68" s="101">
        <v>350030</v>
      </c>
      <c r="H68" s="101">
        <v>614565</v>
      </c>
      <c r="I68" s="101">
        <v>594904</v>
      </c>
      <c r="J68" s="101">
        <v>556688</v>
      </c>
      <c r="K68" s="101">
        <v>405880</v>
      </c>
      <c r="L68" s="101">
        <v>382110</v>
      </c>
      <c r="M68" s="101">
        <v>702306</v>
      </c>
      <c r="N68" s="101">
        <v>680740</v>
      </c>
      <c r="O68" s="101">
        <f t="shared" si="3"/>
        <v>6003911</v>
      </c>
    </row>
    <row r="69" spans="1:15" x14ac:dyDescent="0.25">
      <c r="A69" s="21">
        <f t="shared" si="1"/>
        <v>65</v>
      </c>
      <c r="B69" s="154" t="s">
        <v>1148</v>
      </c>
      <c r="C69" s="101">
        <v>-1055</v>
      </c>
      <c r="D69" s="101">
        <v>-1055</v>
      </c>
      <c r="E69" s="101">
        <v>-1061</v>
      </c>
      <c r="F69" s="101">
        <v>-174</v>
      </c>
      <c r="G69" s="101">
        <v>-192</v>
      </c>
      <c r="H69" s="101">
        <v>-274</v>
      </c>
      <c r="I69" s="101">
        <v>0</v>
      </c>
      <c r="J69" s="101">
        <v>-228</v>
      </c>
      <c r="K69" s="101">
        <v>-205</v>
      </c>
      <c r="L69" s="101">
        <v>-28</v>
      </c>
      <c r="M69" s="101">
        <v>-234</v>
      </c>
      <c r="N69" s="101">
        <v>-247</v>
      </c>
      <c r="O69" s="101">
        <f t="shared" si="3"/>
        <v>-4753</v>
      </c>
    </row>
    <row r="70" spans="1:15" x14ac:dyDescent="0.25">
      <c r="A70" s="21">
        <f t="shared" si="1"/>
        <v>66</v>
      </c>
      <c r="B70" s="154" t="s">
        <v>1153</v>
      </c>
      <c r="C70" s="101">
        <v>-66714</v>
      </c>
      <c r="D70" s="101">
        <v>-56219</v>
      </c>
      <c r="E70" s="101">
        <v>13096</v>
      </c>
      <c r="F70" s="101">
        <v>61651</v>
      </c>
      <c r="G70" s="101">
        <v>104912</v>
      </c>
      <c r="H70" s="101">
        <v>82529</v>
      </c>
      <c r="I70" s="101">
        <v>14978</v>
      </c>
      <c r="J70" s="101">
        <v>12440</v>
      </c>
      <c r="K70" s="101">
        <v>16008</v>
      </c>
      <c r="L70" s="101">
        <v>15282</v>
      </c>
      <c r="M70" s="101">
        <v>10997</v>
      </c>
      <c r="N70" s="101">
        <v>-37309</v>
      </c>
      <c r="O70" s="101">
        <f t="shared" si="3"/>
        <v>171651</v>
      </c>
    </row>
    <row r="71" spans="1:15" x14ac:dyDescent="0.25">
      <c r="A71" s="21">
        <f t="shared" ref="A71:A81" si="4">A70+1</f>
        <v>67</v>
      </c>
      <c r="B71" s="154" t="s">
        <v>1143</v>
      </c>
      <c r="C71" s="250">
        <v>3676764</v>
      </c>
      <c r="D71" s="250">
        <v>3604751</v>
      </c>
      <c r="E71" s="250">
        <v>2976566</v>
      </c>
      <c r="F71" s="250">
        <v>2562098</v>
      </c>
      <c r="G71" s="250">
        <v>2474137</v>
      </c>
      <c r="H71" s="250">
        <v>3249546</v>
      </c>
      <c r="I71" s="250">
        <v>3349784</v>
      </c>
      <c r="J71" s="250">
        <v>3410682</v>
      </c>
      <c r="K71" s="250">
        <v>2765394</v>
      </c>
      <c r="L71" s="250">
        <v>2821153</v>
      </c>
      <c r="M71" s="250">
        <v>4250531</v>
      </c>
      <c r="N71" s="250">
        <v>3658615</v>
      </c>
      <c r="O71" s="250">
        <f t="shared" si="3"/>
        <v>38800021</v>
      </c>
    </row>
    <row r="72" spans="1:15" x14ac:dyDescent="0.25">
      <c r="A72" s="21">
        <f t="shared" si="4"/>
        <v>68</v>
      </c>
      <c r="B72" s="154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1:15" x14ac:dyDescent="0.25">
      <c r="A73" s="21">
        <f t="shared" si="4"/>
        <v>69</v>
      </c>
      <c r="B73" s="14" t="s">
        <v>998</v>
      </c>
      <c r="C73" s="64">
        <f t="shared" ref="C73:N73" si="5">C63+C65+C66</f>
        <v>758206</v>
      </c>
      <c r="D73" s="64">
        <f t="shared" si="5"/>
        <v>854950</v>
      </c>
      <c r="E73" s="64">
        <f t="shared" si="5"/>
        <v>646488</v>
      </c>
      <c r="F73" s="64">
        <f t="shared" si="5"/>
        <v>607845</v>
      </c>
      <c r="G73" s="64">
        <f t="shared" si="5"/>
        <v>554233</v>
      </c>
      <c r="H73" s="64">
        <f t="shared" si="5"/>
        <v>653046</v>
      </c>
      <c r="I73" s="64">
        <f t="shared" si="5"/>
        <v>640648</v>
      </c>
      <c r="J73" s="64">
        <f t="shared" si="5"/>
        <v>666970</v>
      </c>
      <c r="K73" s="64">
        <f t="shared" si="5"/>
        <v>569641</v>
      </c>
      <c r="L73" s="64">
        <f t="shared" si="5"/>
        <v>529893</v>
      </c>
      <c r="M73" s="64">
        <f t="shared" si="5"/>
        <v>772192</v>
      </c>
      <c r="N73" s="64">
        <f t="shared" si="5"/>
        <v>773808</v>
      </c>
      <c r="O73" s="101">
        <f t="shared" si="3"/>
        <v>8027920</v>
      </c>
    </row>
    <row r="74" spans="1:15" x14ac:dyDescent="0.25">
      <c r="A74" s="21">
        <f t="shared" si="4"/>
        <v>70</v>
      </c>
      <c r="B74" s="14" t="s">
        <v>999</v>
      </c>
      <c r="C74" s="64">
        <f t="shared" ref="C74:N74" si="6">C64+C67</f>
        <v>2363217</v>
      </c>
      <c r="D74" s="64">
        <f t="shared" si="6"/>
        <v>2382273</v>
      </c>
      <c r="E74" s="64">
        <f t="shared" si="6"/>
        <v>1984760</v>
      </c>
      <c r="F74" s="64">
        <f t="shared" si="6"/>
        <v>1557253</v>
      </c>
      <c r="G74" s="64">
        <f t="shared" si="6"/>
        <v>1462444</v>
      </c>
      <c r="H74" s="64">
        <f t="shared" si="6"/>
        <v>1898458</v>
      </c>
      <c r="I74" s="64">
        <f t="shared" si="6"/>
        <v>2099254</v>
      </c>
      <c r="J74" s="64">
        <f t="shared" si="6"/>
        <v>2174812</v>
      </c>
      <c r="K74" s="64">
        <f t="shared" si="6"/>
        <v>1769820</v>
      </c>
      <c r="L74" s="64">
        <f t="shared" si="6"/>
        <v>1891418</v>
      </c>
      <c r="M74" s="64">
        <f t="shared" si="6"/>
        <v>2765270</v>
      </c>
      <c r="N74" s="64">
        <f t="shared" si="6"/>
        <v>2241623</v>
      </c>
      <c r="O74" s="101">
        <f t="shared" si="3"/>
        <v>24590602</v>
      </c>
    </row>
    <row r="75" spans="1:15" x14ac:dyDescent="0.25">
      <c r="A75" s="21">
        <f t="shared" si="4"/>
        <v>71</v>
      </c>
      <c r="B75" s="14" t="s">
        <v>1000</v>
      </c>
      <c r="C75" s="145">
        <f>C73+C74</f>
        <v>3121423</v>
      </c>
      <c r="D75" s="145">
        <f t="shared" ref="D75:N75" si="7">D73+D74</f>
        <v>3237223</v>
      </c>
      <c r="E75" s="145">
        <f t="shared" si="7"/>
        <v>2631248</v>
      </c>
      <c r="F75" s="145">
        <f t="shared" si="7"/>
        <v>2165098</v>
      </c>
      <c r="G75" s="145">
        <f t="shared" si="7"/>
        <v>2016677</v>
      </c>
      <c r="H75" s="145">
        <f t="shared" si="7"/>
        <v>2551504</v>
      </c>
      <c r="I75" s="145">
        <f t="shared" si="7"/>
        <v>2739902</v>
      </c>
      <c r="J75" s="145">
        <f t="shared" si="7"/>
        <v>2841782</v>
      </c>
      <c r="K75" s="145">
        <f t="shared" si="7"/>
        <v>2339461</v>
      </c>
      <c r="L75" s="145">
        <f t="shared" si="7"/>
        <v>2421311</v>
      </c>
      <c r="M75" s="145">
        <f t="shared" si="7"/>
        <v>3537462</v>
      </c>
      <c r="N75" s="145">
        <f t="shared" si="7"/>
        <v>3015431</v>
      </c>
      <c r="O75" s="101">
        <f t="shared" si="3"/>
        <v>32618522</v>
      </c>
    </row>
    <row r="76" spans="1:15" x14ac:dyDescent="0.25">
      <c r="A76" s="21">
        <f t="shared" si="4"/>
        <v>72</v>
      </c>
      <c r="B76" s="14" t="s">
        <v>1001</v>
      </c>
      <c r="C76" s="25">
        <f>C73/C75</f>
        <v>0.24290395758601124</v>
      </c>
      <c r="D76" s="25">
        <f t="shared" ref="D76:O76" si="8">D73/D75</f>
        <v>0.26409981641672509</v>
      </c>
      <c r="E76" s="25">
        <f t="shared" si="8"/>
        <v>0.24569633877156391</v>
      </c>
      <c r="F76" s="25">
        <f t="shared" si="8"/>
        <v>0.28074710705935713</v>
      </c>
      <c r="G76" s="25">
        <f t="shared" si="8"/>
        <v>0.27482487279817241</v>
      </c>
      <c r="H76" s="25">
        <f t="shared" si="8"/>
        <v>0.25594551292100659</v>
      </c>
      <c r="I76" s="25">
        <f t="shared" si="8"/>
        <v>0.23382150164494933</v>
      </c>
      <c r="J76" s="25">
        <f t="shared" si="8"/>
        <v>0.23470132473215749</v>
      </c>
      <c r="K76" s="25">
        <f t="shared" si="8"/>
        <v>0.24349241128618943</v>
      </c>
      <c r="L76" s="25">
        <f t="shared" si="8"/>
        <v>0.21884549320595331</v>
      </c>
      <c r="M76" s="25">
        <f t="shared" si="8"/>
        <v>0.21828983604629534</v>
      </c>
      <c r="N76" s="25">
        <f t="shared" si="8"/>
        <v>0.25661605256429348</v>
      </c>
      <c r="O76" s="146">
        <f t="shared" si="8"/>
        <v>0.24611538192932225</v>
      </c>
    </row>
    <row r="77" spans="1:15" x14ac:dyDescent="0.25">
      <c r="A77" s="21">
        <f t="shared" si="4"/>
        <v>73</v>
      </c>
      <c r="B77" s="14" t="s">
        <v>1002</v>
      </c>
      <c r="C77" s="25">
        <f>C74/C75</f>
        <v>0.75709604241398876</v>
      </c>
      <c r="D77" s="25">
        <f t="shared" ref="D77:O77" si="9">D74/D75</f>
        <v>0.73590018358327491</v>
      </c>
      <c r="E77" s="25">
        <f t="shared" si="9"/>
        <v>0.75430366122843606</v>
      </c>
      <c r="F77" s="25">
        <f t="shared" si="9"/>
        <v>0.71925289294064287</v>
      </c>
      <c r="G77" s="25">
        <f t="shared" si="9"/>
        <v>0.72517512720182753</v>
      </c>
      <c r="H77" s="25">
        <f t="shared" si="9"/>
        <v>0.74405448707899335</v>
      </c>
      <c r="I77" s="25">
        <f t="shared" si="9"/>
        <v>0.7661784983550507</v>
      </c>
      <c r="J77" s="25">
        <f t="shared" si="9"/>
        <v>0.76529867526784245</v>
      </c>
      <c r="K77" s="25">
        <f t="shared" si="9"/>
        <v>0.75650758871381052</v>
      </c>
      <c r="L77" s="25">
        <f t="shared" si="9"/>
        <v>0.78115450679404674</v>
      </c>
      <c r="M77" s="25">
        <f t="shared" si="9"/>
        <v>0.78171016395370463</v>
      </c>
      <c r="N77" s="25">
        <f t="shared" si="9"/>
        <v>0.74338394743570657</v>
      </c>
      <c r="O77" s="146">
        <f t="shared" si="9"/>
        <v>0.75388461807067775</v>
      </c>
    </row>
    <row r="78" spans="1:15" x14ac:dyDescent="0.25">
      <c r="A78" s="21">
        <f t="shared" si="4"/>
        <v>74</v>
      </c>
    </row>
    <row r="79" spans="1:15" x14ac:dyDescent="0.25">
      <c r="A79" s="21">
        <f t="shared" si="4"/>
        <v>75</v>
      </c>
      <c r="B79" s="14" t="s">
        <v>1019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0" t="s">
        <v>398</v>
      </c>
      <c r="O79" s="27">
        <f>O71</f>
        <v>38800021</v>
      </c>
    </row>
    <row r="80" spans="1:15" x14ac:dyDescent="0.25">
      <c r="A80" s="21">
        <f t="shared" si="4"/>
        <v>76</v>
      </c>
      <c r="N80" s="20" t="s">
        <v>931</v>
      </c>
      <c r="O80" s="27">
        <v>38800021</v>
      </c>
    </row>
    <row r="81" spans="1:15" x14ac:dyDescent="0.25">
      <c r="A81" s="21">
        <f t="shared" si="4"/>
        <v>77</v>
      </c>
      <c r="N81" s="158" t="s">
        <v>1018</v>
      </c>
      <c r="O81" s="108">
        <f>O80-O79</f>
        <v>0</v>
      </c>
    </row>
    <row r="82" spans="1:15" x14ac:dyDescent="0.25">
      <c r="A82" s="21"/>
    </row>
    <row r="86" spans="1:15" x14ac:dyDescent="0.25">
      <c r="B86" s="154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5" x14ac:dyDescent="0.25">
      <c r="B87" s="154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</row>
    <row r="88" spans="1:15" x14ac:dyDescent="0.25">
      <c r="B88" s="154"/>
    </row>
    <row r="89" spans="1:15" x14ac:dyDescent="0.25">
      <c r="B89" s="154"/>
    </row>
    <row r="90" spans="1:15" x14ac:dyDescent="0.25">
      <c r="B90" s="154"/>
    </row>
    <row r="91" spans="1:15" x14ac:dyDescent="0.25">
      <c r="B91" s="154"/>
    </row>
    <row r="93" spans="1:15" x14ac:dyDescent="0.25">
      <c r="B93" s="154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</row>
    <row r="95" spans="1:15" x14ac:dyDescent="0.25">
      <c r="B95" s="154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5" x14ac:dyDescent="0.25">
      <c r="B96" s="154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</row>
    <row r="97" spans="2:2" x14ac:dyDescent="0.25">
      <c r="B97" s="154"/>
    </row>
    <row r="98" spans="2:2" x14ac:dyDescent="0.25">
      <c r="B98" s="154"/>
    </row>
  </sheetData>
  <printOptions horizontalCentered="1"/>
  <pageMargins left="0.45" right="0.45" top="1.25" bottom="0.75" header="0.55000000000000004" footer="0.3"/>
  <pageSetup scale="63" fitToHeight="2" orientation="landscape" r:id="rId1"/>
  <headerFooter>
    <oddFooter>&amp;RExhibit JW-7
Page 1 of 3</oddFooter>
  </headerFooter>
  <rowBreaks count="1" manualBreakCount="1">
    <brk id="5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9"/>
  <sheetViews>
    <sheetView view="pageBreakPreview" zoomScale="75" zoomScaleNormal="100" zoomScaleSheetLayoutView="75" workbookViewId="0">
      <selection activeCell="I92" sqref="I92"/>
    </sheetView>
  </sheetViews>
  <sheetFormatPr defaultColWidth="9.109375" defaultRowHeight="13.2" x14ac:dyDescent="0.25"/>
  <cols>
    <col min="1" max="1" width="5.5546875" style="14" customWidth="1"/>
    <col min="2" max="2" width="35.88671875" style="21" customWidth="1"/>
    <col min="3" max="3" width="10.6640625" style="14" customWidth="1"/>
    <col min="4" max="6" width="13.33203125" style="14" customWidth="1"/>
    <col min="7" max="7" width="12.88671875" style="14" customWidth="1"/>
    <col min="8" max="8" width="12" style="14" bestFit="1" customWidth="1"/>
    <col min="9" max="9" width="9.109375" style="14" customWidth="1"/>
    <col min="10" max="10" width="4" style="14" customWidth="1"/>
    <col min="11" max="11" width="9.109375" style="14" customWidth="1"/>
    <col min="12" max="14" width="9.109375" style="14"/>
    <col min="15" max="15" width="9.109375" style="14" customWidth="1"/>
    <col min="16" max="16384" width="9.109375" style="14"/>
  </cols>
  <sheetData>
    <row r="1" spans="1:8" x14ac:dyDescent="0.25">
      <c r="A1" s="13" t="str">
        <f>'Summary of Returns'!A1</f>
        <v>TAYLOR COUNTY RECC</v>
      </c>
    </row>
    <row r="2" spans="1:8" x14ac:dyDescent="0.25">
      <c r="A2" s="13" t="s">
        <v>675</v>
      </c>
    </row>
    <row r="4" spans="1:8" ht="62.25" customHeight="1" thickBot="1" x14ac:dyDescent="0.3">
      <c r="A4" s="37" t="s">
        <v>942</v>
      </c>
      <c r="B4" s="60" t="s">
        <v>750</v>
      </c>
      <c r="C4" s="231" t="s">
        <v>865</v>
      </c>
      <c r="D4" s="55" t="s">
        <v>1156</v>
      </c>
      <c r="E4" s="55" t="s">
        <v>1157</v>
      </c>
      <c r="F4" s="55" t="s">
        <v>1158</v>
      </c>
      <c r="G4" s="55" t="s">
        <v>866</v>
      </c>
      <c r="H4" s="56"/>
    </row>
    <row r="5" spans="1:8" x14ac:dyDescent="0.25">
      <c r="A5" s="21"/>
      <c r="B5" s="13"/>
      <c r="C5" s="33"/>
    </row>
    <row r="6" spans="1:8" x14ac:dyDescent="0.25">
      <c r="A6" s="21">
        <v>1</v>
      </c>
      <c r="B6" s="14" t="str">
        <f>'Summary of Returns'!B10</f>
        <v>Residential Farm &amp; Home</v>
      </c>
      <c r="C6" s="97" t="str">
        <f>'Summary of Returns'!C10</f>
        <v>A</v>
      </c>
      <c r="D6" s="90">
        <f>'Billing Det'!C8</f>
        <v>23921</v>
      </c>
      <c r="E6" s="90">
        <v>250</v>
      </c>
      <c r="F6" s="90">
        <f>E6*D6</f>
        <v>5980250</v>
      </c>
      <c r="G6" s="98">
        <f>F6/F$32</f>
        <v>0.7484902531368316</v>
      </c>
      <c r="H6" s="98"/>
    </row>
    <row r="7" spans="1:8" x14ac:dyDescent="0.25">
      <c r="A7" s="21">
        <v>2</v>
      </c>
      <c r="B7" s="14" t="str">
        <f>'Summary of Returns'!B11</f>
        <v>Residential Marketing Rate (ETS)</v>
      </c>
      <c r="C7" s="97" t="str">
        <f>'Summary of Returns'!C11</f>
        <v>R-1</v>
      </c>
      <c r="D7" s="90">
        <f>'Billing Det'!C9</f>
        <v>18</v>
      </c>
      <c r="E7" s="90">
        <v>250</v>
      </c>
      <c r="F7" s="90">
        <f t="shared" ref="F7:F12" si="0">E7*D7</f>
        <v>4500</v>
      </c>
      <c r="G7" s="98">
        <f t="shared" ref="G7:G12" si="1">F7/F$32</f>
        <v>5.6322162771050405E-4</v>
      </c>
      <c r="H7" s="98"/>
    </row>
    <row r="8" spans="1:8" x14ac:dyDescent="0.25">
      <c r="A8" s="21">
        <v>3</v>
      </c>
      <c r="B8" s="14" t="str">
        <f>'Summary of Returns'!B12</f>
        <v>General Purpose Part 1 &lt; 50 KVA</v>
      </c>
      <c r="C8" s="97" t="str">
        <f>'Summary of Returns'!C12</f>
        <v>GP1</v>
      </c>
      <c r="D8" s="90">
        <f>'Billing Det'!C10</f>
        <v>2924</v>
      </c>
      <c r="E8" s="90">
        <v>500</v>
      </c>
      <c r="F8" s="90">
        <f t="shared" si="0"/>
        <v>1462000</v>
      </c>
      <c r="G8" s="98">
        <f t="shared" si="1"/>
        <v>0.1829844488250571</v>
      </c>
      <c r="H8" s="98"/>
    </row>
    <row r="9" spans="1:8" x14ac:dyDescent="0.25">
      <c r="A9" s="21">
        <v>4</v>
      </c>
      <c r="B9" s="14" t="str">
        <f>'Summary of Returns'!B13</f>
        <v>General Purpose Part 2 &gt; 50 KVA</v>
      </c>
      <c r="C9" s="97" t="str">
        <f>'Summary of Returns'!C13</f>
        <v>GP2</v>
      </c>
      <c r="D9" s="90">
        <f>'Billing Det'!C11</f>
        <v>352</v>
      </c>
      <c r="E9" s="90">
        <v>1500</v>
      </c>
      <c r="F9" s="90">
        <f t="shared" si="0"/>
        <v>528000</v>
      </c>
      <c r="G9" s="98">
        <f t="shared" si="1"/>
        <v>6.608467098469914E-2</v>
      </c>
      <c r="H9" s="98"/>
    </row>
    <row r="10" spans="1:8" x14ac:dyDescent="0.25">
      <c r="A10" s="21">
        <v>5</v>
      </c>
      <c r="B10" s="14" t="str">
        <f>'Summary of Returns'!B14</f>
        <v>Large Industrial B</v>
      </c>
      <c r="C10" s="97" t="str">
        <f>'Summary of Returns'!C14</f>
        <v>B1</v>
      </c>
      <c r="D10" s="90">
        <f>'Billing Det'!C12</f>
        <v>5</v>
      </c>
      <c r="E10" s="90">
        <v>3000</v>
      </c>
      <c r="F10" s="90">
        <f t="shared" si="0"/>
        <v>15000</v>
      </c>
      <c r="G10" s="98">
        <f t="shared" si="1"/>
        <v>1.8774054257016802E-3</v>
      </c>
      <c r="H10" s="98"/>
    </row>
    <row r="11" spans="1:8" x14ac:dyDescent="0.25">
      <c r="A11" s="21">
        <v>6</v>
      </c>
      <c r="B11" s="14" t="str">
        <f>'Summary of Returns'!B15</f>
        <v>Lighting</v>
      </c>
      <c r="C11" s="97" t="str">
        <f>'Summary of Returns'!C15</f>
        <v>SL</v>
      </c>
      <c r="D11" s="90">
        <v>0</v>
      </c>
      <c r="E11" s="90">
        <v>0</v>
      </c>
      <c r="F11" s="90">
        <f t="shared" si="0"/>
        <v>0</v>
      </c>
      <c r="G11" s="98">
        <f t="shared" si="1"/>
        <v>0</v>
      </c>
      <c r="H11" s="98"/>
    </row>
    <row r="12" spans="1:8" x14ac:dyDescent="0.25">
      <c r="A12" s="21">
        <v>7</v>
      </c>
      <c r="B12" s="14" t="str">
        <f>'Summary of Returns'!B16</f>
        <v>Special Contract</v>
      </c>
      <c r="C12" s="97" t="str">
        <f>'Summary of Returns'!C16</f>
        <v>TGP</v>
      </c>
      <c r="D12" s="90">
        <v>0</v>
      </c>
      <c r="E12" s="90">
        <v>0</v>
      </c>
      <c r="F12" s="90">
        <f t="shared" si="0"/>
        <v>0</v>
      </c>
      <c r="G12" s="98">
        <f t="shared" si="1"/>
        <v>0</v>
      </c>
      <c r="H12" s="98"/>
    </row>
    <row r="13" spans="1:8" x14ac:dyDescent="0.25">
      <c r="A13" s="21">
        <v>8</v>
      </c>
      <c r="B13" s="14">
        <f>'Summary of Returns'!B17</f>
        <v>0</v>
      </c>
      <c r="C13" s="97">
        <f>'Summary of Returns'!C17</f>
        <v>0</v>
      </c>
      <c r="D13" s="90">
        <f>'Billing Det'!C15</f>
        <v>0</v>
      </c>
      <c r="E13" s="90"/>
      <c r="F13" s="90"/>
      <c r="G13" s="98">
        <f t="shared" ref="G13" si="2">D13/D$32</f>
        <v>0</v>
      </c>
      <c r="H13" s="98"/>
    </row>
    <row r="14" spans="1:8" hidden="1" x14ac:dyDescent="0.25">
      <c r="A14" s="21"/>
      <c r="B14" s="14"/>
      <c r="C14" s="97"/>
      <c r="D14" s="90"/>
      <c r="E14" s="90"/>
      <c r="F14" s="90"/>
      <c r="G14" s="98"/>
      <c r="H14" s="98"/>
    </row>
    <row r="15" spans="1:8" hidden="1" x14ac:dyDescent="0.25">
      <c r="A15" s="21"/>
      <c r="B15" s="14"/>
      <c r="C15" s="97"/>
      <c r="D15" s="90"/>
      <c r="E15" s="90"/>
      <c r="F15" s="90"/>
      <c r="G15" s="98"/>
      <c r="H15" s="98"/>
    </row>
    <row r="16" spans="1:8" hidden="1" x14ac:dyDescent="0.25">
      <c r="A16" s="21"/>
      <c r="B16" s="14"/>
      <c r="C16" s="97"/>
      <c r="D16" s="90"/>
      <c r="E16" s="90"/>
      <c r="F16" s="90"/>
      <c r="G16" s="98"/>
      <c r="H16" s="41"/>
    </row>
    <row r="17" spans="1:8" hidden="1" x14ac:dyDescent="0.25">
      <c r="A17" s="21"/>
      <c r="B17" s="14"/>
      <c r="C17" s="21"/>
      <c r="D17" s="27"/>
      <c r="E17" s="27"/>
      <c r="F17" s="27"/>
      <c r="G17" s="98"/>
      <c r="H17" s="41"/>
    </row>
    <row r="18" spans="1:8" hidden="1" x14ac:dyDescent="0.25">
      <c r="A18" s="21"/>
      <c r="B18" s="14"/>
      <c r="C18" s="21"/>
      <c r="D18" s="27"/>
      <c r="E18" s="27"/>
      <c r="F18" s="27"/>
      <c r="G18" s="98"/>
      <c r="H18" s="41"/>
    </row>
    <row r="19" spans="1:8" hidden="1" x14ac:dyDescent="0.25">
      <c r="A19" s="21"/>
      <c r="B19" s="14"/>
      <c r="C19" s="21"/>
      <c r="D19" s="27"/>
      <c r="E19" s="27"/>
      <c r="F19" s="27"/>
      <c r="G19" s="98"/>
      <c r="H19" s="41"/>
    </row>
    <row r="20" spans="1:8" hidden="1" x14ac:dyDescent="0.25">
      <c r="A20" s="21"/>
      <c r="B20" s="14"/>
      <c r="C20" s="21"/>
      <c r="D20" s="27"/>
      <c r="E20" s="27"/>
      <c r="F20" s="27"/>
      <c r="G20" s="98"/>
      <c r="H20" s="41"/>
    </row>
    <row r="21" spans="1:8" hidden="1" x14ac:dyDescent="0.25">
      <c r="A21" s="21"/>
      <c r="B21" s="14"/>
      <c r="C21" s="21"/>
      <c r="D21" s="27"/>
      <c r="E21" s="27"/>
      <c r="F21" s="27"/>
      <c r="G21" s="98"/>
      <c r="H21" s="41"/>
    </row>
    <row r="22" spans="1:8" hidden="1" x14ac:dyDescent="0.25">
      <c r="A22" s="21"/>
      <c r="B22" s="14"/>
      <c r="C22" s="21"/>
      <c r="D22" s="27"/>
      <c r="E22" s="27"/>
      <c r="F22" s="27"/>
      <c r="G22" s="98"/>
      <c r="H22" s="41"/>
    </row>
    <row r="23" spans="1:8" hidden="1" x14ac:dyDescent="0.25">
      <c r="A23" s="21"/>
      <c r="B23" s="14"/>
      <c r="C23" s="21"/>
      <c r="D23" s="27"/>
      <c r="E23" s="27"/>
      <c r="F23" s="27"/>
      <c r="G23" s="98"/>
      <c r="H23" s="41"/>
    </row>
    <row r="24" spans="1:8" hidden="1" x14ac:dyDescent="0.25">
      <c r="A24" s="21"/>
      <c r="B24" s="14"/>
      <c r="C24" s="21"/>
      <c r="D24" s="27"/>
      <c r="E24" s="27"/>
      <c r="F24" s="27"/>
      <c r="G24" s="98"/>
      <c r="H24" s="41"/>
    </row>
    <row r="25" spans="1:8" hidden="1" x14ac:dyDescent="0.25">
      <c r="A25" s="21"/>
      <c r="B25" s="14"/>
      <c r="C25" s="21"/>
      <c r="D25" s="27"/>
      <c r="E25" s="27"/>
      <c r="F25" s="27"/>
      <c r="G25" s="98"/>
      <c r="H25" s="41"/>
    </row>
    <row r="26" spans="1:8" hidden="1" x14ac:dyDescent="0.25">
      <c r="A26" s="21"/>
      <c r="B26" s="14"/>
      <c r="C26" s="21"/>
      <c r="D26" s="27"/>
      <c r="E26" s="27"/>
      <c r="F26" s="27"/>
      <c r="G26" s="98"/>
      <c r="H26" s="41"/>
    </row>
    <row r="27" spans="1:8" hidden="1" x14ac:dyDescent="0.25">
      <c r="A27" s="21"/>
      <c r="B27" s="14"/>
      <c r="C27" s="21"/>
      <c r="D27" s="27"/>
      <c r="E27" s="27"/>
      <c r="F27" s="27"/>
      <c r="G27" s="98"/>
      <c r="H27" s="41"/>
    </row>
    <row r="28" spans="1:8" hidden="1" x14ac:dyDescent="0.25">
      <c r="A28" s="21"/>
      <c r="B28" s="14"/>
      <c r="C28" s="21"/>
      <c r="D28" s="27"/>
      <c r="E28" s="27"/>
      <c r="F28" s="27"/>
      <c r="G28" s="98"/>
      <c r="H28" s="41"/>
    </row>
    <row r="29" spans="1:8" hidden="1" x14ac:dyDescent="0.25">
      <c r="A29" s="21"/>
      <c r="B29" s="14"/>
      <c r="C29" s="21"/>
      <c r="D29" s="27"/>
      <c r="E29" s="27"/>
      <c r="F29" s="27"/>
      <c r="G29" s="98"/>
      <c r="H29" s="41"/>
    </row>
    <row r="30" spans="1:8" hidden="1" x14ac:dyDescent="0.25">
      <c r="A30" s="21"/>
      <c r="B30" s="14"/>
      <c r="C30" s="21"/>
      <c r="D30" s="27"/>
      <c r="E30" s="27"/>
      <c r="F30" s="27"/>
      <c r="G30" s="98"/>
      <c r="H30" s="41"/>
    </row>
    <row r="31" spans="1:8" hidden="1" x14ac:dyDescent="0.25">
      <c r="A31" s="21"/>
      <c r="B31" s="14"/>
      <c r="C31" s="21"/>
      <c r="D31" s="27"/>
      <c r="E31" s="27"/>
      <c r="F31" s="27"/>
      <c r="G31" s="98"/>
      <c r="H31" s="41"/>
    </row>
    <row r="32" spans="1:8" ht="13.8" thickBot="1" x14ac:dyDescent="0.3">
      <c r="A32" s="21">
        <v>9</v>
      </c>
      <c r="B32" s="232" t="s">
        <v>0</v>
      </c>
      <c r="C32" s="99"/>
      <c r="D32" s="100">
        <f>SUM(D6:D31)</f>
        <v>27220</v>
      </c>
      <c r="E32" s="100"/>
      <c r="F32" s="100">
        <f t="shared" ref="F32" si="3">SUM(F6:F31)</f>
        <v>7989750</v>
      </c>
      <c r="G32" s="233">
        <f>SUM(G6:G31)</f>
        <v>1</v>
      </c>
      <c r="H32" s="24"/>
    </row>
    <row r="33" spans="1:16" ht="13.8" thickTop="1" x14ac:dyDescent="0.25">
      <c r="A33" s="21"/>
      <c r="B33" s="14"/>
      <c r="C33" s="101"/>
      <c r="D33" s="27"/>
      <c r="E33" s="27"/>
      <c r="F33" s="27"/>
    </row>
    <row r="34" spans="1:16" x14ac:dyDescent="0.25">
      <c r="B34" s="101"/>
      <c r="C34" s="27"/>
    </row>
    <row r="35" spans="1:16" x14ac:dyDescent="0.25">
      <c r="B35" s="101"/>
      <c r="C35" s="27"/>
    </row>
    <row r="36" spans="1:16" x14ac:dyDescent="0.25">
      <c r="B36" s="102"/>
      <c r="C36" s="103"/>
    </row>
    <row r="37" spans="1:16" s="13" customFormat="1" x14ac:dyDescent="0.25">
      <c r="A37" s="14"/>
      <c r="B37" s="102"/>
      <c r="C37" s="10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102"/>
      <c r="C38" s="103"/>
    </row>
    <row r="39" spans="1:16" x14ac:dyDescent="0.25">
      <c r="B39" s="101"/>
      <c r="C39" s="27"/>
    </row>
    <row r="40" spans="1:16" x14ac:dyDescent="0.25">
      <c r="B40" s="101"/>
      <c r="C40" s="27"/>
    </row>
    <row r="41" spans="1:16" x14ac:dyDescent="0.25">
      <c r="B41" s="101"/>
      <c r="C41" s="27"/>
    </row>
    <row r="42" spans="1:16" x14ac:dyDescent="0.25">
      <c r="B42" s="101"/>
      <c r="C42" s="27"/>
    </row>
    <row r="43" spans="1:16" x14ac:dyDescent="0.25">
      <c r="B43" s="101"/>
      <c r="C43" s="27"/>
    </row>
    <row r="44" spans="1:16" x14ac:dyDescent="0.25">
      <c r="B44" s="101"/>
      <c r="C44" s="27"/>
    </row>
    <row r="45" spans="1:16" x14ac:dyDescent="0.25">
      <c r="B45" s="101"/>
      <c r="C45" s="27"/>
    </row>
    <row r="46" spans="1:16" x14ac:dyDescent="0.25">
      <c r="B46" s="101"/>
      <c r="C46" s="27"/>
    </row>
    <row r="47" spans="1:16" x14ac:dyDescent="0.25">
      <c r="B47" s="101"/>
      <c r="C47" s="27"/>
    </row>
    <row r="48" spans="1:16" x14ac:dyDescent="0.25">
      <c r="B48" s="101"/>
      <c r="C48" s="27"/>
    </row>
    <row r="49" spans="2:3" x14ac:dyDescent="0.25">
      <c r="B49" s="101"/>
      <c r="C49" s="27"/>
    </row>
    <row r="50" spans="2:3" x14ac:dyDescent="0.25">
      <c r="B50" s="101"/>
      <c r="C50" s="27"/>
    </row>
    <row r="51" spans="2:3" x14ac:dyDescent="0.25">
      <c r="B51" s="101"/>
      <c r="C51" s="27"/>
    </row>
    <row r="52" spans="2:3" x14ac:dyDescent="0.25">
      <c r="B52" s="101"/>
      <c r="C52" s="27"/>
    </row>
    <row r="53" spans="2:3" x14ac:dyDescent="0.25">
      <c r="B53" s="101"/>
      <c r="C53" s="27"/>
    </row>
    <row r="54" spans="2:3" x14ac:dyDescent="0.25">
      <c r="B54" s="101"/>
      <c r="C54" s="27"/>
    </row>
    <row r="55" spans="2:3" x14ac:dyDescent="0.25">
      <c r="B55" s="101"/>
      <c r="C55" s="27"/>
    </row>
    <row r="56" spans="2:3" x14ac:dyDescent="0.25">
      <c r="B56" s="101"/>
      <c r="C56" s="27"/>
    </row>
    <row r="57" spans="2:3" x14ac:dyDescent="0.25">
      <c r="B57" s="101"/>
      <c r="C57" s="27"/>
    </row>
    <row r="58" spans="2:3" x14ac:dyDescent="0.25">
      <c r="B58" s="101"/>
      <c r="C58" s="27"/>
    </row>
    <row r="59" spans="2:3" x14ac:dyDescent="0.25">
      <c r="B59" s="101"/>
      <c r="C59" s="27"/>
    </row>
    <row r="60" spans="2:3" x14ac:dyDescent="0.25">
      <c r="B60" s="101"/>
      <c r="C60" s="27"/>
    </row>
    <row r="61" spans="2:3" x14ac:dyDescent="0.25">
      <c r="B61" s="101"/>
      <c r="C61" s="27"/>
    </row>
    <row r="62" spans="2:3" x14ac:dyDescent="0.25">
      <c r="B62" s="101"/>
      <c r="C62" s="27"/>
    </row>
    <row r="63" spans="2:3" x14ac:dyDescent="0.25">
      <c r="B63" s="101"/>
      <c r="C63" s="27"/>
    </row>
    <row r="64" spans="2:3" x14ac:dyDescent="0.25">
      <c r="B64" s="101"/>
      <c r="C64" s="27"/>
    </row>
    <row r="65" spans="2:3" x14ac:dyDescent="0.25">
      <c r="B65" s="101"/>
      <c r="C65" s="27"/>
    </row>
    <row r="66" spans="2:3" x14ac:dyDescent="0.25">
      <c r="B66" s="101"/>
      <c r="C66" s="27"/>
    </row>
    <row r="67" spans="2:3" x14ac:dyDescent="0.25">
      <c r="B67" s="101"/>
      <c r="C67" s="27"/>
    </row>
    <row r="68" spans="2:3" x14ac:dyDescent="0.25">
      <c r="B68" s="101"/>
      <c r="C68" s="27"/>
    </row>
    <row r="69" spans="2:3" x14ac:dyDescent="0.25">
      <c r="B69" s="101"/>
      <c r="C69" s="27"/>
    </row>
    <row r="70" spans="2:3" x14ac:dyDescent="0.25">
      <c r="B70" s="101"/>
      <c r="C70" s="27"/>
    </row>
    <row r="71" spans="2:3" x14ac:dyDescent="0.25">
      <c r="B71" s="101"/>
      <c r="C71" s="27"/>
    </row>
    <row r="72" spans="2:3" x14ac:dyDescent="0.25">
      <c r="B72" s="101"/>
      <c r="C72" s="27"/>
    </row>
    <row r="73" spans="2:3" x14ac:dyDescent="0.25">
      <c r="B73" s="101"/>
      <c r="C73" s="27"/>
    </row>
    <row r="74" spans="2:3" x14ac:dyDescent="0.25">
      <c r="B74" s="101"/>
      <c r="C74" s="27"/>
    </row>
    <row r="75" spans="2:3" x14ac:dyDescent="0.25">
      <c r="B75" s="101"/>
      <c r="C75" s="27"/>
    </row>
    <row r="76" spans="2:3" x14ac:dyDescent="0.25">
      <c r="B76" s="101"/>
      <c r="C76" s="27"/>
    </row>
    <row r="77" spans="2:3" x14ac:dyDescent="0.25">
      <c r="B77" s="101"/>
      <c r="C77" s="27"/>
    </row>
    <row r="78" spans="2:3" x14ac:dyDescent="0.25">
      <c r="B78" s="101"/>
      <c r="C78" s="27"/>
    </row>
    <row r="79" spans="2:3" x14ac:dyDescent="0.25">
      <c r="B79" s="101"/>
      <c r="C79" s="27"/>
    </row>
    <row r="80" spans="2:3" x14ac:dyDescent="0.25">
      <c r="B80" s="101"/>
      <c r="C80" s="27"/>
    </row>
    <row r="81" spans="2:3" x14ac:dyDescent="0.25">
      <c r="B81" s="101"/>
      <c r="C81" s="27"/>
    </row>
    <row r="82" spans="2:3" x14ac:dyDescent="0.25">
      <c r="B82" s="101"/>
      <c r="C82" s="27"/>
    </row>
    <row r="83" spans="2:3" x14ac:dyDescent="0.25">
      <c r="B83" s="101"/>
      <c r="C83" s="27"/>
    </row>
    <row r="84" spans="2:3" x14ac:dyDescent="0.25">
      <c r="B84" s="101"/>
      <c r="C84" s="27"/>
    </row>
    <row r="85" spans="2:3" x14ac:dyDescent="0.25">
      <c r="B85" s="101"/>
      <c r="C85" s="27"/>
    </row>
    <row r="86" spans="2:3" x14ac:dyDescent="0.25">
      <c r="B86" s="101"/>
      <c r="C86" s="27"/>
    </row>
    <row r="87" spans="2:3" x14ac:dyDescent="0.25">
      <c r="B87" s="104"/>
    </row>
    <row r="88" spans="2:3" x14ac:dyDescent="0.25">
      <c r="B88" s="104"/>
    </row>
    <row r="89" spans="2:3" x14ac:dyDescent="0.25">
      <c r="B89" s="104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2 of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72"/>
  <sheetViews>
    <sheetView view="pageBreakPreview" zoomScale="75" zoomScaleNormal="100" zoomScaleSheetLayoutView="75" workbookViewId="0">
      <selection activeCell="I92" sqref="I92"/>
    </sheetView>
  </sheetViews>
  <sheetFormatPr defaultColWidth="9.109375" defaultRowHeight="13.2" x14ac:dyDescent="0.25"/>
  <cols>
    <col min="1" max="1" width="6.6640625" style="14" customWidth="1"/>
    <col min="2" max="2" width="30.88671875" style="21" customWidth="1"/>
    <col min="3" max="3" width="8.44140625" style="20" customWidth="1"/>
    <col min="4" max="6" width="13.33203125" style="20" customWidth="1"/>
    <col min="7" max="7" width="12.88671875" style="14" customWidth="1"/>
    <col min="8" max="8" width="15.44140625" style="14" customWidth="1"/>
    <col min="9" max="9" width="15" style="14" customWidth="1"/>
    <col min="10" max="16384" width="9.109375" style="14"/>
  </cols>
  <sheetData>
    <row r="1" spans="1:7" x14ac:dyDescent="0.25">
      <c r="A1" s="13" t="str">
        <f>'Summary of Returns'!A1</f>
        <v>TAYLOR COUNTY RECC</v>
      </c>
    </row>
    <row r="2" spans="1:7" x14ac:dyDescent="0.25">
      <c r="A2" s="13" t="s">
        <v>696</v>
      </c>
    </row>
    <row r="4" spans="1:7" ht="45.75" customHeight="1" thickBot="1" x14ac:dyDescent="0.3">
      <c r="A4" s="37" t="s">
        <v>942</v>
      </c>
      <c r="B4" s="60" t="s">
        <v>750</v>
      </c>
      <c r="C4" s="231" t="s">
        <v>756</v>
      </c>
      <c r="D4" s="55" t="s">
        <v>867</v>
      </c>
      <c r="E4" s="55" t="s">
        <v>1159</v>
      </c>
      <c r="F4" s="55" t="s">
        <v>1160</v>
      </c>
      <c r="G4" s="55" t="s">
        <v>1161</v>
      </c>
    </row>
    <row r="5" spans="1:7" x14ac:dyDescent="0.25">
      <c r="A5" s="21"/>
      <c r="B5" s="13"/>
      <c r="C5" s="33"/>
    </row>
    <row r="6" spans="1:7" x14ac:dyDescent="0.25">
      <c r="A6" s="21">
        <v>1</v>
      </c>
      <c r="B6" s="14" t="str">
        <f>'Summary of Returns'!B10</f>
        <v>Residential Farm &amp; Home</v>
      </c>
      <c r="C6" s="97" t="str">
        <f>'Summary of Returns'!C10</f>
        <v>A</v>
      </c>
      <c r="D6" s="90">
        <f>'Billing Det'!C8</f>
        <v>23921</v>
      </c>
      <c r="E6" s="90">
        <v>3500</v>
      </c>
      <c r="F6" s="90">
        <f>E6*D6</f>
        <v>83723500</v>
      </c>
      <c r="G6" s="98">
        <f t="shared" ref="G6:G14" si="0">F6/F$33</f>
        <v>0.86064453124999996</v>
      </c>
    </row>
    <row r="7" spans="1:7" x14ac:dyDescent="0.25">
      <c r="A7" s="21">
        <v>2</v>
      </c>
      <c r="B7" s="14" t="str">
        <f>'Summary of Returns'!B11</f>
        <v>Residential Marketing Rate (ETS)</v>
      </c>
      <c r="C7" s="97" t="str">
        <f>'Summary of Returns'!C11</f>
        <v>R-1</v>
      </c>
      <c r="D7" s="90">
        <f>'Billing Det'!C9</f>
        <v>18</v>
      </c>
      <c r="E7" s="90">
        <v>3500</v>
      </c>
      <c r="F7" s="90">
        <f t="shared" ref="F7:F12" si="1">E7*D7</f>
        <v>63000</v>
      </c>
      <c r="G7" s="98">
        <f t="shared" si="0"/>
        <v>6.4761513157894732E-4</v>
      </c>
    </row>
    <row r="8" spans="1:7" x14ac:dyDescent="0.25">
      <c r="A8" s="21">
        <v>3</v>
      </c>
      <c r="B8" s="14" t="str">
        <f>'Summary of Returns'!B12</f>
        <v>General Purpose Part 1 &lt; 50 KVA</v>
      </c>
      <c r="C8" s="97" t="str">
        <f>'Summary of Returns'!C12</f>
        <v>GP1</v>
      </c>
      <c r="D8" s="90">
        <f>'Billing Det'!C10</f>
        <v>2924</v>
      </c>
      <c r="E8" s="90">
        <v>4000</v>
      </c>
      <c r="F8" s="90">
        <f t="shared" si="1"/>
        <v>11696000</v>
      </c>
      <c r="G8" s="98">
        <f t="shared" si="0"/>
        <v>0.12023026315789474</v>
      </c>
    </row>
    <row r="9" spans="1:7" x14ac:dyDescent="0.25">
      <c r="A9" s="21">
        <v>4</v>
      </c>
      <c r="B9" s="14" t="str">
        <f>'Summary of Returns'!B13</f>
        <v>General Purpose Part 2 &gt; 50 KVA</v>
      </c>
      <c r="C9" s="97" t="str">
        <f>'Summary of Returns'!C13</f>
        <v>GP2</v>
      </c>
      <c r="D9" s="90">
        <f>'Billing Det'!C11</f>
        <v>352</v>
      </c>
      <c r="E9" s="90">
        <v>5000</v>
      </c>
      <c r="F9" s="90">
        <f t="shared" si="1"/>
        <v>1760000</v>
      </c>
      <c r="G9" s="98">
        <f t="shared" si="0"/>
        <v>1.8092105263157895E-2</v>
      </c>
    </row>
    <row r="10" spans="1:7" x14ac:dyDescent="0.25">
      <c r="A10" s="21">
        <v>5</v>
      </c>
      <c r="B10" s="14" t="str">
        <f>'Summary of Returns'!B14</f>
        <v>Large Industrial B</v>
      </c>
      <c r="C10" s="97" t="str">
        <f>'Summary of Returns'!C14</f>
        <v>B1</v>
      </c>
      <c r="D10" s="90">
        <f>'Billing Det'!C12</f>
        <v>5</v>
      </c>
      <c r="E10" s="90">
        <v>7500</v>
      </c>
      <c r="F10" s="90">
        <f t="shared" si="1"/>
        <v>37500</v>
      </c>
      <c r="G10" s="98">
        <f t="shared" si="0"/>
        <v>3.8548519736842106E-4</v>
      </c>
    </row>
    <row r="11" spans="1:7" x14ac:dyDescent="0.25">
      <c r="A11" s="21">
        <v>6</v>
      </c>
      <c r="B11" s="14" t="str">
        <f>'Summary of Returns'!B15</f>
        <v>Lighting</v>
      </c>
      <c r="C11" s="97" t="str">
        <f>'Summary of Returns'!C15</f>
        <v>SL</v>
      </c>
      <c r="D11" s="90">
        <v>0</v>
      </c>
      <c r="E11" s="90">
        <v>500</v>
      </c>
      <c r="F11" s="90">
        <f t="shared" si="1"/>
        <v>0</v>
      </c>
      <c r="G11" s="98">
        <f t="shared" si="0"/>
        <v>0</v>
      </c>
    </row>
    <row r="12" spans="1:7" x14ac:dyDescent="0.25">
      <c r="A12" s="21">
        <v>7</v>
      </c>
      <c r="B12" s="14" t="str">
        <f>'Summary of Returns'!B16</f>
        <v>Special Contract</v>
      </c>
      <c r="C12" s="97" t="str">
        <f>'Summary of Returns'!C16</f>
        <v>TGP</v>
      </c>
      <c r="D12" s="90">
        <v>0</v>
      </c>
      <c r="E12" s="90">
        <v>0</v>
      </c>
      <c r="F12" s="90">
        <f t="shared" si="1"/>
        <v>0</v>
      </c>
      <c r="G12" s="98">
        <f t="shared" si="0"/>
        <v>0</v>
      </c>
    </row>
    <row r="13" spans="1:7" hidden="1" x14ac:dyDescent="0.25">
      <c r="A13" s="21">
        <v>8</v>
      </c>
      <c r="B13" s="14">
        <f>'Summary of Returns'!B17</f>
        <v>0</v>
      </c>
      <c r="C13" s="97">
        <f>'Summary of Returns'!C17</f>
        <v>0</v>
      </c>
      <c r="D13" s="90">
        <f>'Billing Det'!C15</f>
        <v>0</v>
      </c>
      <c r="E13" s="90"/>
      <c r="F13" s="90"/>
      <c r="G13" s="98">
        <f t="shared" si="0"/>
        <v>0</v>
      </c>
    </row>
    <row r="14" spans="1:7" hidden="1" x14ac:dyDescent="0.25">
      <c r="A14" s="21">
        <v>9</v>
      </c>
      <c r="B14" s="14">
        <f>'Summary of Returns'!B18</f>
        <v>0</v>
      </c>
      <c r="C14" s="97">
        <f>'Summary of Returns'!C18</f>
        <v>0</v>
      </c>
      <c r="D14" s="90">
        <f>'Billing Det'!C16</f>
        <v>0</v>
      </c>
      <c r="E14" s="90"/>
      <c r="F14" s="90"/>
      <c r="G14" s="98">
        <f t="shared" si="0"/>
        <v>0</v>
      </c>
    </row>
    <row r="15" spans="1:7" hidden="1" x14ac:dyDescent="0.25">
      <c r="A15" s="21">
        <v>10</v>
      </c>
      <c r="B15" s="14">
        <f>'Summary of Returns'!B19</f>
        <v>0</v>
      </c>
      <c r="C15" s="97">
        <f>'Summary of Returns'!C19</f>
        <v>0</v>
      </c>
      <c r="D15" s="90">
        <f>'Billing Det'!C17</f>
        <v>0</v>
      </c>
      <c r="E15" s="90"/>
      <c r="F15" s="90"/>
      <c r="G15" s="98"/>
    </row>
    <row r="16" spans="1:7" hidden="1" x14ac:dyDescent="0.25">
      <c r="A16" s="21"/>
      <c r="B16" s="14">
        <f>'Summary of Returns'!B20</f>
        <v>0</v>
      </c>
      <c r="C16" s="97">
        <f>'Summary of Returns'!C20</f>
        <v>0</v>
      </c>
      <c r="D16" s="90">
        <f>'Billing Det'!C18</f>
        <v>0</v>
      </c>
      <c r="E16" s="90"/>
      <c r="F16" s="90"/>
      <c r="G16" s="98"/>
    </row>
    <row r="17" spans="1:7" hidden="1" x14ac:dyDescent="0.25">
      <c r="A17" s="21"/>
      <c r="B17" s="14"/>
      <c r="C17" s="21"/>
      <c r="D17" s="90"/>
      <c r="E17" s="90"/>
      <c r="F17" s="90"/>
      <c r="G17" s="98"/>
    </row>
    <row r="18" spans="1:7" hidden="1" x14ac:dyDescent="0.25">
      <c r="A18" s="21"/>
      <c r="B18" s="92"/>
      <c r="C18" s="21"/>
      <c r="D18" s="90"/>
      <c r="E18" s="90"/>
      <c r="F18" s="90"/>
      <c r="G18" s="98"/>
    </row>
    <row r="19" spans="1:7" hidden="1" x14ac:dyDescent="0.25">
      <c r="A19" s="21"/>
      <c r="B19" s="14"/>
      <c r="C19" s="21"/>
      <c r="D19" s="90"/>
      <c r="E19" s="90"/>
      <c r="F19" s="90"/>
      <c r="G19" s="98"/>
    </row>
    <row r="20" spans="1:7" hidden="1" x14ac:dyDescent="0.25">
      <c r="A20" s="21"/>
      <c r="B20" s="14"/>
      <c r="C20" s="21"/>
      <c r="D20" s="90"/>
      <c r="E20" s="90"/>
      <c r="F20" s="90"/>
      <c r="G20" s="98"/>
    </row>
    <row r="21" spans="1:7" hidden="1" x14ac:dyDescent="0.25">
      <c r="A21" s="21"/>
      <c r="B21" s="14"/>
      <c r="C21" s="21"/>
      <c r="D21" s="90"/>
      <c r="E21" s="90"/>
      <c r="F21" s="90"/>
      <c r="G21" s="98"/>
    </row>
    <row r="22" spans="1:7" hidden="1" x14ac:dyDescent="0.25">
      <c r="A22" s="21"/>
      <c r="B22" s="14"/>
      <c r="C22" s="21"/>
      <c r="D22" s="90"/>
      <c r="E22" s="90"/>
      <c r="F22" s="90"/>
      <c r="G22" s="98"/>
    </row>
    <row r="23" spans="1:7" hidden="1" x14ac:dyDescent="0.25">
      <c r="A23" s="21"/>
      <c r="B23" s="14"/>
      <c r="C23" s="21"/>
      <c r="D23" s="90"/>
      <c r="E23" s="90"/>
      <c r="F23" s="90"/>
      <c r="G23" s="98"/>
    </row>
    <row r="24" spans="1:7" hidden="1" x14ac:dyDescent="0.25">
      <c r="A24" s="21"/>
      <c r="B24" s="14"/>
      <c r="C24" s="21"/>
      <c r="D24" s="90"/>
      <c r="E24" s="90"/>
      <c r="F24" s="90"/>
      <c r="G24" s="98"/>
    </row>
    <row r="25" spans="1:7" hidden="1" x14ac:dyDescent="0.25">
      <c r="A25" s="21"/>
      <c r="B25" s="14"/>
      <c r="C25" s="21"/>
      <c r="D25" s="90"/>
      <c r="E25" s="90"/>
      <c r="F25" s="90"/>
      <c r="G25" s="98"/>
    </row>
    <row r="26" spans="1:7" hidden="1" x14ac:dyDescent="0.25">
      <c r="A26" s="21"/>
      <c r="B26" s="14"/>
      <c r="C26" s="21"/>
      <c r="D26" s="90"/>
      <c r="E26" s="90"/>
      <c r="F26" s="90"/>
      <c r="G26" s="98"/>
    </row>
    <row r="27" spans="1:7" hidden="1" x14ac:dyDescent="0.25">
      <c r="A27" s="21"/>
      <c r="B27" s="14"/>
      <c r="C27" s="21"/>
      <c r="D27" s="90"/>
      <c r="E27" s="90"/>
      <c r="F27" s="90"/>
      <c r="G27" s="98"/>
    </row>
    <row r="28" spans="1:7" hidden="1" x14ac:dyDescent="0.25">
      <c r="A28" s="21"/>
      <c r="B28" s="14"/>
      <c r="C28" s="21"/>
      <c r="D28" s="90"/>
      <c r="E28" s="90"/>
      <c r="F28" s="90"/>
      <c r="G28" s="98"/>
    </row>
    <row r="29" spans="1:7" hidden="1" x14ac:dyDescent="0.25">
      <c r="A29" s="21"/>
      <c r="B29" s="14"/>
      <c r="C29" s="21"/>
      <c r="D29" s="90"/>
      <c r="E29" s="90"/>
      <c r="F29" s="90"/>
      <c r="G29" s="98"/>
    </row>
    <row r="30" spans="1:7" hidden="1" x14ac:dyDescent="0.25">
      <c r="A30" s="21"/>
      <c r="B30" s="14"/>
      <c r="C30" s="21"/>
      <c r="D30" s="90"/>
      <c r="E30" s="90"/>
      <c r="F30" s="90"/>
      <c r="G30" s="98"/>
    </row>
    <row r="31" spans="1:7" hidden="1" x14ac:dyDescent="0.25">
      <c r="A31" s="21"/>
      <c r="B31" s="14"/>
      <c r="C31" s="21"/>
      <c r="D31" s="90"/>
      <c r="E31" s="90"/>
      <c r="F31" s="90"/>
      <c r="G31" s="98"/>
    </row>
    <row r="32" spans="1:7" hidden="1" x14ac:dyDescent="0.25">
      <c r="A32" s="21"/>
      <c r="B32" s="14"/>
      <c r="C32" s="21"/>
      <c r="D32" s="90"/>
      <c r="E32" s="90"/>
      <c r="F32" s="90"/>
    </row>
    <row r="33" spans="1:7" ht="13.8" thickBot="1" x14ac:dyDescent="0.3">
      <c r="A33" s="21">
        <v>9</v>
      </c>
      <c r="B33" s="232" t="s">
        <v>0</v>
      </c>
      <c r="C33" s="99"/>
      <c r="D33" s="105">
        <f>SUM(D6:D32)</f>
        <v>27220</v>
      </c>
      <c r="E33" s="105"/>
      <c r="F33" s="105">
        <f>SUM(F6:F31)</f>
        <v>97280000</v>
      </c>
      <c r="G33" s="233">
        <f>SUM(G6:G31)</f>
        <v>1</v>
      </c>
    </row>
    <row r="34" spans="1:7" ht="13.8" thickTop="1" x14ac:dyDescent="0.25">
      <c r="B34" s="102"/>
      <c r="C34" s="106"/>
    </row>
    <row r="35" spans="1:7" x14ac:dyDescent="0.25">
      <c r="B35" s="102"/>
      <c r="C35" s="106"/>
    </row>
    <row r="36" spans="1:7" x14ac:dyDescent="0.25">
      <c r="B36" s="102"/>
      <c r="C36" s="106"/>
    </row>
    <row r="37" spans="1:7" x14ac:dyDescent="0.25">
      <c r="B37" s="102"/>
      <c r="C37" s="106"/>
    </row>
    <row r="38" spans="1:7" x14ac:dyDescent="0.25">
      <c r="B38" s="102"/>
      <c r="C38" s="106"/>
    </row>
    <row r="39" spans="1:7" x14ac:dyDescent="0.25">
      <c r="B39" s="102"/>
      <c r="C39" s="106"/>
    </row>
    <row r="40" spans="1:7" x14ac:dyDescent="0.25">
      <c r="B40" s="102"/>
      <c r="C40" s="106"/>
    </row>
    <row r="41" spans="1:7" x14ac:dyDescent="0.25">
      <c r="B41" s="102"/>
      <c r="C41" s="106"/>
    </row>
    <row r="42" spans="1:7" x14ac:dyDescent="0.25">
      <c r="B42" s="102"/>
      <c r="C42" s="106"/>
    </row>
    <row r="43" spans="1:7" x14ac:dyDescent="0.25">
      <c r="B43" s="102"/>
      <c r="C43" s="106"/>
    </row>
    <row r="44" spans="1:7" x14ac:dyDescent="0.25">
      <c r="B44" s="102"/>
      <c r="C44" s="106"/>
    </row>
    <row r="45" spans="1:7" x14ac:dyDescent="0.25">
      <c r="B45" s="102"/>
      <c r="C45" s="106"/>
    </row>
    <row r="46" spans="1:7" x14ac:dyDescent="0.25">
      <c r="B46" s="102"/>
      <c r="C46" s="106"/>
    </row>
    <row r="47" spans="1:7" x14ac:dyDescent="0.25">
      <c r="B47" s="102"/>
      <c r="C47" s="106"/>
    </row>
    <row r="48" spans="1:7" x14ac:dyDescent="0.25">
      <c r="B48" s="102"/>
      <c r="C48" s="106"/>
    </row>
    <row r="49" spans="2:3" x14ac:dyDescent="0.25">
      <c r="B49" s="102"/>
      <c r="C49" s="106"/>
    </row>
    <row r="50" spans="2:3" x14ac:dyDescent="0.25">
      <c r="B50" s="102"/>
      <c r="C50" s="106"/>
    </row>
    <row r="51" spans="2:3" x14ac:dyDescent="0.25">
      <c r="B51" s="102"/>
      <c r="C51" s="106"/>
    </row>
    <row r="52" spans="2:3" x14ac:dyDescent="0.25">
      <c r="B52" s="102"/>
      <c r="C52" s="106"/>
    </row>
    <row r="53" spans="2:3" x14ac:dyDescent="0.25">
      <c r="B53" s="102"/>
      <c r="C53" s="106"/>
    </row>
    <row r="54" spans="2:3" x14ac:dyDescent="0.25">
      <c r="B54" s="102"/>
      <c r="C54" s="106"/>
    </row>
    <row r="55" spans="2:3" x14ac:dyDescent="0.25">
      <c r="B55" s="102"/>
      <c r="C55" s="106"/>
    </row>
    <row r="56" spans="2:3" x14ac:dyDescent="0.25">
      <c r="B56" s="102"/>
      <c r="C56" s="106"/>
    </row>
    <row r="57" spans="2:3" x14ac:dyDescent="0.25">
      <c r="B57" s="102"/>
      <c r="C57" s="106"/>
    </row>
    <row r="58" spans="2:3" x14ac:dyDescent="0.25">
      <c r="B58" s="102"/>
      <c r="C58" s="106"/>
    </row>
    <row r="59" spans="2:3" x14ac:dyDescent="0.25">
      <c r="B59" s="102"/>
      <c r="C59" s="106"/>
    </row>
    <row r="60" spans="2:3" x14ac:dyDescent="0.25">
      <c r="B60" s="102"/>
      <c r="C60" s="106"/>
    </row>
    <row r="61" spans="2:3" x14ac:dyDescent="0.25">
      <c r="B61" s="102"/>
      <c r="C61" s="106"/>
    </row>
    <row r="62" spans="2:3" x14ac:dyDescent="0.25">
      <c r="B62" s="102"/>
      <c r="C62" s="106"/>
    </row>
    <row r="63" spans="2:3" x14ac:dyDescent="0.25">
      <c r="B63" s="102"/>
      <c r="C63" s="106"/>
    </row>
    <row r="64" spans="2:3" x14ac:dyDescent="0.25">
      <c r="B64" s="102"/>
      <c r="C64" s="106"/>
    </row>
    <row r="65" spans="2:3" x14ac:dyDescent="0.25">
      <c r="B65" s="102"/>
      <c r="C65" s="106"/>
    </row>
    <row r="66" spans="2:3" x14ac:dyDescent="0.25">
      <c r="B66" s="102"/>
      <c r="C66" s="106"/>
    </row>
    <row r="67" spans="2:3" x14ac:dyDescent="0.25">
      <c r="B67" s="102"/>
      <c r="C67" s="106"/>
    </row>
    <row r="68" spans="2:3" x14ac:dyDescent="0.25">
      <c r="B68" s="102"/>
      <c r="C68" s="106"/>
    </row>
    <row r="69" spans="2:3" x14ac:dyDescent="0.25">
      <c r="B69" s="102"/>
      <c r="C69" s="106"/>
    </row>
    <row r="70" spans="2:3" x14ac:dyDescent="0.25">
      <c r="B70" s="102"/>
      <c r="C70" s="106"/>
    </row>
    <row r="71" spans="2:3" x14ac:dyDescent="0.25">
      <c r="B71" s="102"/>
      <c r="C71" s="106"/>
    </row>
    <row r="72" spans="2:3" x14ac:dyDescent="0.25">
      <c r="B72" s="102"/>
      <c r="C72" s="106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3 of 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12"/>
  <sheetViews>
    <sheetView workbookViewId="0">
      <selection activeCell="J24" sqref="J24"/>
    </sheetView>
  </sheetViews>
  <sheetFormatPr defaultRowHeight="13.8" x14ac:dyDescent="0.25"/>
  <cols>
    <col min="1" max="1" width="22" bestFit="1" customWidth="1"/>
    <col min="3" max="3" width="7" bestFit="1" customWidth="1"/>
    <col min="4" max="4" width="10.44140625" bestFit="1" customWidth="1"/>
    <col min="5" max="5" width="12" bestFit="1" customWidth="1"/>
    <col min="6" max="6" width="13.6640625" bestFit="1" customWidth="1"/>
    <col min="7" max="7" width="17.5546875" bestFit="1" customWidth="1"/>
    <col min="8" max="8" width="12.88671875" customWidth="1"/>
    <col min="9" max="9" width="14" bestFit="1" customWidth="1"/>
    <col min="10" max="10" width="22.88671875" bestFit="1" customWidth="1"/>
    <col min="11" max="11" width="15.109375" bestFit="1" customWidth="1"/>
    <col min="12" max="12" width="19.33203125" bestFit="1" customWidth="1"/>
    <col min="13" max="13" width="13.6640625" bestFit="1" customWidth="1"/>
    <col min="14" max="14" width="12" bestFit="1" customWidth="1"/>
    <col min="15" max="15" width="13.6640625" bestFit="1" customWidth="1"/>
    <col min="16" max="16" width="14.109375" bestFit="1" customWidth="1"/>
    <col min="17" max="17" width="13.88671875" customWidth="1"/>
    <col min="18" max="18" width="16.33203125" bestFit="1" customWidth="1"/>
    <col min="19" max="19" width="13.6640625" bestFit="1" customWidth="1"/>
    <col min="20" max="20" width="6.6640625" bestFit="1" customWidth="1"/>
  </cols>
  <sheetData>
    <row r="1" spans="1:38" x14ac:dyDescent="0.25">
      <c r="A1" s="1"/>
      <c r="B1" s="1"/>
      <c r="C1" s="1"/>
      <c r="D1" s="1"/>
    </row>
    <row r="2" spans="1:38" ht="55.2" x14ac:dyDescent="0.25">
      <c r="A2" s="2"/>
      <c r="B2" s="2"/>
      <c r="C2" s="5"/>
      <c r="D2" s="6" t="s">
        <v>207</v>
      </c>
      <c r="E2" s="5" t="s">
        <v>0</v>
      </c>
      <c r="F2" s="10" t="s">
        <v>710</v>
      </c>
      <c r="G2" s="10" t="s">
        <v>719</v>
      </c>
      <c r="H2" s="10" t="s">
        <v>723</v>
      </c>
      <c r="I2" s="10" t="s">
        <v>724</v>
      </c>
      <c r="J2" s="10" t="s">
        <v>725</v>
      </c>
      <c r="K2" s="10" t="s">
        <v>726</v>
      </c>
      <c r="L2" s="10" t="s">
        <v>727</v>
      </c>
      <c r="M2" s="10" t="s">
        <v>728</v>
      </c>
      <c r="N2" s="10" t="s">
        <v>715</v>
      </c>
      <c r="O2" s="10" t="s">
        <v>716</v>
      </c>
      <c r="P2" s="10" t="s">
        <v>717</v>
      </c>
      <c r="Q2" s="10" t="s">
        <v>718</v>
      </c>
      <c r="R2" s="10" t="s">
        <v>729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4.4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722</v>
      </c>
      <c r="G3" s="9" t="s">
        <v>734</v>
      </c>
      <c r="H3" s="9" t="s">
        <v>733</v>
      </c>
      <c r="I3" s="9" t="s">
        <v>731</v>
      </c>
      <c r="J3" s="9" t="s">
        <v>732</v>
      </c>
      <c r="K3" s="9" t="s">
        <v>711</v>
      </c>
      <c r="L3" s="9" t="s">
        <v>699</v>
      </c>
      <c r="M3" s="9" t="s">
        <v>735</v>
      </c>
      <c r="N3" s="9" t="s">
        <v>736</v>
      </c>
      <c r="O3" s="9" t="s">
        <v>737</v>
      </c>
      <c r="P3" s="9" t="s">
        <v>738</v>
      </c>
      <c r="Q3" s="9" t="s">
        <v>739</v>
      </c>
      <c r="R3" s="9" t="s">
        <v>730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740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741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742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72"/>
  <sheetViews>
    <sheetView view="pageBreakPreview" topLeftCell="A140" zoomScale="60" zoomScaleNormal="83" workbookViewId="0">
      <selection activeCell="E151" sqref="E151"/>
    </sheetView>
  </sheetViews>
  <sheetFormatPr defaultColWidth="9.109375" defaultRowHeight="13.2" x14ac:dyDescent="0.25"/>
  <cols>
    <col min="1" max="1" width="3.109375" style="14" customWidth="1"/>
    <col min="2" max="2" width="37.33203125" style="14" customWidth="1"/>
    <col min="3" max="3" width="10.44140625" style="14" bestFit="1" customWidth="1"/>
    <col min="4" max="4" width="16.88671875" style="14" bestFit="1" customWidth="1"/>
    <col min="5" max="5" width="12.6640625" style="14" bestFit="1" customWidth="1"/>
    <col min="6" max="6" width="13.33203125" style="14" customWidth="1"/>
    <col min="7" max="7" width="3.6640625" style="14" customWidth="1"/>
    <col min="8" max="8" width="14.5546875" style="14" customWidth="1"/>
    <col min="9" max="9" width="18.44140625" style="14" customWidth="1"/>
    <col min="10" max="10" width="13.6640625" style="14" bestFit="1" customWidth="1"/>
    <col min="11" max="11" width="2.33203125" style="14" customWidth="1"/>
    <col min="12" max="12" width="6.33203125" style="21" customWidth="1"/>
    <col min="13" max="13" width="14.109375" style="14" bestFit="1" customWidth="1"/>
    <col min="14" max="14" width="10.21875" style="14" customWidth="1"/>
    <col min="15" max="15" width="10.44140625" style="14" customWidth="1"/>
    <col min="16" max="16384" width="9.109375" style="14"/>
  </cols>
  <sheetData>
    <row r="1" spans="1:11" x14ac:dyDescent="0.25">
      <c r="A1" s="13" t="str">
        <f>'Summary of Returns'!A1</f>
        <v>TAYLOR COUNTY RECC</v>
      </c>
    </row>
    <row r="2" spans="1:11" x14ac:dyDescent="0.25">
      <c r="A2" s="13" t="s">
        <v>985</v>
      </c>
    </row>
    <row r="4" spans="1:11" x14ac:dyDescent="0.25">
      <c r="A4" s="13" t="s">
        <v>975</v>
      </c>
      <c r="B4" s="15"/>
    </row>
    <row r="5" spans="1:11" x14ac:dyDescent="0.25">
      <c r="F5" s="33" t="s">
        <v>950</v>
      </c>
      <c r="I5" s="33" t="s">
        <v>951</v>
      </c>
    </row>
    <row r="6" spans="1:11" x14ac:dyDescent="0.25">
      <c r="C6" s="139"/>
      <c r="D6" s="33"/>
      <c r="E6" s="35"/>
      <c r="F6" s="33" t="s">
        <v>952</v>
      </c>
      <c r="H6" s="33"/>
      <c r="I6" s="33"/>
      <c r="J6" s="33"/>
      <c r="K6" s="33"/>
    </row>
    <row r="7" spans="1:11" x14ac:dyDescent="0.25">
      <c r="B7" s="234" t="s">
        <v>6</v>
      </c>
      <c r="C7" s="235" t="s">
        <v>953</v>
      </c>
      <c r="D7" s="91" t="s">
        <v>954</v>
      </c>
      <c r="E7" s="236" t="s">
        <v>955</v>
      </c>
      <c r="F7" s="91" t="s">
        <v>956</v>
      </c>
      <c r="H7" s="237" t="s">
        <v>957</v>
      </c>
      <c r="I7" s="237" t="s">
        <v>958</v>
      </c>
      <c r="J7" s="237" t="s">
        <v>959</v>
      </c>
      <c r="K7" s="16"/>
    </row>
    <row r="8" spans="1:11" x14ac:dyDescent="0.25">
      <c r="B8" s="14" t="s">
        <v>1046</v>
      </c>
      <c r="C8" s="25">
        <v>105.53</v>
      </c>
      <c r="D8" s="94">
        <v>1684492.91</v>
      </c>
      <c r="E8" s="27">
        <v>4778297</v>
      </c>
      <c r="F8" s="25">
        <f t="shared" ref="F8:F30" si="0">D8/E8</f>
        <v>0.3525299724985701</v>
      </c>
      <c r="G8" s="23"/>
      <c r="H8" s="25">
        <f t="shared" ref="H8:H30" si="1">F8*E8^0.5</f>
        <v>770.60641006699154</v>
      </c>
      <c r="I8" s="25">
        <f t="shared" ref="I8:I30" si="2">E8^0.5</f>
        <v>2185.9316091771948</v>
      </c>
      <c r="J8" s="25">
        <f t="shared" ref="J8:J30" si="3">C8*E8^0.5</f>
        <v>230681.36271646936</v>
      </c>
      <c r="K8" s="25"/>
    </row>
    <row r="9" spans="1:11" x14ac:dyDescent="0.25">
      <c r="B9" s="14" t="s">
        <v>1061</v>
      </c>
      <c r="C9" s="25">
        <v>105.53</v>
      </c>
      <c r="D9" s="94">
        <v>12448.44</v>
      </c>
      <c r="E9" s="27">
        <v>73852</v>
      </c>
      <c r="F9" s="25">
        <f t="shared" ref="F9:F23" si="4">D9/E9</f>
        <v>0.1685592807236094</v>
      </c>
      <c r="G9" s="23"/>
      <c r="H9" s="25">
        <f t="shared" ref="H9:H23" si="5">F9*E9^0.5</f>
        <v>45.807205683505828</v>
      </c>
      <c r="I9" s="25">
        <f t="shared" ref="I9:I23" si="6">E9^0.5</f>
        <v>271.7572446136441</v>
      </c>
      <c r="J9" s="25">
        <f t="shared" ref="J9:J23" si="7">C9*E9^0.5</f>
        <v>28678.542024077862</v>
      </c>
      <c r="K9" s="25"/>
    </row>
    <row r="10" spans="1:11" x14ac:dyDescent="0.25">
      <c r="B10" s="14" t="s">
        <v>1062</v>
      </c>
      <c r="C10" s="25">
        <v>105.53</v>
      </c>
      <c r="D10" s="94">
        <v>10240.36</v>
      </c>
      <c r="E10" s="27">
        <v>2241</v>
      </c>
      <c r="F10" s="25">
        <f t="shared" si="4"/>
        <v>4.5695493083444889</v>
      </c>
      <c r="G10" s="23"/>
      <c r="H10" s="25">
        <f t="shared" si="5"/>
        <v>216.31881553669473</v>
      </c>
      <c r="I10" s="25">
        <f t="shared" si="6"/>
        <v>47.339201514178498</v>
      </c>
      <c r="J10" s="25">
        <f t="shared" si="7"/>
        <v>4995.7059357912567</v>
      </c>
      <c r="K10" s="25"/>
    </row>
    <row r="11" spans="1:11" x14ac:dyDescent="0.25">
      <c r="B11" s="14" t="s">
        <v>1063</v>
      </c>
      <c r="C11" s="25">
        <v>105.53</v>
      </c>
      <c r="D11" s="94">
        <v>640071.12</v>
      </c>
      <c r="E11" s="27">
        <v>415612</v>
      </c>
      <c r="F11" s="25">
        <f t="shared" si="4"/>
        <v>1.5400689104260705</v>
      </c>
      <c r="G11" s="23"/>
      <c r="H11" s="25">
        <f t="shared" si="5"/>
        <v>992.85126397340844</v>
      </c>
      <c r="I11" s="25">
        <f t="shared" si="6"/>
        <v>644.67976546499426</v>
      </c>
      <c r="J11" s="25">
        <f t="shared" si="7"/>
        <v>68033.055649520844</v>
      </c>
      <c r="K11" s="25"/>
    </row>
    <row r="12" spans="1:11" x14ac:dyDescent="0.25">
      <c r="B12" s="14" t="s">
        <v>1064</v>
      </c>
      <c r="C12" s="25">
        <v>6.53</v>
      </c>
      <c r="D12" s="94">
        <v>294.14</v>
      </c>
      <c r="E12" s="27">
        <v>600</v>
      </c>
      <c r="F12" s="25">
        <f t="shared" si="4"/>
        <v>0.4902333333333333</v>
      </c>
      <c r="G12" s="23"/>
      <c r="H12" s="25">
        <f t="shared" si="5"/>
        <v>12.008215215704066</v>
      </c>
      <c r="I12" s="25">
        <f t="shared" si="6"/>
        <v>24.494897427831781</v>
      </c>
      <c r="J12" s="25">
        <f t="shared" si="7"/>
        <v>159.95168020374155</v>
      </c>
      <c r="K12" s="25"/>
    </row>
    <row r="13" spans="1:11" x14ac:dyDescent="0.25">
      <c r="B13" s="14" t="s">
        <v>1065</v>
      </c>
      <c r="C13" s="25">
        <v>66.369</v>
      </c>
      <c r="D13" s="94">
        <v>237.3</v>
      </c>
      <c r="E13" s="27">
        <v>310</v>
      </c>
      <c r="F13" s="25">
        <f t="shared" si="4"/>
        <v>0.76548387096774195</v>
      </c>
      <c r="G13" s="23"/>
      <c r="H13" s="25">
        <f t="shared" si="5"/>
        <v>13.477734326682848</v>
      </c>
      <c r="I13" s="25">
        <f t="shared" si="6"/>
        <v>17.606816861659009</v>
      </c>
      <c r="J13" s="25">
        <f t="shared" si="7"/>
        <v>1168.5468282914467</v>
      </c>
      <c r="K13" s="25"/>
    </row>
    <row r="14" spans="1:11" x14ac:dyDescent="0.25">
      <c r="B14" s="14" t="s">
        <v>1066</v>
      </c>
      <c r="C14" s="25">
        <v>66.369</v>
      </c>
      <c r="D14" s="94">
        <v>388241.72</v>
      </c>
      <c r="E14" s="27">
        <v>319384</v>
      </c>
      <c r="F14" s="25">
        <f t="shared" si="4"/>
        <v>1.2155953961375647</v>
      </c>
      <c r="G14" s="23"/>
      <c r="H14" s="25">
        <f t="shared" si="5"/>
        <v>686.98242147854808</v>
      </c>
      <c r="I14" s="25">
        <f t="shared" si="6"/>
        <v>565.1406904479627</v>
      </c>
      <c r="J14" s="25">
        <f t="shared" si="7"/>
        <v>37507.822484340839</v>
      </c>
      <c r="K14" s="25"/>
    </row>
    <row r="15" spans="1:11" x14ac:dyDescent="0.25">
      <c r="B15" s="14" t="s">
        <v>1067</v>
      </c>
      <c r="C15" s="25">
        <v>66.369</v>
      </c>
      <c r="D15" s="94">
        <v>5293.59</v>
      </c>
      <c r="E15" s="27">
        <v>62426</v>
      </c>
      <c r="F15" s="25">
        <f t="shared" si="4"/>
        <v>8.4797840643321701E-2</v>
      </c>
      <c r="G15" s="23"/>
      <c r="H15" s="25">
        <f t="shared" si="5"/>
        <v>21.186906363390605</v>
      </c>
      <c r="I15" s="25">
        <f t="shared" si="6"/>
        <v>249.85195616604645</v>
      </c>
      <c r="J15" s="25">
        <f t="shared" si="7"/>
        <v>16582.424478784338</v>
      </c>
      <c r="K15" s="25"/>
    </row>
    <row r="16" spans="1:11" x14ac:dyDescent="0.25">
      <c r="B16" s="14" t="s">
        <v>1068</v>
      </c>
      <c r="C16" s="25">
        <v>133.072</v>
      </c>
      <c r="D16" s="94">
        <v>7763.37</v>
      </c>
      <c r="E16" s="27">
        <v>2770</v>
      </c>
      <c r="F16" s="25">
        <f t="shared" si="4"/>
        <v>2.8026606498194946</v>
      </c>
      <c r="G16" s="23"/>
      <c r="H16" s="25">
        <f t="shared" si="5"/>
        <v>147.50624261023384</v>
      </c>
      <c r="I16" s="25">
        <f t="shared" si="6"/>
        <v>52.630789467763066</v>
      </c>
      <c r="J16" s="25">
        <f t="shared" si="7"/>
        <v>7003.6844160541668</v>
      </c>
      <c r="K16" s="25"/>
    </row>
    <row r="17" spans="2:11" x14ac:dyDescent="0.25">
      <c r="B17" s="14" t="s">
        <v>1069</v>
      </c>
      <c r="C17" s="25">
        <v>133.072</v>
      </c>
      <c r="D17" s="94">
        <v>67249.64</v>
      </c>
      <c r="E17" s="27">
        <v>27083</v>
      </c>
      <c r="F17" s="25">
        <f t="shared" si="4"/>
        <v>2.4830941919285161</v>
      </c>
      <c r="G17" s="23"/>
      <c r="H17" s="25">
        <f t="shared" si="5"/>
        <v>408.64066182072924</v>
      </c>
      <c r="I17" s="25">
        <f t="shared" si="6"/>
        <v>164.5691344086126</v>
      </c>
      <c r="J17" s="25">
        <f t="shared" si="7"/>
        <v>21899.543854022897</v>
      </c>
      <c r="K17" s="25"/>
    </row>
    <row r="18" spans="2:11" x14ac:dyDescent="0.25">
      <c r="B18" s="14" t="s">
        <v>1043</v>
      </c>
      <c r="C18" s="25">
        <v>66.369</v>
      </c>
      <c r="D18" s="94">
        <v>485105.37</v>
      </c>
      <c r="E18" s="27">
        <v>2015435</v>
      </c>
      <c r="F18" s="25">
        <f t="shared" si="4"/>
        <v>0.24069512040824934</v>
      </c>
      <c r="G18" s="23"/>
      <c r="H18" s="25">
        <f t="shared" si="5"/>
        <v>341.70527570237823</v>
      </c>
      <c r="I18" s="25">
        <f t="shared" si="6"/>
        <v>1419.6601706042188</v>
      </c>
      <c r="J18" s="25">
        <f t="shared" si="7"/>
        <v>94221.425862831398</v>
      </c>
      <c r="K18" s="25"/>
    </row>
    <row r="19" spans="2:11" x14ac:dyDescent="0.25">
      <c r="B19" s="14" t="s">
        <v>1070</v>
      </c>
      <c r="C19" s="25">
        <v>397</v>
      </c>
      <c r="D19" s="94">
        <v>184237.19</v>
      </c>
      <c r="E19" s="27">
        <v>200937</v>
      </c>
      <c r="F19" s="25">
        <f t="shared" si="4"/>
        <v>0.9168903188561589</v>
      </c>
      <c r="G19" s="23"/>
      <c r="H19" s="25">
        <f t="shared" si="5"/>
        <v>411.00522610334622</v>
      </c>
      <c r="I19" s="25">
        <f t="shared" si="6"/>
        <v>448.25996921429424</v>
      </c>
      <c r="J19" s="25">
        <f t="shared" si="7"/>
        <v>177959.20777807481</v>
      </c>
      <c r="K19" s="25"/>
    </row>
    <row r="20" spans="2:11" x14ac:dyDescent="0.25">
      <c r="B20" s="14" t="s">
        <v>1047</v>
      </c>
      <c r="C20" s="25">
        <v>167.8</v>
      </c>
      <c r="D20" s="94">
        <v>344929.16</v>
      </c>
      <c r="E20" s="27">
        <v>1538186</v>
      </c>
      <c r="F20" s="25">
        <f t="shared" si="4"/>
        <v>0.2242441161211973</v>
      </c>
      <c r="G20" s="23"/>
      <c r="H20" s="25">
        <f t="shared" si="5"/>
        <v>278.11568565729448</v>
      </c>
      <c r="I20" s="25">
        <f t="shared" si="6"/>
        <v>1240.2362678135162</v>
      </c>
      <c r="J20" s="25">
        <f t="shared" si="7"/>
        <v>208111.64573910803</v>
      </c>
      <c r="K20" s="25"/>
    </row>
    <row r="21" spans="2:11" x14ac:dyDescent="0.25">
      <c r="B21" s="14" t="s">
        <v>1071</v>
      </c>
      <c r="C21" s="25">
        <v>167.8</v>
      </c>
      <c r="D21" s="94">
        <v>23.04</v>
      </c>
      <c r="E21" s="27">
        <v>30</v>
      </c>
      <c r="F21" s="25">
        <f t="shared" si="4"/>
        <v>0.76800000000000002</v>
      </c>
      <c r="G21" s="23"/>
      <c r="H21" s="25">
        <f t="shared" si="5"/>
        <v>4.2065092416396759</v>
      </c>
      <c r="I21" s="25">
        <f t="shared" si="6"/>
        <v>5.4772255750516612</v>
      </c>
      <c r="J21" s="25">
        <f t="shared" si="7"/>
        <v>919.07845149366881</v>
      </c>
      <c r="K21" s="25"/>
    </row>
    <row r="22" spans="2:11" x14ac:dyDescent="0.25">
      <c r="B22" s="14" t="s">
        <v>1072</v>
      </c>
      <c r="C22" s="25">
        <v>167.8</v>
      </c>
      <c r="D22" s="94">
        <v>6303.9</v>
      </c>
      <c r="E22" s="27">
        <v>5831</v>
      </c>
      <c r="F22" s="25">
        <f t="shared" si="4"/>
        <v>1.0811010118333046</v>
      </c>
      <c r="G22" s="23"/>
      <c r="H22" s="25">
        <f t="shared" si="5"/>
        <v>82.553937934516298</v>
      </c>
      <c r="I22" s="25">
        <f t="shared" si="6"/>
        <v>76.360984802450005</v>
      </c>
      <c r="J22" s="25">
        <f t="shared" si="7"/>
        <v>12813.373249851113</v>
      </c>
      <c r="K22" s="25"/>
    </row>
    <row r="23" spans="2:11" x14ac:dyDescent="0.25">
      <c r="B23" s="14" t="s">
        <v>1082</v>
      </c>
      <c r="C23" s="25">
        <v>336</v>
      </c>
      <c r="D23" s="94">
        <v>1324570.3899999999</v>
      </c>
      <c r="E23" s="27">
        <v>1109885</v>
      </c>
      <c r="F23" s="25">
        <f t="shared" si="4"/>
        <v>1.1934303013375258</v>
      </c>
      <c r="G23" s="23"/>
      <c r="H23" s="25">
        <f t="shared" si="5"/>
        <v>1257.2917082683971</v>
      </c>
      <c r="I23" s="25">
        <f t="shared" si="6"/>
        <v>1053.5107972868623</v>
      </c>
      <c r="J23" s="25">
        <f t="shared" si="7"/>
        <v>353979.62788838573</v>
      </c>
      <c r="K23" s="25"/>
    </row>
    <row r="24" spans="2:11" x14ac:dyDescent="0.25">
      <c r="B24" s="14" t="s">
        <v>1073</v>
      </c>
      <c r="C24" s="25">
        <v>41.74</v>
      </c>
      <c r="D24" s="94">
        <v>15456.12</v>
      </c>
      <c r="E24" s="27">
        <v>34550</v>
      </c>
      <c r="F24" s="25">
        <f t="shared" si="0"/>
        <v>0.4473551374819103</v>
      </c>
      <c r="G24" s="23"/>
      <c r="H24" s="25">
        <f t="shared" si="1"/>
        <v>83.152719062799761</v>
      </c>
      <c r="I24" s="25">
        <f t="shared" si="2"/>
        <v>185.87630295441105</v>
      </c>
      <c r="J24" s="25">
        <f t="shared" si="3"/>
        <v>7758.4768853171172</v>
      </c>
      <c r="K24" s="25"/>
    </row>
    <row r="25" spans="2:11" x14ac:dyDescent="0.25">
      <c r="B25" s="14" t="s">
        <v>1048</v>
      </c>
      <c r="C25" s="25">
        <v>211.59200000000001</v>
      </c>
      <c r="D25" s="94">
        <v>370885.45</v>
      </c>
      <c r="E25" s="27">
        <v>825057</v>
      </c>
      <c r="F25" s="25">
        <f t="shared" si="0"/>
        <v>0.44952706297867906</v>
      </c>
      <c r="G25" s="23"/>
      <c r="H25" s="25">
        <f t="shared" si="1"/>
        <v>408.31733619823899</v>
      </c>
      <c r="I25" s="25">
        <f t="shared" si="2"/>
        <v>908.3264831545979</v>
      </c>
      <c r="J25" s="25">
        <f t="shared" si="3"/>
        <v>192194.61722364769</v>
      </c>
      <c r="K25" s="25"/>
    </row>
    <row r="26" spans="2:11" x14ac:dyDescent="0.25">
      <c r="B26" s="14" t="s">
        <v>1074</v>
      </c>
      <c r="C26" s="25">
        <v>211.59200000000001</v>
      </c>
      <c r="D26" s="94">
        <v>19193.509999999998</v>
      </c>
      <c r="E26" s="27">
        <v>5199</v>
      </c>
      <c r="F26" s="25">
        <f t="shared" si="0"/>
        <v>3.6917695710713594</v>
      </c>
      <c r="G26" s="23"/>
      <c r="H26" s="25">
        <f t="shared" si="1"/>
        <v>266.19169066680848</v>
      </c>
      <c r="I26" s="25">
        <f t="shared" si="2"/>
        <v>72.104091423441432</v>
      </c>
      <c r="J26" s="25">
        <f t="shared" si="3"/>
        <v>15256.64891246882</v>
      </c>
      <c r="K26" s="25"/>
    </row>
    <row r="27" spans="2:11" x14ac:dyDescent="0.25">
      <c r="B27" s="14" t="s">
        <v>1075</v>
      </c>
      <c r="C27" s="25">
        <v>211.59200000000001</v>
      </c>
      <c r="D27" s="94">
        <v>25984.78</v>
      </c>
      <c r="E27" s="27">
        <v>7453</v>
      </c>
      <c r="F27" s="25">
        <f t="shared" si="0"/>
        <v>3.4864859788004829</v>
      </c>
      <c r="G27" s="23"/>
      <c r="H27" s="25">
        <f t="shared" si="1"/>
        <v>300.99098181210547</v>
      </c>
      <c r="I27" s="25">
        <f t="shared" si="2"/>
        <v>86.330759292386631</v>
      </c>
      <c r="J27" s="25">
        <f t="shared" si="3"/>
        <v>18266.898020194672</v>
      </c>
      <c r="K27" s="25"/>
    </row>
    <row r="28" spans="2:11" x14ac:dyDescent="0.25">
      <c r="B28" s="14" t="s">
        <v>1044</v>
      </c>
      <c r="C28" s="25">
        <v>41.74</v>
      </c>
      <c r="D28" s="94">
        <v>4706032.1399999997</v>
      </c>
      <c r="E28" s="27">
        <v>23945212</v>
      </c>
      <c r="F28" s="25">
        <f t="shared" si="0"/>
        <v>0.19653332532616541</v>
      </c>
      <c r="G28" s="23"/>
      <c r="H28" s="25">
        <f t="shared" si="1"/>
        <v>961.71313059873034</v>
      </c>
      <c r="I28" s="25">
        <f t="shared" si="2"/>
        <v>4893.3845138104571</v>
      </c>
      <c r="J28" s="25">
        <f t="shared" si="3"/>
        <v>204249.86960644848</v>
      </c>
      <c r="K28" s="25"/>
    </row>
    <row r="29" spans="2:11" x14ac:dyDescent="0.25">
      <c r="B29" s="14" t="s">
        <v>1041</v>
      </c>
      <c r="C29" s="25">
        <v>41.74</v>
      </c>
      <c r="D29" s="94">
        <v>92.92</v>
      </c>
      <c r="E29" s="27">
        <v>1126</v>
      </c>
      <c r="F29" s="25">
        <f t="shared" si="0"/>
        <v>8.2522202486678506E-2</v>
      </c>
      <c r="G29" s="23"/>
      <c r="H29" s="25">
        <f t="shared" si="1"/>
        <v>2.7691087113116679</v>
      </c>
      <c r="I29" s="25">
        <f t="shared" si="2"/>
        <v>33.555923471125034</v>
      </c>
      <c r="J29" s="25">
        <f t="shared" si="3"/>
        <v>1400.624245684759</v>
      </c>
      <c r="K29" s="25"/>
    </row>
    <row r="30" spans="2:11" x14ac:dyDescent="0.25">
      <c r="B30" s="14" t="s">
        <v>1076</v>
      </c>
      <c r="C30" s="25">
        <v>477</v>
      </c>
      <c r="D30" s="94">
        <v>49876.88</v>
      </c>
      <c r="E30" s="27">
        <v>28860</v>
      </c>
      <c r="F30" s="25">
        <f t="shared" si="0"/>
        <v>1.7282356202356202</v>
      </c>
      <c r="G30" s="23"/>
      <c r="H30" s="25">
        <f t="shared" si="1"/>
        <v>293.59666320007381</v>
      </c>
      <c r="I30" s="25">
        <f t="shared" si="2"/>
        <v>169.88231220465536</v>
      </c>
      <c r="J30" s="25">
        <f t="shared" si="3"/>
        <v>81033.862921620603</v>
      </c>
      <c r="K30" s="25"/>
    </row>
    <row r="31" spans="2:11" x14ac:dyDescent="0.25">
      <c r="B31" s="14" t="s">
        <v>1077</v>
      </c>
      <c r="C31" s="25">
        <v>500</v>
      </c>
      <c r="D31" s="94">
        <v>481.41</v>
      </c>
      <c r="E31" s="27">
        <v>355</v>
      </c>
      <c r="F31" s="25">
        <f t="shared" ref="F31:F36" si="8">D31/E31</f>
        <v>1.3560845070422536</v>
      </c>
      <c r="G31" s="23"/>
      <c r="H31" s="25">
        <f t="shared" ref="H31:H36" si="9">F31*E31^0.5</f>
        <v>25.55058986667845</v>
      </c>
      <c r="I31" s="25">
        <f t="shared" ref="I31:I36" si="10">E31^0.5</f>
        <v>18.841443681416774</v>
      </c>
      <c r="J31" s="25">
        <f t="shared" ref="J31:J36" si="11">C31*E31^0.5</f>
        <v>9420.7218407083874</v>
      </c>
      <c r="K31" s="25"/>
    </row>
    <row r="32" spans="2:11" x14ac:dyDescent="0.25">
      <c r="B32" s="14" t="s">
        <v>1078</v>
      </c>
      <c r="C32" s="25">
        <v>26.251000000000001</v>
      </c>
      <c r="D32" s="94">
        <v>47888.46</v>
      </c>
      <c r="E32" s="27">
        <v>38746</v>
      </c>
      <c r="F32" s="25">
        <f t="shared" si="8"/>
        <v>1.2359588086512157</v>
      </c>
      <c r="G32" s="23"/>
      <c r="H32" s="25">
        <f t="shared" si="9"/>
        <v>243.28617710371751</v>
      </c>
      <c r="I32" s="25">
        <f t="shared" si="10"/>
        <v>196.84003657792792</v>
      </c>
      <c r="J32" s="25">
        <f t="shared" si="11"/>
        <v>5167.2478002071857</v>
      </c>
      <c r="K32" s="25"/>
    </row>
    <row r="33" spans="2:11" x14ac:dyDescent="0.25">
      <c r="B33" s="14" t="s">
        <v>1045</v>
      </c>
      <c r="C33" s="25">
        <v>26.251000000000001</v>
      </c>
      <c r="D33" s="94">
        <v>31.59</v>
      </c>
      <c r="E33" s="27">
        <v>680</v>
      </c>
      <c r="F33" s="25">
        <f t="shared" si="8"/>
        <v>4.6455882352941173E-2</v>
      </c>
      <c r="G33" s="23"/>
      <c r="H33" s="25">
        <f t="shared" si="9"/>
        <v>1.2114211998844215</v>
      </c>
      <c r="I33" s="25">
        <f t="shared" si="10"/>
        <v>26.076809620810597</v>
      </c>
      <c r="J33" s="25">
        <f t="shared" si="11"/>
        <v>684.54232935589903</v>
      </c>
      <c r="K33" s="25"/>
    </row>
    <row r="34" spans="2:11" x14ac:dyDescent="0.25">
      <c r="B34" s="14" t="s">
        <v>1079</v>
      </c>
      <c r="C34" s="25">
        <v>26.251000000000001</v>
      </c>
      <c r="D34" s="94">
        <v>4085.75</v>
      </c>
      <c r="E34" s="27">
        <v>101711</v>
      </c>
      <c r="F34" s="25">
        <f t="shared" si="8"/>
        <v>4.0170188081918377E-2</v>
      </c>
      <c r="G34" s="23"/>
      <c r="H34" s="25">
        <f t="shared" si="9"/>
        <v>12.811141477467885</v>
      </c>
      <c r="I34" s="25">
        <f t="shared" si="10"/>
        <v>318.92162046496628</v>
      </c>
      <c r="J34" s="25">
        <f t="shared" si="11"/>
        <v>8372.0114588258311</v>
      </c>
      <c r="K34" s="25"/>
    </row>
    <row r="35" spans="2:11" x14ac:dyDescent="0.25">
      <c r="B35" s="14" t="s">
        <v>1042</v>
      </c>
      <c r="C35" s="25">
        <v>16.509</v>
      </c>
      <c r="D35" s="94">
        <v>20398.009999999998</v>
      </c>
      <c r="E35" s="27">
        <v>561571</v>
      </c>
      <c r="F35" s="25">
        <f t="shared" si="8"/>
        <v>3.6323118537103946E-2</v>
      </c>
      <c r="G35" s="23"/>
      <c r="H35" s="25">
        <f t="shared" si="9"/>
        <v>27.219833488672037</v>
      </c>
      <c r="I35" s="25">
        <f t="shared" si="10"/>
        <v>749.38041073943214</v>
      </c>
      <c r="J35" s="25">
        <f t="shared" si="11"/>
        <v>12371.521200897285</v>
      </c>
      <c r="K35" s="25"/>
    </row>
    <row r="36" spans="2:11" x14ac:dyDescent="0.25">
      <c r="B36" s="14" t="s">
        <v>1080</v>
      </c>
      <c r="C36" s="25">
        <v>16.509</v>
      </c>
      <c r="D36" s="94">
        <v>55.78</v>
      </c>
      <c r="E36" s="27">
        <v>1200</v>
      </c>
      <c r="F36" s="25">
        <f t="shared" si="8"/>
        <v>4.6483333333333335E-2</v>
      </c>
      <c r="G36" s="23"/>
      <c r="H36" s="25">
        <f t="shared" si="9"/>
        <v>1.6102299007698664</v>
      </c>
      <c r="I36" s="25">
        <f t="shared" si="10"/>
        <v>34.641016151377549</v>
      </c>
      <c r="J36" s="25">
        <f t="shared" si="11"/>
        <v>571.88853564309193</v>
      </c>
      <c r="K36" s="25"/>
    </row>
    <row r="37" spans="2:11" x14ac:dyDescent="0.25">
      <c r="B37" s="14" t="s">
        <v>1081</v>
      </c>
      <c r="C37" s="25">
        <v>336</v>
      </c>
      <c r="D37" s="94">
        <v>32078.62</v>
      </c>
      <c r="E37" s="27">
        <v>360000</v>
      </c>
      <c r="F37" s="25">
        <f t="shared" ref="F37" si="12">D37/E37</f>
        <v>8.9107277777777771E-2</v>
      </c>
      <c r="G37" s="23"/>
      <c r="H37" s="25">
        <f t="shared" ref="H37" si="13">F37*E37^0.5</f>
        <v>53.464366666666663</v>
      </c>
      <c r="I37" s="25">
        <f t="shared" ref="I37" si="14">E37^0.5</f>
        <v>600</v>
      </c>
      <c r="J37" s="25">
        <f t="shared" ref="J37" si="15">C37*E37^0.5</f>
        <v>201600</v>
      </c>
      <c r="K37" s="25"/>
    </row>
    <row r="38" spans="2:11" x14ac:dyDescent="0.25">
      <c r="B38" s="18" t="s">
        <v>856</v>
      </c>
      <c r="C38" s="125"/>
      <c r="D38" s="238">
        <f>SUM(D8:D37)</f>
        <v>10454043.060000001</v>
      </c>
      <c r="E38" s="108">
        <f>SUM(E8:E37)</f>
        <v>36464599</v>
      </c>
    </row>
    <row r="40" spans="2:11" x14ac:dyDescent="0.25">
      <c r="B40" s="234" t="s">
        <v>960</v>
      </c>
      <c r="H40" s="259" t="s">
        <v>961</v>
      </c>
      <c r="I40" s="259"/>
    </row>
    <row r="42" spans="2:11" x14ac:dyDescent="0.25">
      <c r="B42" s="14" t="s">
        <v>962</v>
      </c>
      <c r="D42" s="72">
        <f>H42</f>
        <v>2.2500925149758467E-3</v>
      </c>
      <c r="H42" s="72">
        <f t="array" ref="H42:I44">LINEST(H8:H37,I8:J37,FALSE,TRUE)</f>
        <v>2.2500925149758467E-3</v>
      </c>
      <c r="I42" s="72">
        <v>0.1165573977615936</v>
      </c>
    </row>
    <row r="43" spans="2:11" x14ac:dyDescent="0.25">
      <c r="B43" s="14" t="s">
        <v>963</v>
      </c>
      <c r="D43" s="72">
        <f>I42</f>
        <v>0.1165573977615936</v>
      </c>
      <c r="H43" s="72">
        <v>5.6715105313621668E-4</v>
      </c>
      <c r="I43" s="72">
        <v>5.9182174705111827E-2</v>
      </c>
    </row>
    <row r="44" spans="2:11" x14ac:dyDescent="0.25">
      <c r="B44" s="14" t="s">
        <v>964</v>
      </c>
      <c r="D44" s="107">
        <f>H44</f>
        <v>0.69939851878293136</v>
      </c>
      <c r="H44" s="72">
        <v>0.69939851878293136</v>
      </c>
      <c r="I44" s="72">
        <v>246.2951915010961</v>
      </c>
    </row>
    <row r="45" spans="2:11" x14ac:dyDescent="0.25">
      <c r="H45" s="72"/>
      <c r="I45" s="72"/>
    </row>
    <row r="46" spans="2:11" x14ac:dyDescent="0.25">
      <c r="B46" s="19" t="s">
        <v>965</v>
      </c>
      <c r="C46" s="131"/>
    </row>
    <row r="47" spans="2:11" x14ac:dyDescent="0.25">
      <c r="C47" s="131"/>
      <c r="H47" s="93"/>
      <c r="I47" s="93"/>
    </row>
    <row r="48" spans="2:11" x14ac:dyDescent="0.25">
      <c r="B48" s="14" t="s">
        <v>966</v>
      </c>
      <c r="C48" s="131"/>
      <c r="D48" s="23">
        <f>E38</f>
        <v>36464599</v>
      </c>
    </row>
    <row r="49" spans="1:15" x14ac:dyDescent="0.25">
      <c r="B49" s="14" t="s">
        <v>967</v>
      </c>
      <c r="C49" s="131"/>
      <c r="D49" s="94">
        <f>D43</f>
        <v>0.1165573977615936</v>
      </c>
      <c r="E49" s="20"/>
      <c r="F49" s="21"/>
    </row>
    <row r="50" spans="1:15" x14ac:dyDescent="0.25">
      <c r="B50" s="14" t="s">
        <v>968</v>
      </c>
      <c r="C50" s="131"/>
      <c r="D50" s="239">
        <f>MIN(F8:F37)</f>
        <v>3.6323118537103946E-2</v>
      </c>
    </row>
    <row r="51" spans="1:15" x14ac:dyDescent="0.25">
      <c r="B51" s="14" t="s">
        <v>969</v>
      </c>
      <c r="C51" s="131"/>
      <c r="D51" s="244" t="s">
        <v>976</v>
      </c>
    </row>
    <row r="52" spans="1:15" x14ac:dyDescent="0.25">
      <c r="B52" s="14" t="s">
        <v>970</v>
      </c>
      <c r="C52" s="131"/>
      <c r="D52" s="40">
        <f>IF(D51="Z",D48*D49,D48*D50)</f>
        <v>4250218.7698600078</v>
      </c>
    </row>
    <row r="53" spans="1:15" x14ac:dyDescent="0.25">
      <c r="B53" s="14" t="s">
        <v>971</v>
      </c>
      <c r="C53" s="131"/>
      <c r="D53" s="40">
        <f>D38</f>
        <v>10454043.060000001</v>
      </c>
    </row>
    <row r="54" spans="1:15" x14ac:dyDescent="0.25">
      <c r="B54" s="14" t="s">
        <v>972</v>
      </c>
      <c r="C54" s="131"/>
      <c r="D54" s="240">
        <f>D52/D53</f>
        <v>0.40656220234279461</v>
      </c>
    </row>
    <row r="55" spans="1:15" x14ac:dyDescent="0.25">
      <c r="B55" s="14" t="s">
        <v>973</v>
      </c>
      <c r="C55" s="131"/>
      <c r="D55" s="241">
        <f>D54</f>
        <v>0.40656220234279461</v>
      </c>
    </row>
    <row r="56" spans="1:15" x14ac:dyDescent="0.25">
      <c r="B56" s="14" t="s">
        <v>974</v>
      </c>
      <c r="C56" s="131"/>
      <c r="D56" s="242">
        <f>1-D55</f>
        <v>0.59343779765720539</v>
      </c>
    </row>
    <row r="58" spans="1:15" x14ac:dyDescent="0.25">
      <c r="C58" s="21"/>
      <c r="F58" s="21"/>
    </row>
    <row r="59" spans="1:15" x14ac:dyDescent="0.25">
      <c r="A59" s="13" t="s">
        <v>977</v>
      </c>
      <c r="B59" s="15"/>
      <c r="O59" s="25"/>
    </row>
    <row r="60" spans="1:15" x14ac:dyDescent="0.25">
      <c r="F60" s="33" t="s">
        <v>950</v>
      </c>
      <c r="I60" s="33" t="s">
        <v>951</v>
      </c>
    </row>
    <row r="61" spans="1:15" x14ac:dyDescent="0.25">
      <c r="C61" s="139"/>
      <c r="D61" s="33"/>
      <c r="E61" s="35"/>
      <c r="F61" s="33" t="s">
        <v>952</v>
      </c>
      <c r="H61" s="33"/>
      <c r="I61" s="33"/>
      <c r="J61" s="33"/>
      <c r="K61" s="33"/>
    </row>
    <row r="62" spans="1:15" x14ac:dyDescent="0.25">
      <c r="B62" s="234" t="s">
        <v>6</v>
      </c>
      <c r="C62" s="235" t="s">
        <v>953</v>
      </c>
      <c r="D62" s="91" t="s">
        <v>954</v>
      </c>
      <c r="E62" s="236" t="s">
        <v>955</v>
      </c>
      <c r="F62" s="91" t="s">
        <v>956</v>
      </c>
      <c r="H62" s="237" t="s">
        <v>957</v>
      </c>
      <c r="I62" s="237" t="s">
        <v>958</v>
      </c>
      <c r="J62" s="237" t="s">
        <v>959</v>
      </c>
      <c r="K62" s="16"/>
    </row>
    <row r="63" spans="1:15" x14ac:dyDescent="0.25">
      <c r="B63" s="14" t="s">
        <v>1083</v>
      </c>
      <c r="C63" s="25">
        <v>105.53</v>
      </c>
      <c r="D63" s="94">
        <v>365651.67</v>
      </c>
      <c r="E63" s="27">
        <v>68252</v>
      </c>
      <c r="F63" s="25">
        <f t="shared" ref="F63:F71" si="16">D63/E63</f>
        <v>5.3573766336517608</v>
      </c>
      <c r="G63" s="23"/>
      <c r="H63" s="25">
        <f t="shared" ref="H63:H71" si="17">F63*E63^0.5</f>
        <v>1399.6191313760128</v>
      </c>
      <c r="I63" s="25">
        <f t="shared" ref="I63:I71" si="18">E63^0.5</f>
        <v>261.25083731923235</v>
      </c>
      <c r="J63" s="25">
        <f t="shared" ref="J63:J71" si="19">C63*E63^0.5</f>
        <v>27569.800862298591</v>
      </c>
      <c r="K63" s="25"/>
    </row>
    <row r="64" spans="1:15" x14ac:dyDescent="0.25">
      <c r="B64" s="14" t="s">
        <v>1084</v>
      </c>
      <c r="C64" s="25">
        <v>66.369</v>
      </c>
      <c r="D64" s="94">
        <v>22416.3</v>
      </c>
      <c r="E64" s="27">
        <v>37266</v>
      </c>
      <c r="F64" s="25">
        <f t="shared" ref="F64:F69" si="20">D64/E64</f>
        <v>0.60152149412332956</v>
      </c>
      <c r="G64" s="23"/>
      <c r="H64" s="25">
        <f t="shared" ref="H64:H69" si="21">F64*E64^0.5</f>
        <v>116.12013722312247</v>
      </c>
      <c r="I64" s="25">
        <f t="shared" ref="I64:I69" si="22">E64^0.5</f>
        <v>193.04403642692515</v>
      </c>
      <c r="J64" s="25">
        <f t="shared" ref="J64:J69" si="23">C64*E64^0.5</f>
        <v>12812.139653618595</v>
      </c>
      <c r="K64" s="25"/>
    </row>
    <row r="65" spans="2:11" x14ac:dyDescent="0.25">
      <c r="B65" s="14" t="s">
        <v>1085</v>
      </c>
      <c r="C65" s="25">
        <v>66.369</v>
      </c>
      <c r="D65" s="94">
        <v>728.19</v>
      </c>
      <c r="E65" s="27">
        <v>3390</v>
      </c>
      <c r="F65" s="25">
        <f t="shared" ref="F65:F68" si="24">D65/E65</f>
        <v>0.21480530973451328</v>
      </c>
      <c r="G65" s="23"/>
      <c r="H65" s="25">
        <f t="shared" ref="H65:H68" si="25">F65*E65^0.5</f>
        <v>12.506761311209837</v>
      </c>
      <c r="I65" s="25">
        <f t="shared" ref="I65:I68" si="26">E65^0.5</f>
        <v>58.223706512038547</v>
      </c>
      <c r="J65" s="25">
        <f t="shared" ref="J65:J68" si="27">C65*E65^0.5</f>
        <v>3864.2491774974865</v>
      </c>
      <c r="K65" s="25"/>
    </row>
    <row r="66" spans="2:11" x14ac:dyDescent="0.25">
      <c r="B66" s="14" t="s">
        <v>1069</v>
      </c>
      <c r="C66" s="25">
        <v>133.072</v>
      </c>
      <c r="D66" s="94">
        <v>5492.01</v>
      </c>
      <c r="E66" s="27">
        <v>12018</v>
      </c>
      <c r="F66" s="25">
        <f t="shared" si="24"/>
        <v>0.45698202695956069</v>
      </c>
      <c r="G66" s="23"/>
      <c r="H66" s="25">
        <f t="shared" si="25"/>
        <v>50.097403743928453</v>
      </c>
      <c r="I66" s="25">
        <f t="shared" si="26"/>
        <v>109.62663909835054</v>
      </c>
      <c r="J66" s="25">
        <f t="shared" si="27"/>
        <v>14588.236118095703</v>
      </c>
      <c r="K66" s="25"/>
    </row>
    <row r="67" spans="2:11" x14ac:dyDescent="0.25">
      <c r="B67" s="14" t="s">
        <v>1086</v>
      </c>
      <c r="C67" s="25">
        <v>133.072</v>
      </c>
      <c r="D67" s="94">
        <v>574.4</v>
      </c>
      <c r="E67" s="27">
        <v>2483</v>
      </c>
      <c r="F67" s="25">
        <f t="shared" si="24"/>
        <v>0.23133306484091823</v>
      </c>
      <c r="G67" s="23"/>
      <c r="H67" s="25">
        <f t="shared" si="25"/>
        <v>11.527259537488666</v>
      </c>
      <c r="I67" s="25">
        <f t="shared" si="26"/>
        <v>49.829710013203972</v>
      </c>
      <c r="J67" s="25">
        <f t="shared" si="27"/>
        <v>6630.9391708770791</v>
      </c>
      <c r="K67" s="25"/>
    </row>
    <row r="68" spans="2:11" x14ac:dyDescent="0.25">
      <c r="B68" s="14" t="s">
        <v>1087</v>
      </c>
      <c r="C68" s="25">
        <v>211.59200000000001</v>
      </c>
      <c r="D68" s="94">
        <v>197388.39</v>
      </c>
      <c r="E68" s="27">
        <v>14660</v>
      </c>
      <c r="F68" s="25">
        <f t="shared" si="24"/>
        <v>13.464419508867667</v>
      </c>
      <c r="G68" s="23"/>
      <c r="H68" s="25">
        <f t="shared" si="25"/>
        <v>1630.2515416769215</v>
      </c>
      <c r="I68" s="25">
        <f t="shared" si="26"/>
        <v>121.07848694132248</v>
      </c>
      <c r="J68" s="25">
        <f t="shared" si="27"/>
        <v>25619.23920888831</v>
      </c>
      <c r="K68" s="25"/>
    </row>
    <row r="69" spans="2:11" x14ac:dyDescent="0.25">
      <c r="B69" s="14" t="s">
        <v>1088</v>
      </c>
      <c r="C69" s="25">
        <v>211.59200000000001</v>
      </c>
      <c r="D69" s="94">
        <v>37182.949999999997</v>
      </c>
      <c r="E69" s="27">
        <v>22153</v>
      </c>
      <c r="F69" s="25">
        <f t="shared" si="20"/>
        <v>1.6784611565025052</v>
      </c>
      <c r="G69" s="23"/>
      <c r="H69" s="25">
        <f t="shared" si="21"/>
        <v>249.82020986936749</v>
      </c>
      <c r="I69" s="25">
        <f t="shared" si="22"/>
        <v>148.83883901724039</v>
      </c>
      <c r="J69" s="25">
        <f t="shared" si="23"/>
        <v>31493.107625335932</v>
      </c>
      <c r="K69" s="25"/>
    </row>
    <row r="70" spans="2:11" x14ac:dyDescent="0.25">
      <c r="B70" s="14" t="s">
        <v>1089</v>
      </c>
      <c r="C70" s="25">
        <v>41.74</v>
      </c>
      <c r="D70" s="94">
        <v>17006.13</v>
      </c>
      <c r="E70" s="27">
        <v>12110</v>
      </c>
      <c r="F70" s="25">
        <f t="shared" si="16"/>
        <v>1.4043047068538399</v>
      </c>
      <c r="G70" s="23"/>
      <c r="H70" s="25">
        <f t="shared" si="17"/>
        <v>154.53733660306267</v>
      </c>
      <c r="I70" s="25">
        <f t="shared" si="18"/>
        <v>110.04544515789829</v>
      </c>
      <c r="J70" s="25">
        <f t="shared" si="19"/>
        <v>4593.2968808906744</v>
      </c>
      <c r="K70" s="25"/>
    </row>
    <row r="71" spans="2:11" x14ac:dyDescent="0.25">
      <c r="B71" s="14" t="s">
        <v>1090</v>
      </c>
      <c r="C71" s="25">
        <v>105.53</v>
      </c>
      <c r="D71" s="94">
        <v>3448789.04</v>
      </c>
      <c r="E71" s="27">
        <v>453447</v>
      </c>
      <c r="F71" s="25">
        <f t="shared" si="16"/>
        <v>7.6057158609495712</v>
      </c>
      <c r="G71" s="23"/>
      <c r="H71" s="25">
        <f t="shared" si="17"/>
        <v>5121.5729519940496</v>
      </c>
      <c r="I71" s="25">
        <f t="shared" si="18"/>
        <v>673.38473401169404</v>
      </c>
      <c r="J71" s="25">
        <f t="shared" si="19"/>
        <v>71062.290980254067</v>
      </c>
      <c r="K71" s="25"/>
    </row>
    <row r="72" spans="2:11" x14ac:dyDescent="0.25">
      <c r="B72" s="14" t="s">
        <v>1091</v>
      </c>
      <c r="C72" s="25">
        <v>26.251000000000001</v>
      </c>
      <c r="D72" s="94">
        <v>16930.37</v>
      </c>
      <c r="E72" s="27">
        <v>17100</v>
      </c>
      <c r="F72" s="25">
        <f t="shared" ref="F72" si="28">D72/E72</f>
        <v>0.99008011695906428</v>
      </c>
      <c r="G72" s="23"/>
      <c r="H72" s="25">
        <f t="shared" ref="H72" si="29">F72*E72^0.5</f>
        <v>129.46977527500476</v>
      </c>
      <c r="I72" s="25">
        <f t="shared" ref="I72" si="30">E72^0.5</f>
        <v>130.76696830622021</v>
      </c>
      <c r="J72" s="25">
        <f t="shared" ref="J72" si="31">C72*E72^0.5</f>
        <v>3432.7636850065869</v>
      </c>
      <c r="K72" s="25"/>
    </row>
    <row r="73" spans="2:11" x14ac:dyDescent="0.25">
      <c r="B73" s="14" t="s">
        <v>1092</v>
      </c>
      <c r="C73" s="25">
        <v>500</v>
      </c>
      <c r="D73" s="94">
        <v>73262.77</v>
      </c>
      <c r="E73" s="27">
        <v>13185</v>
      </c>
      <c r="F73" s="25">
        <f t="shared" ref="F73" si="32">D73/E73</f>
        <v>5.5565240803943876</v>
      </c>
      <c r="G73" s="23"/>
      <c r="H73" s="25">
        <f t="shared" ref="H73" si="33">F73*E73^0.5</f>
        <v>638.03318542329407</v>
      </c>
      <c r="I73" s="25">
        <f t="shared" ref="I73" si="34">E73^0.5</f>
        <v>114.82595525402782</v>
      </c>
      <c r="J73" s="25">
        <f t="shared" ref="J73" si="35">C73*E73^0.5</f>
        <v>57412.977627013912</v>
      </c>
      <c r="K73" s="25"/>
    </row>
    <row r="74" spans="2:11" x14ac:dyDescent="0.25">
      <c r="B74" s="18" t="s">
        <v>856</v>
      </c>
      <c r="C74" s="125"/>
      <c r="D74" s="238">
        <f>SUM(D63:D73)</f>
        <v>4185422.22</v>
      </c>
      <c r="E74" s="108">
        <f>SUM(E63:E73)</f>
        <v>656064</v>
      </c>
    </row>
    <row r="76" spans="2:11" x14ac:dyDescent="0.25">
      <c r="B76" s="234" t="s">
        <v>960</v>
      </c>
      <c r="H76" s="259" t="s">
        <v>961</v>
      </c>
      <c r="I76" s="259"/>
    </row>
    <row r="78" spans="2:11" x14ac:dyDescent="0.25">
      <c r="B78" s="14" t="s">
        <v>962</v>
      </c>
      <c r="D78" s="72">
        <f>H78</f>
        <v>5.1832513152506908E-3</v>
      </c>
      <c r="H78" s="72">
        <f t="array" ref="H78:I80">LINEST(H63:H73,I63:J73,FALSE,TRUE)</f>
        <v>5.1832513152506908E-3</v>
      </c>
      <c r="I78" s="72">
        <v>5.7869042115859886</v>
      </c>
    </row>
    <row r="79" spans="2:11" x14ac:dyDescent="0.25">
      <c r="B79" s="14" t="s">
        <v>963</v>
      </c>
      <c r="D79" s="72">
        <f>I78</f>
        <v>5.7869042115859886</v>
      </c>
      <c r="H79" s="72">
        <v>1.3903122020542565E-2</v>
      </c>
      <c r="I79" s="72">
        <v>1.8184265420813415</v>
      </c>
    </row>
    <row r="80" spans="2:11" x14ac:dyDescent="0.25">
      <c r="B80" s="14" t="s">
        <v>964</v>
      </c>
      <c r="D80" s="107">
        <f>H80</f>
        <v>0.85334054990577246</v>
      </c>
      <c r="E80" s="243"/>
      <c r="H80" s="72">
        <v>0.85334054990577246</v>
      </c>
      <c r="I80" s="72">
        <v>715.01616196798068</v>
      </c>
    </row>
    <row r="81" spans="1:13" x14ac:dyDescent="0.25">
      <c r="H81" s="72"/>
      <c r="I81" s="72"/>
    </row>
    <row r="82" spans="1:13" x14ac:dyDescent="0.25">
      <c r="B82" s="19" t="s">
        <v>965</v>
      </c>
      <c r="C82" s="131"/>
    </row>
    <row r="83" spans="1:13" x14ac:dyDescent="0.25">
      <c r="C83" s="131"/>
    </row>
    <row r="84" spans="1:13" x14ac:dyDescent="0.25">
      <c r="B84" s="14" t="s">
        <v>966</v>
      </c>
      <c r="C84" s="131"/>
      <c r="D84" s="23">
        <f>E74</f>
        <v>656064</v>
      </c>
      <c r="I84" s="93"/>
    </row>
    <row r="85" spans="1:13" x14ac:dyDescent="0.25">
      <c r="B85" s="14" t="s">
        <v>967</v>
      </c>
      <c r="C85" s="131"/>
      <c r="D85" s="94">
        <f>D79</f>
        <v>5.7869042115859886</v>
      </c>
      <c r="E85" s="20"/>
      <c r="F85" s="21"/>
    </row>
    <row r="86" spans="1:13" x14ac:dyDescent="0.25">
      <c r="B86" s="14" t="s">
        <v>968</v>
      </c>
      <c r="C86" s="131"/>
      <c r="D86" s="94">
        <f>MIN(F63:F73)</f>
        <v>0.21480530973451328</v>
      </c>
    </row>
    <row r="87" spans="1:13" x14ac:dyDescent="0.25">
      <c r="B87" s="14" t="s">
        <v>969</v>
      </c>
      <c r="C87" s="131"/>
      <c r="D87" s="244" t="s">
        <v>976</v>
      </c>
    </row>
    <row r="88" spans="1:13" x14ac:dyDescent="0.25">
      <c r="B88" s="14" t="s">
        <v>970</v>
      </c>
      <c r="C88" s="131"/>
      <c r="D88" s="40">
        <f>IF(D87="Z",D84*D85,D84*D86)</f>
        <v>3796579.5246699499</v>
      </c>
    </row>
    <row r="89" spans="1:13" x14ac:dyDescent="0.25">
      <c r="B89" s="14" t="s">
        <v>971</v>
      </c>
      <c r="C89" s="131"/>
      <c r="D89" s="40">
        <f>D74</f>
        <v>4185422.22</v>
      </c>
    </row>
    <row r="90" spans="1:13" x14ac:dyDescent="0.25">
      <c r="B90" s="14" t="s">
        <v>972</v>
      </c>
      <c r="C90" s="131"/>
      <c r="D90" s="240">
        <f>D88/D89</f>
        <v>0.9070959451899574</v>
      </c>
    </row>
    <row r="91" spans="1:13" x14ac:dyDescent="0.25">
      <c r="B91" s="14" t="s">
        <v>973</v>
      </c>
      <c r="C91" s="131"/>
      <c r="D91" s="241">
        <f>D90</f>
        <v>0.9070959451899574</v>
      </c>
    </row>
    <row r="92" spans="1:13" x14ac:dyDescent="0.25">
      <c r="B92" s="14" t="s">
        <v>974</v>
      </c>
      <c r="C92" s="131"/>
      <c r="D92" s="242">
        <f>1-D91</f>
        <v>9.2904054810042602E-2</v>
      </c>
    </row>
    <row r="95" spans="1:13" x14ac:dyDescent="0.25">
      <c r="A95" s="13" t="s">
        <v>978</v>
      </c>
      <c r="B95" s="15"/>
    </row>
    <row r="96" spans="1:13" x14ac:dyDescent="0.25">
      <c r="F96" s="33" t="s">
        <v>950</v>
      </c>
      <c r="I96" s="33" t="s">
        <v>951</v>
      </c>
      <c r="L96" s="260" t="s">
        <v>1049</v>
      </c>
      <c r="M96" s="260"/>
    </row>
    <row r="97" spans="2:13" x14ac:dyDescent="0.25">
      <c r="D97" s="33"/>
      <c r="E97" s="35"/>
      <c r="F97" s="33" t="s">
        <v>952</v>
      </c>
      <c r="H97" s="33"/>
      <c r="I97" s="33"/>
      <c r="J97" s="33"/>
      <c r="K97" s="33"/>
    </row>
    <row r="98" spans="2:13" x14ac:dyDescent="0.25">
      <c r="B98" s="234" t="s">
        <v>6</v>
      </c>
      <c r="C98" s="235" t="s">
        <v>953</v>
      </c>
      <c r="D98" s="91" t="s">
        <v>954</v>
      </c>
      <c r="E98" s="236" t="s">
        <v>955</v>
      </c>
      <c r="F98" s="91" t="s">
        <v>956</v>
      </c>
      <c r="H98" s="237" t="s">
        <v>957</v>
      </c>
      <c r="I98" s="237" t="s">
        <v>958</v>
      </c>
      <c r="J98" s="237" t="s">
        <v>959</v>
      </c>
      <c r="K98" s="16"/>
      <c r="L98" s="236" t="s">
        <v>979</v>
      </c>
      <c r="M98" s="245" t="s">
        <v>980</v>
      </c>
    </row>
    <row r="99" spans="2:13" x14ac:dyDescent="0.25">
      <c r="B99" s="14" t="s">
        <v>1093</v>
      </c>
      <c r="C99" s="25">
        <v>1.5</v>
      </c>
      <c r="D99" s="94">
        <v>2127.79</v>
      </c>
      <c r="E99" s="27">
        <v>40</v>
      </c>
      <c r="F99" s="25">
        <f t="shared" ref="F99:F140" si="36">D99/E99</f>
        <v>53.194749999999999</v>
      </c>
      <c r="G99" s="23"/>
      <c r="H99" s="25">
        <f t="shared" ref="H99:H126" si="37">F99*E99^0.5</f>
        <v>336.43313912648381</v>
      </c>
      <c r="I99" s="25">
        <f t="shared" ref="I99:I126" si="38">E99^0.5</f>
        <v>6.324555320336759</v>
      </c>
      <c r="J99" s="25">
        <f t="shared" ref="J99:J126" si="39">C99*E99^0.5</f>
        <v>9.4868329805051381</v>
      </c>
      <c r="K99" s="25"/>
      <c r="L99" s="21">
        <f t="shared" ref="L99" si="40">IF(C99&gt;50,0,1)</f>
        <v>1</v>
      </c>
      <c r="M99" s="23">
        <f t="shared" ref="M99:M126" si="41">L99*E99</f>
        <v>40</v>
      </c>
    </row>
    <row r="100" spans="2:13" x14ac:dyDescent="0.25">
      <c r="B100" s="14" t="s">
        <v>1094</v>
      </c>
      <c r="C100" s="25">
        <v>1.5</v>
      </c>
      <c r="D100" s="94">
        <v>9376.3799999999992</v>
      </c>
      <c r="E100" s="27">
        <v>59</v>
      </c>
      <c r="F100" s="25">
        <f t="shared" ref="F100:F119" si="42">D100/E100</f>
        <v>158.92169491525422</v>
      </c>
      <c r="G100" s="23"/>
      <c r="H100" s="25">
        <f t="shared" ref="H100:H119" si="43">F100*E100^0.5</f>
        <v>1220.7007011423771</v>
      </c>
      <c r="I100" s="25">
        <f t="shared" ref="I100:I119" si="44">E100^0.5</f>
        <v>7.6811457478686078</v>
      </c>
      <c r="J100" s="25">
        <f t="shared" ref="J100:J119" si="45">C100*E100^0.5</f>
        <v>11.521718621802911</v>
      </c>
      <c r="K100" s="25"/>
      <c r="L100" s="21">
        <f t="shared" ref="L100:L140" si="46">IF(C100&gt;50,0,1)</f>
        <v>1</v>
      </c>
      <c r="M100" s="23">
        <f t="shared" ref="M100:M119" si="47">L100*E100</f>
        <v>59</v>
      </c>
    </row>
    <row r="101" spans="2:13" x14ac:dyDescent="0.25">
      <c r="B101" s="14" t="s">
        <v>1095</v>
      </c>
      <c r="C101" s="25">
        <v>10</v>
      </c>
      <c r="D101" s="94">
        <v>128588.7</v>
      </c>
      <c r="E101" s="27">
        <v>312</v>
      </c>
      <c r="F101" s="25">
        <f t="shared" si="42"/>
        <v>412.14326923076925</v>
      </c>
      <c r="G101" s="23"/>
      <c r="H101" s="25">
        <f t="shared" si="43"/>
        <v>7279.90159302546</v>
      </c>
      <c r="I101" s="25">
        <f t="shared" si="44"/>
        <v>17.663521732655695</v>
      </c>
      <c r="J101" s="25">
        <f t="shared" si="45"/>
        <v>176.63521732655695</v>
      </c>
      <c r="K101" s="25"/>
      <c r="L101" s="21">
        <f t="shared" si="46"/>
        <v>1</v>
      </c>
      <c r="M101" s="23">
        <f t="shared" si="47"/>
        <v>312</v>
      </c>
    </row>
    <row r="102" spans="2:13" x14ac:dyDescent="0.25">
      <c r="B102" s="14" t="s">
        <v>1096</v>
      </c>
      <c r="C102" s="25">
        <v>10</v>
      </c>
      <c r="D102" s="94">
        <v>2860299.24</v>
      </c>
      <c r="E102" s="27">
        <v>6873</v>
      </c>
      <c r="F102" s="25">
        <f t="shared" si="42"/>
        <v>416.16459188127459</v>
      </c>
      <c r="G102" s="23"/>
      <c r="H102" s="25">
        <f t="shared" si="43"/>
        <v>34501.525558631751</v>
      </c>
      <c r="I102" s="25">
        <f t="shared" si="44"/>
        <v>82.903558427850371</v>
      </c>
      <c r="J102" s="25">
        <f t="shared" si="45"/>
        <v>829.03558427850373</v>
      </c>
      <c r="K102" s="25"/>
      <c r="L102" s="21">
        <f t="shared" si="46"/>
        <v>1</v>
      </c>
      <c r="M102" s="23">
        <f t="shared" si="47"/>
        <v>6873</v>
      </c>
    </row>
    <row r="103" spans="2:13" x14ac:dyDescent="0.25">
      <c r="B103" s="14" t="s">
        <v>1097</v>
      </c>
      <c r="C103" s="25">
        <v>10</v>
      </c>
      <c r="D103" s="94">
        <v>8327.43</v>
      </c>
      <c r="E103" s="27">
        <v>4</v>
      </c>
      <c r="F103" s="25">
        <f t="shared" si="42"/>
        <v>2081.8575000000001</v>
      </c>
      <c r="G103" s="23"/>
      <c r="H103" s="25">
        <f t="shared" si="43"/>
        <v>4163.7150000000001</v>
      </c>
      <c r="I103" s="25">
        <f t="shared" si="44"/>
        <v>2</v>
      </c>
      <c r="J103" s="25">
        <f t="shared" si="45"/>
        <v>20</v>
      </c>
      <c r="K103" s="25"/>
      <c r="L103" s="21">
        <f t="shared" si="46"/>
        <v>1</v>
      </c>
      <c r="M103" s="23">
        <f t="shared" si="47"/>
        <v>4</v>
      </c>
    </row>
    <row r="104" spans="2:13" x14ac:dyDescent="0.25">
      <c r="B104" s="14" t="s">
        <v>1098</v>
      </c>
      <c r="C104" s="25">
        <v>100</v>
      </c>
      <c r="D104" s="94">
        <v>84377.53</v>
      </c>
      <c r="E104" s="27">
        <v>29</v>
      </c>
      <c r="F104" s="25">
        <f t="shared" ref="F104:F116" si="48">D104/E104</f>
        <v>2909.57</v>
      </c>
      <c r="G104" s="23"/>
      <c r="H104" s="25">
        <f t="shared" ref="H104:H116" si="49">F104*E104^0.5</f>
        <v>15668.51396789434</v>
      </c>
      <c r="I104" s="25">
        <f t="shared" ref="I104:I116" si="50">E104^0.5</f>
        <v>5.3851648071345037</v>
      </c>
      <c r="J104" s="25">
        <f t="shared" ref="J104:J116" si="51">C104*E104^0.5</f>
        <v>538.51648071345039</v>
      </c>
      <c r="K104" s="25"/>
      <c r="L104" s="21">
        <f t="shared" ref="L104:L116" si="52">IF(C104&gt;50,0,1)</f>
        <v>0</v>
      </c>
      <c r="M104" s="23">
        <f t="shared" ref="M104:M116" si="53">L104*E104</f>
        <v>0</v>
      </c>
    </row>
    <row r="105" spans="2:13" x14ac:dyDescent="0.25">
      <c r="B105" s="14" t="s">
        <v>1099</v>
      </c>
      <c r="C105" s="25">
        <v>100</v>
      </c>
      <c r="D105" s="94">
        <v>259527.67999999999</v>
      </c>
      <c r="E105" s="27">
        <v>153</v>
      </c>
      <c r="F105" s="25">
        <f t="shared" si="48"/>
        <v>1696.2593464052288</v>
      </c>
      <c r="G105" s="23"/>
      <c r="H105" s="25">
        <f t="shared" si="49"/>
        <v>20981.569361009802</v>
      </c>
      <c r="I105" s="25">
        <f t="shared" si="50"/>
        <v>12.369316876852981</v>
      </c>
      <c r="J105" s="25">
        <f t="shared" si="51"/>
        <v>1236.9316876852981</v>
      </c>
      <c r="K105" s="25"/>
      <c r="L105" s="21">
        <f t="shared" si="52"/>
        <v>0</v>
      </c>
      <c r="M105" s="23">
        <f t="shared" si="53"/>
        <v>0</v>
      </c>
    </row>
    <row r="106" spans="2:13" x14ac:dyDescent="0.25">
      <c r="B106" s="14" t="s">
        <v>1100</v>
      </c>
      <c r="C106" s="25">
        <v>112.5</v>
      </c>
      <c r="D106" s="94">
        <v>32479</v>
      </c>
      <c r="E106" s="27">
        <v>6</v>
      </c>
      <c r="F106" s="25">
        <f t="shared" si="48"/>
        <v>5413.166666666667</v>
      </c>
      <c r="G106" s="23"/>
      <c r="H106" s="25">
        <f t="shared" si="49"/>
        <v>13259.496225975807</v>
      </c>
      <c r="I106" s="25">
        <f t="shared" si="50"/>
        <v>2.4494897427831779</v>
      </c>
      <c r="J106" s="25">
        <f t="shared" si="51"/>
        <v>275.56759606310749</v>
      </c>
      <c r="K106" s="25"/>
      <c r="L106" s="21">
        <f t="shared" si="52"/>
        <v>0</v>
      </c>
      <c r="M106" s="23">
        <f t="shared" si="53"/>
        <v>0</v>
      </c>
    </row>
    <row r="107" spans="2:13" x14ac:dyDescent="0.25">
      <c r="B107" s="14" t="s">
        <v>1101</v>
      </c>
      <c r="C107" s="25">
        <v>15</v>
      </c>
      <c r="D107" s="94">
        <v>166373.47</v>
      </c>
      <c r="E107" s="27">
        <v>297</v>
      </c>
      <c r="F107" s="25">
        <f t="shared" si="48"/>
        <v>560.18003367003371</v>
      </c>
      <c r="G107" s="23"/>
      <c r="H107" s="25">
        <f t="shared" si="49"/>
        <v>9653.9678902718733</v>
      </c>
      <c r="I107" s="25">
        <f t="shared" si="50"/>
        <v>17.233687939614086</v>
      </c>
      <c r="J107" s="25">
        <f t="shared" si="51"/>
        <v>258.5053190942113</v>
      </c>
      <c r="K107" s="25"/>
      <c r="L107" s="21">
        <f t="shared" si="52"/>
        <v>1</v>
      </c>
      <c r="M107" s="23">
        <f t="shared" si="53"/>
        <v>297</v>
      </c>
    </row>
    <row r="108" spans="2:13" x14ac:dyDescent="0.25">
      <c r="B108" s="14" t="s">
        <v>1102</v>
      </c>
      <c r="C108" s="25">
        <v>15</v>
      </c>
      <c r="D108" s="94">
        <v>5009008.3899999997</v>
      </c>
      <c r="E108" s="27">
        <v>9188</v>
      </c>
      <c r="F108" s="25">
        <f t="shared" si="48"/>
        <v>545.16852307357419</v>
      </c>
      <c r="G108" s="23"/>
      <c r="H108" s="25">
        <f t="shared" si="49"/>
        <v>52256.613993249142</v>
      </c>
      <c r="I108" s="25">
        <f t="shared" si="50"/>
        <v>95.854055730574075</v>
      </c>
      <c r="J108" s="25">
        <f t="shared" si="51"/>
        <v>1437.8108359586111</v>
      </c>
      <c r="K108" s="25"/>
      <c r="L108" s="21">
        <f t="shared" si="52"/>
        <v>1</v>
      </c>
      <c r="M108" s="23">
        <f t="shared" si="53"/>
        <v>9188</v>
      </c>
    </row>
    <row r="109" spans="2:13" x14ac:dyDescent="0.25">
      <c r="B109" s="14" t="s">
        <v>1103</v>
      </c>
      <c r="C109" s="25">
        <v>15</v>
      </c>
      <c r="D109" s="94">
        <v>184810.5</v>
      </c>
      <c r="E109" s="27">
        <v>100</v>
      </c>
      <c r="F109" s="25">
        <f t="shared" si="48"/>
        <v>1848.105</v>
      </c>
      <c r="G109" s="23"/>
      <c r="H109" s="25">
        <f t="shared" si="49"/>
        <v>18481.05</v>
      </c>
      <c r="I109" s="25">
        <f t="shared" si="50"/>
        <v>10</v>
      </c>
      <c r="J109" s="25">
        <f t="shared" si="51"/>
        <v>150</v>
      </c>
      <c r="K109" s="25"/>
      <c r="L109" s="21">
        <f t="shared" si="52"/>
        <v>1</v>
      </c>
      <c r="M109" s="23">
        <f t="shared" si="53"/>
        <v>100</v>
      </c>
    </row>
    <row r="110" spans="2:13" x14ac:dyDescent="0.25">
      <c r="B110" s="14" t="s">
        <v>1104</v>
      </c>
      <c r="C110" s="25">
        <v>150</v>
      </c>
      <c r="D110" s="94">
        <v>97316</v>
      </c>
      <c r="E110" s="27">
        <v>18</v>
      </c>
      <c r="F110" s="25">
        <f t="shared" si="48"/>
        <v>5406.4444444444443</v>
      </c>
      <c r="G110" s="23"/>
      <c r="H110" s="25">
        <f t="shared" si="49"/>
        <v>22937.601172650018</v>
      </c>
      <c r="I110" s="25">
        <f t="shared" si="50"/>
        <v>4.2426406871192848</v>
      </c>
      <c r="J110" s="25">
        <f t="shared" si="51"/>
        <v>636.39610306789268</v>
      </c>
      <c r="K110" s="25"/>
      <c r="L110" s="21">
        <f t="shared" si="52"/>
        <v>0</v>
      </c>
      <c r="M110" s="23">
        <f t="shared" si="53"/>
        <v>0</v>
      </c>
    </row>
    <row r="111" spans="2:13" x14ac:dyDescent="0.25">
      <c r="B111" s="14" t="s">
        <v>1105</v>
      </c>
      <c r="C111" s="25">
        <v>1500</v>
      </c>
      <c r="D111" s="94">
        <v>163611.5</v>
      </c>
      <c r="E111" s="27">
        <v>12</v>
      </c>
      <c r="F111" s="25">
        <f t="shared" si="48"/>
        <v>13634.291666666666</v>
      </c>
      <c r="G111" s="23"/>
      <c r="H111" s="25">
        <f t="shared" si="49"/>
        <v>47230.571783759224</v>
      </c>
      <c r="I111" s="25">
        <f t="shared" si="50"/>
        <v>3.4641016151377544</v>
      </c>
      <c r="J111" s="25">
        <f t="shared" si="51"/>
        <v>5196.152422706632</v>
      </c>
      <c r="K111" s="25"/>
      <c r="L111" s="21">
        <f t="shared" si="52"/>
        <v>0</v>
      </c>
      <c r="M111" s="23">
        <f t="shared" si="53"/>
        <v>0</v>
      </c>
    </row>
    <row r="112" spans="2:13" x14ac:dyDescent="0.25">
      <c r="B112" s="14" t="s">
        <v>1106</v>
      </c>
      <c r="C112" s="25">
        <v>167</v>
      </c>
      <c r="D112" s="94">
        <v>106697</v>
      </c>
      <c r="E112" s="27">
        <v>46</v>
      </c>
      <c r="F112" s="25">
        <f t="shared" si="48"/>
        <v>2319.5</v>
      </c>
      <c r="G112" s="23"/>
      <c r="H112" s="25">
        <f t="shared" si="49"/>
        <v>15731.61439585906</v>
      </c>
      <c r="I112" s="25">
        <f t="shared" si="50"/>
        <v>6.7823299831252681</v>
      </c>
      <c r="J112" s="25">
        <f t="shared" si="51"/>
        <v>1132.6491071819198</v>
      </c>
      <c r="K112" s="25"/>
      <c r="L112" s="21">
        <f t="shared" si="52"/>
        <v>0</v>
      </c>
      <c r="M112" s="23">
        <f t="shared" si="53"/>
        <v>0</v>
      </c>
    </row>
    <row r="113" spans="2:13" x14ac:dyDescent="0.25">
      <c r="B113" s="14" t="s">
        <v>1107</v>
      </c>
      <c r="C113" s="25">
        <v>25</v>
      </c>
      <c r="D113" s="94">
        <v>965661</v>
      </c>
      <c r="E113" s="27">
        <v>714</v>
      </c>
      <c r="F113" s="25">
        <f t="shared" si="48"/>
        <v>1352.4663865546217</v>
      </c>
      <c r="G113" s="23"/>
      <c r="H113" s="25">
        <f t="shared" si="49"/>
        <v>36138.954651549102</v>
      </c>
      <c r="I113" s="25">
        <f t="shared" si="50"/>
        <v>26.720778431774775</v>
      </c>
      <c r="J113" s="25">
        <f t="shared" si="51"/>
        <v>668.01946079436937</v>
      </c>
      <c r="K113" s="25"/>
      <c r="L113" s="21">
        <f t="shared" si="52"/>
        <v>1</v>
      </c>
      <c r="M113" s="23">
        <f t="shared" si="53"/>
        <v>714</v>
      </c>
    </row>
    <row r="114" spans="2:13" x14ac:dyDescent="0.25">
      <c r="B114" s="14" t="s">
        <v>1108</v>
      </c>
      <c r="C114" s="25">
        <v>25</v>
      </c>
      <c r="D114" s="94">
        <v>123444.61</v>
      </c>
      <c r="E114" s="27">
        <v>206</v>
      </c>
      <c r="F114" s="25">
        <f t="shared" si="48"/>
        <v>599.24567961165053</v>
      </c>
      <c r="G114" s="23"/>
      <c r="H114" s="25">
        <f t="shared" si="49"/>
        <v>8600.7935223353179</v>
      </c>
      <c r="I114" s="25">
        <f t="shared" si="50"/>
        <v>14.352700094407323</v>
      </c>
      <c r="J114" s="25">
        <f t="shared" si="51"/>
        <v>358.81750236018308</v>
      </c>
      <c r="K114" s="25"/>
      <c r="L114" s="21">
        <f t="shared" si="52"/>
        <v>1</v>
      </c>
      <c r="M114" s="23">
        <f t="shared" si="53"/>
        <v>206</v>
      </c>
    </row>
    <row r="115" spans="2:13" x14ac:dyDescent="0.25">
      <c r="B115" s="14" t="s">
        <v>1109</v>
      </c>
      <c r="C115" s="25">
        <v>25</v>
      </c>
      <c r="D115" s="94">
        <v>2361076.92</v>
      </c>
      <c r="E115" s="27">
        <v>3237</v>
      </c>
      <c r="F115" s="25">
        <f t="shared" si="48"/>
        <v>729.40281742354034</v>
      </c>
      <c r="G115" s="23"/>
      <c r="H115" s="25">
        <f t="shared" si="49"/>
        <v>41499.110323014094</v>
      </c>
      <c r="I115" s="25">
        <f t="shared" si="50"/>
        <v>56.894639466297704</v>
      </c>
      <c r="J115" s="25">
        <f t="shared" si="51"/>
        <v>1422.3659866574426</v>
      </c>
      <c r="K115" s="25"/>
      <c r="L115" s="21">
        <f t="shared" si="52"/>
        <v>1</v>
      </c>
      <c r="M115" s="23">
        <f t="shared" si="53"/>
        <v>3237</v>
      </c>
    </row>
    <row r="116" spans="2:13" x14ac:dyDescent="0.25">
      <c r="B116" s="14" t="s">
        <v>1110</v>
      </c>
      <c r="C116" s="25">
        <v>3</v>
      </c>
      <c r="D116" s="94">
        <v>2198.0100000000002</v>
      </c>
      <c r="E116" s="27">
        <v>32</v>
      </c>
      <c r="F116" s="25">
        <f t="shared" si="48"/>
        <v>68.687812500000007</v>
      </c>
      <c r="G116" s="23"/>
      <c r="H116" s="25">
        <f t="shared" si="49"/>
        <v>388.55694402896091</v>
      </c>
      <c r="I116" s="25">
        <f t="shared" si="50"/>
        <v>5.6568542494923806</v>
      </c>
      <c r="J116" s="25">
        <f t="shared" si="51"/>
        <v>16.970562748477143</v>
      </c>
      <c r="K116" s="25"/>
      <c r="L116" s="21">
        <f t="shared" si="52"/>
        <v>1</v>
      </c>
      <c r="M116" s="23">
        <f t="shared" si="53"/>
        <v>32</v>
      </c>
    </row>
    <row r="117" spans="2:13" x14ac:dyDescent="0.25">
      <c r="B117" s="14" t="s">
        <v>1111</v>
      </c>
      <c r="C117" s="25">
        <v>3</v>
      </c>
      <c r="D117" s="94">
        <v>29357.74</v>
      </c>
      <c r="E117" s="27">
        <v>271</v>
      </c>
      <c r="F117" s="25">
        <f t="shared" si="42"/>
        <v>108.33114391143911</v>
      </c>
      <c r="G117" s="23"/>
      <c r="H117" s="25">
        <f t="shared" si="43"/>
        <v>1783.3557011585247</v>
      </c>
      <c r="I117" s="25">
        <f t="shared" si="44"/>
        <v>16.46207763315433</v>
      </c>
      <c r="J117" s="25">
        <f t="shared" si="45"/>
        <v>49.386232899462989</v>
      </c>
      <c r="K117" s="25"/>
      <c r="L117" s="21">
        <f t="shared" si="46"/>
        <v>1</v>
      </c>
      <c r="M117" s="23">
        <f t="shared" si="47"/>
        <v>271</v>
      </c>
    </row>
    <row r="118" spans="2:13" x14ac:dyDescent="0.25">
      <c r="B118" s="14" t="s">
        <v>1112</v>
      </c>
      <c r="C118" s="25">
        <v>300</v>
      </c>
      <c r="D118" s="94">
        <v>129324.48</v>
      </c>
      <c r="E118" s="27">
        <v>24</v>
      </c>
      <c r="F118" s="25">
        <f t="shared" si="42"/>
        <v>5388.5199999999995</v>
      </c>
      <c r="G118" s="23"/>
      <c r="H118" s="25">
        <f t="shared" si="43"/>
        <v>26398.248937564018</v>
      </c>
      <c r="I118" s="25">
        <f t="shared" si="44"/>
        <v>4.8989794855663558</v>
      </c>
      <c r="J118" s="25">
        <f t="shared" si="45"/>
        <v>1469.6938456699068</v>
      </c>
      <c r="K118" s="25"/>
      <c r="L118" s="21">
        <f t="shared" si="46"/>
        <v>0</v>
      </c>
      <c r="M118" s="23">
        <f t="shared" si="47"/>
        <v>0</v>
      </c>
    </row>
    <row r="119" spans="2:13" x14ac:dyDescent="0.25">
      <c r="B119" s="14" t="s">
        <v>1113</v>
      </c>
      <c r="C119" s="25">
        <v>333</v>
      </c>
      <c r="D119" s="94">
        <v>30076.21</v>
      </c>
      <c r="E119" s="27">
        <v>10</v>
      </c>
      <c r="F119" s="25">
        <f t="shared" si="42"/>
        <v>3007.6210000000001</v>
      </c>
      <c r="G119" s="23"/>
      <c r="H119" s="25">
        <f t="shared" si="43"/>
        <v>9510.9326985532825</v>
      </c>
      <c r="I119" s="25">
        <f t="shared" si="44"/>
        <v>3.1622776601683795</v>
      </c>
      <c r="J119" s="25">
        <f t="shared" si="45"/>
        <v>1053.0384608360703</v>
      </c>
      <c r="K119" s="25"/>
      <c r="L119" s="21">
        <f t="shared" si="46"/>
        <v>0</v>
      </c>
      <c r="M119" s="23">
        <f t="shared" si="47"/>
        <v>0</v>
      </c>
    </row>
    <row r="120" spans="2:13" x14ac:dyDescent="0.25">
      <c r="B120" s="14" t="s">
        <v>1114</v>
      </c>
      <c r="C120" s="25">
        <v>37.5</v>
      </c>
      <c r="D120" s="94">
        <v>104845.85</v>
      </c>
      <c r="E120" s="27">
        <v>120</v>
      </c>
      <c r="F120" s="25">
        <f t="shared" si="36"/>
        <v>873.71541666666667</v>
      </c>
      <c r="G120" s="23"/>
      <c r="H120" s="25">
        <f t="shared" si="37"/>
        <v>9571.0728509671699</v>
      </c>
      <c r="I120" s="25">
        <f t="shared" si="38"/>
        <v>10.954451150103322</v>
      </c>
      <c r="J120" s="25">
        <f t="shared" si="39"/>
        <v>410.79191812887461</v>
      </c>
      <c r="K120" s="25"/>
      <c r="L120" s="21">
        <f t="shared" si="46"/>
        <v>1</v>
      </c>
      <c r="M120" s="23">
        <f t="shared" si="41"/>
        <v>120</v>
      </c>
    </row>
    <row r="121" spans="2:13" x14ac:dyDescent="0.25">
      <c r="B121" s="14" t="s">
        <v>1115</v>
      </c>
      <c r="C121" s="25">
        <v>37.5</v>
      </c>
      <c r="D121" s="94">
        <v>502319.41</v>
      </c>
      <c r="E121" s="27">
        <v>475</v>
      </c>
      <c r="F121" s="25">
        <f t="shared" ref="F121" si="54">D121/E121</f>
        <v>1057.5145473684211</v>
      </c>
      <c r="G121" s="23"/>
      <c r="H121" s="25">
        <f t="shared" ref="H121" si="55">F121*E121^0.5</f>
        <v>23047.995216515523</v>
      </c>
      <c r="I121" s="25">
        <f t="shared" ref="I121" si="56">E121^0.5</f>
        <v>21.794494717703369</v>
      </c>
      <c r="J121" s="25">
        <f t="shared" ref="J121" si="57">C121*E121^0.5</f>
        <v>817.29355191387629</v>
      </c>
      <c r="K121" s="25"/>
      <c r="L121" s="21">
        <f t="shared" ref="L121" si="58">IF(C121&gt;50,0,1)</f>
        <v>1</v>
      </c>
      <c r="M121" s="23">
        <f t="shared" ref="M121" si="59">L121*E121</f>
        <v>475</v>
      </c>
    </row>
    <row r="122" spans="2:13" x14ac:dyDescent="0.25">
      <c r="B122" s="14" t="s">
        <v>1134</v>
      </c>
      <c r="C122" s="25">
        <v>37.5</v>
      </c>
      <c r="D122" s="94">
        <v>246273.16</v>
      </c>
      <c r="E122" s="27">
        <v>160</v>
      </c>
      <c r="F122" s="25">
        <f t="shared" si="36"/>
        <v>1539.2072499999999</v>
      </c>
      <c r="G122" s="23"/>
      <c r="H122" s="25">
        <f t="shared" si="37"/>
        <v>19469.602804176822</v>
      </c>
      <c r="I122" s="25">
        <f t="shared" si="38"/>
        <v>12.649110640673518</v>
      </c>
      <c r="J122" s="25">
        <f t="shared" si="39"/>
        <v>474.34164902525691</v>
      </c>
      <c r="K122" s="25"/>
      <c r="L122" s="21">
        <f t="shared" si="46"/>
        <v>1</v>
      </c>
      <c r="M122" s="23">
        <f t="shared" si="41"/>
        <v>160</v>
      </c>
    </row>
    <row r="123" spans="2:13" x14ac:dyDescent="0.25">
      <c r="B123" s="14" t="s">
        <v>1116</v>
      </c>
      <c r="C123" s="25">
        <v>5</v>
      </c>
      <c r="D123" s="94">
        <v>23276.62</v>
      </c>
      <c r="E123" s="27">
        <v>120</v>
      </c>
      <c r="F123" s="25">
        <f t="shared" si="36"/>
        <v>193.97183333333334</v>
      </c>
      <c r="G123" s="23"/>
      <c r="H123" s="25">
        <f t="shared" si="37"/>
        <v>2124.8549727459831</v>
      </c>
      <c r="I123" s="25">
        <f t="shared" si="38"/>
        <v>10.954451150103322</v>
      </c>
      <c r="J123" s="25">
        <f t="shared" si="39"/>
        <v>54.772255750516614</v>
      </c>
      <c r="K123" s="25"/>
      <c r="L123" s="21">
        <f t="shared" si="46"/>
        <v>1</v>
      </c>
      <c r="M123" s="23">
        <f t="shared" si="41"/>
        <v>120</v>
      </c>
    </row>
    <row r="124" spans="2:13" x14ac:dyDescent="0.25">
      <c r="B124" s="14" t="s">
        <v>1117</v>
      </c>
      <c r="C124" s="25">
        <v>5</v>
      </c>
      <c r="D124" s="94">
        <v>37021.800000000003</v>
      </c>
      <c r="E124" s="27">
        <v>193</v>
      </c>
      <c r="F124" s="25">
        <f t="shared" si="36"/>
        <v>191.82279792746115</v>
      </c>
      <c r="G124" s="23"/>
      <c r="H124" s="25">
        <f t="shared" si="37"/>
        <v>2664.8874761068018</v>
      </c>
      <c r="I124" s="25">
        <f t="shared" si="38"/>
        <v>13.892443989449804</v>
      </c>
      <c r="J124" s="25">
        <f t="shared" si="39"/>
        <v>69.462219947249025</v>
      </c>
      <c r="K124" s="25"/>
      <c r="L124" s="21">
        <f t="shared" si="46"/>
        <v>1</v>
      </c>
      <c r="M124" s="23">
        <f t="shared" si="41"/>
        <v>193</v>
      </c>
    </row>
    <row r="125" spans="2:13" x14ac:dyDescent="0.25">
      <c r="B125" s="14" t="s">
        <v>1118</v>
      </c>
      <c r="C125" s="25">
        <v>50</v>
      </c>
      <c r="D125" s="94">
        <v>112301.58</v>
      </c>
      <c r="E125" s="27">
        <v>123</v>
      </c>
      <c r="F125" s="25">
        <f t="shared" si="36"/>
        <v>913.02097560975608</v>
      </c>
      <c r="G125" s="23"/>
      <c r="H125" s="25">
        <f t="shared" si="37"/>
        <v>10125.892461117543</v>
      </c>
      <c r="I125" s="25">
        <f t="shared" si="38"/>
        <v>11.090536506409418</v>
      </c>
      <c r="J125" s="25">
        <f t="shared" si="39"/>
        <v>554.52682532047083</v>
      </c>
      <c r="K125" s="25"/>
      <c r="L125" s="21">
        <f t="shared" si="46"/>
        <v>1</v>
      </c>
      <c r="M125" s="23">
        <f t="shared" si="41"/>
        <v>123</v>
      </c>
    </row>
    <row r="126" spans="2:13" x14ac:dyDescent="0.25">
      <c r="B126" s="14" t="s">
        <v>1119</v>
      </c>
      <c r="C126" s="25">
        <v>50</v>
      </c>
      <c r="D126" s="94">
        <v>212895.76</v>
      </c>
      <c r="E126" s="27">
        <v>208</v>
      </c>
      <c r="F126" s="25">
        <f t="shared" si="36"/>
        <v>1023.5373076923078</v>
      </c>
      <c r="G126" s="23"/>
      <c r="H126" s="25">
        <f t="shared" si="37"/>
        <v>14761.664980939911</v>
      </c>
      <c r="I126" s="25">
        <f t="shared" si="38"/>
        <v>14.422205101855956</v>
      </c>
      <c r="J126" s="25">
        <f t="shared" si="39"/>
        <v>721.11025509279784</v>
      </c>
      <c r="K126" s="25"/>
      <c r="L126" s="21">
        <f t="shared" si="46"/>
        <v>1</v>
      </c>
      <c r="M126" s="23">
        <f t="shared" si="41"/>
        <v>208</v>
      </c>
    </row>
    <row r="127" spans="2:13" x14ac:dyDescent="0.25">
      <c r="B127" s="14" t="s">
        <v>1120</v>
      </c>
      <c r="C127" s="25">
        <v>50</v>
      </c>
      <c r="D127" s="94">
        <v>59304.98</v>
      </c>
      <c r="E127" s="27">
        <v>42</v>
      </c>
      <c r="F127" s="25">
        <f t="shared" ref="F127:F139" si="60">D127/E127</f>
        <v>1412.0233333333333</v>
      </c>
      <c r="G127" s="23"/>
      <c r="H127" s="25">
        <f t="shared" ref="H127:H139" si="61">F127*E127^0.5</f>
        <v>9150.9570834348615</v>
      </c>
      <c r="I127" s="25">
        <f t="shared" ref="I127:I139" si="62">E127^0.5</f>
        <v>6.4807406984078604</v>
      </c>
      <c r="J127" s="25">
        <f t="shared" ref="J127:J139" si="63">C127*E127^0.5</f>
        <v>324.03703492039301</v>
      </c>
      <c r="K127" s="25"/>
      <c r="L127" s="21">
        <f t="shared" si="46"/>
        <v>1</v>
      </c>
      <c r="M127" s="23">
        <f t="shared" ref="M127:M139" si="64">L127*E127</f>
        <v>42</v>
      </c>
    </row>
    <row r="128" spans="2:13" x14ac:dyDescent="0.25">
      <c r="B128" s="14" t="s">
        <v>1121</v>
      </c>
      <c r="C128" s="25">
        <v>500</v>
      </c>
      <c r="D128" s="94">
        <v>47088.2</v>
      </c>
      <c r="E128" s="27">
        <v>15</v>
      </c>
      <c r="F128" s="25">
        <f t="shared" ref="F128:F138" si="65">D128/E128</f>
        <v>3139.2133333333331</v>
      </c>
      <c r="G128" s="23"/>
      <c r="H128" s="25">
        <f t="shared" ref="H128:H138" si="66">F128*E128^0.5</f>
        <v>12158.120960192273</v>
      </c>
      <c r="I128" s="25">
        <f t="shared" ref="I128:I138" si="67">E128^0.5</f>
        <v>3.872983346207417</v>
      </c>
      <c r="J128" s="25">
        <f t="shared" ref="J128:J138" si="68">C128*E128^0.5</f>
        <v>1936.4916731037085</v>
      </c>
      <c r="K128" s="25"/>
      <c r="L128" s="21">
        <f t="shared" si="46"/>
        <v>0</v>
      </c>
      <c r="M128" s="23">
        <f t="shared" ref="M128:M138" si="69">L128*E128</f>
        <v>0</v>
      </c>
    </row>
    <row r="129" spans="2:13" x14ac:dyDescent="0.25">
      <c r="B129" s="14" t="s">
        <v>1122</v>
      </c>
      <c r="C129" s="25">
        <v>7.5</v>
      </c>
      <c r="D129" s="94">
        <v>3235.08</v>
      </c>
      <c r="E129" s="27">
        <v>17</v>
      </c>
      <c r="F129" s="25">
        <f t="shared" si="65"/>
        <v>190.29882352941175</v>
      </c>
      <c r="G129" s="23"/>
      <c r="H129" s="25">
        <f t="shared" si="66"/>
        <v>784.62214984254001</v>
      </c>
      <c r="I129" s="25">
        <f t="shared" si="67"/>
        <v>4.1231056256176606</v>
      </c>
      <c r="J129" s="25">
        <f t="shared" si="68"/>
        <v>30.923292192132454</v>
      </c>
      <c r="K129" s="25"/>
      <c r="L129" s="21">
        <f t="shared" si="46"/>
        <v>1</v>
      </c>
      <c r="M129" s="23">
        <f t="shared" si="69"/>
        <v>17</v>
      </c>
    </row>
    <row r="130" spans="2:13" x14ac:dyDescent="0.25">
      <c r="B130" s="14" t="s">
        <v>1123</v>
      </c>
      <c r="C130" s="25">
        <v>75</v>
      </c>
      <c r="D130" s="94">
        <v>160661.9</v>
      </c>
      <c r="E130" s="27">
        <v>100</v>
      </c>
      <c r="F130" s="25">
        <f t="shared" si="65"/>
        <v>1606.6189999999999</v>
      </c>
      <c r="G130" s="23"/>
      <c r="H130" s="25">
        <f t="shared" si="66"/>
        <v>16066.189999999999</v>
      </c>
      <c r="I130" s="25">
        <f t="shared" si="67"/>
        <v>10</v>
      </c>
      <c r="J130" s="25">
        <f t="shared" si="68"/>
        <v>750</v>
      </c>
      <c r="K130" s="25"/>
      <c r="L130" s="21">
        <f t="shared" si="46"/>
        <v>0</v>
      </c>
      <c r="M130" s="23">
        <f t="shared" si="69"/>
        <v>0</v>
      </c>
    </row>
    <row r="131" spans="2:13" x14ac:dyDescent="0.25">
      <c r="B131" s="14" t="s">
        <v>1124</v>
      </c>
      <c r="C131" s="25">
        <v>75</v>
      </c>
      <c r="D131" s="94">
        <v>32493.82</v>
      </c>
      <c r="E131" s="27">
        <v>13</v>
      </c>
      <c r="F131" s="25">
        <f t="shared" si="65"/>
        <v>2499.5246153846156</v>
      </c>
      <c r="G131" s="23"/>
      <c r="H131" s="25">
        <f t="shared" si="66"/>
        <v>9012.1641650536367</v>
      </c>
      <c r="I131" s="25">
        <f t="shared" si="67"/>
        <v>3.6055512754639891</v>
      </c>
      <c r="J131" s="25">
        <f t="shared" si="68"/>
        <v>270.41634565979916</v>
      </c>
      <c r="K131" s="25"/>
      <c r="L131" s="21">
        <f t="shared" si="46"/>
        <v>0</v>
      </c>
      <c r="M131" s="23">
        <f t="shared" si="69"/>
        <v>0</v>
      </c>
    </row>
    <row r="132" spans="2:13" x14ac:dyDescent="0.25">
      <c r="B132" s="14" t="s">
        <v>1125</v>
      </c>
      <c r="C132" s="25">
        <v>75</v>
      </c>
      <c r="D132" s="94">
        <v>159562.06</v>
      </c>
      <c r="E132" s="27">
        <v>46</v>
      </c>
      <c r="F132" s="25">
        <f t="shared" si="65"/>
        <v>3468.7404347826086</v>
      </c>
      <c r="G132" s="23"/>
      <c r="H132" s="25">
        <f t="shared" si="66"/>
        <v>23526.142254505066</v>
      </c>
      <c r="I132" s="25">
        <f t="shared" si="67"/>
        <v>6.7823299831252681</v>
      </c>
      <c r="J132" s="25">
        <f t="shared" si="68"/>
        <v>508.67474873439511</v>
      </c>
      <c r="K132" s="25"/>
      <c r="L132" s="21">
        <f t="shared" ref="L132:L133" si="70">IF(C132&gt;50,0,1)</f>
        <v>0</v>
      </c>
      <c r="M132" s="23">
        <f t="shared" si="69"/>
        <v>0</v>
      </c>
    </row>
    <row r="133" spans="2:13" x14ac:dyDescent="0.25">
      <c r="B133" s="14" t="s">
        <v>1126</v>
      </c>
      <c r="C133" s="25">
        <v>225</v>
      </c>
      <c r="D133" s="94">
        <v>60860</v>
      </c>
      <c r="E133" s="27">
        <v>7</v>
      </c>
      <c r="F133" s="25">
        <f t="shared" si="65"/>
        <v>8694.2857142857138</v>
      </c>
      <c r="G133" s="23"/>
      <c r="H133" s="25">
        <f t="shared" si="66"/>
        <v>23002.917827341567</v>
      </c>
      <c r="I133" s="25">
        <f t="shared" si="67"/>
        <v>2.6457513110645907</v>
      </c>
      <c r="J133" s="25">
        <f t="shared" si="68"/>
        <v>595.29404498953295</v>
      </c>
      <c r="K133" s="25"/>
      <c r="L133" s="21">
        <f t="shared" si="70"/>
        <v>0</v>
      </c>
      <c r="M133" s="23">
        <f t="shared" si="69"/>
        <v>0</v>
      </c>
    </row>
    <row r="134" spans="2:13" x14ac:dyDescent="0.25">
      <c r="B134" s="14" t="s">
        <v>1127</v>
      </c>
      <c r="C134" s="25">
        <v>1000</v>
      </c>
      <c r="D134" s="94">
        <v>31658.639999999999</v>
      </c>
      <c r="E134" s="27">
        <v>2</v>
      </c>
      <c r="F134" s="25">
        <f t="shared" ref="F134:F135" si="71">D134/E134</f>
        <v>15829.32</v>
      </c>
      <c r="G134" s="23"/>
      <c r="H134" s="25">
        <f t="shared" ref="H134:H135" si="72">F134*E134^0.5</f>
        <v>22386.039027143681</v>
      </c>
      <c r="I134" s="25">
        <f t="shared" ref="I134:I135" si="73">E134^0.5</f>
        <v>1.4142135623730951</v>
      </c>
      <c r="J134" s="25">
        <f t="shared" ref="J134:J135" si="74">C134*E134^0.5</f>
        <v>1414.2135623730951</v>
      </c>
      <c r="K134" s="25"/>
      <c r="L134" s="21">
        <f t="shared" si="46"/>
        <v>0</v>
      </c>
      <c r="M134" s="23">
        <f t="shared" ref="M134:M135" si="75">L134*E134</f>
        <v>0</v>
      </c>
    </row>
    <row r="135" spans="2:13" x14ac:dyDescent="0.25">
      <c r="B135" s="14" t="s">
        <v>1128</v>
      </c>
      <c r="C135" s="25">
        <v>750</v>
      </c>
      <c r="D135" s="94">
        <v>139054.73000000001</v>
      </c>
      <c r="E135" s="27">
        <v>13</v>
      </c>
      <c r="F135" s="25">
        <f t="shared" si="71"/>
        <v>10696.517692307692</v>
      </c>
      <c r="G135" s="23"/>
      <c r="H135" s="25">
        <f t="shared" si="72"/>
        <v>38566.843008523123</v>
      </c>
      <c r="I135" s="25">
        <f t="shared" si="73"/>
        <v>3.6055512754639891</v>
      </c>
      <c r="J135" s="25">
        <f t="shared" si="74"/>
        <v>2704.1634565979916</v>
      </c>
      <c r="K135" s="25"/>
      <c r="L135" s="21">
        <f t="shared" ref="L135" si="76">IF(C135&gt;50,0,1)</f>
        <v>0</v>
      </c>
      <c r="M135" s="23">
        <f t="shared" si="75"/>
        <v>0</v>
      </c>
    </row>
    <row r="136" spans="2:13" x14ac:dyDescent="0.25">
      <c r="B136" s="14" t="s">
        <v>1130</v>
      </c>
      <c r="C136" s="25">
        <v>500</v>
      </c>
      <c r="D136" s="94">
        <v>36016</v>
      </c>
      <c r="E136" s="27">
        <v>5</v>
      </c>
      <c r="F136" s="25">
        <f t="shared" si="65"/>
        <v>7203.2</v>
      </c>
      <c r="G136" s="23"/>
      <c r="H136" s="25">
        <f t="shared" si="66"/>
        <v>16106.844855526486</v>
      </c>
      <c r="I136" s="25">
        <f t="shared" si="67"/>
        <v>2.2360679774997898</v>
      </c>
      <c r="J136" s="25">
        <f t="shared" si="68"/>
        <v>1118.0339887498949</v>
      </c>
      <c r="K136" s="25"/>
      <c r="L136" s="21">
        <f t="shared" ref="L136:L138" si="77">IF(C136&gt;50,0,1)</f>
        <v>0</v>
      </c>
      <c r="M136" s="23">
        <f t="shared" si="69"/>
        <v>0</v>
      </c>
    </row>
    <row r="137" spans="2:13" x14ac:dyDescent="0.25">
      <c r="B137" s="14" t="s">
        <v>1129</v>
      </c>
      <c r="C137" s="25">
        <v>1000</v>
      </c>
      <c r="D137" s="94">
        <v>47926.14</v>
      </c>
      <c r="E137" s="27">
        <v>4</v>
      </c>
      <c r="F137" s="25">
        <f t="shared" si="65"/>
        <v>11981.535</v>
      </c>
      <c r="G137" s="23"/>
      <c r="H137" s="25">
        <f t="shared" si="66"/>
        <v>23963.07</v>
      </c>
      <c r="I137" s="25">
        <f t="shared" si="67"/>
        <v>2</v>
      </c>
      <c r="J137" s="25">
        <f t="shared" si="68"/>
        <v>2000</v>
      </c>
      <c r="K137" s="25"/>
      <c r="L137" s="21">
        <f t="shared" si="77"/>
        <v>0</v>
      </c>
      <c r="M137" s="23">
        <f t="shared" si="69"/>
        <v>0</v>
      </c>
    </row>
    <row r="138" spans="2:13" x14ac:dyDescent="0.25">
      <c r="B138" s="14" t="s">
        <v>1133</v>
      </c>
      <c r="C138" s="25">
        <v>1500</v>
      </c>
      <c r="D138" s="94">
        <v>39724.83</v>
      </c>
      <c r="E138" s="27">
        <v>2</v>
      </c>
      <c r="F138" s="25">
        <f t="shared" si="65"/>
        <v>19862.415000000001</v>
      </c>
      <c r="G138" s="23"/>
      <c r="H138" s="25">
        <f t="shared" si="66"/>
        <v>28089.696674482802</v>
      </c>
      <c r="I138" s="25">
        <f t="shared" si="67"/>
        <v>1.4142135623730951</v>
      </c>
      <c r="J138" s="25">
        <f t="shared" si="68"/>
        <v>2121.3203435596429</v>
      </c>
      <c r="K138" s="25"/>
      <c r="L138" s="21">
        <f t="shared" si="77"/>
        <v>0</v>
      </c>
      <c r="M138" s="23">
        <f t="shared" si="69"/>
        <v>0</v>
      </c>
    </row>
    <row r="139" spans="2:13" x14ac:dyDescent="0.25">
      <c r="B139" s="14" t="s">
        <v>1131</v>
      </c>
      <c r="C139" s="25">
        <v>2500</v>
      </c>
      <c r="D139" s="94">
        <v>94920.4</v>
      </c>
      <c r="E139" s="27">
        <v>3</v>
      </c>
      <c r="F139" s="25">
        <f t="shared" si="60"/>
        <v>31640.133333333331</v>
      </c>
      <c r="G139" s="23"/>
      <c r="H139" s="25">
        <f t="shared" si="61"/>
        <v>54802.31849158695</v>
      </c>
      <c r="I139" s="25">
        <f t="shared" si="62"/>
        <v>1.7320508075688772</v>
      </c>
      <c r="J139" s="25">
        <f t="shared" si="63"/>
        <v>4330.1270189221932</v>
      </c>
      <c r="K139" s="25"/>
      <c r="L139" s="21">
        <f t="shared" si="46"/>
        <v>0</v>
      </c>
      <c r="M139" s="23">
        <f t="shared" si="64"/>
        <v>0</v>
      </c>
    </row>
    <row r="140" spans="2:13" x14ac:dyDescent="0.25">
      <c r="B140" s="14" t="s">
        <v>1132</v>
      </c>
      <c r="C140" s="25">
        <v>167</v>
      </c>
      <c r="D140" s="94">
        <v>4666</v>
      </c>
      <c r="E140" s="27">
        <v>1</v>
      </c>
      <c r="F140" s="25">
        <f t="shared" si="36"/>
        <v>4666</v>
      </c>
      <c r="G140" s="23"/>
      <c r="H140" s="25">
        <f t="shared" ref="H140" si="78">F140*E140^0.5</f>
        <v>4666</v>
      </c>
      <c r="I140" s="25">
        <f t="shared" ref="I140" si="79">E140^0.5</f>
        <v>1</v>
      </c>
      <c r="J140" s="25">
        <f t="shared" ref="J140" si="80">C140*E140^0.5</f>
        <v>167</v>
      </c>
      <c r="K140" s="25"/>
      <c r="L140" s="21">
        <f t="shared" si="46"/>
        <v>0</v>
      </c>
      <c r="M140" s="23">
        <f t="shared" ref="M140" si="81">L140*E140</f>
        <v>0</v>
      </c>
    </row>
    <row r="141" spans="2:13" x14ac:dyDescent="0.25">
      <c r="B141" s="18" t="s">
        <v>856</v>
      </c>
      <c r="C141" s="125"/>
      <c r="D141" s="238">
        <f>SUM(D99:D140)</f>
        <v>14910166.540000003</v>
      </c>
      <c r="E141" s="108">
        <f>SUM(E99:E140)</f>
        <v>23300</v>
      </c>
      <c r="M141" s="108">
        <f>SUM(M99:M140)</f>
        <v>22791</v>
      </c>
    </row>
    <row r="143" spans="2:13" x14ac:dyDescent="0.25">
      <c r="B143" s="234" t="s">
        <v>960</v>
      </c>
      <c r="H143" s="259" t="s">
        <v>961</v>
      </c>
      <c r="I143" s="259"/>
    </row>
    <row r="145" spans="2:9" x14ac:dyDescent="0.25">
      <c r="B145" s="14" t="s">
        <v>962</v>
      </c>
      <c r="D145" s="72">
        <f>H145</f>
        <v>11.705811481365842</v>
      </c>
      <c r="H145" s="72">
        <f t="array" ref="H145:I147">LINEST(H99:H140,I99:J140,FALSE,TRUE)</f>
        <v>11.705811481365842</v>
      </c>
      <c r="I145" s="72">
        <v>400.27546676454364</v>
      </c>
    </row>
    <row r="146" spans="2:9" x14ac:dyDescent="0.25">
      <c r="B146" s="14" t="s">
        <v>963</v>
      </c>
      <c r="D146" s="72">
        <f>I145</f>
        <v>400.27546676454364</v>
      </c>
      <c r="H146" s="72">
        <v>0.83477297184000976</v>
      </c>
      <c r="I146" s="72">
        <v>50.173321140287122</v>
      </c>
    </row>
    <row r="147" spans="2:9" x14ac:dyDescent="0.25">
      <c r="B147" s="14" t="s">
        <v>964</v>
      </c>
      <c r="D147" s="107">
        <f>H147</f>
        <v>0.90491069430466364</v>
      </c>
      <c r="H147" s="72">
        <v>0.90491069430466364</v>
      </c>
      <c r="I147" s="72">
        <v>7200.6609277725111</v>
      </c>
    </row>
    <row r="148" spans="2:9" x14ac:dyDescent="0.25">
      <c r="H148" s="72"/>
      <c r="I148" s="72"/>
    </row>
    <row r="149" spans="2:9" x14ac:dyDescent="0.25">
      <c r="B149" s="19" t="s">
        <v>965</v>
      </c>
      <c r="C149" s="131"/>
    </row>
    <row r="150" spans="2:9" x14ac:dyDescent="0.25">
      <c r="C150" s="131"/>
      <c r="F150" s="22"/>
    </row>
    <row r="151" spans="2:9" x14ac:dyDescent="0.25">
      <c r="B151" s="14" t="s">
        <v>966</v>
      </c>
      <c r="C151" s="246"/>
      <c r="D151" s="23">
        <f>IF(D154="M",E141,M141)</f>
        <v>22791</v>
      </c>
      <c r="F151" s="22" t="s">
        <v>981</v>
      </c>
    </row>
    <row r="152" spans="2:9" x14ac:dyDescent="0.25">
      <c r="B152" s="14" t="s">
        <v>967</v>
      </c>
      <c r="C152" s="131"/>
      <c r="D152" s="94">
        <f>D146</f>
        <v>400.27546676454364</v>
      </c>
      <c r="E152" s="20"/>
      <c r="F152" s="22" t="s">
        <v>982</v>
      </c>
    </row>
    <row r="153" spans="2:9" x14ac:dyDescent="0.25">
      <c r="B153" s="14" t="s">
        <v>968</v>
      </c>
      <c r="C153" s="131"/>
      <c r="D153" s="94">
        <f>MIN(F99:F140)</f>
        <v>53.194749999999999</v>
      </c>
      <c r="F153" s="14" t="s">
        <v>1050</v>
      </c>
    </row>
    <row r="154" spans="2:9" x14ac:dyDescent="0.25">
      <c r="B154" s="14" t="s">
        <v>969</v>
      </c>
      <c r="C154" s="131"/>
      <c r="D154" s="244" t="s">
        <v>976</v>
      </c>
    </row>
    <row r="155" spans="2:9" x14ac:dyDescent="0.25">
      <c r="B155" s="14" t="s">
        <v>970</v>
      </c>
      <c r="C155" s="131"/>
      <c r="D155" s="40">
        <f>IF(D154="Z",D151*D152,D151*D153)</f>
        <v>9122678.1630307138</v>
      </c>
    </row>
    <row r="156" spans="2:9" x14ac:dyDescent="0.25">
      <c r="B156" s="14" t="s">
        <v>971</v>
      </c>
      <c r="C156" s="131"/>
      <c r="D156" s="40">
        <f>D141</f>
        <v>14910166.540000003</v>
      </c>
    </row>
    <row r="157" spans="2:9" x14ac:dyDescent="0.25">
      <c r="B157" s="14" t="s">
        <v>972</v>
      </c>
      <c r="C157" s="131"/>
      <c r="D157" s="240">
        <f>D155/D156</f>
        <v>0.61184280796307677</v>
      </c>
    </row>
    <row r="158" spans="2:9" x14ac:dyDescent="0.25">
      <c r="B158" s="14" t="s">
        <v>973</v>
      </c>
      <c r="C158" s="131"/>
      <c r="D158" s="241">
        <f>D157</f>
        <v>0.61184280796307677</v>
      </c>
    </row>
    <row r="159" spans="2:9" x14ac:dyDescent="0.25">
      <c r="B159" s="14" t="s">
        <v>974</v>
      </c>
      <c r="C159" s="131"/>
      <c r="D159" s="242">
        <f>1-D158</f>
        <v>0.38815719203692323</v>
      </c>
    </row>
    <row r="163" spans="1:15" x14ac:dyDescent="0.25">
      <c r="A163" s="13"/>
      <c r="H163" s="21"/>
    </row>
    <row r="164" spans="1:15" x14ac:dyDescent="0.25">
      <c r="A164" s="13"/>
      <c r="B164" s="247" t="s">
        <v>983</v>
      </c>
      <c r="C164" s="37" t="s">
        <v>984</v>
      </c>
      <c r="D164" s="248" t="s">
        <v>10</v>
      </c>
      <c r="E164" s="248" t="s">
        <v>12</v>
      </c>
      <c r="H164" s="37" t="s">
        <v>1020</v>
      </c>
    </row>
    <row r="165" spans="1:15" x14ac:dyDescent="0.25">
      <c r="B165" s="14" t="s">
        <v>200</v>
      </c>
      <c r="C165" s="21">
        <v>365</v>
      </c>
      <c r="D165" s="107">
        <f>D56</f>
        <v>0.59343779765720539</v>
      </c>
      <c r="E165" s="107">
        <f>D55</f>
        <v>0.40656220234279461</v>
      </c>
      <c r="H165" s="249" t="str">
        <f>D51</f>
        <v>Z</v>
      </c>
      <c r="M165" s="25"/>
    </row>
    <row r="166" spans="1:15" x14ac:dyDescent="0.25">
      <c r="B166" s="14" t="s">
        <v>201</v>
      </c>
      <c r="C166" s="21">
        <v>367</v>
      </c>
      <c r="D166" s="107">
        <f>D92</f>
        <v>9.2904054810042602E-2</v>
      </c>
      <c r="E166" s="107">
        <f>D91</f>
        <v>0.9070959451899574</v>
      </c>
      <c r="H166" s="249" t="str">
        <f>D87</f>
        <v>Z</v>
      </c>
      <c r="M166" s="25"/>
    </row>
    <row r="167" spans="1:15" x14ac:dyDescent="0.25">
      <c r="B167" s="14" t="s">
        <v>202</v>
      </c>
      <c r="C167" s="21">
        <v>368</v>
      </c>
      <c r="D167" s="107">
        <f>D159</f>
        <v>0.38815719203692323</v>
      </c>
      <c r="E167" s="107">
        <f>D158</f>
        <v>0.61184280796307677</v>
      </c>
      <c r="H167" s="249" t="str">
        <f>D154</f>
        <v>Z</v>
      </c>
      <c r="M167" s="25"/>
    </row>
    <row r="168" spans="1:15" x14ac:dyDescent="0.25">
      <c r="M168" s="51"/>
      <c r="N168" s="51"/>
      <c r="O168" s="51"/>
    </row>
    <row r="169" spans="1:15" x14ac:dyDescent="0.25">
      <c r="D169" s="107"/>
      <c r="E169" s="107"/>
    </row>
    <row r="170" spans="1:15" x14ac:dyDescent="0.25">
      <c r="D170" s="107"/>
      <c r="E170" s="107"/>
    </row>
    <row r="171" spans="1:15" x14ac:dyDescent="0.25">
      <c r="D171" s="107"/>
      <c r="E171" s="107"/>
    </row>
    <row r="172" spans="1:15" x14ac:dyDescent="0.25">
      <c r="D172" s="107"/>
      <c r="E172" s="107"/>
    </row>
  </sheetData>
  <mergeCells count="4">
    <mergeCell ref="H40:I40"/>
    <mergeCell ref="H76:I76"/>
    <mergeCell ref="L96:M96"/>
    <mergeCell ref="H143:I143"/>
  </mergeCells>
  <pageMargins left="0.7" right="0.7" top="0.75" bottom="0.75" header="0.3" footer="0.3"/>
  <pageSetup scale="62" fitToHeight="3" orientation="landscape" r:id="rId1"/>
  <headerFooter>
    <oddFooter>&amp;RExhibit JW-8
Page &amp;P of &amp;N</oddFooter>
  </headerFooter>
  <rowBreaks count="3" manualBreakCount="3">
    <brk id="57" max="12" man="1"/>
    <brk id="93" max="12" man="1"/>
    <brk id="147" max="12" man="1"/>
  </rowBreaks>
  <ignoredErrors>
    <ignoredError sqref="D146 D43 D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'Purchased Power'!Print_Titles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2023-07-14T19:13:12Z</cp:lastPrinted>
  <dcterms:created xsi:type="dcterms:W3CDTF">1999-02-10T22:20:33Z</dcterms:created>
  <dcterms:modified xsi:type="dcterms:W3CDTF">2023-09-14T16:29:11Z</dcterms:modified>
</cp:coreProperties>
</file>