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Taylor/2021 COS ^0 Rates 2023-00147/COSS ^0 Rates/"/>
    </mc:Choice>
  </mc:AlternateContent>
  <xr:revisionPtr revIDLastSave="1" documentId="14_{C9F7DBB4-4567-4EC6-89B4-9923DCC17579}" xr6:coauthVersionLast="47" xr6:coauthVersionMax="47" xr10:uidLastSave="{9736F134-F097-45A5-A702-C0BB375C91A9}"/>
  <bookViews>
    <workbookView xWindow="-108" yWindow="-108" windowWidth="23256" windowHeight="12456" tabRatio="741" xr2:uid="{00000000-000D-0000-FFFF-FFFF00000000}"/>
  </bookViews>
  <sheets>
    <sheet name="Present and Proposed Rates" sheetId="61" r:id="rId1"/>
    <sheet name="A" sheetId="80" r:id="rId2"/>
    <sheet name="R1" sheetId="81" r:id="rId3"/>
    <sheet name="GP1" sheetId="82" r:id="rId4"/>
    <sheet name="GP2" sheetId="84" r:id="rId5"/>
    <sheet name="B1" sheetId="92" r:id="rId6"/>
    <sheet name="SL" sheetId="43" r:id="rId7"/>
    <sheet name="Act-vs-Calc" sheetId="13" r:id="rId8"/>
    <sheet name="ResIncr" sheetId="79" r:id="rId9"/>
    <sheet name="Notice-Full" sheetId="90" r:id="rId10"/>
    <sheet name="List" sheetId="73" state="hidden" r:id="rId11"/>
    <sheet name="Billings" sheetId="89" state="hidden" r:id="rId12"/>
  </sheets>
  <externalReferences>
    <externalReference r:id="rId13"/>
  </externalReferences>
  <definedNames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1">A!$A$1:$S$28</definedName>
    <definedName name="_xlnm.Print_Area" localSheetId="7">'Act-vs-Calc'!$A$1:$I$19</definedName>
    <definedName name="_xlnm.Print_Area" localSheetId="5">'B1'!$A$1:$S$37</definedName>
    <definedName name="_xlnm.Print_Area" localSheetId="3">'GP1'!$A$1:$S$30</definedName>
    <definedName name="_xlnm.Print_Area" localSheetId="4">'GP2'!$A$1:$S$33</definedName>
    <definedName name="_xlnm.Print_Area" localSheetId="10">List!$A$1:$C$15</definedName>
    <definedName name="_xlnm.Print_Area" localSheetId="9">'Notice-Full'!$A$1:$G$58</definedName>
    <definedName name="_xlnm.Print_Area" localSheetId="0">'Present and Proposed Rates'!$A$1:$Q$39</definedName>
    <definedName name="_xlnm.Print_Area" localSheetId="2">'R1'!$A$1:$S$30</definedName>
    <definedName name="_xlnm.Print_Area" localSheetId="8">ResIncr!$A$1:$K$41</definedName>
    <definedName name="_xlnm.Print_Area" localSheetId="6">SL!$A$1:$Q$39</definedName>
    <definedName name="_xlnm.Print_Titles" localSheetId="8">ResIncr!$1:$1</definedName>
    <definedName name="ProducerPayoutFlag">#REF!</definedName>
    <definedName name="ProjectCapitalCost">#REF!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1" l="1"/>
  <c r="H15" i="61"/>
  <c r="D38" i="92" l="1"/>
  <c r="D34" i="84"/>
  <c r="D31" i="82"/>
  <c r="D31" i="81"/>
  <c r="D29" i="80"/>
  <c r="B24" i="90" l="1"/>
  <c r="B19" i="90"/>
  <c r="B15" i="90"/>
  <c r="B12" i="90"/>
  <c r="B10" i="90"/>
  <c r="B7" i="90"/>
  <c r="E55" i="90" l="1"/>
  <c r="D52" i="90"/>
  <c r="D53" i="90"/>
  <c r="D54" i="90"/>
  <c r="D55" i="90"/>
  <c r="D56" i="90"/>
  <c r="C52" i="90"/>
  <c r="C53" i="90"/>
  <c r="C54" i="90"/>
  <c r="C55" i="90"/>
  <c r="C56" i="90"/>
  <c r="F43" i="90"/>
  <c r="F44" i="90"/>
  <c r="F45" i="90"/>
  <c r="E45" i="90"/>
  <c r="E44" i="90"/>
  <c r="E43" i="90"/>
  <c r="D41" i="90"/>
  <c r="D42" i="90"/>
  <c r="D43" i="90"/>
  <c r="D44" i="90"/>
  <c r="D45" i="90"/>
  <c r="C41" i="90"/>
  <c r="C42" i="90"/>
  <c r="C43" i="90"/>
  <c r="C44" i="90"/>
  <c r="C45" i="90"/>
  <c r="F20" i="90"/>
  <c r="F21" i="90"/>
  <c r="F22" i="90"/>
  <c r="F23" i="90"/>
  <c r="E21" i="90"/>
  <c r="E22" i="90"/>
  <c r="E23" i="90"/>
  <c r="E20" i="90"/>
  <c r="E26" i="90"/>
  <c r="F26" i="90"/>
  <c r="E27" i="90"/>
  <c r="F27" i="90"/>
  <c r="E28" i="90"/>
  <c r="F28" i="90"/>
  <c r="E29" i="90"/>
  <c r="F29" i="90"/>
  <c r="E30" i="90"/>
  <c r="F30" i="90"/>
  <c r="E31" i="90"/>
  <c r="F31" i="90"/>
  <c r="E32" i="90"/>
  <c r="F32" i="90"/>
  <c r="E33" i="90"/>
  <c r="F33" i="90"/>
  <c r="F25" i="90"/>
  <c r="E25" i="90"/>
  <c r="D26" i="90"/>
  <c r="D27" i="90"/>
  <c r="D28" i="90"/>
  <c r="D29" i="90"/>
  <c r="D30" i="90"/>
  <c r="D31" i="90"/>
  <c r="D32" i="90"/>
  <c r="D33" i="90"/>
  <c r="D25" i="90"/>
  <c r="A2" i="43"/>
  <c r="C7" i="90"/>
  <c r="G35" i="84"/>
  <c r="G33" i="82"/>
  <c r="G30" i="80"/>
  <c r="H12" i="61" l="1"/>
  <c r="H17" i="61"/>
  <c r="H18" i="61" l="1"/>
  <c r="W10" i="61"/>
  <c r="W8" i="61"/>
  <c r="W11" i="61" l="1"/>
  <c r="V15" i="61"/>
  <c r="W12" i="61"/>
  <c r="W14" i="61"/>
  <c r="M19" i="84"/>
  <c r="N26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N13" i="43"/>
  <c r="O13" i="43"/>
  <c r="N14" i="43"/>
  <c r="O14" i="43"/>
  <c r="N15" i="43"/>
  <c r="O15" i="43"/>
  <c r="N16" i="43"/>
  <c r="O16" i="43"/>
  <c r="N17" i="43"/>
  <c r="O17" i="43"/>
  <c r="N18" i="43"/>
  <c r="O18" i="43"/>
  <c r="N19" i="43"/>
  <c r="O19" i="43"/>
  <c r="N20" i="43"/>
  <c r="O20" i="43"/>
  <c r="N21" i="43"/>
  <c r="O21" i="43"/>
  <c r="N22" i="43"/>
  <c r="O22" i="43"/>
  <c r="N23" i="43"/>
  <c r="O23" i="43"/>
  <c r="N24" i="43"/>
  <c r="O24" i="43"/>
  <c r="O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H13" i="43"/>
  <c r="H14" i="43"/>
  <c r="H15" i="43"/>
  <c r="H16" i="43"/>
  <c r="H17" i="43"/>
  <c r="H18" i="43"/>
  <c r="H19" i="43"/>
  <c r="H20" i="43"/>
  <c r="H21" i="43"/>
  <c r="H22" i="43"/>
  <c r="H23" i="43"/>
  <c r="H24" i="43"/>
  <c r="H14" i="61" l="1"/>
  <c r="A12" i="13"/>
  <c r="A13" i="13"/>
  <c r="B12" i="13"/>
  <c r="B13" i="13"/>
  <c r="Q24" i="92" l="1"/>
  <c r="Q20" i="92"/>
  <c r="M23" i="92"/>
  <c r="M19" i="92"/>
  <c r="M15" i="92"/>
  <c r="M11" i="92"/>
  <c r="P24" i="92"/>
  <c r="P20" i="92"/>
  <c r="I24" i="92"/>
  <c r="I25" i="92" s="1"/>
  <c r="J25" i="92" s="1"/>
  <c r="E24" i="92"/>
  <c r="I20" i="92"/>
  <c r="I21" i="92" s="1"/>
  <c r="J21" i="92" s="1"/>
  <c r="E20" i="92"/>
  <c r="D20" i="92"/>
  <c r="D13" i="92"/>
  <c r="D12" i="92"/>
  <c r="P12" i="92" s="1"/>
  <c r="D17" i="92"/>
  <c r="D16" i="92"/>
  <c r="C11" i="13" s="1"/>
  <c r="P20" i="84"/>
  <c r="P12" i="84"/>
  <c r="D21" i="84"/>
  <c r="D20" i="84"/>
  <c r="D17" i="84"/>
  <c r="D16" i="84"/>
  <c r="C10" i="13" s="1"/>
  <c r="D13" i="84"/>
  <c r="D12" i="84"/>
  <c r="D17" i="82"/>
  <c r="D16" i="82"/>
  <c r="P16" i="82" s="1"/>
  <c r="D13" i="82"/>
  <c r="D12" i="82"/>
  <c r="P12" i="82" s="1"/>
  <c r="D16" i="81"/>
  <c r="D17" i="81"/>
  <c r="D13" i="81"/>
  <c r="D12" i="81"/>
  <c r="P12" i="81" s="1"/>
  <c r="H28" i="61"/>
  <c r="H27" i="61"/>
  <c r="H26" i="61"/>
  <c r="H25" i="61"/>
  <c r="H23" i="61"/>
  <c r="H22" i="61"/>
  <c r="H21" i="61"/>
  <c r="H19" i="61"/>
  <c r="P16" i="84" l="1"/>
  <c r="P16" i="92"/>
  <c r="C8" i="13"/>
  <c r="P16" i="81"/>
  <c r="C9" i="13"/>
  <c r="E25" i="92"/>
  <c r="G25" i="92" s="1"/>
  <c r="E21" i="92"/>
  <c r="G21" i="92" s="1"/>
  <c r="G20" i="92"/>
  <c r="J20" i="92"/>
  <c r="S20" i="92"/>
  <c r="D16" i="80" l="1"/>
  <c r="D15" i="80"/>
  <c r="C7" i="13" s="1"/>
  <c r="D12" i="80"/>
  <c r="D11" i="80"/>
  <c r="P11" i="80" s="1"/>
  <c r="O73" i="89"/>
  <c r="N73" i="89"/>
  <c r="M73" i="89"/>
  <c r="L73" i="89"/>
  <c r="K73" i="89"/>
  <c r="J73" i="89"/>
  <c r="I73" i="89"/>
  <c r="H73" i="89"/>
  <c r="G73" i="89"/>
  <c r="F73" i="89"/>
  <c r="E73" i="89"/>
  <c r="D73" i="89"/>
  <c r="Q72" i="89"/>
  <c r="P72" i="89"/>
  <c r="Q71" i="89"/>
  <c r="P71" i="89"/>
  <c r="Q70" i="89"/>
  <c r="P70" i="89"/>
  <c r="Q69" i="89"/>
  <c r="P69" i="89"/>
  <c r="Q68" i="89"/>
  <c r="P68" i="89"/>
  <c r="Q67" i="89"/>
  <c r="Q73" i="89" s="1"/>
  <c r="P67" i="89"/>
  <c r="Q66" i="89"/>
  <c r="P66" i="89"/>
  <c r="P73" i="89" s="1"/>
  <c r="O61" i="89"/>
  <c r="N61" i="89"/>
  <c r="M61" i="89"/>
  <c r="L61" i="89"/>
  <c r="K61" i="89"/>
  <c r="J61" i="89"/>
  <c r="I61" i="89"/>
  <c r="H61" i="89"/>
  <c r="G61" i="89"/>
  <c r="F61" i="89"/>
  <c r="E61" i="89"/>
  <c r="D61" i="89"/>
  <c r="Q60" i="89"/>
  <c r="P60" i="89"/>
  <c r="Q59" i="89"/>
  <c r="P59" i="89"/>
  <c r="H30" i="43" s="1"/>
  <c r="Q58" i="89"/>
  <c r="P58" i="89"/>
  <c r="G28" i="92" s="1"/>
  <c r="Q57" i="89"/>
  <c r="P57" i="89"/>
  <c r="G24" i="84" s="1"/>
  <c r="Q56" i="89"/>
  <c r="P56" i="89"/>
  <c r="G21" i="82" s="1"/>
  <c r="Q55" i="89"/>
  <c r="P55" i="89"/>
  <c r="G21" i="81" s="1"/>
  <c r="Q54" i="89"/>
  <c r="Q61" i="89" s="1"/>
  <c r="P54" i="89"/>
  <c r="G19" i="80" s="1"/>
  <c r="O49" i="89"/>
  <c r="N49" i="89"/>
  <c r="M49" i="89"/>
  <c r="L49" i="89"/>
  <c r="K49" i="89"/>
  <c r="J49" i="89"/>
  <c r="I49" i="89"/>
  <c r="H49" i="89"/>
  <c r="G49" i="89"/>
  <c r="F49" i="89"/>
  <c r="E49" i="89"/>
  <c r="D49" i="89"/>
  <c r="Q48" i="89"/>
  <c r="P48" i="89"/>
  <c r="Q47" i="89"/>
  <c r="P47" i="89"/>
  <c r="H29" i="43" s="1"/>
  <c r="Q46" i="89"/>
  <c r="P46" i="89"/>
  <c r="G27" i="92" s="1"/>
  <c r="S27" i="92" s="1"/>
  <c r="Q45" i="89"/>
  <c r="P45" i="89"/>
  <c r="G23" i="84" s="1"/>
  <c r="Q44" i="89"/>
  <c r="P44" i="89"/>
  <c r="G20" i="82" s="1"/>
  <c r="Q43" i="89"/>
  <c r="P43" i="89"/>
  <c r="G20" i="81" s="1"/>
  <c r="Q42" i="89"/>
  <c r="P42" i="89"/>
  <c r="G18" i="80" s="1"/>
  <c r="O37" i="89"/>
  <c r="N37" i="89"/>
  <c r="M37" i="89"/>
  <c r="L37" i="89"/>
  <c r="K37" i="89"/>
  <c r="J37" i="89"/>
  <c r="I37" i="89"/>
  <c r="H37" i="89"/>
  <c r="G37" i="89"/>
  <c r="F37" i="89"/>
  <c r="E37" i="89"/>
  <c r="D37" i="89"/>
  <c r="Q36" i="89"/>
  <c r="P36" i="89"/>
  <c r="Q35" i="89"/>
  <c r="P35" i="89"/>
  <c r="Q34" i="89"/>
  <c r="P34" i="89"/>
  <c r="G33" i="92" s="1"/>
  <c r="D11" i="13" s="1"/>
  <c r="Q33" i="89"/>
  <c r="P33" i="89"/>
  <c r="G29" i="84" s="1"/>
  <c r="Q32" i="89"/>
  <c r="P32" i="89"/>
  <c r="G26" i="82" s="1"/>
  <c r="Q31" i="89"/>
  <c r="P31" i="89"/>
  <c r="G26" i="81" s="1"/>
  <c r="Q30" i="89"/>
  <c r="P30" i="89"/>
  <c r="O25" i="89"/>
  <c r="N25" i="89"/>
  <c r="M25" i="89"/>
  <c r="L25" i="89"/>
  <c r="K25" i="89"/>
  <c r="J25" i="89"/>
  <c r="I25" i="89"/>
  <c r="H25" i="89"/>
  <c r="G25" i="89"/>
  <c r="F25" i="89"/>
  <c r="E25" i="89"/>
  <c r="D25" i="89"/>
  <c r="Q24" i="89"/>
  <c r="P24" i="89"/>
  <c r="C13" i="13" s="1"/>
  <c r="Q23" i="89"/>
  <c r="P23" i="89"/>
  <c r="C12" i="13" s="1"/>
  <c r="Q22" i="89"/>
  <c r="P22" i="89"/>
  <c r="Q21" i="89"/>
  <c r="P21" i="89"/>
  <c r="Q20" i="89"/>
  <c r="P20" i="89"/>
  <c r="Q19" i="89"/>
  <c r="P19" i="89"/>
  <c r="Q18" i="89"/>
  <c r="P18" i="89"/>
  <c r="Q12" i="89"/>
  <c r="P12" i="89"/>
  <c r="Q11" i="89"/>
  <c r="Q10" i="89"/>
  <c r="P9" i="89"/>
  <c r="Q9" i="89"/>
  <c r="P8" i="89"/>
  <c r="Q8" i="89"/>
  <c r="O13" i="89"/>
  <c r="O14" i="89" s="1"/>
  <c r="N13" i="89"/>
  <c r="N14" i="89" s="1"/>
  <c r="M13" i="89"/>
  <c r="M14" i="89" s="1"/>
  <c r="L13" i="89"/>
  <c r="L14" i="89" s="1"/>
  <c r="K13" i="89"/>
  <c r="K14" i="89" s="1"/>
  <c r="J13" i="89"/>
  <c r="J14" i="89" s="1"/>
  <c r="I13" i="89"/>
  <c r="I14" i="89" s="1"/>
  <c r="H13" i="89"/>
  <c r="H14" i="89" s="1"/>
  <c r="G13" i="89"/>
  <c r="G14" i="89" s="1"/>
  <c r="F13" i="89"/>
  <c r="F14" i="89" s="1"/>
  <c r="E13" i="89"/>
  <c r="E14" i="89" s="1"/>
  <c r="Q7" i="89"/>
  <c r="Q6" i="89"/>
  <c r="P6" i="89"/>
  <c r="N29" i="92"/>
  <c r="J29" i="92"/>
  <c r="S29" i="92" s="1"/>
  <c r="S28" i="92"/>
  <c r="I16" i="92"/>
  <c r="E16" i="92"/>
  <c r="I12" i="92"/>
  <c r="E12" i="92"/>
  <c r="A3" i="92"/>
  <c r="A2" i="92"/>
  <c r="A1" i="92"/>
  <c r="F14" i="61"/>
  <c r="C32" i="61"/>
  <c r="B32" i="61"/>
  <c r="C30" i="61"/>
  <c r="B30" i="61"/>
  <c r="C24" i="90" s="1"/>
  <c r="P37" i="89" l="1"/>
  <c r="Q25" i="89"/>
  <c r="C14" i="13"/>
  <c r="P61" i="89"/>
  <c r="P49" i="89"/>
  <c r="Q49" i="89"/>
  <c r="G24" i="80"/>
  <c r="D13" i="13"/>
  <c r="L32" i="61"/>
  <c r="M32" i="61" s="1"/>
  <c r="N32" i="61" s="1"/>
  <c r="Q37" i="89"/>
  <c r="H35" i="43"/>
  <c r="D12" i="13"/>
  <c r="E12" i="13" s="1"/>
  <c r="F12" i="13" s="1"/>
  <c r="G12" i="13" s="1"/>
  <c r="P25" i="89"/>
  <c r="P15" i="80"/>
  <c r="I17" i="92"/>
  <c r="J17" i="92" s="1"/>
  <c r="E17" i="92"/>
  <c r="G17" i="92" s="1"/>
  <c r="E13" i="92"/>
  <c r="G13" i="92" s="1"/>
  <c r="I13" i="92"/>
  <c r="J13" i="92" s="1"/>
  <c r="G12" i="92"/>
  <c r="Q13" i="89"/>
  <c r="Q14" i="89" s="1"/>
  <c r="D13" i="89"/>
  <c r="D14" i="89" s="1"/>
  <c r="P7" i="89"/>
  <c r="P11" i="89"/>
  <c r="P10" i="89"/>
  <c r="J12" i="92"/>
  <c r="J27" i="92"/>
  <c r="G24" i="92"/>
  <c r="G45" i="92" s="1"/>
  <c r="J24" i="92"/>
  <c r="G16" i="92"/>
  <c r="G44" i="92" s="1"/>
  <c r="J16" i="92"/>
  <c r="J28" i="92"/>
  <c r="I15" i="61"/>
  <c r="J15" i="61"/>
  <c r="E13" i="13" l="1"/>
  <c r="F13" i="13" s="1"/>
  <c r="G13" i="13" s="1"/>
  <c r="J31" i="92"/>
  <c r="M25" i="61" s="1"/>
  <c r="G31" i="92"/>
  <c r="G43" i="92"/>
  <c r="P13" i="89"/>
  <c r="P14" i="89" s="1"/>
  <c r="G39" i="92"/>
  <c r="G35" i="92" l="1"/>
  <c r="G37" i="92" s="1"/>
  <c r="L25" i="61"/>
  <c r="E11" i="13"/>
  <c r="J35" i="92"/>
  <c r="J37" i="92" l="1"/>
  <c r="I11" i="13"/>
  <c r="A3" i="43" l="1"/>
  <c r="A2" i="84"/>
  <c r="N25" i="84" l="1"/>
  <c r="N22" i="82"/>
  <c r="J25" i="84"/>
  <c r="S25" i="84" s="1"/>
  <c r="J22" i="82"/>
  <c r="S22" i="82" s="1"/>
  <c r="E11" i="90" l="1"/>
  <c r="E14" i="90"/>
  <c r="E17" i="90"/>
  <c r="F58" i="90"/>
  <c r="D57" i="90"/>
  <c r="G56" i="90"/>
  <c r="F56" i="90"/>
  <c r="D51" i="90"/>
  <c r="C51" i="90"/>
  <c r="D40" i="90"/>
  <c r="C40" i="90"/>
  <c r="E9" i="90"/>
  <c r="F8" i="90" l="1"/>
  <c r="K12" i="43" l="1"/>
  <c r="H14" i="13"/>
  <c r="E20" i="84"/>
  <c r="F14" i="90"/>
  <c r="F17" i="90" l="1"/>
  <c r="Q16" i="92"/>
  <c r="S16" i="92" s="1"/>
  <c r="F11" i="90"/>
  <c r="F9" i="90"/>
  <c r="E8" i="90"/>
  <c r="S24" i="92"/>
  <c r="E18" i="90"/>
  <c r="E16" i="90"/>
  <c r="I20" i="84"/>
  <c r="F13" i="90"/>
  <c r="E13" i="90"/>
  <c r="I19" i="61"/>
  <c r="E21" i="84" l="1"/>
  <c r="G21" i="84" s="1"/>
  <c r="I21" i="84"/>
  <c r="J21" i="84" s="1"/>
  <c r="F16" i="90"/>
  <c r="Q12" i="92"/>
  <c r="S12" i="92" s="1"/>
  <c r="S31" i="92" s="1"/>
  <c r="J19" i="61"/>
  <c r="K26" i="43"/>
  <c r="G20" i="84"/>
  <c r="G41" i="84" s="1"/>
  <c r="E53" i="90"/>
  <c r="J20" i="84"/>
  <c r="I23" i="61"/>
  <c r="F18" i="90"/>
  <c r="Q20" i="84"/>
  <c r="J23" i="61"/>
  <c r="S33" i="92" l="1"/>
  <c r="O25" i="61" s="1"/>
  <c r="N25" i="61"/>
  <c r="G34" i="80"/>
  <c r="S37" i="92" l="1"/>
  <c r="Q25" i="61" s="1"/>
  <c r="S35" i="92"/>
  <c r="P25" i="61" s="1"/>
  <c r="H12" i="43"/>
  <c r="N12" i="43"/>
  <c r="Q12" i="43" s="1"/>
  <c r="F26" i="43"/>
  <c r="D10" i="13"/>
  <c r="K30" i="43"/>
  <c r="Q30" i="43" s="1"/>
  <c r="E51" i="90"/>
  <c r="E54" i="90" l="1"/>
  <c r="H26" i="43"/>
  <c r="H33" i="43" s="1"/>
  <c r="L30" i="61" s="1"/>
  <c r="Q26" i="43"/>
  <c r="K29" i="43"/>
  <c r="K33" i="43" s="1"/>
  <c r="M30" i="61" s="1"/>
  <c r="C39" i="79"/>
  <c r="E52" i="90" l="1"/>
  <c r="Q29" i="43"/>
  <c r="Q33" i="43" s="1"/>
  <c r="N30" i="61" s="1"/>
  <c r="Q16" i="84" l="1"/>
  <c r="Q12" i="84"/>
  <c r="I16" i="84"/>
  <c r="I12" i="84"/>
  <c r="E16" i="84"/>
  <c r="G16" i="84" s="1"/>
  <c r="G40" i="84" s="1"/>
  <c r="E12" i="84"/>
  <c r="A3" i="84"/>
  <c r="E16" i="82"/>
  <c r="E12" i="82"/>
  <c r="I13" i="84" l="1"/>
  <c r="J13" i="84" s="1"/>
  <c r="E13" i="84"/>
  <c r="G13" i="84" s="1"/>
  <c r="I17" i="84"/>
  <c r="J17" i="84" s="1"/>
  <c r="E17" i="84"/>
  <c r="G17" i="84" s="1"/>
  <c r="S20" i="84"/>
  <c r="Q16" i="82"/>
  <c r="I16" i="82"/>
  <c r="E17" i="82" l="1"/>
  <c r="G17" i="82" s="1"/>
  <c r="I17" i="82"/>
  <c r="J17" i="82" s="1"/>
  <c r="E17" i="13"/>
  <c r="A3" i="82"/>
  <c r="A2" i="82"/>
  <c r="A3" i="81"/>
  <c r="A2" i="81"/>
  <c r="A3" i="80"/>
  <c r="A2" i="80"/>
  <c r="A1" i="84"/>
  <c r="Q12" i="82"/>
  <c r="I12" i="82"/>
  <c r="A1" i="82"/>
  <c r="Q16" i="81"/>
  <c r="Q12" i="81"/>
  <c r="I16" i="81"/>
  <c r="I12" i="81"/>
  <c r="E16" i="81"/>
  <c r="E12" i="81"/>
  <c r="A1" i="81"/>
  <c r="I15" i="80"/>
  <c r="I11" i="80"/>
  <c r="E15" i="80"/>
  <c r="E11" i="80"/>
  <c r="A1" i="80"/>
  <c r="E17" i="81" l="1"/>
  <c r="G17" i="81" s="1"/>
  <c r="I17" i="81"/>
  <c r="J17" i="81" s="1"/>
  <c r="I13" i="81"/>
  <c r="J13" i="81" s="1"/>
  <c r="E13" i="81"/>
  <c r="G13" i="81" s="1"/>
  <c r="I13" i="82"/>
  <c r="J13" i="82" s="1"/>
  <c r="E13" i="82"/>
  <c r="G13" i="82" s="1"/>
  <c r="E16" i="80"/>
  <c r="G16" i="80" s="1"/>
  <c r="I16" i="80"/>
  <c r="J16" i="80" s="1"/>
  <c r="I12" i="80"/>
  <c r="J12" i="80" s="1"/>
  <c r="E12" i="80"/>
  <c r="G12" i="80" s="1"/>
  <c r="D9" i="13"/>
  <c r="D7" i="13"/>
  <c r="J22" i="61"/>
  <c r="I22" i="61"/>
  <c r="D8" i="13" l="1"/>
  <c r="D14" i="13" s="1"/>
  <c r="C9" i="79"/>
  <c r="C10" i="79" s="1"/>
  <c r="C11" i="79" s="1"/>
  <c r="C12" i="79" s="1"/>
  <c r="C13" i="79" s="1"/>
  <c r="C14" i="79" s="1"/>
  <c r="C15" i="79" s="1"/>
  <c r="C16" i="79" s="1"/>
  <c r="C17" i="79" s="1"/>
  <c r="C18" i="79" s="1"/>
  <c r="C19" i="79" s="1"/>
  <c r="C20" i="79" s="1"/>
  <c r="C21" i="79" s="1"/>
  <c r="C22" i="79" s="1"/>
  <c r="C23" i="79" s="1"/>
  <c r="C24" i="79" s="1"/>
  <c r="C25" i="79" s="1"/>
  <c r="C26" i="79" s="1"/>
  <c r="C27" i="79" s="1"/>
  <c r="C28" i="79" s="1"/>
  <c r="C29" i="79" s="1"/>
  <c r="C30" i="79" s="1"/>
  <c r="C31" i="79" s="1"/>
  <c r="C32" i="79" s="1"/>
  <c r="C33" i="79" s="1"/>
  <c r="C34" i="79" s="1"/>
  <c r="C35" i="79" s="1"/>
  <c r="C36" i="79" s="1"/>
  <c r="C37" i="79" s="1"/>
  <c r="C38" i="79" s="1"/>
  <c r="J21" i="81" l="1"/>
  <c r="S21" i="81"/>
  <c r="S19" i="80"/>
  <c r="J19" i="80"/>
  <c r="S21" i="82"/>
  <c r="J21" i="82"/>
  <c r="S24" i="84"/>
  <c r="J24" i="84"/>
  <c r="S20" i="82"/>
  <c r="J20" i="82"/>
  <c r="S18" i="80"/>
  <c r="J18" i="80"/>
  <c r="S20" i="81"/>
  <c r="J20" i="81"/>
  <c r="S23" i="84"/>
  <c r="J23" i="84"/>
  <c r="J16" i="81"/>
  <c r="G16" i="81"/>
  <c r="G12" i="82"/>
  <c r="S12" i="82"/>
  <c r="J12" i="82"/>
  <c r="S12" i="84"/>
  <c r="J12" i="84"/>
  <c r="G12" i="84"/>
  <c r="G12" i="81"/>
  <c r="J12" i="81"/>
  <c r="G11" i="80"/>
  <c r="G39" i="84" l="1"/>
  <c r="G32" i="81"/>
  <c r="G24" i="81"/>
  <c r="E8" i="13" s="1"/>
  <c r="G16" i="82"/>
  <c r="G24" i="82" s="1"/>
  <c r="S16" i="82"/>
  <c r="S24" i="82" s="1"/>
  <c r="J16" i="82"/>
  <c r="J16" i="84"/>
  <c r="J27" i="84" s="1"/>
  <c r="S16" i="84"/>
  <c r="S27" i="84" s="1"/>
  <c r="J24" i="81"/>
  <c r="G15" i="80"/>
  <c r="G22" i="80" s="1"/>
  <c r="G32" i="80" s="1"/>
  <c r="J24" i="82" l="1"/>
  <c r="M17" i="61" s="1"/>
  <c r="G27" i="84"/>
  <c r="E10" i="13" s="1"/>
  <c r="E9" i="13"/>
  <c r="G26" i="80"/>
  <c r="G28" i="80" s="1"/>
  <c r="E7" i="13"/>
  <c r="L11" i="61"/>
  <c r="G28" i="81"/>
  <c r="G30" i="81" s="1"/>
  <c r="L14" i="61"/>
  <c r="G28" i="82"/>
  <c r="G30" i="82" s="1"/>
  <c r="L17" i="61"/>
  <c r="J28" i="81"/>
  <c r="M14" i="61"/>
  <c r="N17" i="61"/>
  <c r="J15" i="80"/>
  <c r="J11" i="80"/>
  <c r="D7" i="79"/>
  <c r="D39" i="79" s="1"/>
  <c r="E7" i="79"/>
  <c r="E39" i="79" s="1"/>
  <c r="E14" i="13" l="1"/>
  <c r="J28" i="82"/>
  <c r="S26" i="82"/>
  <c r="S28" i="82" s="1"/>
  <c r="P17" i="61" s="1"/>
  <c r="J30" i="81"/>
  <c r="I8" i="13"/>
  <c r="G31" i="84"/>
  <c r="G33" i="84" s="1"/>
  <c r="L21" i="61"/>
  <c r="N21" i="61"/>
  <c r="M21" i="61"/>
  <c r="F39" i="79"/>
  <c r="J31" i="84"/>
  <c r="S29" i="84"/>
  <c r="J22" i="80"/>
  <c r="J26" i="80" s="1"/>
  <c r="Q15" i="80"/>
  <c r="S15" i="80" s="1"/>
  <c r="H7" i="79"/>
  <c r="H39" i="79" s="1"/>
  <c r="E14" i="79"/>
  <c r="E8" i="79"/>
  <c r="E9" i="79"/>
  <c r="E13" i="79"/>
  <c r="E12" i="79"/>
  <c r="E15" i="79"/>
  <c r="E11" i="79"/>
  <c r="E17" i="79"/>
  <c r="E10" i="79"/>
  <c r="E16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D31" i="79"/>
  <c r="D9" i="79"/>
  <c r="D10" i="79"/>
  <c r="D11" i="79"/>
  <c r="D27" i="79"/>
  <c r="D22" i="79"/>
  <c r="D23" i="79"/>
  <c r="D8" i="79"/>
  <c r="D24" i="79"/>
  <c r="D29" i="79"/>
  <c r="D17" i="79"/>
  <c r="D33" i="79"/>
  <c r="D20" i="79"/>
  <c r="D25" i="79"/>
  <c r="D18" i="79"/>
  <c r="D35" i="79"/>
  <c r="D30" i="79"/>
  <c r="D28" i="79"/>
  <c r="D26" i="79"/>
  <c r="D19" i="79"/>
  <c r="D13" i="79"/>
  <c r="D12" i="79"/>
  <c r="D34" i="79"/>
  <c r="D37" i="79"/>
  <c r="D14" i="79"/>
  <c r="D38" i="79"/>
  <c r="D16" i="79"/>
  <c r="D32" i="79"/>
  <c r="D21" i="79"/>
  <c r="D15" i="79"/>
  <c r="D36" i="79"/>
  <c r="F42" i="90" l="1"/>
  <c r="S30" i="82"/>
  <c r="Q17" i="61" s="1"/>
  <c r="G53" i="90"/>
  <c r="O17" i="61"/>
  <c r="I9" i="13"/>
  <c r="J30" i="82"/>
  <c r="J28" i="80"/>
  <c r="I7" i="13"/>
  <c r="J33" i="84"/>
  <c r="I10" i="13"/>
  <c r="S33" i="84"/>
  <c r="O21" i="61"/>
  <c r="S31" i="84"/>
  <c r="M11" i="61"/>
  <c r="H17" i="79"/>
  <c r="H11" i="79"/>
  <c r="H8" i="79"/>
  <c r="H15" i="79"/>
  <c r="H18" i="79"/>
  <c r="H9" i="79"/>
  <c r="H16" i="79"/>
  <c r="H14" i="79"/>
  <c r="H13" i="79"/>
  <c r="H10" i="79"/>
  <c r="H12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31" i="79"/>
  <c r="H32" i="79"/>
  <c r="H33" i="79"/>
  <c r="H34" i="79"/>
  <c r="H35" i="79"/>
  <c r="H36" i="79"/>
  <c r="H37" i="79"/>
  <c r="H38" i="79"/>
  <c r="F36" i="79"/>
  <c r="F32" i="79"/>
  <c r="F24" i="79"/>
  <c r="F20" i="79"/>
  <c r="F10" i="79"/>
  <c r="F14" i="79"/>
  <c r="F12" i="79"/>
  <c r="F35" i="79"/>
  <c r="F31" i="79"/>
  <c r="F27" i="79"/>
  <c r="F23" i="79"/>
  <c r="F19" i="79"/>
  <c r="F17" i="79"/>
  <c r="F13" i="79"/>
  <c r="F28" i="79"/>
  <c r="F38" i="79"/>
  <c r="F34" i="79"/>
  <c r="F30" i="79"/>
  <c r="F26" i="79"/>
  <c r="F22" i="79"/>
  <c r="F18" i="79"/>
  <c r="F11" i="79"/>
  <c r="F9" i="79"/>
  <c r="F37" i="79"/>
  <c r="F33" i="79"/>
  <c r="F29" i="79"/>
  <c r="F25" i="79"/>
  <c r="F21" i="79"/>
  <c r="F16" i="79"/>
  <c r="F15" i="79"/>
  <c r="F8" i="79"/>
  <c r="A8" i="13"/>
  <c r="B8" i="13"/>
  <c r="A9" i="13"/>
  <c r="B9" i="13"/>
  <c r="A10" i="13"/>
  <c r="B10" i="13"/>
  <c r="A11" i="13"/>
  <c r="B11" i="13"/>
  <c r="B7" i="13"/>
  <c r="A7" i="13"/>
  <c r="C25" i="61"/>
  <c r="B25" i="61"/>
  <c r="C19" i="90" s="1"/>
  <c r="C21" i="61"/>
  <c r="B21" i="61"/>
  <c r="C15" i="90" s="1"/>
  <c r="C17" i="61"/>
  <c r="B17" i="61"/>
  <c r="C12" i="90" s="1"/>
  <c r="C14" i="61"/>
  <c r="C11" i="61"/>
  <c r="B14" i="61"/>
  <c r="C10" i="90" s="1"/>
  <c r="B11" i="61"/>
  <c r="E42" i="90" l="1"/>
  <c r="F53" i="90"/>
  <c r="P21" i="61"/>
  <c r="Q21" i="61"/>
  <c r="F54" i="90" s="1"/>
  <c r="I21" i="61"/>
  <c r="J17" i="61"/>
  <c r="I18" i="61"/>
  <c r="J18" i="61"/>
  <c r="I17" i="61"/>
  <c r="I12" i="61"/>
  <c r="J14" i="61"/>
  <c r="I14" i="61"/>
  <c r="G54" i="90" l="1"/>
  <c r="F11" i="13"/>
  <c r="G11" i="13" s="1"/>
  <c r="S16" i="81"/>
  <c r="S12" i="81"/>
  <c r="J21" i="61"/>
  <c r="F9" i="13"/>
  <c r="I25" i="61"/>
  <c r="J12" i="61"/>
  <c r="F10" i="13"/>
  <c r="G10" i="13" s="1"/>
  <c r="G9" i="13" l="1"/>
  <c r="S24" i="81"/>
  <c r="D16" i="13"/>
  <c r="D18" i="13" s="1"/>
  <c r="D19" i="13" s="1"/>
  <c r="S26" i="81" l="1"/>
  <c r="N14" i="61"/>
  <c r="F8" i="13"/>
  <c r="G8" i="13" s="1"/>
  <c r="S28" i="81" l="1"/>
  <c r="P14" i="61" s="1"/>
  <c r="O14" i="61"/>
  <c r="S30" i="81"/>
  <c r="Q14" i="61" s="1"/>
  <c r="F7" i="13"/>
  <c r="F14" i="13" s="1"/>
  <c r="F52" i="90" l="1"/>
  <c r="E41" i="90"/>
  <c r="F41" i="90"/>
  <c r="G52" i="90"/>
  <c r="G7" i="13"/>
  <c r="G14" i="13"/>
  <c r="H37" i="43" l="1"/>
  <c r="L36" i="61"/>
  <c r="H39" i="43"/>
  <c r="K37" i="43" l="1"/>
  <c r="M36" i="61"/>
  <c r="E16" i="13"/>
  <c r="E18" i="13" s="1"/>
  <c r="E19" i="13" s="1"/>
  <c r="Q35" i="43"/>
  <c r="O30" i="61" s="1"/>
  <c r="I12" i="13" l="1"/>
  <c r="I14" i="13" s="1"/>
  <c r="Q39" i="43"/>
  <c r="Q30" i="61" s="1"/>
  <c r="K39" i="43"/>
  <c r="Q37" i="43"/>
  <c r="P30" i="61" s="1"/>
  <c r="G57" i="90" l="1"/>
  <c r="F57" i="90"/>
  <c r="G55" i="90"/>
  <c r="F55" i="90"/>
  <c r="A1" i="79"/>
  <c r="A1" i="73"/>
  <c r="A1" i="90" s="1"/>
  <c r="A1" i="13" l="1"/>
  <c r="A1" i="43"/>
  <c r="C16" i="13"/>
  <c r="C18" i="13" s="1"/>
  <c r="C19" i="13" s="1"/>
  <c r="I11" i="61" l="1"/>
  <c r="G7" i="79"/>
  <c r="J11" i="61"/>
  <c r="Q11" i="80"/>
  <c r="S11" i="80" s="1"/>
  <c r="S22" i="80" s="1"/>
  <c r="G18" i="79" l="1"/>
  <c r="I18" i="79" s="1"/>
  <c r="J18" i="79" s="1"/>
  <c r="K18" i="79" s="1"/>
  <c r="G24" i="79"/>
  <c r="I24" i="79" s="1"/>
  <c r="J24" i="79" s="1"/>
  <c r="K24" i="79" s="1"/>
  <c r="G22" i="79"/>
  <c r="I22" i="79" s="1"/>
  <c r="J22" i="79" s="1"/>
  <c r="K22" i="79" s="1"/>
  <c r="G25" i="79"/>
  <c r="I25" i="79" s="1"/>
  <c r="J25" i="79" s="1"/>
  <c r="K25" i="79" s="1"/>
  <c r="G12" i="79"/>
  <c r="I12" i="79" s="1"/>
  <c r="J12" i="79" s="1"/>
  <c r="K12" i="79" s="1"/>
  <c r="G10" i="79"/>
  <c r="I10" i="79" s="1"/>
  <c r="J10" i="79" s="1"/>
  <c r="K10" i="79" s="1"/>
  <c r="G21" i="79"/>
  <c r="I21" i="79" s="1"/>
  <c r="J21" i="79" s="1"/>
  <c r="K21" i="79" s="1"/>
  <c r="G23" i="79"/>
  <c r="I23" i="79" s="1"/>
  <c r="J23" i="79" s="1"/>
  <c r="K23" i="79" s="1"/>
  <c r="G38" i="79"/>
  <c r="I38" i="79" s="1"/>
  <c r="J38" i="79" s="1"/>
  <c r="K38" i="79" s="1"/>
  <c r="G29" i="79"/>
  <c r="I29" i="79" s="1"/>
  <c r="J29" i="79" s="1"/>
  <c r="K29" i="79" s="1"/>
  <c r="G27" i="79"/>
  <c r="I27" i="79" s="1"/>
  <c r="J27" i="79" s="1"/>
  <c r="K27" i="79" s="1"/>
  <c r="G14" i="79"/>
  <c r="I14" i="79" s="1"/>
  <c r="J14" i="79" s="1"/>
  <c r="K14" i="79" s="1"/>
  <c r="G17" i="79"/>
  <c r="I17" i="79" s="1"/>
  <c r="J17" i="79" s="1"/>
  <c r="K17" i="79" s="1"/>
  <c r="G15" i="79"/>
  <c r="I15" i="79" s="1"/>
  <c r="J15" i="79" s="1"/>
  <c r="K15" i="79" s="1"/>
  <c r="G19" i="79"/>
  <c r="I19" i="79" s="1"/>
  <c r="J19" i="79" s="1"/>
  <c r="K19" i="79" s="1"/>
  <c r="G8" i="79"/>
  <c r="I8" i="79" s="1"/>
  <c r="J8" i="79" s="1"/>
  <c r="K8" i="79" s="1"/>
  <c r="G20" i="79"/>
  <c r="I20" i="79" s="1"/>
  <c r="J20" i="79" s="1"/>
  <c r="K20" i="79" s="1"/>
  <c r="G32" i="79"/>
  <c r="I32" i="79" s="1"/>
  <c r="J32" i="79" s="1"/>
  <c r="K32" i="79" s="1"/>
  <c r="G33" i="79"/>
  <c r="I33" i="79" s="1"/>
  <c r="J33" i="79" s="1"/>
  <c r="K33" i="79" s="1"/>
  <c r="G30" i="79"/>
  <c r="I30" i="79" s="1"/>
  <c r="J30" i="79" s="1"/>
  <c r="K30" i="79" s="1"/>
  <c r="G11" i="79"/>
  <c r="I11" i="79" s="1"/>
  <c r="J11" i="79" s="1"/>
  <c r="K11" i="79" s="1"/>
  <c r="G26" i="79"/>
  <c r="I26" i="79" s="1"/>
  <c r="J26" i="79" s="1"/>
  <c r="K26" i="79" s="1"/>
  <c r="G28" i="79"/>
  <c r="I28" i="79" s="1"/>
  <c r="J28" i="79" s="1"/>
  <c r="K28" i="79" s="1"/>
  <c r="G36" i="79"/>
  <c r="I36" i="79" s="1"/>
  <c r="J36" i="79" s="1"/>
  <c r="K36" i="79" s="1"/>
  <c r="G9" i="79"/>
  <c r="I9" i="79" s="1"/>
  <c r="J9" i="79" s="1"/>
  <c r="K9" i="79" s="1"/>
  <c r="G34" i="79"/>
  <c r="I34" i="79" s="1"/>
  <c r="J34" i="79" s="1"/>
  <c r="K34" i="79" s="1"/>
  <c r="G37" i="79"/>
  <c r="I37" i="79" s="1"/>
  <c r="J37" i="79" s="1"/>
  <c r="K37" i="79" s="1"/>
  <c r="G35" i="79"/>
  <c r="I35" i="79" s="1"/>
  <c r="J35" i="79" s="1"/>
  <c r="K35" i="79" s="1"/>
  <c r="G16" i="79"/>
  <c r="I16" i="79" s="1"/>
  <c r="J16" i="79" s="1"/>
  <c r="K16" i="79" s="1"/>
  <c r="G13" i="79"/>
  <c r="I13" i="79" s="1"/>
  <c r="J13" i="79" s="1"/>
  <c r="K13" i="79" s="1"/>
  <c r="G31" i="79"/>
  <c r="I31" i="79" s="1"/>
  <c r="J31" i="79" s="1"/>
  <c r="K31" i="79" s="1"/>
  <c r="G39" i="79"/>
  <c r="I39" i="79" s="1"/>
  <c r="J39" i="79" s="1"/>
  <c r="K39" i="79" s="1"/>
  <c r="N11" i="61"/>
  <c r="N36" i="61" s="1"/>
  <c r="S24" i="80"/>
  <c r="O11" i="61" l="1"/>
  <c r="S28" i="80"/>
  <c r="Q11" i="61" s="1"/>
  <c r="S26" i="80"/>
  <c r="P11" i="61" s="1"/>
  <c r="E40" i="90" l="1"/>
  <c r="F51" i="90"/>
  <c r="F40" i="90"/>
  <c r="G51" i="90"/>
  <c r="O36" i="61"/>
  <c r="E46" i="90" l="1"/>
  <c r="O39" i="61"/>
  <c r="P36" i="61"/>
  <c r="G58" i="90" l="1"/>
  <c r="F46" i="90"/>
</calcChain>
</file>

<file path=xl/sharedStrings.xml><?xml version="1.0" encoding="utf-8"?>
<sst xmlns="http://schemas.openxmlformats.org/spreadsheetml/2006/main" count="689" uniqueCount="189">
  <si>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</si>
  <si>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</si>
  <si>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</si>
  <si>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</si>
  <si>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</si>
  <si>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</si>
  <si>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</si>
  <si>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</si>
  <si>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</si>
  <si>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</si>
  <si>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</si>
  <si>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</si>
  <si>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</si>
  <si>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</si>
  <si>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</si>
  <si>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</si>
  <si>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</si>
  <si>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</si>
  <si>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</si>
  <si>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Facility Charge</t>
  </si>
  <si>
    <t>Billing Total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</si>
  <si>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</si>
  <si>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</si>
  <si>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</si>
  <si>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</si>
  <si>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</si>
  <si>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</si>
  <si>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</si>
  <si>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</si>
  <si>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</si>
  <si>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</si>
  <si>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</si>
  <si>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</si>
  <si>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</si>
  <si>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</si>
  <si>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</si>
  <si>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</si>
  <si>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</si>
  <si>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</si>
  <si>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</si>
  <si>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</si>
  <si>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</si>
  <si>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</si>
  <si>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</si>
  <si>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</si>
  <si>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</si>
  <si>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</si>
  <si>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</si>
  <si>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</si>
  <si>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</si>
  <si>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</si>
  <si>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</si>
  <si>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</si>
  <si>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</si>
  <si>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</si>
  <si>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</si>
  <si>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>Reported Total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</si>
  <si>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</si>
  <si>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</si>
  <si>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</si>
  <si>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</si>
  <si>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</si>
  <si>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</si>
  <si>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</si>
  <si>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</si>
  <si>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</si>
  <si>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</si>
  <si>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</si>
  <si>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</si>
  <si>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</si>
  <si>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</si>
  <si>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</si>
  <si>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The amount of the average usage and the effect upon the average bill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</si>
  <si>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</si>
  <si>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</si>
  <si>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</si>
  <si>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</si>
  <si>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</si>
  <si>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</si>
  <si>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All Hours</t>
  </si>
  <si>
    <t xml:space="preserve">Residential </t>
  </si>
  <si>
    <t>NA</t>
  </si>
  <si>
    <t>List of Rate Schedules</t>
  </si>
  <si>
    <t>Reconciliation of Actual vs. Calculated Billings</t>
  </si>
  <si>
    <t>AVG</t>
  </si>
  <si>
    <t>Lighting</t>
  </si>
  <si>
    <t>Annual kWh</t>
  </si>
  <si>
    <t>SubTotal</t>
  </si>
  <si>
    <t>Target Increase&gt;</t>
  </si>
  <si>
    <t>Variance&gt;</t>
  </si>
  <si>
    <t>No revisions are proposed to any other charges or Rate Schedules.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</si>
  <si>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</si>
  <si>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</si>
  <si>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</si>
  <si>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</si>
  <si>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</si>
  <si>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</si>
  <si>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</si>
  <si>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</si>
  <si>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</si>
  <si>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</si>
  <si>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</si>
  <si>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(1)</t>
  </si>
  <si>
    <t>(2)</t>
  </si>
  <si>
    <t>* Amount varies slightly from utility total due to rate riders.</t>
  </si>
  <si>
    <r>
      <t xml:space="preserve">Estimated Monthly Increase by KWH - Base Rates Only </t>
    </r>
    <r>
      <rPr>
        <b/>
        <vertAlign val="superscript"/>
        <sz val="14"/>
        <rFont val="Times New Roman"/>
        <family val="1"/>
      </rPr>
      <t>*</t>
    </r>
  </si>
  <si>
    <t>A</t>
  </si>
  <si>
    <t>SL</t>
  </si>
  <si>
    <t>Customer Charge (per month)</t>
  </si>
  <si>
    <t>Customer Charge Per Month</t>
  </si>
  <si>
    <t xml:space="preserve">Energy Charge Per kWh </t>
  </si>
  <si>
    <t>Customer Charge Per Delivery Point</t>
  </si>
  <si>
    <t>Demand Charge Per kW</t>
  </si>
  <si>
    <t>Primary Discount</t>
  </si>
  <si>
    <t>Taylor County RECC</t>
  </si>
  <si>
    <t>Residential Farm &amp; Home</t>
  </si>
  <si>
    <t>Residential ETS</t>
  </si>
  <si>
    <t>Small Commercial Part 1 &lt; 50 KVA</t>
  </si>
  <si>
    <t>GP1</t>
  </si>
  <si>
    <t>Small Commercial Part 2 &gt; 50 KVA</t>
  </si>
  <si>
    <t>GP2</t>
  </si>
  <si>
    <t>Large Industrial B</t>
  </si>
  <si>
    <t>B1</t>
  </si>
  <si>
    <t>Special Contract</t>
  </si>
  <si>
    <t>TGP</t>
  </si>
  <si>
    <t>Demand Excess (per kW)</t>
  </si>
  <si>
    <t>Demand Contract (per kW)</t>
  </si>
  <si>
    <t>R-1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</si>
  <si>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</si>
  <si>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</si>
  <si>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</si>
  <si>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</si>
  <si>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</si>
  <si>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</si>
  <si>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</si>
  <si>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</si>
  <si>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</si>
  <si>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</si>
  <si>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</si>
  <si>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</si>
  <si>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CUSTOMERS</t>
  </si>
  <si>
    <t>wo SL</t>
  </si>
  <si>
    <t>ENERGY KWH</t>
  </si>
  <si>
    <t>TOTAL REVENUE $</t>
  </si>
  <si>
    <t>FAC $</t>
  </si>
  <si>
    <t>ES $</t>
  </si>
  <si>
    <t>DEMAND KW</t>
  </si>
  <si>
    <t>Jan-Sep</t>
  </si>
  <si>
    <t>Oct-Dec</t>
  </si>
  <si>
    <t>Pass Thru Incr(Decr)</t>
  </si>
  <si>
    <t>Oct-Dc</t>
  </si>
  <si>
    <t>Demand Charge - Contract</t>
  </si>
  <si>
    <t>Demand Charge - Excess</t>
  </si>
  <si>
    <t>various</t>
  </si>
  <si>
    <t>Customer Charge (per kWh)</t>
  </si>
  <si>
    <t>Present:</t>
  </si>
  <si>
    <t>COSS:</t>
  </si>
  <si>
    <t>Diff</t>
  </si>
  <si>
    <t>Residential Customer Charge</t>
  </si>
  <si>
    <t>Res Energy Scalar</t>
  </si>
  <si>
    <t>GP1 Energy Scalar</t>
  </si>
  <si>
    <t>Base Rate Rev</t>
  </si>
  <si>
    <t>Demand Charge Per kW - Contract</t>
  </si>
  <si>
    <t>Demand Charge Per kW - Excess</t>
  </si>
  <si>
    <t>Residential Marketing Rate</t>
  </si>
  <si>
    <t xml:space="preserve">Street Lighting </t>
  </si>
  <si>
    <t>General Purpose Part 1 &lt; 50 KVA</t>
  </si>
  <si>
    <t>General Purpose Part 2 &gt; 50 KVA</t>
  </si>
  <si>
    <t>175 Watt Mercury Vapor</t>
  </si>
  <si>
    <t>400 Watt Mercury Vapor</t>
  </si>
  <si>
    <t>100 Watt High Pressure Sodium</t>
  </si>
  <si>
    <t>250 Watt High Pressure Sodium</t>
  </si>
  <si>
    <t>250 Watt Mercury Vapor</t>
  </si>
  <si>
    <t>175 Watt Mercury Metered</t>
  </si>
  <si>
    <t>400 Watt Mercury Metered</t>
  </si>
  <si>
    <t>250 Watt HPS Con Metered</t>
  </si>
  <si>
    <t>LED Security Light</t>
  </si>
  <si>
    <t>LED Cobra Head Light</t>
  </si>
  <si>
    <t>LED Directional Light</t>
  </si>
  <si>
    <t>LED LC MTL Pole</t>
  </si>
  <si>
    <t>100 Watt HPS Metered</t>
  </si>
  <si>
    <t>Large Industrial</t>
  </si>
  <si>
    <t>Vacant</t>
  </si>
  <si>
    <t>B2</t>
  </si>
  <si>
    <t>B3</t>
  </si>
  <si>
    <t>C1</t>
  </si>
  <si>
    <t>C2</t>
  </si>
  <si>
    <t>C3</t>
  </si>
  <si>
    <t>Proposed&gt;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</si>
</sst>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_(&quot;$&quot;* #,##0.00000_);_(&quot;$&quot;* \(#,##0.00000\);_(&quot;$&quot;* &quot;-&quot;??_);_(@_)"/>
    <numFmt numFmtId="171" formatCode="&quot;$&quot;#,##0.00"/>
    <numFmt numFmtId="172" formatCode="0.000000"/>
    <numFmt numFmtId="173" formatCode="&quot;$&quot;#,##0"/>
    <numFmt numFmtId="174" formatCode="_(* #,##0.000000_);_(* \(#,##0.000000\);_(* &quot;-&quot;??_);_(@_)"/>
    <numFmt numFmtId="175" formatCode="&quot;$&quot;#,##0.000000"/>
    <numFmt numFmtId="176" formatCode="_(* #,##0.000_);_(* \(#,##0.00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99"/>
      <name val="Times New Roman"/>
      <family val="1"/>
    </font>
    <font>
      <i/>
      <sz val="10"/>
      <name val="Arial"/>
      <family val="2"/>
    </font>
    <font>
      <u/>
      <sz val="12"/>
      <name val="Times New Roman"/>
      <family val="1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i/>
      <u/>
      <sz val="12"/>
      <name val="Times New Roman"/>
      <family val="1"/>
    </font>
    <font>
      <b/>
      <vertAlign val="superscript"/>
      <sz val="14"/>
      <name val="Times New Roman"/>
      <family val="1"/>
    </font>
    <font>
      <sz val="12"/>
      <color rgb="FF0000FF"/>
      <name val="Times New Roman"/>
      <family val="1"/>
    </font>
    <font>
      <sz val="8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  <xf numFmtId="0" fontId="1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41" fontId="7" fillId="0" borderId="0" xfId="0" applyNumberFormat="1" applyFont="1"/>
    <xf numFmtId="44" fontId="7" fillId="0" borderId="0" xfId="4" applyFont="1"/>
    <xf numFmtId="44" fontId="7" fillId="0" borderId="0" xfId="0" applyNumberFormat="1" applyFont="1"/>
    <xf numFmtId="164" fontId="7" fillId="0" borderId="0" xfId="0" applyNumberFormat="1" applyFont="1"/>
    <xf numFmtId="168" fontId="7" fillId="0" borderId="0" xfId="1" applyNumberFormat="1" applyFont="1"/>
    <xf numFmtId="168" fontId="7" fillId="0" borderId="0" xfId="0" applyNumberFormat="1" applyFont="1"/>
    <xf numFmtId="43" fontId="7" fillId="0" borderId="0" xfId="0" applyNumberFormat="1" applyFont="1"/>
    <xf numFmtId="164" fontId="7" fillId="0" borderId="0" xfId="9" applyNumberFormat="1" applyFont="1"/>
    <xf numFmtId="10" fontId="7" fillId="0" borderId="0" xfId="9" applyNumberFormat="1" applyFont="1" applyBorder="1"/>
    <xf numFmtId="10" fontId="7" fillId="0" borderId="0" xfId="9" applyNumberFormat="1" applyFont="1"/>
    <xf numFmtId="43" fontId="7" fillId="0" borderId="0" xfId="1" applyFont="1"/>
    <xf numFmtId="0" fontId="6" fillId="0" borderId="2" xfId="0" applyFont="1" applyBorder="1"/>
    <xf numFmtId="0" fontId="6" fillId="0" borderId="2" xfId="0" applyFont="1" applyBorder="1" applyAlignment="1">
      <alignment horizontal="right" wrapText="1"/>
    </xf>
    <xf numFmtId="164" fontId="7" fillId="0" borderId="0" xfId="4" applyNumberFormat="1" applyFont="1"/>
    <xf numFmtId="165" fontId="7" fillId="0" borderId="0" xfId="0" applyNumberFormat="1" applyFont="1"/>
    <xf numFmtId="43" fontId="7" fillId="0" borderId="0" xfId="1" applyFont="1" applyBorder="1"/>
    <xf numFmtId="164" fontId="7" fillId="0" borderId="0" xfId="4" applyNumberFormat="1" applyFont="1" applyBorder="1" applyAlignment="1">
      <alignment horizontal="right"/>
    </xf>
    <xf numFmtId="44" fontId="7" fillId="0" borderId="0" xfId="4" applyFont="1" applyBorder="1"/>
    <xf numFmtId="168" fontId="7" fillId="0" borderId="0" xfId="1" applyNumberFormat="1" applyFont="1" applyBorder="1"/>
    <xf numFmtId="168" fontId="7" fillId="0" borderId="2" xfId="1" applyNumberFormat="1" applyFont="1" applyBorder="1"/>
    <xf numFmtId="41" fontId="7" fillId="0" borderId="0" xfId="0" applyNumberFormat="1" applyFont="1" applyAlignment="1">
      <alignment horizontal="right"/>
    </xf>
    <xf numFmtId="164" fontId="7" fillId="0" borderId="0" xfId="4" applyNumberFormat="1" applyFont="1" applyBorder="1"/>
    <xf numFmtId="168" fontId="7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7" fontId="7" fillId="0" borderId="0" xfId="0" applyNumberFormat="1" applyFont="1"/>
    <xf numFmtId="0" fontId="7" fillId="0" borderId="0" xfId="0" applyFont="1" applyAlignment="1">
      <alignment horizontal="left"/>
    </xf>
    <xf numFmtId="168" fontId="7" fillId="0" borderId="0" xfId="1" applyNumberFormat="1" applyFont="1" applyFill="1"/>
    <xf numFmtId="168" fontId="7" fillId="0" borderId="0" xfId="1" applyNumberFormat="1" applyFont="1" applyFill="1" applyBorder="1"/>
    <xf numFmtId="10" fontId="7" fillId="0" borderId="0" xfId="9" applyNumberFormat="1" applyFont="1" applyFill="1" applyBorder="1"/>
    <xf numFmtId="172" fontId="7" fillId="0" borderId="0" xfId="0" applyNumberFormat="1" applyFont="1"/>
    <xf numFmtId="164" fontId="7" fillId="0" borderId="0" xfId="1" applyNumberFormat="1" applyFont="1"/>
    <xf numFmtId="164" fontId="7" fillId="0" borderId="0" xfId="4" applyNumberFormat="1" applyFont="1" applyFill="1" applyBorder="1"/>
    <xf numFmtId="0" fontId="7" fillId="0" borderId="0" xfId="0" applyFont="1" applyAlignment="1">
      <alignment horizontal="center"/>
    </xf>
    <xf numFmtId="41" fontId="7" fillId="0" borderId="3" xfId="0" applyNumberFormat="1" applyFont="1" applyBorder="1"/>
    <xf numFmtId="164" fontId="7" fillId="0" borderId="3" xfId="4" applyNumberFormat="1" applyFont="1" applyFill="1" applyBorder="1"/>
    <xf numFmtId="0" fontId="6" fillId="0" borderId="0" xfId="0" applyFont="1" applyAlignment="1">
      <alignment horizontal="right" wrapText="1"/>
    </xf>
    <xf numFmtId="168" fontId="7" fillId="0" borderId="0" xfId="9" applyNumberFormat="1" applyFont="1"/>
    <xf numFmtId="168" fontId="7" fillId="0" borderId="0" xfId="0" applyNumberFormat="1" applyFont="1" applyAlignment="1">
      <alignment horizontal="left"/>
    </xf>
    <xf numFmtId="10" fontId="7" fillId="0" borderId="0" xfId="9" applyNumberFormat="1" applyFont="1" applyFill="1" applyBorder="1" applyAlignment="1">
      <alignment horizontal="right"/>
    </xf>
    <xf numFmtId="0" fontId="10" fillId="0" borderId="0" xfId="0" applyFont="1"/>
    <xf numFmtId="0" fontId="6" fillId="0" borderId="2" xfId="0" applyFont="1" applyBorder="1" applyAlignment="1">
      <alignment horizontal="center"/>
    </xf>
    <xf numFmtId="164" fontId="7" fillId="0" borderId="0" xfId="5" applyNumberFormat="1" applyFont="1"/>
    <xf numFmtId="164" fontId="7" fillId="0" borderId="0" xfId="4" applyNumberFormat="1" applyFont="1" applyFill="1" applyAlignment="1">
      <alignment horizontal="right"/>
    </xf>
    <xf numFmtId="164" fontId="7" fillId="0" borderId="0" xfId="4" applyNumberFormat="1" applyFont="1" applyFill="1"/>
    <xf numFmtId="10" fontId="7" fillId="0" borderId="0" xfId="9" applyNumberFormat="1" applyFont="1" applyFill="1"/>
    <xf numFmtId="44" fontId="7" fillId="0" borderId="0" xfId="4" applyFont="1" applyFill="1"/>
    <xf numFmtId="0" fontId="10" fillId="0" borderId="0" xfId="0" applyFont="1" applyAlignment="1">
      <alignment horizontal="center"/>
    </xf>
    <xf numFmtId="0" fontId="8" fillId="0" borderId="0" xfId="0" applyFont="1"/>
    <xf numFmtId="9" fontId="7" fillId="0" borderId="0" xfId="9" applyFont="1"/>
    <xf numFmtId="0" fontId="7" fillId="0" borderId="0" xfId="8" applyFont="1"/>
    <xf numFmtId="0" fontId="10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0" fontId="7" fillId="0" borderId="0" xfId="7" applyFont="1"/>
    <xf numFmtId="43" fontId="7" fillId="0" borderId="0" xfId="3" applyFont="1"/>
    <xf numFmtId="164" fontId="7" fillId="0" borderId="0" xfId="8" applyNumberFormat="1" applyFont="1"/>
    <xf numFmtId="169" fontId="7" fillId="0" borderId="0" xfId="3" applyNumberFormat="1" applyFont="1"/>
    <xf numFmtId="0" fontId="7" fillId="2" borderId="0" xfId="7" applyFont="1" applyFill="1"/>
    <xf numFmtId="0" fontId="7" fillId="2" borderId="0" xfId="8" applyFont="1" applyFill="1"/>
    <xf numFmtId="164" fontId="7" fillId="2" borderId="0" xfId="5" applyNumberFormat="1" applyFont="1" applyFill="1"/>
    <xf numFmtId="0" fontId="7" fillId="0" borderId="0" xfId="8" applyFont="1" applyAlignment="1">
      <alignment horizontal="center"/>
    </xf>
    <xf numFmtId="166" fontId="7" fillId="0" borderId="0" xfId="12" applyNumberFormat="1" applyFont="1"/>
    <xf numFmtId="0" fontId="7" fillId="0" borderId="3" xfId="8" applyFont="1" applyBorder="1" applyAlignment="1">
      <alignment vertical="center"/>
    </xf>
    <xf numFmtId="164" fontId="7" fillId="0" borderId="3" xfId="8" applyNumberFormat="1" applyFont="1" applyBorder="1" applyAlignment="1">
      <alignment vertical="center"/>
    </xf>
    <xf numFmtId="166" fontId="7" fillId="0" borderId="3" xfId="12" applyNumberFormat="1" applyFont="1" applyBorder="1" applyAlignment="1">
      <alignment vertical="center"/>
    </xf>
    <xf numFmtId="0" fontId="7" fillId="0" borderId="0" xfId="8" applyFont="1" applyAlignment="1">
      <alignment vertical="center"/>
    </xf>
    <xf numFmtId="166" fontId="7" fillId="0" borderId="0" xfId="8" applyNumberFormat="1" applyFont="1"/>
    <xf numFmtId="5" fontId="7" fillId="0" borderId="0" xfId="4" applyNumberFormat="1" applyFont="1" applyFill="1"/>
    <xf numFmtId="5" fontId="7" fillId="2" borderId="0" xfId="4" applyNumberFormat="1" applyFont="1" applyFill="1"/>
    <xf numFmtId="0" fontId="7" fillId="0" borderId="0" xfId="1" applyNumberFormat="1" applyFont="1" applyFill="1" applyAlignment="1">
      <alignment horizontal="center"/>
    </xf>
    <xf numFmtId="0" fontId="7" fillId="0" borderId="0" xfId="11" applyNumberFormat="1" applyFont="1" applyFill="1" applyAlignment="1">
      <alignment horizontal="center"/>
    </xf>
    <xf numFmtId="0" fontId="7" fillId="2" borderId="0" xfId="11" applyNumberFormat="1" applyFont="1" applyFill="1" applyAlignment="1">
      <alignment horizontal="center"/>
    </xf>
    <xf numFmtId="10" fontId="7" fillId="2" borderId="0" xfId="11" applyNumberFormat="1" applyFont="1" applyFill="1" applyAlignment="1">
      <alignment horizontal="center"/>
    </xf>
    <xf numFmtId="0" fontId="7" fillId="0" borderId="3" xfId="8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7" fillId="0" borderId="5" xfId="0" applyFont="1" applyBorder="1"/>
    <xf numFmtId="164" fontId="7" fillId="0" borderId="5" xfId="0" applyNumberFormat="1" applyFont="1" applyBorder="1"/>
    <xf numFmtId="10" fontId="7" fillId="0" borderId="5" xfId="9" applyNumberFormat="1" applyFont="1" applyBorder="1"/>
    <xf numFmtId="164" fontId="7" fillId="0" borderId="0" xfId="5" applyNumberFormat="1" applyFont="1" applyFill="1"/>
    <xf numFmtId="41" fontId="6" fillId="0" borderId="0" xfId="0" applyNumberFormat="1" applyFont="1" applyAlignment="1">
      <alignment horizontal="right" wrapText="1"/>
    </xf>
    <xf numFmtId="41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6" fontId="7" fillId="0" borderId="0" xfId="9" applyNumberFormat="1" applyFont="1" applyFill="1"/>
    <xf numFmtId="168" fontId="6" fillId="0" borderId="0" xfId="0" applyNumberFormat="1" applyFont="1" applyAlignment="1">
      <alignment horizontal="right" wrapText="1"/>
    </xf>
    <xf numFmtId="0" fontId="7" fillId="0" borderId="0" xfId="8" applyFont="1" applyAlignment="1">
      <alignment horizontal="right"/>
    </xf>
    <xf numFmtId="0" fontId="7" fillId="0" borderId="0" xfId="8" applyFont="1" applyAlignment="1">
      <alignment horizontal="center" vertical="center"/>
    </xf>
    <xf numFmtId="164" fontId="7" fillId="0" borderId="0" xfId="8" applyNumberFormat="1" applyFont="1" applyAlignment="1">
      <alignment vertical="center"/>
    </xf>
    <xf numFmtId="166" fontId="7" fillId="0" borderId="0" xfId="12" applyNumberFormat="1" applyFont="1" applyBorder="1" applyAlignment="1">
      <alignment vertical="center"/>
    </xf>
    <xf numFmtId="7" fontId="7" fillId="0" borderId="0" xfId="4" applyNumberFormat="1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7" applyFont="1"/>
    <xf numFmtId="0" fontId="16" fillId="0" borderId="0" xfId="0" applyFont="1"/>
    <xf numFmtId="171" fontId="16" fillId="0" borderId="0" xfId="1" quotePrefix="1" applyNumberFormat="1" applyFont="1" applyBorder="1" applyAlignment="1">
      <alignment horizontal="center"/>
    </xf>
    <xf numFmtId="171" fontId="16" fillId="0" borderId="0" xfId="0" applyNumberFormat="1" applyFont="1"/>
    <xf numFmtId="173" fontId="16" fillId="0" borderId="0" xfId="0" applyNumberFormat="1" applyFont="1"/>
    <xf numFmtId="173" fontId="16" fillId="0" borderId="4" xfId="0" applyNumberFormat="1" applyFont="1" applyBorder="1"/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164" fontId="7" fillId="0" borderId="0" xfId="4" applyNumberFormat="1" applyFont="1" applyFill="1" applyBorder="1" applyAlignment="1">
      <alignment horizontal="right"/>
    </xf>
    <xf numFmtId="0" fontId="5" fillId="0" borderId="4" xfId="0" applyFont="1" applyBorder="1"/>
    <xf numFmtId="0" fontId="10" fillId="0" borderId="0" xfId="15" applyFont="1"/>
    <xf numFmtId="0" fontId="5" fillId="0" borderId="0" xfId="15" applyAlignment="1">
      <alignment horizontal="center"/>
    </xf>
    <xf numFmtId="0" fontId="5" fillId="0" borderId="0" xfId="15"/>
    <xf numFmtId="0" fontId="10" fillId="0" borderId="0" xfId="15" applyFont="1" applyAlignment="1">
      <alignment horizontal="left"/>
    </xf>
    <xf numFmtId="0" fontId="13" fillId="0" borderId="8" xfId="15" applyFont="1" applyBorder="1" applyAlignment="1">
      <alignment horizontal="center" vertical="center"/>
    </xf>
    <xf numFmtId="0" fontId="13" fillId="0" borderId="9" xfId="15" applyFont="1" applyBorder="1" applyAlignment="1">
      <alignment horizontal="center" vertical="center"/>
    </xf>
    <xf numFmtId="0" fontId="13" fillId="0" borderId="29" xfId="15" applyFont="1" applyBorder="1" applyAlignment="1">
      <alignment horizontal="center" vertical="center"/>
    </xf>
    <xf numFmtId="0" fontId="13" fillId="0" borderId="30" xfId="15" applyFont="1" applyBorder="1" applyAlignment="1">
      <alignment horizontal="center" vertical="center"/>
    </xf>
    <xf numFmtId="0" fontId="13" fillId="0" borderId="31" xfId="15" applyFont="1" applyBorder="1" applyAlignment="1">
      <alignment horizontal="center" vertical="center"/>
    </xf>
    <xf numFmtId="0" fontId="13" fillId="0" borderId="32" xfId="15" applyFont="1" applyBorder="1" applyAlignment="1">
      <alignment horizontal="center" vertical="center"/>
    </xf>
    <xf numFmtId="0" fontId="13" fillId="0" borderId="0" xfId="15" applyFont="1"/>
    <xf numFmtId="0" fontId="13" fillId="0" borderId="10" xfId="15" applyFont="1" applyBorder="1" applyAlignment="1">
      <alignment horizontal="center" vertical="center"/>
    </xf>
    <xf numFmtId="0" fontId="13" fillId="0" borderId="11" xfId="15" applyFont="1" applyBorder="1" applyAlignment="1">
      <alignment horizontal="center" vertical="center"/>
    </xf>
    <xf numFmtId="44" fontId="19" fillId="0" borderId="11" xfId="15" applyNumberFormat="1" applyFont="1" applyBorder="1" applyAlignment="1">
      <alignment horizontal="center" vertical="center"/>
    </xf>
    <xf numFmtId="0" fontId="19" fillId="0" borderId="11" xfId="15" applyFont="1" applyBorder="1" applyAlignment="1">
      <alignment horizontal="center" vertical="center"/>
    </xf>
    <xf numFmtId="0" fontId="13" fillId="0" borderId="33" xfId="15" applyFont="1" applyBorder="1" applyAlignment="1">
      <alignment horizontal="center" vertical="center"/>
    </xf>
    <xf numFmtId="0" fontId="5" fillId="0" borderId="12" xfId="15" applyBorder="1" applyAlignment="1">
      <alignment horizontal="center"/>
    </xf>
    <xf numFmtId="168" fontId="0" fillId="0" borderId="13" xfId="16" applyNumberFormat="1" applyFont="1" applyBorder="1"/>
    <xf numFmtId="44" fontId="5" fillId="0" borderId="14" xfId="15" applyNumberFormat="1" applyBorder="1"/>
    <xf numFmtId="44" fontId="5" fillId="0" borderId="0" xfId="15" applyNumberFormat="1"/>
    <xf numFmtId="44" fontId="5" fillId="0" borderId="5" xfId="15" applyNumberFormat="1" applyBorder="1"/>
    <xf numFmtId="44" fontId="5" fillId="0" borderId="14" xfId="17" applyFont="1" applyBorder="1"/>
    <xf numFmtId="44" fontId="5" fillId="0" borderId="5" xfId="17" applyFont="1" applyBorder="1"/>
    <xf numFmtId="166" fontId="5" fillId="0" borderId="15" xfId="18" applyNumberFormat="1" applyFont="1" applyBorder="1"/>
    <xf numFmtId="0" fontId="5" fillId="0" borderId="10" xfId="15" applyBorder="1" applyAlignment="1">
      <alignment horizontal="center"/>
    </xf>
    <xf numFmtId="44" fontId="5" fillId="0" borderId="16" xfId="15" applyNumberFormat="1" applyBorder="1"/>
    <xf numFmtId="44" fontId="5" fillId="0" borderId="19" xfId="15" applyNumberFormat="1" applyBorder="1"/>
    <xf numFmtId="44" fontId="5" fillId="0" borderId="17" xfId="15" applyNumberFormat="1" applyBorder="1"/>
    <xf numFmtId="44" fontId="5" fillId="0" borderId="16" xfId="17" applyFont="1" applyBorder="1"/>
    <xf numFmtId="44" fontId="5" fillId="0" borderId="17" xfId="17" applyFont="1" applyBorder="1"/>
    <xf numFmtId="166" fontId="5" fillId="0" borderId="18" xfId="18" applyNumberFormat="1" applyFont="1" applyBorder="1"/>
    <xf numFmtId="168" fontId="5" fillId="0" borderId="16" xfId="1" applyNumberFormat="1" applyFont="1" applyBorder="1"/>
    <xf numFmtId="170" fontId="19" fillId="0" borderId="11" xfId="4" applyNumberFormat="1" applyFont="1" applyBorder="1" applyAlignment="1">
      <alignment horizontal="center" vertical="center"/>
    </xf>
    <xf numFmtId="0" fontId="5" fillId="0" borderId="0" xfId="8" applyFont="1"/>
    <xf numFmtId="171" fontId="16" fillId="0" borderId="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3" fontId="7" fillId="0" borderId="0" xfId="3" applyFont="1" applyFill="1"/>
    <xf numFmtId="169" fontId="7" fillId="0" borderId="0" xfId="3" applyNumberFormat="1" applyFont="1" applyFill="1"/>
    <xf numFmtId="171" fontId="5" fillId="0" borderId="0" xfId="1" applyNumberFormat="1" applyFont="1" applyFill="1"/>
    <xf numFmtId="43" fontId="18" fillId="0" borderId="0" xfId="3" applyFont="1" applyFill="1"/>
    <xf numFmtId="169" fontId="18" fillId="0" borderId="0" xfId="3" applyNumberFormat="1" applyFont="1" applyFill="1"/>
    <xf numFmtId="43" fontId="7" fillId="0" borderId="0" xfId="8" applyNumberFormat="1" applyFont="1"/>
    <xf numFmtId="9" fontId="7" fillId="0" borderId="0" xfId="8" applyNumberFormat="1" applyFont="1"/>
    <xf numFmtId="10" fontId="7" fillId="0" borderId="0" xfId="11" applyNumberFormat="1" applyFont="1" applyFill="1"/>
    <xf numFmtId="10" fontId="7" fillId="0" borderId="0" xfId="11" applyNumberFormat="1" applyFont="1"/>
    <xf numFmtId="10" fontId="7" fillId="2" borderId="0" xfId="11" applyNumberFormat="1" applyFont="1" applyFill="1"/>
    <xf numFmtId="10" fontId="7" fillId="0" borderId="3" xfId="12" applyNumberFormat="1" applyFont="1" applyBorder="1" applyAlignment="1">
      <alignment vertical="center"/>
    </xf>
    <xf numFmtId="0" fontId="5" fillId="0" borderId="0" xfId="15" applyAlignment="1">
      <alignment vertical="center"/>
    </xf>
    <xf numFmtId="0" fontId="5" fillId="0" borderId="34" xfId="15" applyBorder="1" applyAlignment="1">
      <alignment horizontal="center" vertical="center"/>
    </xf>
    <xf numFmtId="168" fontId="0" fillId="0" borderId="35" xfId="16" applyNumberFormat="1" applyFont="1" applyBorder="1" applyAlignment="1">
      <alignment vertical="center"/>
    </xf>
    <xf numFmtId="44" fontId="5" fillId="0" borderId="36" xfId="15" applyNumberFormat="1" applyBorder="1" applyAlignment="1">
      <alignment vertical="center"/>
    </xf>
    <xf numFmtId="44" fontId="5" fillId="0" borderId="37" xfId="15" applyNumberFormat="1" applyBorder="1" applyAlignment="1">
      <alignment vertical="center"/>
    </xf>
    <xf numFmtId="44" fontId="5" fillId="0" borderId="38" xfId="15" applyNumberFormat="1" applyBorder="1" applyAlignment="1">
      <alignment vertical="center"/>
    </xf>
    <xf numFmtId="44" fontId="5" fillId="0" borderId="36" xfId="17" applyFont="1" applyBorder="1" applyAlignment="1">
      <alignment vertical="center"/>
    </xf>
    <xf numFmtId="44" fontId="5" fillId="0" borderId="38" xfId="17" applyFont="1" applyBorder="1" applyAlignment="1">
      <alignment vertical="center"/>
    </xf>
    <xf numFmtId="166" fontId="5" fillId="0" borderId="39" xfId="18" applyNumberFormat="1" applyFont="1" applyBorder="1" applyAlignment="1">
      <alignment vertical="center"/>
    </xf>
    <xf numFmtId="0" fontId="8" fillId="0" borderId="0" xfId="0" applyFont="1" applyAlignment="1">
      <alignment horizontal="right"/>
    </xf>
    <xf numFmtId="9" fontId="18" fillId="0" borderId="0" xfId="9" applyFont="1" applyFill="1"/>
    <xf numFmtId="9" fontId="18" fillId="0" borderId="0" xfId="3" applyNumberFormat="1" applyFont="1" applyFill="1"/>
    <xf numFmtId="9" fontId="7" fillId="0" borderId="0" xfId="9" applyFont="1" applyFill="1"/>
    <xf numFmtId="171" fontId="18" fillId="0" borderId="0" xfId="4" applyNumberFormat="1" applyFont="1" applyFill="1"/>
    <xf numFmtId="0" fontId="14" fillId="0" borderId="0" xfId="0" applyFont="1" applyAlignment="1">
      <alignment horizontal="center"/>
    </xf>
    <xf numFmtId="0" fontId="20" fillId="0" borderId="0" xfId="8" applyFont="1"/>
    <xf numFmtId="167" fontId="7" fillId="0" borderId="0" xfId="12" applyNumberFormat="1" applyFont="1"/>
    <xf numFmtId="164" fontId="7" fillId="0" borderId="0" xfId="9" applyNumberFormat="1" applyFont="1" applyFill="1" applyBorder="1"/>
    <xf numFmtId="164" fontId="7" fillId="0" borderId="0" xfId="9" applyNumberFormat="1" applyFont="1" applyFill="1"/>
    <xf numFmtId="167" fontId="7" fillId="0" borderId="0" xfId="9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168" fontId="7" fillId="0" borderId="1" xfId="1" applyNumberFormat="1" applyFont="1" applyFill="1" applyBorder="1"/>
    <xf numFmtId="41" fontId="8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168" fontId="7" fillId="0" borderId="4" xfId="1" applyNumberFormat="1" applyFont="1" applyFill="1" applyBorder="1"/>
    <xf numFmtId="44" fontId="7" fillId="0" borderId="0" xfId="0" applyNumberFormat="1" applyFont="1" applyAlignment="1">
      <alignment horizontal="right"/>
    </xf>
    <xf numFmtId="0" fontId="20" fillId="0" borderId="0" xfId="0" applyFont="1"/>
    <xf numFmtId="168" fontId="7" fillId="0" borderId="4" xfId="0" applyNumberFormat="1" applyFont="1" applyBorder="1"/>
    <xf numFmtId="0" fontId="21" fillId="0" borderId="0" xfId="0" applyFont="1"/>
    <xf numFmtId="168" fontId="5" fillId="0" borderId="0" xfId="1" applyNumberFormat="1" applyFont="1"/>
    <xf numFmtId="10" fontId="16" fillId="0" borderId="0" xfId="9" applyNumberFormat="1" applyFont="1"/>
    <xf numFmtId="10" fontId="16" fillId="0" borderId="4" xfId="9" applyNumberFormat="1" applyFont="1" applyBorder="1"/>
    <xf numFmtId="168" fontId="5" fillId="0" borderId="0" xfId="1" applyNumberFormat="1" applyFont="1" applyAlignment="1">
      <alignment horizontal="right"/>
    </xf>
    <xf numFmtId="168" fontId="5" fillId="0" borderId="4" xfId="1" applyNumberFormat="1" applyFont="1" applyBorder="1" applyAlignment="1">
      <alignment horizontal="right"/>
    </xf>
    <xf numFmtId="0" fontId="6" fillId="0" borderId="0" xfId="8" applyFont="1" applyAlignment="1">
      <alignment horizontal="right"/>
    </xf>
    <xf numFmtId="0" fontId="6" fillId="2" borderId="0" xfId="8" applyFont="1" applyFill="1"/>
    <xf numFmtId="0" fontId="6" fillId="2" borderId="0" xfId="8" applyFont="1" applyFill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0" xfId="0" applyFont="1"/>
    <xf numFmtId="0" fontId="24" fillId="0" borderId="2" xfId="8" applyFont="1" applyBorder="1" applyAlignment="1">
      <alignment horizontal="center"/>
    </xf>
    <xf numFmtId="0" fontId="24" fillId="0" borderId="2" xfId="8" quotePrefix="1" applyFont="1" applyBorder="1" applyAlignment="1">
      <alignment horizontal="center"/>
    </xf>
    <xf numFmtId="9" fontId="16" fillId="0" borderId="0" xfId="9" applyFont="1"/>
    <xf numFmtId="0" fontId="16" fillId="0" borderId="4" xfId="0" applyFont="1" applyBorder="1"/>
    <xf numFmtId="0" fontId="13" fillId="0" borderId="2" xfId="0" applyFont="1" applyBorder="1"/>
    <xf numFmtId="0" fontId="16" fillId="0" borderId="2" xfId="0" applyFont="1" applyBorder="1"/>
    <xf numFmtId="171" fontId="7" fillId="0" borderId="0" xfId="1" applyNumberFormat="1" applyFont="1" applyFill="1"/>
    <xf numFmtId="171" fontId="8" fillId="0" borderId="0" xfId="1" applyNumberFormat="1" applyFont="1" applyFill="1"/>
    <xf numFmtId="41" fontId="8" fillId="0" borderId="0" xfId="0" applyNumberFormat="1" applyFont="1" applyAlignment="1">
      <alignment horizontal="left"/>
    </xf>
    <xf numFmtId="0" fontId="6" fillId="0" borderId="0" xfId="0" quotePrefix="1" applyFont="1"/>
    <xf numFmtId="168" fontId="25" fillId="0" borderId="0" xfId="1" applyNumberFormat="1" applyFont="1" applyFill="1"/>
    <xf numFmtId="44" fontId="8" fillId="0" borderId="0" xfId="4" applyFont="1" applyFill="1"/>
    <xf numFmtId="0" fontId="5" fillId="0" borderId="0" xfId="15" applyAlignment="1">
      <alignment horizontal="left"/>
    </xf>
    <xf numFmtId="0" fontId="27" fillId="2" borderId="0" xfId="8" applyFont="1" applyFill="1"/>
    <xf numFmtId="174" fontId="7" fillId="0" borderId="0" xfId="3" applyNumberFormat="1" applyFont="1"/>
    <xf numFmtId="164" fontId="7" fillId="0" borderId="4" xfId="4" applyNumberFormat="1" applyFont="1" applyFill="1" applyBorder="1"/>
    <xf numFmtId="10" fontId="7" fillId="0" borderId="3" xfId="9" applyNumberFormat="1" applyFont="1" applyFill="1" applyBorder="1"/>
    <xf numFmtId="175" fontId="5" fillId="0" borderId="0" xfId="3" applyNumberFormat="1" applyFont="1" applyFill="1"/>
    <xf numFmtId="171" fontId="5" fillId="0" borderId="0" xfId="3" applyNumberFormat="1" applyFont="1" applyFill="1"/>
    <xf numFmtId="9" fontId="7" fillId="0" borderId="0" xfId="0" applyNumberFormat="1" applyFont="1"/>
    <xf numFmtId="43" fontId="7" fillId="0" borderId="0" xfId="1" applyFont="1" applyFill="1"/>
    <xf numFmtId="0" fontId="0" fillId="0" borderId="2" xfId="0" applyBorder="1"/>
    <xf numFmtId="0" fontId="5" fillId="0" borderId="2" xfId="0" applyFont="1" applyBorder="1" applyAlignment="1">
      <alignment horizontal="right"/>
    </xf>
    <xf numFmtId="168" fontId="29" fillId="3" borderId="0" xfId="1" applyNumberFormat="1" applyFont="1" applyFill="1"/>
    <xf numFmtId="168" fontId="0" fillId="0" borderId="0" xfId="1" applyNumberFormat="1" applyFont="1"/>
    <xf numFmtId="0" fontId="0" fillId="0" borderId="4" xfId="0" applyBorder="1"/>
    <xf numFmtId="168" fontId="0" fillId="0" borderId="4" xfId="1" applyNumberFormat="1" applyFont="1" applyBorder="1"/>
    <xf numFmtId="168" fontId="0" fillId="0" borderId="0" xfId="0" applyNumberFormat="1"/>
    <xf numFmtId="168" fontId="7" fillId="0" borderId="0" xfId="1" applyNumberFormat="1" applyFont="1" applyAlignment="1">
      <alignment horizontal="left"/>
    </xf>
    <xf numFmtId="168" fontId="7" fillId="0" borderId="0" xfId="1" applyNumberFormat="1" applyFont="1" applyFill="1" applyAlignment="1">
      <alignment horizontal="left"/>
    </xf>
    <xf numFmtId="0" fontId="7" fillId="0" borderId="0" xfId="7" applyFont="1" applyAlignment="1">
      <alignment horizontal="center"/>
    </xf>
    <xf numFmtId="176" fontId="7" fillId="0" borderId="0" xfId="3" applyNumberFormat="1" applyFont="1"/>
    <xf numFmtId="43" fontId="7" fillId="0" borderId="0" xfId="0" applyNumberFormat="1" applyFont="1" applyAlignment="1">
      <alignment horizontal="right"/>
    </xf>
    <xf numFmtId="43" fontId="27" fillId="3" borderId="0" xfId="1" applyFont="1" applyFill="1" applyAlignment="1">
      <alignment horizontal="center"/>
    </xf>
    <xf numFmtId="0" fontId="7" fillId="4" borderId="0" xfId="8" applyFont="1" applyFill="1" applyAlignment="1">
      <alignment horizontal="right"/>
    </xf>
    <xf numFmtId="171" fontId="7" fillId="4" borderId="0" xfId="4" applyNumberFormat="1" applyFont="1" applyFill="1"/>
    <xf numFmtId="171" fontId="7" fillId="0" borderId="0" xfId="4" applyNumberFormat="1" applyFont="1"/>
    <xf numFmtId="0" fontId="7" fillId="4" borderId="2" xfId="8" applyFont="1" applyFill="1" applyBorder="1"/>
    <xf numFmtId="9" fontId="7" fillId="4" borderId="0" xfId="8" applyNumberFormat="1" applyFont="1" applyFill="1" applyAlignment="1">
      <alignment horizontal="center"/>
    </xf>
    <xf numFmtId="9" fontId="7" fillId="4" borderId="0" xfId="9" applyFont="1" applyFill="1" applyAlignment="1">
      <alignment horizontal="center"/>
    </xf>
    <xf numFmtId="164" fontId="7" fillId="0" borderId="3" xfId="4" applyNumberFormat="1" applyFont="1" applyBorder="1"/>
    <xf numFmtId="166" fontId="16" fillId="0" borderId="0" xfId="9" applyNumberFormat="1" applyFont="1"/>
    <xf numFmtId="43" fontId="6" fillId="0" borderId="0" xfId="8" applyNumberFormat="1" applyFont="1"/>
    <xf numFmtId="171" fontId="5" fillId="0" borderId="0" xfId="4" applyNumberFormat="1" applyFont="1" applyFill="1"/>
    <xf numFmtId="0" fontId="17" fillId="0" borderId="0" xfId="0" applyFont="1"/>
    <xf numFmtId="43" fontId="5" fillId="0" borderId="0" xfId="1" applyFont="1"/>
    <xf numFmtId="171" fontId="7" fillId="0" borderId="0" xfId="1" applyNumberFormat="1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164" fontId="7" fillId="0" borderId="3" xfId="0" applyNumberFormat="1" applyFont="1" applyBorder="1"/>
    <xf numFmtId="44" fontId="7" fillId="0" borderId="5" xfId="0" applyNumberFormat="1" applyFont="1" applyBorder="1"/>
    <xf numFmtId="164" fontId="7" fillId="0" borderId="5" xfId="9" applyNumberFormat="1" applyFont="1" applyFill="1" applyBorder="1"/>
    <xf numFmtId="10" fontId="7" fillId="0" borderId="5" xfId="9" applyNumberFormat="1" applyFont="1" applyFill="1" applyBorder="1"/>
    <xf numFmtId="44" fontId="7" fillId="0" borderId="0" xfId="4" applyFont="1" applyFill="1" applyBorder="1"/>
    <xf numFmtId="2" fontId="7" fillId="0" borderId="0" xfId="0" applyNumberFormat="1" applyFont="1" applyAlignment="1">
      <alignment horizontal="right"/>
    </xf>
    <xf numFmtId="44" fontId="7" fillId="0" borderId="0" xfId="4" applyFont="1" applyFill="1" applyBorder="1" applyAlignment="1">
      <alignment horizontal="right"/>
    </xf>
    <xf numFmtId="2" fontId="7" fillId="0" borderId="0" xfId="0" applyNumberFormat="1" applyFont="1"/>
    <xf numFmtId="44" fontId="7" fillId="0" borderId="0" xfId="4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8" fontId="7" fillId="0" borderId="5" xfId="1" applyNumberFormat="1" applyFont="1" applyFill="1" applyBorder="1"/>
    <xf numFmtId="43" fontId="7" fillId="0" borderId="0" xfId="1" applyFont="1" applyFill="1" applyBorder="1"/>
    <xf numFmtId="43" fontId="8" fillId="0" borderId="2" xfId="1" applyFont="1" applyFill="1" applyBorder="1" applyAlignment="1">
      <alignment horizontal="right"/>
    </xf>
    <xf numFmtId="171" fontId="7" fillId="0" borderId="0" xfId="0" applyNumberFormat="1" applyFont="1"/>
    <xf numFmtId="171" fontId="7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168" fontId="7" fillId="0" borderId="2" xfId="1" applyNumberFormat="1" applyFont="1" applyFill="1" applyBorder="1"/>
    <xf numFmtId="0" fontId="6" fillId="0" borderId="2" xfId="8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25" xfId="15" applyFont="1" applyBorder="1" applyAlignment="1">
      <alignment horizontal="center" vertical="center"/>
    </xf>
    <xf numFmtId="0" fontId="13" fillId="0" borderId="26" xfId="15" applyFont="1" applyBorder="1" applyAlignment="1">
      <alignment horizontal="center" vertical="center"/>
    </xf>
    <xf numFmtId="0" fontId="13" fillId="0" borderId="27" xfId="15" applyFont="1" applyBorder="1" applyAlignment="1">
      <alignment horizontal="center" vertical="center"/>
    </xf>
    <xf numFmtId="0" fontId="13" fillId="0" borderId="28" xfId="15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</cellXfs>
  <cellStyles count="26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omma 5" xfId="21" xr:uid="{13A5DCFB-A2B3-470D-AA3B-30CEB44A49F7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Currency 4" xfId="24" xr:uid="{474135F7-C76A-4AC1-A700-35380A3E4322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Normal 5" xfId="20" xr:uid="{2E76F7CD-04C6-4092-A702-142FEDC9FED7}"/>
    <cellStyle name="Normal 5 2" xfId="23" xr:uid="{759FB45A-FBCE-4F0B-9CDA-3E148E8B987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  <cellStyle name="Percent 5" xfId="22" xr:uid="{4C98C88A-21DE-4E44-8B24-FB76A1BB4A39}"/>
    <cellStyle name="Percent 5 2" xfId="25" xr:uid="{E5E34816-633A-422C-8E42-1E83E6F36FF5}"/>
  </cellStyles>
  <dxfs count="0"/>
  <tableStyles count="0" defaultTableStyle="TableStyleMedium9" defaultPivotStyle="PivotStyleLight16"/>
  <colors>
    <mruColors>
      <color rgb="FFFFFFCC"/>
      <color rgb="FF0000FF"/>
      <color rgb="FF0000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G69"/>
  <sheetViews>
    <sheetView tabSelected="1" view="pageBreakPreview" zoomScale="60" zoomScaleNormal="75" workbookViewId="0">
      <selection activeCell="T27" sqref="T27"/>
    </sheetView>
  </sheetViews>
  <sheetFormatPr defaultColWidth="9.109375" defaultRowHeight="15.6" x14ac:dyDescent="0.3"/>
  <cols>
    <col min="1" max="1" width="3.5546875" style="66" customWidth="1"/>
    <col min="2" max="2" width="32.109375" style="55" bestFit="1" customWidth="1"/>
    <col min="3" max="3" width="6.88671875" style="66" bestFit="1" customWidth="1"/>
    <col min="4" max="4" width="27.77734375" style="55" bestFit="1" customWidth="1"/>
    <col min="5" max="5" width="1.5546875" style="55" customWidth="1"/>
    <col min="6" max="6" width="11.5546875" style="55" bestFit="1" customWidth="1"/>
    <col min="7" max="8" width="10.88671875" style="55" bestFit="1" customWidth="1"/>
    <col min="9" max="9" width="12" style="55" hidden="1" customWidth="1"/>
    <col min="10" max="10" width="12.109375" style="55" bestFit="1" customWidth="1"/>
    <col min="11" max="11" width="1.5546875" style="55" customWidth="1"/>
    <col min="12" max="13" width="13.77734375" style="55" bestFit="1" customWidth="1"/>
    <col min="14" max="14" width="16.21875" style="55" bestFit="1" customWidth="1"/>
    <col min="15" max="15" width="13.109375" style="55" bestFit="1" customWidth="1"/>
    <col min="16" max="17" width="9.44140625" style="55" bestFit="1" customWidth="1"/>
    <col min="18" max="18" width="3" style="55" customWidth="1"/>
    <col min="19" max="19" width="17.33203125" style="55" bestFit="1" customWidth="1"/>
    <col min="20" max="20" width="14.6640625" style="55" customWidth="1"/>
    <col min="21" max="24" width="13.6640625" style="55" customWidth="1"/>
    <col min="25" max="25" width="16.88671875" style="55" bestFit="1" customWidth="1"/>
    <col min="26" max="44" width="13.6640625" style="55" customWidth="1"/>
    <col min="45" max="16384" width="9.109375" style="55"/>
  </cols>
  <sheetData>
    <row r="1" spans="1:33" ht="17.399999999999999" x14ac:dyDescent="0.3">
      <c r="A1" s="45" t="s">
        <v>114</v>
      </c>
      <c r="C1" s="58"/>
      <c r="F1" s="57"/>
      <c r="G1" s="244"/>
      <c r="H1" s="244"/>
      <c r="I1" s="57"/>
      <c r="J1" s="57"/>
      <c r="N1" s="57"/>
      <c r="T1" s="157"/>
    </row>
    <row r="2" spans="1:33" ht="17.399999999999999" x14ac:dyDescent="0.3">
      <c r="A2" s="56" t="s">
        <v>22</v>
      </c>
      <c r="F2" s="90"/>
      <c r="G2" s="90"/>
      <c r="H2" s="90"/>
      <c r="N2" s="61"/>
    </row>
    <row r="4" spans="1:33" x14ac:dyDescent="0.3">
      <c r="B4" s="269" t="s">
        <v>23</v>
      </c>
      <c r="C4" s="269"/>
      <c r="D4" s="269"/>
      <c r="F4" s="269" t="s">
        <v>24</v>
      </c>
      <c r="G4" s="269"/>
      <c r="H4" s="269"/>
      <c r="I4" s="269"/>
      <c r="J4" s="269"/>
      <c r="L4" s="269" t="s">
        <v>39</v>
      </c>
      <c r="M4" s="269"/>
      <c r="N4" s="269"/>
      <c r="O4" s="269"/>
      <c r="P4" s="269"/>
      <c r="Q4" s="269"/>
    </row>
    <row r="5" spans="1:33" ht="12" customHeight="1" x14ac:dyDescent="0.3">
      <c r="E5" s="64"/>
      <c r="K5" s="64"/>
      <c r="U5" s="57"/>
      <c r="V5" s="57"/>
      <c r="X5" s="57"/>
      <c r="Y5" s="57"/>
    </row>
    <row r="6" spans="1:33" s="57" customFormat="1" x14ac:dyDescent="0.3">
      <c r="A6" s="58"/>
      <c r="C6" s="58"/>
      <c r="D6" s="58" t="s">
        <v>25</v>
      </c>
      <c r="E6" s="198"/>
      <c r="F6" s="58" t="s">
        <v>57</v>
      </c>
      <c r="G6" s="58" t="s">
        <v>26</v>
      </c>
      <c r="H6" s="58" t="s">
        <v>27</v>
      </c>
      <c r="I6" s="58" t="s">
        <v>63</v>
      </c>
      <c r="J6" s="58" t="s">
        <v>63</v>
      </c>
      <c r="K6" s="199"/>
      <c r="L6" s="58" t="s">
        <v>59</v>
      </c>
      <c r="M6" s="58" t="s">
        <v>40</v>
      </c>
      <c r="N6" s="58" t="s">
        <v>27</v>
      </c>
      <c r="O6" s="58" t="s">
        <v>28</v>
      </c>
      <c r="P6" s="58" t="s">
        <v>28</v>
      </c>
      <c r="Q6" s="58" t="s">
        <v>28</v>
      </c>
      <c r="R6" s="58"/>
      <c r="S6" s="55"/>
      <c r="T6" s="55"/>
      <c r="V6" s="55"/>
      <c r="W6" s="55"/>
    </row>
    <row r="7" spans="1:33" s="57" customFormat="1" x14ac:dyDescent="0.3">
      <c r="A7" s="58"/>
      <c r="B7" s="58" t="s">
        <v>29</v>
      </c>
      <c r="C7" s="58" t="s">
        <v>30</v>
      </c>
      <c r="D7" s="58" t="s">
        <v>31</v>
      </c>
      <c r="E7" s="198"/>
      <c r="F7" s="58" t="s">
        <v>4</v>
      </c>
      <c r="G7" s="58" t="s">
        <v>4</v>
      </c>
      <c r="H7" s="58" t="s">
        <v>4</v>
      </c>
      <c r="I7" s="58" t="s">
        <v>58</v>
      </c>
      <c r="J7" s="58" t="s">
        <v>64</v>
      </c>
      <c r="K7" s="199"/>
      <c r="L7" s="58" t="s">
        <v>21</v>
      </c>
      <c r="M7" s="58" t="s">
        <v>21</v>
      </c>
      <c r="N7" s="58" t="s">
        <v>21</v>
      </c>
      <c r="O7" s="58" t="s">
        <v>32</v>
      </c>
      <c r="P7" s="58" t="s">
        <v>33</v>
      </c>
      <c r="Q7" s="58" t="s">
        <v>45</v>
      </c>
      <c r="R7" s="58"/>
      <c r="S7" s="55"/>
      <c r="T7" s="55"/>
      <c r="V7" s="239" t="s">
        <v>158</v>
      </c>
      <c r="W7" s="239"/>
    </row>
    <row r="8" spans="1:33" s="201" customFormat="1" x14ac:dyDescent="0.3">
      <c r="A8" s="200" t="s">
        <v>74</v>
      </c>
      <c r="B8" s="203" t="s">
        <v>102</v>
      </c>
      <c r="C8" s="203" t="s">
        <v>103</v>
      </c>
      <c r="D8" s="202" t="s">
        <v>91</v>
      </c>
      <c r="E8" s="198"/>
      <c r="F8" s="202" t="s">
        <v>92</v>
      </c>
      <c r="G8" s="202" t="s">
        <v>93</v>
      </c>
      <c r="H8" s="202" t="s">
        <v>94</v>
      </c>
      <c r="I8" s="202" t="s">
        <v>94</v>
      </c>
      <c r="J8" s="202" t="s">
        <v>95</v>
      </c>
      <c r="K8" s="199"/>
      <c r="L8" s="202" t="s">
        <v>96</v>
      </c>
      <c r="M8" s="202" t="s">
        <v>97</v>
      </c>
      <c r="N8" s="202" t="s">
        <v>98</v>
      </c>
      <c r="O8" s="202" t="s">
        <v>99</v>
      </c>
      <c r="P8" s="202" t="s">
        <v>100</v>
      </c>
      <c r="Q8" s="202" t="s">
        <v>101</v>
      </c>
      <c r="T8" s="55"/>
      <c r="U8" s="57"/>
      <c r="V8" s="236" t="s">
        <v>155</v>
      </c>
      <c r="W8" s="237">
        <f>G11</f>
        <v>10.220000000000001</v>
      </c>
      <c r="X8" s="57"/>
      <c r="Y8" s="57"/>
    </row>
    <row r="9" spans="1:33" s="57" customFormat="1" x14ac:dyDescent="0.3">
      <c r="A9" s="58"/>
      <c r="C9" s="58"/>
      <c r="D9" s="58"/>
      <c r="E9" s="64"/>
      <c r="F9" s="197"/>
      <c r="G9" s="197"/>
      <c r="H9" s="197"/>
      <c r="I9" s="197"/>
      <c r="J9" s="197"/>
      <c r="K9" s="64"/>
      <c r="L9" s="197"/>
      <c r="M9" s="197"/>
      <c r="N9" s="197"/>
      <c r="O9" s="197"/>
      <c r="P9" s="197"/>
      <c r="Q9" s="197"/>
      <c r="R9" s="58"/>
      <c r="S9" s="55"/>
      <c r="T9" s="55"/>
      <c r="V9" s="236" t="s">
        <v>156</v>
      </c>
      <c r="W9" s="237">
        <v>30.79</v>
      </c>
    </row>
    <row r="10" spans="1:33" x14ac:dyDescent="0.3">
      <c r="E10" s="64"/>
      <c r="K10" s="64"/>
      <c r="U10" s="57"/>
      <c r="V10" s="236" t="s">
        <v>157</v>
      </c>
      <c r="W10" s="237">
        <f>W9-W8</f>
        <v>20.57</v>
      </c>
      <c r="X10" s="57"/>
      <c r="Y10" s="57"/>
    </row>
    <row r="11" spans="1:33" ht="15" customHeight="1" x14ac:dyDescent="0.3">
      <c r="A11" s="66">
        <v>1</v>
      </c>
      <c r="B11" s="2" t="str">
        <f>List!B6</f>
        <v>Residential Farm &amp; Home</v>
      </c>
      <c r="C11" s="75" t="str">
        <f>List!C6</f>
        <v>A</v>
      </c>
      <c r="D11" s="55" t="s">
        <v>108</v>
      </c>
      <c r="E11" s="64"/>
      <c r="F11" s="16">
        <v>9.82</v>
      </c>
      <c r="G11" s="16">
        <v>10.220000000000001</v>
      </c>
      <c r="H11" s="248">
        <f>W15</f>
        <v>16.839800000000004</v>
      </c>
      <c r="I11" s="151">
        <f>H11-F11</f>
        <v>7.0198000000000036</v>
      </c>
      <c r="J11" s="151">
        <f>H11-G11</f>
        <v>6.6198000000000032</v>
      </c>
      <c r="K11" s="64"/>
      <c r="L11" s="47">
        <f>A!G22</f>
        <v>30627843.265809998</v>
      </c>
      <c r="M11" s="47">
        <f>A!J22</f>
        <v>31512310.714089997</v>
      </c>
      <c r="N11" s="47">
        <f>A!S22</f>
        <v>37638168.977814004</v>
      </c>
      <c r="O11" s="84">
        <f>A!S24</f>
        <v>6125858.2637240067</v>
      </c>
      <c r="P11" s="158">
        <f>A!S26</f>
        <v>0.19439571789272095</v>
      </c>
      <c r="Q11" s="51">
        <f>A!S28</f>
        <v>21.340959019686697</v>
      </c>
      <c r="U11" s="57"/>
      <c r="V11" s="240">
        <v>0.25</v>
      </c>
      <c r="W11" s="237">
        <f>W8+W10*V11</f>
        <v>15.362500000000001</v>
      </c>
      <c r="X11" s="57"/>
      <c r="Y11" s="57"/>
      <c r="Z11" s="154"/>
      <c r="AA11" s="154"/>
      <c r="AB11" s="154"/>
      <c r="AC11" s="154"/>
      <c r="AD11" s="154"/>
      <c r="AE11" s="154"/>
      <c r="AF11" s="154"/>
      <c r="AG11" s="154"/>
    </row>
    <row r="12" spans="1:33" ht="15" customHeight="1" x14ac:dyDescent="0.3">
      <c r="B12" s="59"/>
      <c r="C12" s="76"/>
      <c r="D12" s="55" t="s">
        <v>41</v>
      </c>
      <c r="E12" s="64"/>
      <c r="F12" s="216">
        <v>7.8070000000000001E-2</v>
      </c>
      <c r="G12" s="216">
        <v>8.1229999999999997E-2</v>
      </c>
      <c r="H12" s="216">
        <f>ROUND(G12*W17,6)</f>
        <v>9.4458E-2</v>
      </c>
      <c r="I12" s="152">
        <f>H12-F12</f>
        <v>1.6388E-2</v>
      </c>
      <c r="J12" s="152">
        <f>H12-G12</f>
        <v>1.3228000000000004E-2</v>
      </c>
      <c r="K12" s="64"/>
      <c r="L12" s="47"/>
      <c r="M12" s="47"/>
      <c r="N12" s="47"/>
      <c r="O12" s="47"/>
      <c r="P12" s="159"/>
      <c r="Q12" s="73"/>
      <c r="U12" s="57"/>
      <c r="V12" s="240">
        <v>0.33</v>
      </c>
      <c r="W12" s="237">
        <f>W8+W10*V12</f>
        <v>17.008099999999999</v>
      </c>
      <c r="X12" s="57"/>
      <c r="Y12" s="57"/>
      <c r="Z12" s="154"/>
      <c r="AA12" s="154"/>
      <c r="AB12" s="154"/>
      <c r="AC12" s="154"/>
      <c r="AD12" s="154"/>
      <c r="AE12" s="154"/>
      <c r="AF12" s="154"/>
      <c r="AG12" s="154"/>
    </row>
    <row r="13" spans="1:33" ht="9" customHeight="1" x14ac:dyDescent="0.3">
      <c r="B13" s="63"/>
      <c r="C13" s="77"/>
      <c r="D13" s="64"/>
      <c r="E13" s="64"/>
      <c r="F13" s="64"/>
      <c r="G13" s="64"/>
      <c r="H13" s="64"/>
      <c r="I13" s="64"/>
      <c r="J13" s="64"/>
      <c r="K13" s="64"/>
      <c r="L13" s="65"/>
      <c r="M13" s="65"/>
      <c r="N13" s="65"/>
      <c r="O13" s="65"/>
      <c r="P13" s="160"/>
      <c r="Q13" s="74"/>
      <c r="U13" s="57"/>
      <c r="V13" s="240"/>
      <c r="W13" s="237"/>
      <c r="X13" s="57"/>
      <c r="Y13" s="57"/>
      <c r="Z13" s="155"/>
      <c r="AA13" s="155"/>
      <c r="AB13" s="155"/>
      <c r="AC13" s="155"/>
      <c r="AD13" s="155"/>
      <c r="AE13" s="155"/>
      <c r="AF13" s="155"/>
      <c r="AG13" s="155"/>
    </row>
    <row r="14" spans="1:33" ht="15" customHeight="1" x14ac:dyDescent="0.3">
      <c r="A14" s="66">
        <v>2</v>
      </c>
      <c r="B14" s="2" t="str">
        <f>List!B7</f>
        <v>Residential Marketing Rate</v>
      </c>
      <c r="C14" s="76" t="str">
        <f>List!C7</f>
        <v>R-1</v>
      </c>
      <c r="D14" s="55" t="s">
        <v>108</v>
      </c>
      <c r="E14" s="64"/>
      <c r="F14" s="16">
        <f>F11</f>
        <v>9.82</v>
      </c>
      <c r="G14" s="16">
        <v>10.220000000000001</v>
      </c>
      <c r="H14" s="16">
        <f>H11</f>
        <v>16.839800000000004</v>
      </c>
      <c r="I14" s="60">
        <f>H14-F14</f>
        <v>7.0198000000000036</v>
      </c>
      <c r="J14" s="60">
        <f>H14-G14</f>
        <v>6.6198000000000032</v>
      </c>
      <c r="K14" s="64"/>
      <c r="L14" s="47">
        <f>'R1'!G24</f>
        <v>18952.720290000001</v>
      </c>
      <c r="M14" s="47">
        <f>'R1'!J24</f>
        <v>19504.932050000003</v>
      </c>
      <c r="N14" s="47">
        <f>'R1'!S24</f>
        <v>20914.94945</v>
      </c>
      <c r="O14" s="47">
        <f>'R1'!S26</f>
        <v>1410.017399999997</v>
      </c>
      <c r="P14" s="159">
        <f>'R1'!S28</f>
        <v>7.2290300544779224E-2</v>
      </c>
      <c r="Q14" s="51">
        <f>'R1'!S30</f>
        <v>6.6197999999999855</v>
      </c>
      <c r="U14" s="57"/>
      <c r="V14" s="241">
        <v>0.5</v>
      </c>
      <c r="W14" s="237">
        <f>W8+W10*V14</f>
        <v>20.505000000000003</v>
      </c>
      <c r="X14" s="57"/>
      <c r="Y14" s="57"/>
    </row>
    <row r="15" spans="1:33" ht="15" customHeight="1" x14ac:dyDescent="0.3">
      <c r="B15" s="59"/>
      <c r="C15" s="76"/>
      <c r="D15" s="55" t="s">
        <v>41</v>
      </c>
      <c r="E15" s="64"/>
      <c r="F15" s="216">
        <v>4.6199999999999998E-2</v>
      </c>
      <c r="G15" s="216">
        <v>4.8070000000000002E-2</v>
      </c>
      <c r="H15" s="216">
        <f>G15</f>
        <v>4.8070000000000002E-2</v>
      </c>
      <c r="I15" s="62">
        <f>H15-F15</f>
        <v>1.8700000000000036E-3</v>
      </c>
      <c r="J15" s="62">
        <f>H15-G15</f>
        <v>0</v>
      </c>
      <c r="K15" s="64"/>
      <c r="L15" s="47"/>
      <c r="M15" s="47"/>
      <c r="N15" s="47"/>
      <c r="O15" s="47"/>
      <c r="P15" s="159"/>
      <c r="Q15" s="73"/>
      <c r="U15" s="197" t="s">
        <v>188</v>
      </c>
      <c r="V15" s="54">
        <f>(W15-W8)/W10</f>
        <v>0.32181818181818195</v>
      </c>
      <c r="W15" s="238">
        <v>16.839800000000004</v>
      </c>
      <c r="Y15" s="57"/>
    </row>
    <row r="16" spans="1:33" ht="9" customHeight="1" x14ac:dyDescent="0.3">
      <c r="B16" s="63"/>
      <c r="C16" s="77"/>
      <c r="D16" s="64"/>
      <c r="E16" s="64"/>
      <c r="F16" s="64"/>
      <c r="G16" s="64"/>
      <c r="H16" s="64"/>
      <c r="I16" s="64"/>
      <c r="J16" s="64"/>
      <c r="K16" s="64"/>
      <c r="L16" s="65"/>
      <c r="M16" s="65"/>
      <c r="N16" s="65"/>
      <c r="O16" s="65"/>
      <c r="P16" s="160"/>
      <c r="Q16" s="74"/>
      <c r="U16" s="57"/>
    </row>
    <row r="17" spans="1:25" ht="15" customHeight="1" x14ac:dyDescent="0.3">
      <c r="A17" s="66">
        <v>3</v>
      </c>
      <c r="B17" s="2" t="str">
        <f>List!B8</f>
        <v>General Purpose Part 1 &lt; 50 KVA</v>
      </c>
      <c r="C17" s="75" t="str">
        <f>List!C8</f>
        <v>GP1</v>
      </c>
      <c r="D17" s="55" t="s">
        <v>108</v>
      </c>
      <c r="E17" s="64"/>
      <c r="F17" s="16">
        <v>10</v>
      </c>
      <c r="G17" s="16">
        <v>10.4</v>
      </c>
      <c r="H17" s="16">
        <f>H11+(G17-G11)</f>
        <v>17.019800000000004</v>
      </c>
      <c r="I17" s="60">
        <f>H17-F17</f>
        <v>7.0198000000000036</v>
      </c>
      <c r="J17" s="60">
        <f>H17-G17</f>
        <v>6.6198000000000032</v>
      </c>
      <c r="K17" s="64"/>
      <c r="L17" s="47">
        <f>'GP1'!G24</f>
        <v>3988146.0379200005</v>
      </c>
      <c r="M17" s="47">
        <f>'GP1'!J24</f>
        <v>4101275.0041999999</v>
      </c>
      <c r="N17" s="47">
        <f>'GP1'!S24</f>
        <v>4351268.9159779996</v>
      </c>
      <c r="O17" s="47">
        <f>'GP1'!S26</f>
        <v>249993.91177799972</v>
      </c>
      <c r="P17" s="159">
        <f>'GP1'!S28</f>
        <v>6.0955169190553674E-2</v>
      </c>
      <c r="Q17" s="51">
        <f>'GP1'!S30</f>
        <v>7.1259880217205325</v>
      </c>
      <c r="U17" s="57"/>
      <c r="V17" s="90" t="s">
        <v>159</v>
      </c>
      <c r="W17" s="235">
        <v>1.1628499999999999</v>
      </c>
      <c r="X17" s="177"/>
      <c r="Y17" s="177"/>
    </row>
    <row r="18" spans="1:25" ht="15" customHeight="1" x14ac:dyDescent="0.3">
      <c r="B18" s="59"/>
      <c r="C18" s="76"/>
      <c r="D18" s="55" t="s">
        <v>41</v>
      </c>
      <c r="E18" s="64"/>
      <c r="F18" s="216">
        <v>7.8240000000000004E-2</v>
      </c>
      <c r="G18" s="216">
        <v>8.14E-2</v>
      </c>
      <c r="H18" s="216">
        <f>ROUND(H12*W18,6)</f>
        <v>8.1825999999999996E-2</v>
      </c>
      <c r="I18" s="62">
        <f>H18-F18</f>
        <v>3.585999999999992E-3</v>
      </c>
      <c r="J18" s="62">
        <f>H18-G18</f>
        <v>4.2599999999999583E-4</v>
      </c>
      <c r="K18" s="64"/>
      <c r="L18" s="47"/>
      <c r="M18" s="47"/>
      <c r="N18" s="47"/>
      <c r="O18" s="47"/>
      <c r="P18" s="159"/>
      <c r="Q18" s="73"/>
      <c r="V18" s="90" t="s">
        <v>160</v>
      </c>
      <c r="W18" s="235">
        <v>0.86626535697575346</v>
      </c>
      <c r="X18" s="173"/>
      <c r="Y18" s="175"/>
    </row>
    <row r="19" spans="1:25" ht="15" customHeight="1" x14ac:dyDescent="0.3">
      <c r="B19" s="59"/>
      <c r="C19" s="76"/>
      <c r="D19" s="55" t="s">
        <v>42</v>
      </c>
      <c r="E19" s="64"/>
      <c r="F19" s="16">
        <v>0</v>
      </c>
      <c r="G19" s="16">
        <v>0</v>
      </c>
      <c r="H19" s="16">
        <f t="shared" ref="H19:H28" si="0">G19</f>
        <v>0</v>
      </c>
      <c r="I19" s="62">
        <f>H19-F19</f>
        <v>0</v>
      </c>
      <c r="J19" s="62">
        <f>H19-G19</f>
        <v>0</v>
      </c>
      <c r="K19" s="64"/>
      <c r="L19" s="47"/>
      <c r="M19" s="47"/>
      <c r="N19" s="47"/>
      <c r="O19" s="47"/>
      <c r="P19" s="159"/>
      <c r="Q19" s="73"/>
    </row>
    <row r="20" spans="1:25" ht="9" customHeight="1" x14ac:dyDescent="0.3">
      <c r="B20" s="63"/>
      <c r="C20" s="77"/>
      <c r="D20" s="64"/>
      <c r="E20" s="64"/>
      <c r="F20" s="64"/>
      <c r="G20" s="64"/>
      <c r="H20" s="64"/>
      <c r="I20" s="64"/>
      <c r="J20" s="64"/>
      <c r="K20" s="64"/>
      <c r="L20" s="65"/>
      <c r="M20" s="65"/>
      <c r="N20" s="65"/>
      <c r="O20" s="65"/>
      <c r="P20" s="160"/>
      <c r="Q20" s="74"/>
      <c r="X20" s="173"/>
      <c r="Y20" s="175"/>
    </row>
    <row r="21" spans="1:25" ht="15" customHeight="1" x14ac:dyDescent="0.3">
      <c r="A21" s="66">
        <v>4</v>
      </c>
      <c r="B21" s="2" t="str">
        <f>List!B9</f>
        <v>General Purpose Part 2 &gt; 50 KVA</v>
      </c>
      <c r="C21" s="75" t="str">
        <f>List!C9</f>
        <v>GP2</v>
      </c>
      <c r="D21" s="55" t="s">
        <v>108</v>
      </c>
      <c r="E21" s="64"/>
      <c r="F21" s="16">
        <v>49.78</v>
      </c>
      <c r="G21" s="16">
        <v>51.79</v>
      </c>
      <c r="H21" s="16">
        <f t="shared" si="0"/>
        <v>51.79</v>
      </c>
      <c r="I21" s="60">
        <f>H21-F21</f>
        <v>2.009999999999998</v>
      </c>
      <c r="J21" s="60">
        <f>H21-G21</f>
        <v>0</v>
      </c>
      <c r="K21" s="64"/>
      <c r="L21" s="47">
        <f>'GP2'!G27</f>
        <v>7639403.473840001</v>
      </c>
      <c r="M21" s="47">
        <f>'GP2'!J27</f>
        <v>7852886.1560999993</v>
      </c>
      <c r="N21" s="47">
        <f>'GP2'!S27</f>
        <v>7852886.1560999993</v>
      </c>
      <c r="O21" s="47">
        <f>'GP2'!S29</f>
        <v>0</v>
      </c>
      <c r="P21" s="159">
        <f>'GP2'!S31</f>
        <v>0</v>
      </c>
      <c r="Q21" s="51">
        <f>'GP2'!S33</f>
        <v>0</v>
      </c>
      <c r="X21" s="172"/>
      <c r="Y21" s="175"/>
    </row>
    <row r="22" spans="1:25" ht="15" customHeight="1" x14ac:dyDescent="0.3">
      <c r="B22" s="59"/>
      <c r="C22" s="76"/>
      <c r="D22" s="55" t="s">
        <v>41</v>
      </c>
      <c r="E22" s="64"/>
      <c r="F22" s="216">
        <v>5.7770000000000002E-2</v>
      </c>
      <c r="G22" s="216">
        <v>6.0109999999999997E-2</v>
      </c>
      <c r="H22" s="216">
        <f t="shared" si="0"/>
        <v>6.0109999999999997E-2</v>
      </c>
      <c r="I22" s="62">
        <f>H22-F22</f>
        <v>2.3399999999999949E-3</v>
      </c>
      <c r="J22" s="62">
        <f>H22-G22</f>
        <v>0</v>
      </c>
      <c r="K22" s="64"/>
      <c r="L22" s="47"/>
      <c r="M22" s="47"/>
      <c r="N22" s="47"/>
      <c r="O22" s="47"/>
      <c r="P22" s="159"/>
      <c r="Q22" s="73"/>
      <c r="X22" s="174"/>
      <c r="Y22" s="175"/>
    </row>
    <row r="23" spans="1:25" ht="15" customHeight="1" x14ac:dyDescent="0.3">
      <c r="B23" s="59"/>
      <c r="C23" s="76"/>
      <c r="D23" s="55" t="s">
        <v>42</v>
      </c>
      <c r="E23" s="64"/>
      <c r="F23" s="16">
        <v>5.32</v>
      </c>
      <c r="G23" s="16">
        <v>5.54</v>
      </c>
      <c r="H23" s="16">
        <f t="shared" si="0"/>
        <v>5.54</v>
      </c>
      <c r="I23" s="62">
        <f>H23-F23</f>
        <v>0.21999999999999975</v>
      </c>
      <c r="J23" s="62">
        <f>H23-G23</f>
        <v>0</v>
      </c>
      <c r="K23" s="64"/>
      <c r="L23" s="47"/>
      <c r="M23" s="47"/>
      <c r="N23" s="47"/>
      <c r="O23" s="47"/>
      <c r="P23" s="159"/>
      <c r="Q23" s="73"/>
    </row>
    <row r="24" spans="1:25" ht="9" customHeight="1" x14ac:dyDescent="0.3">
      <c r="B24" s="63"/>
      <c r="C24" s="77"/>
      <c r="D24" s="64"/>
      <c r="E24" s="64"/>
      <c r="F24" s="64"/>
      <c r="G24" s="64"/>
      <c r="H24" s="215"/>
      <c r="I24" s="64"/>
      <c r="J24" s="64"/>
      <c r="K24" s="64"/>
      <c r="L24" s="65"/>
      <c r="M24" s="65"/>
      <c r="N24" s="65"/>
      <c r="O24" s="65"/>
      <c r="P24" s="160"/>
      <c r="Q24" s="74"/>
      <c r="T24" s="156"/>
      <c r="U24" s="209"/>
      <c r="V24" s="208"/>
      <c r="Y24" s="175"/>
    </row>
    <row r="25" spans="1:25" ht="15" customHeight="1" x14ac:dyDescent="0.3">
      <c r="A25" s="66">
        <v>5</v>
      </c>
      <c r="B25" s="2" t="str">
        <f>List!B10</f>
        <v>Large Industrial</v>
      </c>
      <c r="C25" s="76" t="str">
        <f>List!C10</f>
        <v>B1</v>
      </c>
      <c r="D25" s="55" t="s">
        <v>108</v>
      </c>
      <c r="E25" s="64"/>
      <c r="F25" s="60">
        <v>1225.55</v>
      </c>
      <c r="G25" s="60">
        <v>1275.1199999999999</v>
      </c>
      <c r="H25" s="60">
        <f t="shared" si="0"/>
        <v>1275.1199999999999</v>
      </c>
      <c r="I25" s="60">
        <f>H25-F25</f>
        <v>49.569999999999936</v>
      </c>
      <c r="J25" s="60"/>
      <c r="K25" s="64"/>
      <c r="L25" s="47">
        <f>'B1'!G31</f>
        <v>2186290.4320399999</v>
      </c>
      <c r="M25" s="47">
        <f>'B1'!J31</f>
        <v>2248294.6641199999</v>
      </c>
      <c r="N25" s="47">
        <f>'B1'!S31</f>
        <v>2248294.6641199999</v>
      </c>
      <c r="O25" s="47">
        <f>'B1'!S33</f>
        <v>0</v>
      </c>
      <c r="P25" s="159">
        <f>'B1'!S35</f>
        <v>0</v>
      </c>
      <c r="Q25" s="51">
        <f>'B1'!S37</f>
        <v>0</v>
      </c>
      <c r="W25" s="154"/>
    </row>
    <row r="26" spans="1:25" ht="15.6" customHeight="1" x14ac:dyDescent="0.3">
      <c r="B26" s="59"/>
      <c r="C26" s="76"/>
      <c r="D26" s="55" t="s">
        <v>41</v>
      </c>
      <c r="E26" s="64"/>
      <c r="F26" s="216">
        <v>4.8959999999999997E-2</v>
      </c>
      <c r="G26" s="216">
        <v>5.0939999999999999E-2</v>
      </c>
      <c r="H26" s="55">
        <f t="shared" si="0"/>
        <v>5.0939999999999999E-2</v>
      </c>
      <c r="K26" s="64"/>
      <c r="L26" s="84"/>
      <c r="M26" s="84"/>
      <c r="N26" s="84"/>
      <c r="O26" s="84"/>
      <c r="P26" s="158"/>
      <c r="Q26" s="73"/>
    </row>
    <row r="27" spans="1:25" ht="15" customHeight="1" x14ac:dyDescent="0.3">
      <c r="B27" s="2"/>
      <c r="C27" s="76"/>
      <c r="D27" s="55" t="s">
        <v>126</v>
      </c>
      <c r="E27" s="64"/>
      <c r="F27" s="222">
        <v>6.18</v>
      </c>
      <c r="G27" s="222">
        <v>6.43</v>
      </c>
      <c r="H27" s="151">
        <f t="shared" si="0"/>
        <v>6.43</v>
      </c>
      <c r="I27" s="151"/>
      <c r="J27" s="151"/>
      <c r="K27" s="64"/>
      <c r="L27" s="84"/>
      <c r="M27" s="84"/>
      <c r="N27" s="84"/>
      <c r="O27" s="84"/>
      <c r="P27" s="158"/>
      <c r="Q27" s="94"/>
    </row>
    <row r="28" spans="1:25" x14ac:dyDescent="0.3">
      <c r="B28" s="59"/>
      <c r="C28" s="76"/>
      <c r="D28" s="55" t="s">
        <v>125</v>
      </c>
      <c r="E28" s="64"/>
      <c r="F28" s="222">
        <v>8.9600000000000009</v>
      </c>
      <c r="G28" s="222">
        <v>9.32</v>
      </c>
      <c r="H28" s="151">
        <f t="shared" si="0"/>
        <v>9.32</v>
      </c>
      <c r="I28" s="152"/>
      <c r="J28" s="152"/>
      <c r="K28" s="64"/>
      <c r="L28" s="84"/>
      <c r="M28" s="84"/>
      <c r="N28" s="84"/>
      <c r="O28" s="84"/>
      <c r="P28" s="158"/>
      <c r="Q28" s="73"/>
    </row>
    <row r="29" spans="1:25" ht="9" customHeight="1" x14ac:dyDescent="0.3">
      <c r="B29" s="63"/>
      <c r="C29" s="77"/>
      <c r="D29" s="64"/>
      <c r="E29" s="64"/>
      <c r="F29" s="64"/>
      <c r="G29" s="64"/>
      <c r="H29" s="215"/>
      <c r="I29" s="64"/>
      <c r="J29" s="64"/>
      <c r="K29" s="64"/>
      <c r="L29" s="65"/>
      <c r="M29" s="65"/>
      <c r="N29" s="65"/>
      <c r="O29" s="65"/>
      <c r="P29" s="160"/>
      <c r="Q29" s="74"/>
      <c r="T29" s="156"/>
      <c r="U29" s="209"/>
      <c r="V29" s="208"/>
      <c r="Y29" s="175"/>
    </row>
    <row r="30" spans="1:25" ht="16.2" customHeight="1" x14ac:dyDescent="0.3">
      <c r="A30" s="66">
        <v>6</v>
      </c>
      <c r="B30" s="59" t="str">
        <f>List!B11</f>
        <v xml:space="preserve">Street Lighting </v>
      </c>
      <c r="C30" s="232" t="str">
        <f>List!C11</f>
        <v>SL</v>
      </c>
      <c r="D30" s="2" t="s">
        <v>153</v>
      </c>
      <c r="E30" s="64"/>
      <c r="F30" s="151"/>
      <c r="G30" s="151"/>
      <c r="H30" s="151"/>
      <c r="I30" s="151"/>
      <c r="J30" s="151"/>
      <c r="K30" s="64"/>
      <c r="L30" s="84">
        <f>SL!H33</f>
        <v>491651.16000000009</v>
      </c>
      <c r="M30" s="84">
        <f>SL!K33</f>
        <v>511151.41</v>
      </c>
      <c r="N30" s="84">
        <f>SL!Q33</f>
        <v>511151.41</v>
      </c>
      <c r="O30" s="84">
        <f>SL!Q35</f>
        <v>0</v>
      </c>
      <c r="P30" s="158">
        <f>SL!Q37</f>
        <v>0</v>
      </c>
      <c r="Q30" s="51">
        <f>SL!Q39</f>
        <v>0</v>
      </c>
    </row>
    <row r="31" spans="1:25" ht="9" customHeight="1" x14ac:dyDescent="0.3">
      <c r="B31" s="63"/>
      <c r="C31" s="77"/>
      <c r="D31" s="64"/>
      <c r="E31" s="64"/>
      <c r="F31" s="64"/>
      <c r="G31" s="64"/>
      <c r="H31" s="215"/>
      <c r="I31" s="64"/>
      <c r="J31" s="64"/>
      <c r="K31" s="64"/>
      <c r="L31" s="65"/>
      <c r="M31" s="65"/>
      <c r="N31" s="65"/>
      <c r="O31" s="65"/>
      <c r="P31" s="160"/>
      <c r="Q31" s="74"/>
      <c r="T31" s="156"/>
      <c r="U31" s="209"/>
      <c r="V31" s="208"/>
      <c r="Y31" s="175"/>
    </row>
    <row r="32" spans="1:25" x14ac:dyDescent="0.3">
      <c r="A32" s="66">
        <v>7</v>
      </c>
      <c r="B32" s="59" t="str">
        <f>List!B12</f>
        <v>Special Contract</v>
      </c>
      <c r="C32" s="232" t="str">
        <f>List!C12</f>
        <v>TGP</v>
      </c>
      <c r="D32" s="55" t="s">
        <v>154</v>
      </c>
      <c r="E32" s="64"/>
      <c r="F32" s="233"/>
      <c r="G32" s="233"/>
      <c r="H32" s="233"/>
      <c r="I32" s="151"/>
      <c r="J32" s="151"/>
      <c r="K32" s="64"/>
      <c r="L32" s="84">
        <f>Billings!P36</f>
        <v>4049249.58</v>
      </c>
      <c r="M32" s="84">
        <f>L32</f>
        <v>4049249.58</v>
      </c>
      <c r="N32" s="84">
        <f>M32</f>
        <v>4049249.58</v>
      </c>
      <c r="O32" s="84"/>
      <c r="P32" s="158"/>
      <c r="Q32" s="32"/>
    </row>
    <row r="33" spans="1:22" hidden="1" x14ac:dyDescent="0.3">
      <c r="B33" s="59"/>
      <c r="C33" s="76"/>
      <c r="E33" s="64"/>
      <c r="F33" s="216"/>
      <c r="G33" s="216"/>
      <c r="H33" s="216"/>
      <c r="I33" s="151"/>
      <c r="J33" s="151"/>
      <c r="K33" s="64"/>
      <c r="L33" s="84"/>
      <c r="M33" s="84"/>
      <c r="N33" s="84"/>
      <c r="O33" s="84"/>
      <c r="P33" s="158"/>
    </row>
    <row r="34" spans="1:22" hidden="1" x14ac:dyDescent="0.3">
      <c r="B34" s="59"/>
      <c r="C34" s="76"/>
      <c r="E34" s="64"/>
      <c r="F34" s="151"/>
      <c r="G34" s="151"/>
      <c r="H34" s="151"/>
      <c r="I34" s="151"/>
      <c r="J34" s="151"/>
      <c r="K34" s="64"/>
      <c r="L34" s="84"/>
      <c r="M34" s="84"/>
      <c r="N34" s="84"/>
      <c r="O34" s="84"/>
      <c r="P34" s="158"/>
    </row>
    <row r="35" spans="1:22" ht="9" customHeight="1" x14ac:dyDescent="0.3">
      <c r="B35" s="63"/>
      <c r="C35" s="78"/>
      <c r="D35" s="64"/>
      <c r="E35" s="64"/>
      <c r="F35" s="64"/>
      <c r="G35" s="64"/>
      <c r="H35" s="64"/>
      <c r="I35" s="64"/>
      <c r="J35" s="64"/>
      <c r="K35" s="64"/>
      <c r="L35" s="65"/>
      <c r="M35" s="65"/>
      <c r="N35" s="65"/>
      <c r="O35" s="65"/>
      <c r="P35" s="160"/>
      <c r="Q35" s="64"/>
    </row>
    <row r="36" spans="1:22" ht="33" customHeight="1" thickBot="1" x14ac:dyDescent="0.35">
      <c r="A36" s="91">
        <v>6</v>
      </c>
      <c r="B36" s="68" t="s">
        <v>34</v>
      </c>
      <c r="C36" s="79"/>
      <c r="D36" s="68"/>
      <c r="E36" s="64"/>
      <c r="F36" s="68"/>
      <c r="G36" s="68"/>
      <c r="H36" s="68"/>
      <c r="I36" s="68"/>
      <c r="J36" s="68"/>
      <c r="K36" s="64"/>
      <c r="L36" s="69">
        <f>SUM(L11:L35)</f>
        <v>49001536.669899993</v>
      </c>
      <c r="M36" s="69">
        <f>SUM(M11:M35)</f>
        <v>50294672.460559994</v>
      </c>
      <c r="N36" s="69">
        <f>SUM(N11:N35)</f>
        <v>56671934.653461993</v>
      </c>
      <c r="O36" s="69">
        <f>SUM(O11:O35)</f>
        <v>6377262.1929020062</v>
      </c>
      <c r="P36" s="161">
        <f>O36/M36</f>
        <v>0.12679796648249214</v>
      </c>
      <c r="Q36" s="70"/>
    </row>
    <row r="37" spans="1:22" s="71" customFormat="1" ht="31.5" customHeight="1" thickTop="1" x14ac:dyDescent="0.3">
      <c r="A37" s="91"/>
      <c r="C37" s="91"/>
      <c r="L37" s="92"/>
      <c r="M37" s="92"/>
      <c r="N37" s="92"/>
      <c r="O37" s="92"/>
      <c r="P37" s="93"/>
      <c r="Q37" s="93"/>
      <c r="S37" s="55"/>
      <c r="T37" s="61"/>
      <c r="U37" s="88"/>
      <c r="V37" s="72"/>
    </row>
    <row r="38" spans="1:22" s="71" customFormat="1" ht="15.75" customHeight="1" x14ac:dyDescent="0.3">
      <c r="A38" s="66"/>
      <c r="B38" s="55"/>
      <c r="C38" s="66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90" t="s">
        <v>88</v>
      </c>
      <c r="O38" s="49">
        <v>6377383.0649512382</v>
      </c>
      <c r="P38" s="55"/>
      <c r="Q38" s="55"/>
      <c r="S38" s="55"/>
      <c r="T38" s="61"/>
      <c r="U38" s="88"/>
      <c r="V38" s="72"/>
    </row>
    <row r="39" spans="1:22" x14ac:dyDescent="0.3">
      <c r="D39" s="66"/>
      <c r="E39" s="66"/>
      <c r="F39" s="66"/>
      <c r="G39" s="66"/>
      <c r="H39" s="66"/>
      <c r="I39" s="66"/>
      <c r="N39" s="90" t="s">
        <v>89</v>
      </c>
      <c r="O39" s="19">
        <f>O36-O38</f>
        <v>-120.87204923201352</v>
      </c>
    </row>
    <row r="40" spans="1:22" x14ac:dyDescent="0.3">
      <c r="M40" s="10"/>
      <c r="N40" s="19"/>
      <c r="P40" s="67"/>
    </row>
    <row r="41" spans="1:22" x14ac:dyDescent="0.3">
      <c r="M41" s="10"/>
      <c r="N41" s="61"/>
      <c r="P41" s="178"/>
    </row>
    <row r="42" spans="1:22" x14ac:dyDescent="0.3">
      <c r="M42" s="10"/>
      <c r="N42" s="10"/>
    </row>
    <row r="43" spans="1:22" x14ac:dyDescent="0.3">
      <c r="M43" s="10"/>
      <c r="N43" s="61"/>
    </row>
    <row r="44" spans="1:22" x14ac:dyDescent="0.3">
      <c r="M44" s="10"/>
      <c r="N44" s="10"/>
    </row>
    <row r="45" spans="1:22" x14ac:dyDescent="0.3">
      <c r="M45" s="10"/>
      <c r="N45" s="61"/>
    </row>
    <row r="46" spans="1:22" x14ac:dyDescent="0.3">
      <c r="M46" s="10"/>
      <c r="N46" s="10"/>
    </row>
    <row r="47" spans="1:22" x14ac:dyDescent="0.3">
      <c r="M47" s="10"/>
      <c r="N47" s="61"/>
    </row>
    <row r="48" spans="1:22" x14ac:dyDescent="0.3">
      <c r="M48" s="10"/>
    </row>
    <row r="49" spans="3:13" x14ac:dyDescent="0.3">
      <c r="M49" s="10"/>
    </row>
    <row r="50" spans="3:13" x14ac:dyDescent="0.3">
      <c r="M50" s="10"/>
    </row>
    <row r="51" spans="3:13" x14ac:dyDescent="0.3">
      <c r="M51" s="10"/>
    </row>
    <row r="52" spans="3:13" x14ac:dyDescent="0.3">
      <c r="M52" s="10"/>
    </row>
    <row r="62" spans="3:13" x14ac:dyDescent="0.3">
      <c r="F62" s="66"/>
    </row>
    <row r="63" spans="3:13" x14ac:dyDescent="0.3">
      <c r="F63" s="66"/>
    </row>
    <row r="64" spans="3:13" x14ac:dyDescent="0.3">
      <c r="C64" s="55"/>
      <c r="F64" s="61"/>
      <c r="G64" s="72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</sheetData>
  <dataConsolidate/>
  <mergeCells count="3">
    <mergeCell ref="B4:D4"/>
    <mergeCell ref="L4:Q4"/>
    <mergeCell ref="F4:J4"/>
  </mergeCells>
  <printOptions horizontalCentered="1"/>
  <pageMargins left="0.5" right="0.5" top="1.5" bottom="0.5" header="0.3" footer="0.3"/>
  <pageSetup scale="66" orientation="landscape" r:id="rId1"/>
  <headerFooter>
    <oddFooter>&amp;RExhibit JW-9
Page &amp;P of &amp;N</oddFooter>
  </headerFooter>
  <colBreaks count="1" manualBreakCount="1">
    <brk id="17" max="49" man="1"/>
  </colBreaks>
  <ignoredErrors>
    <ignoredError sqref="D8 F8:J8 L8:Q8 B8:C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4B0A-56F3-4CD8-B0F2-CE8E5EE8C859}">
  <sheetPr codeName="Sheet17">
    <pageSetUpPr fitToPage="1"/>
  </sheetPr>
  <dimension ref="A1:K87"/>
  <sheetViews>
    <sheetView topLeftCell="A15" zoomScaleNormal="100" workbookViewId="0">
      <selection activeCell="H32" sqref="H32"/>
    </sheetView>
  </sheetViews>
  <sheetFormatPr defaultColWidth="9.109375" defaultRowHeight="13.2" x14ac:dyDescent="0.25"/>
  <cols>
    <col min="1" max="1" width="3.33203125" style="99" customWidth="1"/>
    <col min="2" max="2" width="6.21875" style="99" customWidth="1"/>
    <col min="3" max="3" width="6" style="99" customWidth="1"/>
    <col min="4" max="4" width="35.44140625" style="99" customWidth="1"/>
    <col min="5" max="5" width="12.33203125" style="99" bestFit="1" customWidth="1"/>
    <col min="6" max="7" width="11.6640625" style="99" customWidth="1"/>
    <col min="8" max="8" width="9.5546875" style="99" bestFit="1" customWidth="1"/>
    <col min="9" max="9" width="37" style="107" bestFit="1" customWidth="1"/>
    <col min="10" max="10" width="14.6640625" style="107" customWidth="1"/>
    <col min="11" max="11" width="10.109375" style="99" customWidth="1"/>
    <col min="12" max="14" width="9.109375" style="107"/>
    <col min="15" max="15" width="52" style="107" bestFit="1" customWidth="1"/>
    <col min="16" max="16384" width="9.109375" style="107"/>
  </cols>
  <sheetData>
    <row r="1" spans="1:11" ht="17.399999999999999" x14ac:dyDescent="0.3">
      <c r="A1" s="191" t="str">
        <f>List!A1</f>
        <v>Taylor County RECC</v>
      </c>
      <c r="B1" s="191"/>
      <c r="C1" s="107"/>
      <c r="D1" s="107"/>
      <c r="E1" s="107"/>
      <c r="F1" s="107"/>
      <c r="G1" s="107"/>
      <c r="H1" s="107"/>
      <c r="K1" s="107"/>
    </row>
    <row r="2" spans="1:11" x14ac:dyDescent="0.25">
      <c r="A2" s="95"/>
      <c r="B2" s="95"/>
      <c r="C2" s="107"/>
      <c r="D2" s="107"/>
      <c r="E2" s="107"/>
      <c r="F2" s="107"/>
      <c r="G2" s="107"/>
      <c r="H2" s="107"/>
      <c r="K2" s="107"/>
    </row>
    <row r="3" spans="1:11" x14ac:dyDescent="0.25">
      <c r="A3" s="95" t="s">
        <v>68</v>
      </c>
      <c r="B3" s="95"/>
      <c r="C3" s="107"/>
      <c r="D3" s="107"/>
      <c r="E3" s="107"/>
      <c r="F3" s="107"/>
      <c r="G3" s="107"/>
      <c r="H3" s="107"/>
      <c r="K3" s="107"/>
    </row>
    <row r="4" spans="1:11" ht="12.75" customHeight="1" x14ac:dyDescent="0.25">
      <c r="A4" s="107"/>
      <c r="B4" s="107"/>
      <c r="C4" s="107"/>
      <c r="D4" s="107"/>
      <c r="E4" s="107"/>
      <c r="F4" s="107"/>
      <c r="G4" s="107"/>
      <c r="H4" s="107"/>
    </row>
    <row r="5" spans="1:11" ht="12.75" customHeight="1" x14ac:dyDescent="0.25">
      <c r="A5" s="107"/>
      <c r="B5" s="107"/>
      <c r="C5" s="107"/>
      <c r="D5" s="107"/>
      <c r="E5" s="281" t="s">
        <v>24</v>
      </c>
      <c r="F5" s="281"/>
      <c r="G5" s="107"/>
      <c r="J5" s="99"/>
      <c r="K5" s="107"/>
    </row>
    <row r="6" spans="1:11" x14ac:dyDescent="0.25">
      <c r="A6" s="107"/>
      <c r="B6" s="96" t="s">
        <v>23</v>
      </c>
      <c r="D6" s="107"/>
      <c r="E6" s="149" t="s">
        <v>26</v>
      </c>
      <c r="F6" s="149" t="s">
        <v>27</v>
      </c>
      <c r="G6" s="107"/>
      <c r="J6" s="99"/>
      <c r="K6" s="107"/>
    </row>
    <row r="7" spans="1:11" x14ac:dyDescent="0.25">
      <c r="A7" s="107"/>
      <c r="B7" s="107" t="str">
        <f>'Present and Proposed Rates'!C11</f>
        <v>A</v>
      </c>
      <c r="C7" s="284" t="str">
        <f>'Present and Proposed Rates'!B11</f>
        <v>Residential Farm &amp; Home</v>
      </c>
      <c r="D7" s="284"/>
      <c r="E7" s="107"/>
      <c r="F7" s="107"/>
      <c r="G7" s="107"/>
      <c r="J7" s="99"/>
      <c r="K7" s="107"/>
    </row>
    <row r="8" spans="1:11" x14ac:dyDescent="0.25">
      <c r="A8" s="107"/>
      <c r="B8" s="107"/>
      <c r="C8" s="97"/>
      <c r="D8" s="146" t="s">
        <v>111</v>
      </c>
      <c r="E8" s="153">
        <f>'Present and Proposed Rates'!G11</f>
        <v>10.220000000000001</v>
      </c>
      <c r="F8" s="153">
        <f>'Present and Proposed Rates'!H11</f>
        <v>16.839800000000004</v>
      </c>
      <c r="G8" s="107"/>
      <c r="J8" s="99"/>
      <c r="K8" s="153"/>
    </row>
    <row r="9" spans="1:11" x14ac:dyDescent="0.25">
      <c r="A9" s="107"/>
      <c r="B9" s="107"/>
      <c r="C9" s="98"/>
      <c r="D9" s="146" t="s">
        <v>110</v>
      </c>
      <c r="E9" s="219">
        <f>'Present and Proposed Rates'!G12</f>
        <v>8.1229999999999997E-2</v>
      </c>
      <c r="F9" s="219">
        <f>'Present and Proposed Rates'!H12</f>
        <v>9.4458E-2</v>
      </c>
      <c r="G9" s="107"/>
      <c r="J9" s="99"/>
      <c r="K9" s="219"/>
    </row>
    <row r="10" spans="1:11" x14ac:dyDescent="0.25">
      <c r="A10" s="107"/>
      <c r="B10" s="107" t="str">
        <f>'Present and Proposed Rates'!C14</f>
        <v>R-1</v>
      </c>
      <c r="C10" s="97" t="str">
        <f>'Present and Proposed Rates'!B14</f>
        <v>Residential Marketing Rate</v>
      </c>
      <c r="D10" s="107"/>
      <c r="E10" s="219"/>
      <c r="F10" s="219"/>
      <c r="G10" s="107"/>
      <c r="J10" s="99"/>
      <c r="K10" s="247"/>
    </row>
    <row r="11" spans="1:11" x14ac:dyDescent="0.25">
      <c r="A11" s="107"/>
      <c r="B11" s="107"/>
      <c r="C11" s="98"/>
      <c r="D11" s="146" t="s">
        <v>110</v>
      </c>
      <c r="E11" s="219">
        <f>'Present and Proposed Rates'!G15</f>
        <v>4.8070000000000002E-2</v>
      </c>
      <c r="F11" s="219">
        <f>'Present and Proposed Rates'!H15</f>
        <v>4.8070000000000002E-2</v>
      </c>
      <c r="G11" s="107"/>
      <c r="J11" s="99"/>
      <c r="K11" s="219"/>
    </row>
    <row r="12" spans="1:11" x14ac:dyDescent="0.25">
      <c r="A12" s="107"/>
      <c r="B12" s="107" t="str">
        <f>'Present and Proposed Rates'!C17</f>
        <v>GP1</v>
      </c>
      <c r="C12" s="97" t="str">
        <f>'Present and Proposed Rates'!B17</f>
        <v>General Purpose Part 1 &lt; 50 KVA</v>
      </c>
      <c r="D12" s="107"/>
      <c r="E12" s="219"/>
      <c r="F12" s="219"/>
      <c r="G12" s="107"/>
      <c r="J12" s="99"/>
      <c r="K12" s="247"/>
    </row>
    <row r="13" spans="1:11" x14ac:dyDescent="0.25">
      <c r="A13" s="107"/>
      <c r="B13" s="107"/>
      <c r="C13" s="97"/>
      <c r="D13" s="146" t="s">
        <v>109</v>
      </c>
      <c r="E13" s="220">
        <f>'Present and Proposed Rates'!G17</f>
        <v>10.4</v>
      </c>
      <c r="F13" s="220">
        <f>'Present and Proposed Rates'!H17</f>
        <v>17.019800000000004</v>
      </c>
      <c r="G13" s="107"/>
      <c r="J13" s="99"/>
      <c r="K13" s="220"/>
    </row>
    <row r="14" spans="1:11" x14ac:dyDescent="0.25">
      <c r="A14" s="107"/>
      <c r="B14" s="107"/>
      <c r="C14" s="98"/>
      <c r="D14" s="146" t="s">
        <v>110</v>
      </c>
      <c r="E14" s="219">
        <f>'Present and Proposed Rates'!G18</f>
        <v>8.14E-2</v>
      </c>
      <c r="F14" s="219">
        <f>'Present and Proposed Rates'!H18</f>
        <v>8.1825999999999996E-2</v>
      </c>
      <c r="G14" s="107"/>
      <c r="J14" s="99"/>
      <c r="K14" s="219"/>
    </row>
    <row r="15" spans="1:11" x14ac:dyDescent="0.25">
      <c r="A15" s="107"/>
      <c r="B15" s="107" t="str">
        <f>'Present and Proposed Rates'!C21</f>
        <v>GP2</v>
      </c>
      <c r="C15" s="97" t="str">
        <f>'Present and Proposed Rates'!B21</f>
        <v>General Purpose Part 2 &gt; 50 KVA</v>
      </c>
      <c r="D15" s="107"/>
      <c r="E15" s="219"/>
      <c r="F15" s="219"/>
      <c r="G15" s="107"/>
      <c r="J15" s="99"/>
      <c r="K15" s="247"/>
    </row>
    <row r="16" spans="1:11" x14ac:dyDescent="0.25">
      <c r="A16" s="107"/>
      <c r="B16" s="107"/>
      <c r="C16" s="97"/>
      <c r="D16" s="146" t="s">
        <v>109</v>
      </c>
      <c r="E16" s="220">
        <f>'Present and Proposed Rates'!G21</f>
        <v>51.79</v>
      </c>
      <c r="F16" s="220">
        <f>'Present and Proposed Rates'!H21</f>
        <v>51.79</v>
      </c>
      <c r="G16" s="107"/>
      <c r="J16" s="99"/>
      <c r="K16" s="247"/>
    </row>
    <row r="17" spans="2:11" s="107" customFormat="1" x14ac:dyDescent="0.25">
      <c r="C17" s="98"/>
      <c r="D17" s="146" t="s">
        <v>110</v>
      </c>
      <c r="E17" s="219">
        <f>'Present and Proposed Rates'!G22</f>
        <v>6.0109999999999997E-2</v>
      </c>
      <c r="F17" s="219">
        <f>'Present and Proposed Rates'!H22</f>
        <v>6.0109999999999997E-2</v>
      </c>
      <c r="J17" s="99"/>
      <c r="K17" s="247"/>
    </row>
    <row r="18" spans="2:11" s="107" customFormat="1" x14ac:dyDescent="0.25">
      <c r="C18" s="98"/>
      <c r="D18" s="146" t="s">
        <v>112</v>
      </c>
      <c r="E18" s="220">
        <f>'Present and Proposed Rates'!G23</f>
        <v>5.54</v>
      </c>
      <c r="F18" s="220">
        <f>'Present and Proposed Rates'!H23</f>
        <v>5.54</v>
      </c>
      <c r="J18" s="99"/>
      <c r="K18" s="247"/>
    </row>
    <row r="19" spans="2:11" s="107" customFormat="1" x14ac:dyDescent="0.25">
      <c r="B19" s="107" t="str">
        <f>'Present and Proposed Rates'!C25</f>
        <v>B1</v>
      </c>
      <c r="C19" s="98" t="str">
        <f>'Present and Proposed Rates'!B25</f>
        <v>Large Industrial</v>
      </c>
      <c r="D19" s="146"/>
      <c r="E19" s="220"/>
      <c r="F19" s="220"/>
      <c r="J19" s="99"/>
      <c r="K19" s="247"/>
    </row>
    <row r="20" spans="2:11" s="107" customFormat="1" x14ac:dyDescent="0.25">
      <c r="C20" s="98"/>
      <c r="D20" s="146" t="s">
        <v>109</v>
      </c>
      <c r="E20" s="220">
        <f>'Present and Proposed Rates'!G25</f>
        <v>1275.1199999999999</v>
      </c>
      <c r="F20" s="220">
        <f>'Present and Proposed Rates'!H25</f>
        <v>1275.1199999999999</v>
      </c>
      <c r="J20" s="99"/>
      <c r="K20" s="247"/>
    </row>
    <row r="21" spans="2:11" s="107" customFormat="1" x14ac:dyDescent="0.25">
      <c r="C21" s="98"/>
      <c r="D21" s="146" t="s">
        <v>110</v>
      </c>
      <c r="E21" s="219">
        <f>'Present and Proposed Rates'!G26</f>
        <v>5.0939999999999999E-2</v>
      </c>
      <c r="F21" s="219">
        <f>'Present and Proposed Rates'!H26</f>
        <v>5.0939999999999999E-2</v>
      </c>
      <c r="J21" s="99"/>
      <c r="K21" s="247"/>
    </row>
    <row r="22" spans="2:11" s="107" customFormat="1" x14ac:dyDescent="0.25">
      <c r="C22" s="98"/>
      <c r="D22" s="146" t="s">
        <v>162</v>
      </c>
      <c r="E22" s="220">
        <f>'Present and Proposed Rates'!G27</f>
        <v>6.43</v>
      </c>
      <c r="F22" s="220">
        <f>'Present and Proposed Rates'!H27</f>
        <v>6.43</v>
      </c>
      <c r="J22" s="99"/>
      <c r="K22" s="247"/>
    </row>
    <row r="23" spans="2:11" s="107" customFormat="1" x14ac:dyDescent="0.25">
      <c r="C23" s="98"/>
      <c r="D23" s="146" t="s">
        <v>163</v>
      </c>
      <c r="E23" s="220">
        <f>'Present and Proposed Rates'!G28</f>
        <v>9.32</v>
      </c>
      <c r="F23" s="220">
        <f>'Present and Proposed Rates'!H28</f>
        <v>9.32</v>
      </c>
      <c r="J23" s="99"/>
      <c r="K23" s="247"/>
    </row>
    <row r="24" spans="2:11" s="107" customFormat="1" x14ac:dyDescent="0.25">
      <c r="B24" s="107" t="str">
        <f>'Present and Proposed Rates'!C30</f>
        <v>SL</v>
      </c>
      <c r="C24" s="98" t="str">
        <f>'Present and Proposed Rates'!B30</f>
        <v xml:space="preserve">Street Lighting </v>
      </c>
      <c r="D24" s="146"/>
      <c r="E24" s="219"/>
      <c r="F24" s="219"/>
      <c r="J24" s="99"/>
      <c r="K24" s="247"/>
    </row>
    <row r="25" spans="2:11" s="107" customFormat="1" x14ac:dyDescent="0.25">
      <c r="C25" s="98"/>
      <c r="D25" s="146" t="str">
        <f>SL!C12</f>
        <v>175 Watt Mercury Vapor</v>
      </c>
      <c r="E25" s="220">
        <f>SL!J12</f>
        <v>2.95</v>
      </c>
      <c r="F25" s="220">
        <f>SL!O12</f>
        <v>2.95</v>
      </c>
      <c r="J25" s="99"/>
      <c r="K25" s="247"/>
    </row>
    <row r="26" spans="2:11" s="107" customFormat="1" x14ac:dyDescent="0.25">
      <c r="C26" s="98"/>
      <c r="D26" s="146" t="str">
        <f>SL!C13</f>
        <v>400 Watt Mercury Vapor</v>
      </c>
      <c r="E26" s="220">
        <f>SL!J13</f>
        <v>4.7</v>
      </c>
      <c r="F26" s="220">
        <f>SL!O13</f>
        <v>4.7</v>
      </c>
      <c r="J26" s="99"/>
      <c r="K26" s="247"/>
    </row>
    <row r="27" spans="2:11" s="107" customFormat="1" x14ac:dyDescent="0.25">
      <c r="C27" s="98"/>
      <c r="D27" s="146" t="str">
        <f>SL!C14</f>
        <v>100 Watt High Pressure Sodium</v>
      </c>
      <c r="E27" s="220">
        <f>SL!J14</f>
        <v>3.38</v>
      </c>
      <c r="F27" s="220">
        <f>SL!O14</f>
        <v>3.38</v>
      </c>
      <c r="J27" s="99"/>
      <c r="K27" s="247"/>
    </row>
    <row r="28" spans="2:11" s="107" customFormat="1" x14ac:dyDescent="0.25">
      <c r="C28" s="98"/>
      <c r="D28" s="146" t="str">
        <f>SL!C15</f>
        <v>250 Watt High Pressure Sodium</v>
      </c>
      <c r="E28" s="220">
        <f>SL!J15</f>
        <v>5.2</v>
      </c>
      <c r="F28" s="220">
        <f>SL!O15</f>
        <v>5.2</v>
      </c>
      <c r="J28" s="99"/>
      <c r="K28" s="247"/>
    </row>
    <row r="29" spans="2:11" s="107" customFormat="1" x14ac:dyDescent="0.25">
      <c r="C29" s="98"/>
      <c r="D29" s="146" t="str">
        <f>SL!C16</f>
        <v>250 Watt Mercury Vapor</v>
      </c>
      <c r="E29" s="220">
        <f>SL!J16</f>
        <v>3.55</v>
      </c>
      <c r="F29" s="220">
        <f>SL!O16</f>
        <v>3.55</v>
      </c>
      <c r="J29" s="99"/>
      <c r="K29" s="247"/>
    </row>
    <row r="30" spans="2:11" s="107" customFormat="1" x14ac:dyDescent="0.25">
      <c r="C30" s="98"/>
      <c r="D30" s="146" t="str">
        <f>SL!C20</f>
        <v>LED Security Light</v>
      </c>
      <c r="E30" s="220">
        <f>SL!J20</f>
        <v>9.84</v>
      </c>
      <c r="F30" s="220">
        <f>SL!O20</f>
        <v>9.84</v>
      </c>
      <c r="J30" s="99"/>
      <c r="K30" s="247"/>
    </row>
    <row r="31" spans="2:11" s="107" customFormat="1" x14ac:dyDescent="0.25">
      <c r="C31" s="98"/>
      <c r="D31" s="146" t="str">
        <f>SL!C21</f>
        <v>LED Cobra Head Light</v>
      </c>
      <c r="E31" s="220">
        <f>SL!J21</f>
        <v>12.98</v>
      </c>
      <c r="F31" s="220">
        <f>SL!O21</f>
        <v>12.98</v>
      </c>
      <c r="J31" s="99"/>
      <c r="K31" s="247"/>
    </row>
    <row r="32" spans="2:11" s="107" customFormat="1" x14ac:dyDescent="0.25">
      <c r="C32" s="98"/>
      <c r="D32" s="146" t="str">
        <f>SL!C22</f>
        <v>LED Directional Light</v>
      </c>
      <c r="E32" s="220">
        <f>SL!J22</f>
        <v>17.559999999999999</v>
      </c>
      <c r="F32" s="220">
        <f>SL!O22</f>
        <v>17.559999999999999</v>
      </c>
      <c r="J32" s="99"/>
      <c r="K32" s="247"/>
    </row>
    <row r="33" spans="1:11" x14ac:dyDescent="0.25">
      <c r="A33" s="107"/>
      <c r="B33" s="107"/>
      <c r="C33" s="98"/>
      <c r="D33" s="146" t="str">
        <f>SL!C23</f>
        <v>LED LC MTL Pole</v>
      </c>
      <c r="E33" s="220">
        <f>SL!J23</f>
        <v>15.48</v>
      </c>
      <c r="F33" s="220">
        <f>SL!O23</f>
        <v>15.48</v>
      </c>
      <c r="G33" s="107"/>
      <c r="J33" s="99"/>
      <c r="K33" s="247"/>
    </row>
    <row r="34" spans="1:11" ht="9" customHeight="1" x14ac:dyDescent="0.25">
      <c r="A34" s="107"/>
      <c r="B34" s="107"/>
      <c r="C34" s="98"/>
      <c r="D34" s="146"/>
      <c r="E34" s="220"/>
      <c r="F34" s="220"/>
      <c r="G34" s="107"/>
      <c r="H34" s="107"/>
      <c r="J34" s="99"/>
      <c r="K34" s="107"/>
    </row>
    <row r="35" spans="1:11" x14ac:dyDescent="0.25">
      <c r="A35" s="107"/>
      <c r="B35" s="107"/>
      <c r="C35" s="107" t="s">
        <v>90</v>
      </c>
      <c r="H35" s="107"/>
    </row>
    <row r="36" spans="1:11" ht="16.8" customHeight="1" x14ac:dyDescent="0.25">
      <c r="A36" s="107"/>
      <c r="B36" s="97"/>
      <c r="H36" s="107"/>
    </row>
    <row r="37" spans="1:11" ht="48.75" customHeight="1" x14ac:dyDescent="0.25">
      <c r="A37" s="107"/>
      <c r="B37" s="282" t="s">
        <v>71</v>
      </c>
      <c r="C37" s="282"/>
      <c r="D37" s="282"/>
      <c r="E37" s="282"/>
      <c r="F37" s="282"/>
      <c r="H37" s="107"/>
    </row>
    <row r="38" spans="1:11" x14ac:dyDescent="0.25">
      <c r="E38" s="283" t="s">
        <v>28</v>
      </c>
      <c r="F38" s="283"/>
      <c r="H38" s="107"/>
    </row>
    <row r="39" spans="1:11" x14ac:dyDescent="0.25">
      <c r="C39" s="206" t="s">
        <v>23</v>
      </c>
      <c r="D39" s="207"/>
      <c r="E39" s="106" t="s">
        <v>73</v>
      </c>
      <c r="F39" s="106" t="s">
        <v>67</v>
      </c>
      <c r="H39" s="107"/>
    </row>
    <row r="40" spans="1:11" x14ac:dyDescent="0.25">
      <c r="C40" s="99" t="str">
        <f>List!C6</f>
        <v>A</v>
      </c>
      <c r="D40" s="107" t="str">
        <f>List!B6</f>
        <v>Residential Farm &amp; Home</v>
      </c>
      <c r="E40" s="102">
        <f>'Present and Proposed Rates'!O11</f>
        <v>6125858.2637240067</v>
      </c>
      <c r="F40" s="193">
        <f>'Present and Proposed Rates'!P11</f>
        <v>0.19439571789272095</v>
      </c>
      <c r="H40" s="107"/>
    </row>
    <row r="41" spans="1:11" x14ac:dyDescent="0.25">
      <c r="C41" s="99" t="str">
        <f>List!C7</f>
        <v>R-1</v>
      </c>
      <c r="D41" s="107" t="str">
        <f>List!B7</f>
        <v>Residential Marketing Rate</v>
      </c>
      <c r="E41" s="102">
        <f>'Present and Proposed Rates'!O14</f>
        <v>1410.017399999997</v>
      </c>
      <c r="F41" s="193">
        <f>'Present and Proposed Rates'!P14</f>
        <v>7.2290300544779224E-2</v>
      </c>
      <c r="H41" s="107"/>
    </row>
    <row r="42" spans="1:11" x14ac:dyDescent="0.25">
      <c r="C42" s="99" t="str">
        <f>List!C8</f>
        <v>GP1</v>
      </c>
      <c r="D42" s="107" t="str">
        <f>List!B8</f>
        <v>General Purpose Part 1 &lt; 50 KVA</v>
      </c>
      <c r="E42" s="102">
        <f>'Present and Proposed Rates'!O17</f>
        <v>249993.91177799972</v>
      </c>
      <c r="F42" s="193">
        <f>'Present and Proposed Rates'!P17</f>
        <v>6.0955169190553674E-2</v>
      </c>
      <c r="H42" s="107"/>
    </row>
    <row r="43" spans="1:11" x14ac:dyDescent="0.25">
      <c r="C43" s="99" t="str">
        <f>List!C9</f>
        <v>GP2</v>
      </c>
      <c r="D43" s="107" t="str">
        <f>List!B9</f>
        <v>General Purpose Part 2 &gt; 50 KVA</v>
      </c>
      <c r="E43" s="102">
        <f>'Present and Proposed Rates'!O21</f>
        <v>0</v>
      </c>
      <c r="F43" s="204">
        <f>'Present and Proposed Rates'!P21</f>
        <v>0</v>
      </c>
      <c r="H43" s="107"/>
    </row>
    <row r="44" spans="1:11" x14ac:dyDescent="0.25">
      <c r="C44" s="99" t="str">
        <f>List!C10</f>
        <v>B1</v>
      </c>
      <c r="D44" s="107" t="str">
        <f>List!B10</f>
        <v>Large Industrial</v>
      </c>
      <c r="E44" s="102">
        <f>'Present and Proposed Rates'!O25</f>
        <v>0</v>
      </c>
      <c r="F44" s="204">
        <f>'Present and Proposed Rates'!P25</f>
        <v>0</v>
      </c>
      <c r="H44" s="107"/>
    </row>
    <row r="45" spans="1:11" x14ac:dyDescent="0.25">
      <c r="C45" s="99" t="str">
        <f>List!C11</f>
        <v>SL</v>
      </c>
      <c r="D45" s="107" t="str">
        <f>List!B11</f>
        <v xml:space="preserve">Street Lighting </v>
      </c>
      <c r="E45" s="102">
        <f>'Present and Proposed Rates'!O30</f>
        <v>0</v>
      </c>
      <c r="F45" s="204">
        <f>'Present and Proposed Rates'!P30</f>
        <v>0</v>
      </c>
    </row>
    <row r="46" spans="1:11" x14ac:dyDescent="0.25">
      <c r="C46" s="112" t="s">
        <v>37</v>
      </c>
      <c r="D46" s="205"/>
      <c r="E46" s="103">
        <f>'Present and Proposed Rates'!O36</f>
        <v>6377262.1929020062</v>
      </c>
      <c r="F46" s="194">
        <f>'Present and Proposed Rates'!P36</f>
        <v>0.12679796648249214</v>
      </c>
      <c r="H46" s="101"/>
      <c r="K46" s="100"/>
    </row>
    <row r="47" spans="1:11" ht="16.5" customHeight="1" x14ac:dyDescent="0.25">
      <c r="H47" s="101"/>
      <c r="K47" s="100"/>
    </row>
    <row r="48" spans="1:11" ht="36.75" customHeight="1" x14ac:dyDescent="0.25">
      <c r="B48" s="282" t="s">
        <v>72</v>
      </c>
      <c r="C48" s="282"/>
      <c r="D48" s="282"/>
      <c r="E48" s="282"/>
      <c r="F48" s="282"/>
      <c r="G48" s="282"/>
      <c r="H48" s="101"/>
      <c r="K48" s="100"/>
    </row>
    <row r="49" spans="2:8" x14ac:dyDescent="0.25">
      <c r="E49" s="104" t="s">
        <v>69</v>
      </c>
      <c r="F49" s="283" t="s">
        <v>28</v>
      </c>
      <c r="G49" s="283"/>
      <c r="H49" s="101"/>
    </row>
    <row r="50" spans="2:8" x14ac:dyDescent="0.25">
      <c r="C50" s="206" t="s">
        <v>23</v>
      </c>
      <c r="D50" s="207"/>
      <c r="E50" s="105" t="s">
        <v>70</v>
      </c>
      <c r="F50" s="106" t="s">
        <v>73</v>
      </c>
      <c r="G50" s="106" t="s">
        <v>67</v>
      </c>
      <c r="H50" s="101"/>
    </row>
    <row r="51" spans="2:8" x14ac:dyDescent="0.25">
      <c r="C51" s="99" t="str">
        <f>List!C6</f>
        <v>A</v>
      </c>
      <c r="D51" s="107" t="str">
        <f>List!B6</f>
        <v>Residential Farm &amp; Home</v>
      </c>
      <c r="E51" s="192">
        <f>A!D29</f>
        <v>1112.8786679533316</v>
      </c>
      <c r="F51" s="101">
        <f>'Present and Proposed Rates'!Q11</f>
        <v>21.340959019686697</v>
      </c>
      <c r="G51" s="193">
        <f>'Present and Proposed Rates'!P11</f>
        <v>0.19439571789272095</v>
      </c>
    </row>
    <row r="52" spans="2:8" x14ac:dyDescent="0.25">
      <c r="C52" s="99" t="str">
        <f>List!C7</f>
        <v>R-1</v>
      </c>
      <c r="D52" s="107" t="str">
        <f>List!B7</f>
        <v>Residential Marketing Rate</v>
      </c>
      <c r="E52" s="192">
        <f>'R1'!D31</f>
        <v>1480.3521126760563</v>
      </c>
      <c r="F52" s="101">
        <f>'Present and Proposed Rates'!Q14</f>
        <v>6.6197999999999855</v>
      </c>
      <c r="G52" s="204">
        <f>'Present and Proposed Rates'!P14</f>
        <v>7.2290300544779224E-2</v>
      </c>
    </row>
    <row r="53" spans="2:8" x14ac:dyDescent="0.25">
      <c r="C53" s="99" t="str">
        <f>List!C8</f>
        <v>GP1</v>
      </c>
      <c r="D53" s="107" t="str">
        <f>List!B8</f>
        <v>General Purpose Part 1 &lt; 50 KVA</v>
      </c>
      <c r="E53" s="192">
        <f>'GP1'!D31</f>
        <v>1188.2347927712217</v>
      </c>
      <c r="F53" s="101">
        <f>'Present and Proposed Rates'!Q17</f>
        <v>7.1259880217205325</v>
      </c>
      <c r="G53" s="204">
        <f>'Present and Proposed Rates'!P17</f>
        <v>6.0955169190553674E-2</v>
      </c>
    </row>
    <row r="54" spans="2:8" x14ac:dyDescent="0.25">
      <c r="C54" s="99" t="str">
        <f>List!C9</f>
        <v>GP2</v>
      </c>
      <c r="D54" s="107" t="str">
        <f>List!B9</f>
        <v>General Purpose Part 2 &gt; 50 KVA</v>
      </c>
      <c r="E54" s="192">
        <f>'GP2'!D34</f>
        <v>20254.850983179342</v>
      </c>
      <c r="F54" s="101">
        <f>'Present and Proposed Rates'!Q21</f>
        <v>0</v>
      </c>
      <c r="G54" s="204">
        <f>'Present and Proposed Rates'!P21</f>
        <v>0</v>
      </c>
    </row>
    <row r="55" spans="2:8" x14ac:dyDescent="0.25">
      <c r="C55" s="99" t="str">
        <f>List!C10</f>
        <v>B1</v>
      </c>
      <c r="D55" s="107" t="str">
        <f>List!B10</f>
        <v>Large Industrial</v>
      </c>
      <c r="E55" s="195">
        <f>'B1'!D38</f>
        <v>474274.86666666664</v>
      </c>
      <c r="F55" s="101">
        <f>'Present and Proposed Rates'!Q25</f>
        <v>0</v>
      </c>
      <c r="G55" s="204">
        <f>'Present and Proposed Rates'!P25</f>
        <v>0</v>
      </c>
    </row>
    <row r="56" spans="2:8" x14ac:dyDescent="0.25">
      <c r="C56" s="99" t="str">
        <f>List!C11</f>
        <v>SL</v>
      </c>
      <c r="D56" s="107" t="str">
        <f>List!B11</f>
        <v xml:space="preserve">Street Lighting </v>
      </c>
      <c r="E56" s="195" t="s">
        <v>81</v>
      </c>
      <c r="F56" s="101">
        <f>'Present and Proposed Rates'!Q27</f>
        <v>0</v>
      </c>
      <c r="G56" s="243">
        <f>'Present and Proposed Rates'!P27</f>
        <v>0</v>
      </c>
    </row>
    <row r="57" spans="2:8" hidden="1" x14ac:dyDescent="0.25">
      <c r="D57" s="107" t="str">
        <f>List!B15</f>
        <v>Vacant</v>
      </c>
      <c r="E57" s="148"/>
      <c r="F57" s="101">
        <f>'Present and Proposed Rates'!Q30</f>
        <v>0</v>
      </c>
      <c r="G57" s="193">
        <f>'Present and Proposed Rates'!P30</f>
        <v>0</v>
      </c>
    </row>
    <row r="58" spans="2:8" x14ac:dyDescent="0.25">
      <c r="C58" s="112" t="s">
        <v>37</v>
      </c>
      <c r="D58" s="205"/>
      <c r="E58" s="196" t="s">
        <v>81</v>
      </c>
      <c r="F58" s="147">
        <f>'Present and Proposed Rates'!Q36</f>
        <v>0</v>
      </c>
      <c r="G58" s="194">
        <f>'Present and Proposed Rates'!P36</f>
        <v>0.12679796648249214</v>
      </c>
    </row>
    <row r="61" spans="2:8" x14ac:dyDescent="0.25">
      <c r="B61" s="246"/>
    </row>
    <row r="62" spans="2:8" x14ac:dyDescent="0.25">
      <c r="B62" s="107"/>
      <c r="C62" s="107"/>
      <c r="D62" s="107"/>
      <c r="E62" s="107"/>
      <c r="F62" s="107"/>
    </row>
    <row r="63" spans="2:8" x14ac:dyDescent="0.25">
      <c r="B63" s="96"/>
      <c r="D63" s="107"/>
      <c r="E63" s="149"/>
      <c r="F63" s="149"/>
    </row>
    <row r="65" spans="1:11" x14ac:dyDescent="0.25">
      <c r="A65" s="107"/>
      <c r="B65" s="107"/>
      <c r="C65" s="98"/>
      <c r="D65" s="146"/>
      <c r="E65" s="220"/>
      <c r="F65" s="220"/>
      <c r="G65" s="107"/>
      <c r="H65" s="107"/>
      <c r="J65" s="99"/>
      <c r="K65" s="107"/>
    </row>
    <row r="66" spans="1:11" x14ac:dyDescent="0.25">
      <c r="A66" s="107"/>
      <c r="B66" s="107"/>
      <c r="C66" s="98"/>
      <c r="E66" s="220"/>
      <c r="F66" s="220"/>
      <c r="G66" s="107"/>
      <c r="H66" s="107"/>
      <c r="J66" s="99"/>
      <c r="K66" s="107"/>
    </row>
    <row r="67" spans="1:11" x14ac:dyDescent="0.25">
      <c r="A67" s="107"/>
      <c r="B67" s="107"/>
      <c r="C67" s="98"/>
      <c r="E67" s="245"/>
      <c r="F67" s="245"/>
      <c r="G67" s="107"/>
      <c r="H67" s="107"/>
      <c r="J67" s="99"/>
      <c r="K67" s="107"/>
    </row>
    <row r="68" spans="1:11" x14ac:dyDescent="0.25">
      <c r="A68" s="107"/>
      <c r="B68" s="107"/>
      <c r="C68" s="98"/>
      <c r="E68" s="220"/>
      <c r="F68" s="220"/>
      <c r="G68" s="107"/>
      <c r="H68" s="107"/>
      <c r="J68" s="99"/>
      <c r="K68" s="107"/>
    </row>
    <row r="69" spans="1:11" x14ac:dyDescent="0.25">
      <c r="A69" s="107"/>
      <c r="B69" s="107"/>
      <c r="C69" s="98"/>
      <c r="E69" s="219"/>
      <c r="F69" s="219"/>
      <c r="G69" s="107"/>
      <c r="H69" s="107"/>
      <c r="J69" s="99"/>
      <c r="K69" s="107"/>
    </row>
    <row r="70" spans="1:11" x14ac:dyDescent="0.25">
      <c r="B70" s="107"/>
      <c r="C70" s="98"/>
      <c r="D70" s="146"/>
      <c r="E70" s="220"/>
      <c r="F70" s="220"/>
      <c r="G70" s="107"/>
    </row>
    <row r="71" spans="1:11" x14ac:dyDescent="0.25">
      <c r="B71" s="107"/>
      <c r="C71" s="98"/>
      <c r="E71" s="220"/>
      <c r="F71" s="220"/>
      <c r="G71" s="107"/>
    </row>
    <row r="72" spans="1:11" x14ac:dyDescent="0.25">
      <c r="B72" s="107"/>
      <c r="C72" s="98"/>
      <c r="E72" s="245"/>
      <c r="F72" s="245"/>
      <c r="G72" s="107"/>
    </row>
    <row r="73" spans="1:11" x14ac:dyDescent="0.25">
      <c r="B73" s="107"/>
      <c r="C73" s="98"/>
      <c r="E73" s="220"/>
      <c r="F73" s="220"/>
      <c r="G73" s="107"/>
    </row>
    <row r="74" spans="1:11" x14ac:dyDescent="0.25">
      <c r="B74" s="107"/>
      <c r="C74" s="98"/>
      <c r="E74" s="219"/>
      <c r="F74" s="219"/>
      <c r="G74" s="107"/>
    </row>
    <row r="75" spans="1:11" x14ac:dyDescent="0.25">
      <c r="B75" s="107"/>
      <c r="C75" s="98"/>
      <c r="D75" s="146"/>
      <c r="E75" s="220"/>
      <c r="F75" s="220"/>
      <c r="G75" s="107"/>
    </row>
    <row r="76" spans="1:11" x14ac:dyDescent="0.25">
      <c r="B76" s="107"/>
      <c r="C76" s="98"/>
      <c r="D76" s="146"/>
      <c r="E76" s="220"/>
      <c r="F76" s="220"/>
      <c r="G76" s="107"/>
    </row>
    <row r="77" spans="1:11" x14ac:dyDescent="0.25">
      <c r="B77" s="107"/>
      <c r="C77" s="98"/>
      <c r="D77" s="146"/>
      <c r="E77" s="245"/>
      <c r="F77" s="245"/>
      <c r="G77" s="107"/>
    </row>
    <row r="78" spans="1:11" x14ac:dyDescent="0.25">
      <c r="B78" s="107"/>
      <c r="C78" s="98"/>
      <c r="D78" s="146"/>
      <c r="E78" s="219"/>
      <c r="F78" s="219"/>
      <c r="G78" s="107"/>
    </row>
    <row r="79" spans="1:11" x14ac:dyDescent="0.25">
      <c r="B79" s="107"/>
      <c r="C79" s="98"/>
      <c r="D79" s="146"/>
      <c r="E79" s="220"/>
      <c r="F79" s="220"/>
      <c r="G79" s="107"/>
    </row>
    <row r="80" spans="1:11" x14ac:dyDescent="0.25">
      <c r="B80" s="107"/>
      <c r="C80" s="98"/>
      <c r="D80" s="146"/>
      <c r="E80" s="220"/>
      <c r="F80" s="220"/>
      <c r="G80" s="107"/>
    </row>
    <row r="81" spans="2:7" x14ac:dyDescent="0.25">
      <c r="B81" s="107"/>
      <c r="C81" s="98"/>
      <c r="D81" s="146"/>
      <c r="E81" s="245"/>
      <c r="F81" s="245"/>
      <c r="G81" s="107"/>
    </row>
    <row r="82" spans="2:7" x14ac:dyDescent="0.25">
      <c r="B82" s="107"/>
      <c r="C82" s="98"/>
      <c r="D82" s="146"/>
      <c r="E82" s="219"/>
      <c r="F82" s="219"/>
      <c r="G82" s="107"/>
    </row>
    <row r="83" spans="2:7" x14ac:dyDescent="0.25">
      <c r="B83" s="107"/>
      <c r="C83" s="98"/>
      <c r="D83" s="146"/>
      <c r="E83" s="220"/>
      <c r="F83" s="220"/>
      <c r="G83" s="107"/>
    </row>
    <row r="84" spans="2:7" x14ac:dyDescent="0.25">
      <c r="B84" s="107"/>
      <c r="C84" s="98"/>
      <c r="D84" s="146"/>
      <c r="E84" s="220"/>
      <c r="F84" s="220"/>
      <c r="G84" s="107"/>
    </row>
    <row r="85" spans="2:7" x14ac:dyDescent="0.25">
      <c r="B85" s="107"/>
      <c r="C85" s="98"/>
      <c r="D85" s="146"/>
      <c r="E85" s="245"/>
      <c r="F85" s="245"/>
      <c r="G85" s="107"/>
    </row>
    <row r="86" spans="2:7" x14ac:dyDescent="0.25">
      <c r="B86" s="107"/>
      <c r="C86" s="98"/>
      <c r="D86" s="146"/>
      <c r="E86" s="219"/>
      <c r="F86" s="219"/>
      <c r="G86" s="107"/>
    </row>
    <row r="87" spans="2:7" x14ac:dyDescent="0.25">
      <c r="B87" s="107"/>
      <c r="C87" s="98"/>
      <c r="D87" s="146"/>
      <c r="E87" s="146"/>
      <c r="F87" s="146"/>
      <c r="G87" s="107"/>
    </row>
  </sheetData>
  <mergeCells count="6">
    <mergeCell ref="E5:F5"/>
    <mergeCell ref="B37:F37"/>
    <mergeCell ref="E38:F38"/>
    <mergeCell ref="B48:G48"/>
    <mergeCell ref="F49:G49"/>
    <mergeCell ref="C7:D7"/>
  </mergeCells>
  <printOptions horizontalCentered="1"/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theme="5" tint="0.59999389629810485"/>
    <pageSetUpPr fitToPage="1"/>
  </sheetPr>
  <dimension ref="A1:I21"/>
  <sheetViews>
    <sheetView zoomScaleNormal="100" workbookViewId="0">
      <selection activeCell="E19" sqref="E19"/>
    </sheetView>
  </sheetViews>
  <sheetFormatPr defaultRowHeight="13.2" x14ac:dyDescent="0.25"/>
  <cols>
    <col min="1" max="1" width="9.109375" style="109"/>
    <col min="2" max="2" width="39.109375" bestFit="1" customWidth="1"/>
    <col min="5" max="5" width="39.109375" bestFit="1" customWidth="1"/>
    <col min="8" max="8" width="36.6640625" bestFit="1" customWidth="1"/>
  </cols>
  <sheetData>
    <row r="1" spans="1:9" x14ac:dyDescent="0.25">
      <c r="A1" s="150" t="str">
        <f>'Present and Proposed Rates'!A1</f>
        <v>Taylor County RECC</v>
      </c>
    </row>
    <row r="2" spans="1:9" x14ac:dyDescent="0.25">
      <c r="A2" s="150" t="s">
        <v>82</v>
      </c>
    </row>
    <row r="3" spans="1:9" x14ac:dyDescent="0.25">
      <c r="A3" s="108"/>
    </row>
    <row r="4" spans="1:9" x14ac:dyDescent="0.25">
      <c r="A4" s="108" t="s">
        <v>74</v>
      </c>
      <c r="B4" s="96" t="s">
        <v>4</v>
      </c>
      <c r="C4" s="176" t="s">
        <v>30</v>
      </c>
    </row>
    <row r="6" spans="1:9" x14ac:dyDescent="0.25">
      <c r="A6" s="109">
        <v>1</v>
      </c>
      <c r="B6" s="107" t="s">
        <v>115</v>
      </c>
      <c r="C6" s="108" t="s">
        <v>106</v>
      </c>
      <c r="F6" s="107"/>
      <c r="H6" s="107"/>
      <c r="I6" s="107"/>
    </row>
    <row r="7" spans="1:9" x14ac:dyDescent="0.25">
      <c r="A7" s="109">
        <v>2</v>
      </c>
      <c r="B7" s="107" t="s">
        <v>164</v>
      </c>
      <c r="C7" s="108" t="s">
        <v>127</v>
      </c>
      <c r="F7" s="107"/>
      <c r="H7" s="107"/>
    </row>
    <row r="8" spans="1:9" x14ac:dyDescent="0.25">
      <c r="A8" s="109">
        <v>3</v>
      </c>
      <c r="B8" s="107" t="s">
        <v>166</v>
      </c>
      <c r="C8" s="108" t="s">
        <v>118</v>
      </c>
      <c r="H8" s="107"/>
    </row>
    <row r="9" spans="1:9" x14ac:dyDescent="0.25">
      <c r="A9" s="109">
        <v>4</v>
      </c>
      <c r="B9" s="107" t="s">
        <v>167</v>
      </c>
      <c r="C9" s="108" t="s">
        <v>120</v>
      </c>
      <c r="H9" s="107"/>
      <c r="I9" s="107"/>
    </row>
    <row r="10" spans="1:9" x14ac:dyDescent="0.25">
      <c r="A10" s="109">
        <v>5</v>
      </c>
      <c r="B10" s="107" t="s">
        <v>181</v>
      </c>
      <c r="C10" s="108" t="s">
        <v>122</v>
      </c>
      <c r="H10" s="107"/>
      <c r="I10" s="107"/>
    </row>
    <row r="11" spans="1:9" x14ac:dyDescent="0.25">
      <c r="A11" s="109">
        <v>6</v>
      </c>
      <c r="B11" s="107" t="s">
        <v>165</v>
      </c>
      <c r="C11" s="108" t="s">
        <v>107</v>
      </c>
      <c r="H11" s="107"/>
      <c r="I11" s="107"/>
    </row>
    <row r="12" spans="1:9" x14ac:dyDescent="0.25">
      <c r="A12" s="109">
        <v>7</v>
      </c>
      <c r="B12" s="107" t="s">
        <v>123</v>
      </c>
      <c r="C12" s="108" t="s">
        <v>124</v>
      </c>
      <c r="H12" s="107"/>
    </row>
    <row r="13" spans="1:9" x14ac:dyDescent="0.25">
      <c r="B13" s="107"/>
      <c r="C13" s="108"/>
      <c r="H13" s="107"/>
    </row>
    <row r="14" spans="1:9" x14ac:dyDescent="0.25">
      <c r="B14" s="107"/>
      <c r="C14" s="108"/>
      <c r="H14" s="107"/>
    </row>
    <row r="15" spans="1:9" x14ac:dyDescent="0.25">
      <c r="B15" s="107" t="s">
        <v>182</v>
      </c>
      <c r="C15" s="108"/>
      <c r="H15" s="107"/>
    </row>
    <row r="16" spans="1:9" x14ac:dyDescent="0.25">
      <c r="B16" s="107" t="s">
        <v>181</v>
      </c>
      <c r="C16" s="108" t="s">
        <v>183</v>
      </c>
    </row>
    <row r="17" spans="2:3" x14ac:dyDescent="0.25">
      <c r="B17" s="107" t="s">
        <v>181</v>
      </c>
      <c r="C17" s="108" t="s">
        <v>184</v>
      </c>
    </row>
    <row r="18" spans="2:3" x14ac:dyDescent="0.25">
      <c r="B18" s="107" t="s">
        <v>181</v>
      </c>
      <c r="C18" s="108" t="s">
        <v>185</v>
      </c>
    </row>
    <row r="19" spans="2:3" x14ac:dyDescent="0.25">
      <c r="B19" s="107" t="s">
        <v>181</v>
      </c>
      <c r="C19" s="108" t="s">
        <v>186</v>
      </c>
    </row>
    <row r="20" spans="2:3" x14ac:dyDescent="0.25">
      <c r="B20" s="107" t="s">
        <v>181</v>
      </c>
      <c r="C20" s="108" t="s">
        <v>187</v>
      </c>
    </row>
    <row r="21" spans="2:3" x14ac:dyDescent="0.25">
      <c r="C21" s="10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DCF5-4524-4E53-B344-03B2F7E4B5A6}">
  <sheetPr>
    <tabColor theme="5" tint="0.59999389629810485"/>
  </sheetPr>
  <dimension ref="B3:Q73"/>
  <sheetViews>
    <sheetView topLeftCell="B37" workbookViewId="0">
      <selection activeCell="G15" sqref="G15"/>
    </sheetView>
  </sheetViews>
  <sheetFormatPr defaultRowHeight="13.2" x14ac:dyDescent="0.25"/>
  <cols>
    <col min="2" max="2" width="32.21875" bestFit="1" customWidth="1"/>
    <col min="4" max="15" width="11.6640625" bestFit="1" customWidth="1"/>
    <col min="16" max="16" width="12.6640625" bestFit="1" customWidth="1"/>
    <col min="17" max="17" width="11.6640625" bestFit="1" customWidth="1"/>
    <col min="258" max="258" width="32.21875" bestFit="1" customWidth="1"/>
    <col min="260" max="271" width="11.6640625" bestFit="1" customWidth="1"/>
    <col min="272" max="272" width="12.6640625" bestFit="1" customWidth="1"/>
    <col min="273" max="273" width="11.6640625" bestFit="1" customWidth="1"/>
    <col min="514" max="514" width="32.21875" bestFit="1" customWidth="1"/>
    <col min="516" max="527" width="11.6640625" bestFit="1" customWidth="1"/>
    <col min="528" max="528" width="12.6640625" bestFit="1" customWidth="1"/>
    <col min="529" max="529" width="11.6640625" bestFit="1" customWidth="1"/>
    <col min="770" max="770" width="32.21875" bestFit="1" customWidth="1"/>
    <col min="772" max="783" width="11.6640625" bestFit="1" customWidth="1"/>
    <col min="784" max="784" width="12.6640625" bestFit="1" customWidth="1"/>
    <col min="785" max="785" width="11.6640625" bestFit="1" customWidth="1"/>
    <col min="1026" max="1026" width="32.21875" bestFit="1" customWidth="1"/>
    <col min="1028" max="1039" width="11.6640625" bestFit="1" customWidth="1"/>
    <col min="1040" max="1040" width="12.6640625" bestFit="1" customWidth="1"/>
    <col min="1041" max="1041" width="11.6640625" bestFit="1" customWidth="1"/>
    <col min="1282" max="1282" width="32.21875" bestFit="1" customWidth="1"/>
    <col min="1284" max="1295" width="11.6640625" bestFit="1" customWidth="1"/>
    <col min="1296" max="1296" width="12.6640625" bestFit="1" customWidth="1"/>
    <col min="1297" max="1297" width="11.6640625" bestFit="1" customWidth="1"/>
    <col min="1538" max="1538" width="32.21875" bestFit="1" customWidth="1"/>
    <col min="1540" max="1551" width="11.6640625" bestFit="1" customWidth="1"/>
    <col min="1552" max="1552" width="12.6640625" bestFit="1" customWidth="1"/>
    <col min="1553" max="1553" width="11.6640625" bestFit="1" customWidth="1"/>
    <col min="1794" max="1794" width="32.21875" bestFit="1" customWidth="1"/>
    <col min="1796" max="1807" width="11.6640625" bestFit="1" customWidth="1"/>
    <col min="1808" max="1808" width="12.6640625" bestFit="1" customWidth="1"/>
    <col min="1809" max="1809" width="11.6640625" bestFit="1" customWidth="1"/>
    <col min="2050" max="2050" width="32.21875" bestFit="1" customWidth="1"/>
    <col min="2052" max="2063" width="11.6640625" bestFit="1" customWidth="1"/>
    <col min="2064" max="2064" width="12.6640625" bestFit="1" customWidth="1"/>
    <col min="2065" max="2065" width="11.6640625" bestFit="1" customWidth="1"/>
    <col min="2306" max="2306" width="32.21875" bestFit="1" customWidth="1"/>
    <col min="2308" max="2319" width="11.6640625" bestFit="1" customWidth="1"/>
    <col min="2320" max="2320" width="12.6640625" bestFit="1" customWidth="1"/>
    <col min="2321" max="2321" width="11.6640625" bestFit="1" customWidth="1"/>
    <col min="2562" max="2562" width="32.21875" bestFit="1" customWidth="1"/>
    <col min="2564" max="2575" width="11.6640625" bestFit="1" customWidth="1"/>
    <col min="2576" max="2576" width="12.6640625" bestFit="1" customWidth="1"/>
    <col min="2577" max="2577" width="11.6640625" bestFit="1" customWidth="1"/>
    <col min="2818" max="2818" width="32.21875" bestFit="1" customWidth="1"/>
    <col min="2820" max="2831" width="11.6640625" bestFit="1" customWidth="1"/>
    <col min="2832" max="2832" width="12.6640625" bestFit="1" customWidth="1"/>
    <col min="2833" max="2833" width="11.6640625" bestFit="1" customWidth="1"/>
    <col min="3074" max="3074" width="32.21875" bestFit="1" customWidth="1"/>
    <col min="3076" max="3087" width="11.6640625" bestFit="1" customWidth="1"/>
    <col min="3088" max="3088" width="12.6640625" bestFit="1" customWidth="1"/>
    <col min="3089" max="3089" width="11.6640625" bestFit="1" customWidth="1"/>
    <col min="3330" max="3330" width="32.21875" bestFit="1" customWidth="1"/>
    <col min="3332" max="3343" width="11.6640625" bestFit="1" customWidth="1"/>
    <col min="3344" max="3344" width="12.6640625" bestFit="1" customWidth="1"/>
    <col min="3345" max="3345" width="11.6640625" bestFit="1" customWidth="1"/>
    <col min="3586" max="3586" width="32.21875" bestFit="1" customWidth="1"/>
    <col min="3588" max="3599" width="11.6640625" bestFit="1" customWidth="1"/>
    <col min="3600" max="3600" width="12.6640625" bestFit="1" customWidth="1"/>
    <col min="3601" max="3601" width="11.6640625" bestFit="1" customWidth="1"/>
    <col min="3842" max="3842" width="32.21875" bestFit="1" customWidth="1"/>
    <col min="3844" max="3855" width="11.6640625" bestFit="1" customWidth="1"/>
    <col min="3856" max="3856" width="12.6640625" bestFit="1" customWidth="1"/>
    <col min="3857" max="3857" width="11.6640625" bestFit="1" customWidth="1"/>
    <col min="4098" max="4098" width="32.21875" bestFit="1" customWidth="1"/>
    <col min="4100" max="4111" width="11.6640625" bestFit="1" customWidth="1"/>
    <col min="4112" max="4112" width="12.6640625" bestFit="1" customWidth="1"/>
    <col min="4113" max="4113" width="11.6640625" bestFit="1" customWidth="1"/>
    <col min="4354" max="4354" width="32.21875" bestFit="1" customWidth="1"/>
    <col min="4356" max="4367" width="11.6640625" bestFit="1" customWidth="1"/>
    <col min="4368" max="4368" width="12.6640625" bestFit="1" customWidth="1"/>
    <col min="4369" max="4369" width="11.6640625" bestFit="1" customWidth="1"/>
    <col min="4610" max="4610" width="32.21875" bestFit="1" customWidth="1"/>
    <col min="4612" max="4623" width="11.6640625" bestFit="1" customWidth="1"/>
    <col min="4624" max="4624" width="12.6640625" bestFit="1" customWidth="1"/>
    <col min="4625" max="4625" width="11.6640625" bestFit="1" customWidth="1"/>
    <col min="4866" max="4866" width="32.21875" bestFit="1" customWidth="1"/>
    <col min="4868" max="4879" width="11.6640625" bestFit="1" customWidth="1"/>
    <col min="4880" max="4880" width="12.6640625" bestFit="1" customWidth="1"/>
    <col min="4881" max="4881" width="11.6640625" bestFit="1" customWidth="1"/>
    <col min="5122" max="5122" width="32.21875" bestFit="1" customWidth="1"/>
    <col min="5124" max="5135" width="11.6640625" bestFit="1" customWidth="1"/>
    <col min="5136" max="5136" width="12.6640625" bestFit="1" customWidth="1"/>
    <col min="5137" max="5137" width="11.6640625" bestFit="1" customWidth="1"/>
    <col min="5378" max="5378" width="32.21875" bestFit="1" customWidth="1"/>
    <col min="5380" max="5391" width="11.6640625" bestFit="1" customWidth="1"/>
    <col min="5392" max="5392" width="12.6640625" bestFit="1" customWidth="1"/>
    <col min="5393" max="5393" width="11.6640625" bestFit="1" customWidth="1"/>
    <col min="5634" max="5634" width="32.21875" bestFit="1" customWidth="1"/>
    <col min="5636" max="5647" width="11.6640625" bestFit="1" customWidth="1"/>
    <col min="5648" max="5648" width="12.6640625" bestFit="1" customWidth="1"/>
    <col min="5649" max="5649" width="11.6640625" bestFit="1" customWidth="1"/>
    <col min="5890" max="5890" width="32.21875" bestFit="1" customWidth="1"/>
    <col min="5892" max="5903" width="11.6640625" bestFit="1" customWidth="1"/>
    <col min="5904" max="5904" width="12.6640625" bestFit="1" customWidth="1"/>
    <col min="5905" max="5905" width="11.6640625" bestFit="1" customWidth="1"/>
    <col min="6146" max="6146" width="32.21875" bestFit="1" customWidth="1"/>
    <col min="6148" max="6159" width="11.6640625" bestFit="1" customWidth="1"/>
    <col min="6160" max="6160" width="12.6640625" bestFit="1" customWidth="1"/>
    <col min="6161" max="6161" width="11.6640625" bestFit="1" customWidth="1"/>
    <col min="6402" max="6402" width="32.21875" bestFit="1" customWidth="1"/>
    <col min="6404" max="6415" width="11.6640625" bestFit="1" customWidth="1"/>
    <col min="6416" max="6416" width="12.6640625" bestFit="1" customWidth="1"/>
    <col min="6417" max="6417" width="11.6640625" bestFit="1" customWidth="1"/>
    <col min="6658" max="6658" width="32.21875" bestFit="1" customWidth="1"/>
    <col min="6660" max="6671" width="11.6640625" bestFit="1" customWidth="1"/>
    <col min="6672" max="6672" width="12.6640625" bestFit="1" customWidth="1"/>
    <col min="6673" max="6673" width="11.6640625" bestFit="1" customWidth="1"/>
    <col min="6914" max="6914" width="32.21875" bestFit="1" customWidth="1"/>
    <col min="6916" max="6927" width="11.6640625" bestFit="1" customWidth="1"/>
    <col min="6928" max="6928" width="12.6640625" bestFit="1" customWidth="1"/>
    <col min="6929" max="6929" width="11.6640625" bestFit="1" customWidth="1"/>
    <col min="7170" max="7170" width="32.21875" bestFit="1" customWidth="1"/>
    <col min="7172" max="7183" width="11.6640625" bestFit="1" customWidth="1"/>
    <col min="7184" max="7184" width="12.6640625" bestFit="1" customWidth="1"/>
    <col min="7185" max="7185" width="11.6640625" bestFit="1" customWidth="1"/>
    <col min="7426" max="7426" width="32.21875" bestFit="1" customWidth="1"/>
    <col min="7428" max="7439" width="11.6640625" bestFit="1" customWidth="1"/>
    <col min="7440" max="7440" width="12.6640625" bestFit="1" customWidth="1"/>
    <col min="7441" max="7441" width="11.6640625" bestFit="1" customWidth="1"/>
    <col min="7682" max="7682" width="32.21875" bestFit="1" customWidth="1"/>
    <col min="7684" max="7695" width="11.6640625" bestFit="1" customWidth="1"/>
    <col min="7696" max="7696" width="12.6640625" bestFit="1" customWidth="1"/>
    <col min="7697" max="7697" width="11.6640625" bestFit="1" customWidth="1"/>
    <col min="7938" max="7938" width="32.21875" bestFit="1" customWidth="1"/>
    <col min="7940" max="7951" width="11.6640625" bestFit="1" customWidth="1"/>
    <col min="7952" max="7952" width="12.6640625" bestFit="1" customWidth="1"/>
    <col min="7953" max="7953" width="11.6640625" bestFit="1" customWidth="1"/>
    <col min="8194" max="8194" width="32.21875" bestFit="1" customWidth="1"/>
    <col min="8196" max="8207" width="11.6640625" bestFit="1" customWidth="1"/>
    <col min="8208" max="8208" width="12.6640625" bestFit="1" customWidth="1"/>
    <col min="8209" max="8209" width="11.6640625" bestFit="1" customWidth="1"/>
    <col min="8450" max="8450" width="32.21875" bestFit="1" customWidth="1"/>
    <col min="8452" max="8463" width="11.6640625" bestFit="1" customWidth="1"/>
    <col min="8464" max="8464" width="12.6640625" bestFit="1" customWidth="1"/>
    <col min="8465" max="8465" width="11.6640625" bestFit="1" customWidth="1"/>
    <col min="8706" max="8706" width="32.21875" bestFit="1" customWidth="1"/>
    <col min="8708" max="8719" width="11.6640625" bestFit="1" customWidth="1"/>
    <col min="8720" max="8720" width="12.6640625" bestFit="1" customWidth="1"/>
    <col min="8721" max="8721" width="11.6640625" bestFit="1" customWidth="1"/>
    <col min="8962" max="8962" width="32.21875" bestFit="1" customWidth="1"/>
    <col min="8964" max="8975" width="11.6640625" bestFit="1" customWidth="1"/>
    <col min="8976" max="8976" width="12.6640625" bestFit="1" customWidth="1"/>
    <col min="8977" max="8977" width="11.6640625" bestFit="1" customWidth="1"/>
    <col min="9218" max="9218" width="32.21875" bestFit="1" customWidth="1"/>
    <col min="9220" max="9231" width="11.6640625" bestFit="1" customWidth="1"/>
    <col min="9232" max="9232" width="12.6640625" bestFit="1" customWidth="1"/>
    <col min="9233" max="9233" width="11.6640625" bestFit="1" customWidth="1"/>
    <col min="9474" max="9474" width="32.21875" bestFit="1" customWidth="1"/>
    <col min="9476" max="9487" width="11.6640625" bestFit="1" customWidth="1"/>
    <col min="9488" max="9488" width="12.6640625" bestFit="1" customWidth="1"/>
    <col min="9489" max="9489" width="11.6640625" bestFit="1" customWidth="1"/>
    <col min="9730" max="9730" width="32.21875" bestFit="1" customWidth="1"/>
    <col min="9732" max="9743" width="11.6640625" bestFit="1" customWidth="1"/>
    <col min="9744" max="9744" width="12.6640625" bestFit="1" customWidth="1"/>
    <col min="9745" max="9745" width="11.6640625" bestFit="1" customWidth="1"/>
    <col min="9986" max="9986" width="32.21875" bestFit="1" customWidth="1"/>
    <col min="9988" max="9999" width="11.6640625" bestFit="1" customWidth="1"/>
    <col min="10000" max="10000" width="12.6640625" bestFit="1" customWidth="1"/>
    <col min="10001" max="10001" width="11.6640625" bestFit="1" customWidth="1"/>
    <col min="10242" max="10242" width="32.21875" bestFit="1" customWidth="1"/>
    <col min="10244" max="10255" width="11.6640625" bestFit="1" customWidth="1"/>
    <col min="10256" max="10256" width="12.6640625" bestFit="1" customWidth="1"/>
    <col min="10257" max="10257" width="11.6640625" bestFit="1" customWidth="1"/>
    <col min="10498" max="10498" width="32.21875" bestFit="1" customWidth="1"/>
    <col min="10500" max="10511" width="11.6640625" bestFit="1" customWidth="1"/>
    <col min="10512" max="10512" width="12.6640625" bestFit="1" customWidth="1"/>
    <col min="10513" max="10513" width="11.6640625" bestFit="1" customWidth="1"/>
    <col min="10754" max="10754" width="32.21875" bestFit="1" customWidth="1"/>
    <col min="10756" max="10767" width="11.6640625" bestFit="1" customWidth="1"/>
    <col min="10768" max="10768" width="12.6640625" bestFit="1" customWidth="1"/>
    <col min="10769" max="10769" width="11.6640625" bestFit="1" customWidth="1"/>
    <col min="11010" max="11010" width="32.21875" bestFit="1" customWidth="1"/>
    <col min="11012" max="11023" width="11.6640625" bestFit="1" customWidth="1"/>
    <col min="11024" max="11024" width="12.6640625" bestFit="1" customWidth="1"/>
    <col min="11025" max="11025" width="11.6640625" bestFit="1" customWidth="1"/>
    <col min="11266" max="11266" width="32.21875" bestFit="1" customWidth="1"/>
    <col min="11268" max="11279" width="11.6640625" bestFit="1" customWidth="1"/>
    <col min="11280" max="11280" width="12.6640625" bestFit="1" customWidth="1"/>
    <col min="11281" max="11281" width="11.6640625" bestFit="1" customWidth="1"/>
    <col min="11522" max="11522" width="32.21875" bestFit="1" customWidth="1"/>
    <col min="11524" max="11535" width="11.6640625" bestFit="1" customWidth="1"/>
    <col min="11536" max="11536" width="12.6640625" bestFit="1" customWidth="1"/>
    <col min="11537" max="11537" width="11.6640625" bestFit="1" customWidth="1"/>
    <col min="11778" max="11778" width="32.21875" bestFit="1" customWidth="1"/>
    <col min="11780" max="11791" width="11.6640625" bestFit="1" customWidth="1"/>
    <col min="11792" max="11792" width="12.6640625" bestFit="1" customWidth="1"/>
    <col min="11793" max="11793" width="11.6640625" bestFit="1" customWidth="1"/>
    <col min="12034" max="12034" width="32.21875" bestFit="1" customWidth="1"/>
    <col min="12036" max="12047" width="11.6640625" bestFit="1" customWidth="1"/>
    <col min="12048" max="12048" width="12.6640625" bestFit="1" customWidth="1"/>
    <col min="12049" max="12049" width="11.6640625" bestFit="1" customWidth="1"/>
    <col min="12290" max="12290" width="32.21875" bestFit="1" customWidth="1"/>
    <col min="12292" max="12303" width="11.6640625" bestFit="1" customWidth="1"/>
    <col min="12304" max="12304" width="12.6640625" bestFit="1" customWidth="1"/>
    <col min="12305" max="12305" width="11.6640625" bestFit="1" customWidth="1"/>
    <col min="12546" max="12546" width="32.21875" bestFit="1" customWidth="1"/>
    <col min="12548" max="12559" width="11.6640625" bestFit="1" customWidth="1"/>
    <col min="12560" max="12560" width="12.6640625" bestFit="1" customWidth="1"/>
    <col min="12561" max="12561" width="11.6640625" bestFit="1" customWidth="1"/>
    <col min="12802" max="12802" width="32.21875" bestFit="1" customWidth="1"/>
    <col min="12804" max="12815" width="11.6640625" bestFit="1" customWidth="1"/>
    <col min="12816" max="12816" width="12.6640625" bestFit="1" customWidth="1"/>
    <col min="12817" max="12817" width="11.6640625" bestFit="1" customWidth="1"/>
    <col min="13058" max="13058" width="32.21875" bestFit="1" customWidth="1"/>
    <col min="13060" max="13071" width="11.6640625" bestFit="1" customWidth="1"/>
    <col min="13072" max="13072" width="12.6640625" bestFit="1" customWidth="1"/>
    <col min="13073" max="13073" width="11.6640625" bestFit="1" customWidth="1"/>
    <col min="13314" max="13314" width="32.21875" bestFit="1" customWidth="1"/>
    <col min="13316" max="13327" width="11.6640625" bestFit="1" customWidth="1"/>
    <col min="13328" max="13328" width="12.6640625" bestFit="1" customWidth="1"/>
    <col min="13329" max="13329" width="11.6640625" bestFit="1" customWidth="1"/>
    <col min="13570" max="13570" width="32.21875" bestFit="1" customWidth="1"/>
    <col min="13572" max="13583" width="11.6640625" bestFit="1" customWidth="1"/>
    <col min="13584" max="13584" width="12.6640625" bestFit="1" customWidth="1"/>
    <col min="13585" max="13585" width="11.6640625" bestFit="1" customWidth="1"/>
    <col min="13826" max="13826" width="32.21875" bestFit="1" customWidth="1"/>
    <col min="13828" max="13839" width="11.6640625" bestFit="1" customWidth="1"/>
    <col min="13840" max="13840" width="12.6640625" bestFit="1" customWidth="1"/>
    <col min="13841" max="13841" width="11.6640625" bestFit="1" customWidth="1"/>
    <col min="14082" max="14082" width="32.21875" bestFit="1" customWidth="1"/>
    <col min="14084" max="14095" width="11.6640625" bestFit="1" customWidth="1"/>
    <col min="14096" max="14096" width="12.6640625" bestFit="1" customWidth="1"/>
    <col min="14097" max="14097" width="11.6640625" bestFit="1" customWidth="1"/>
    <col min="14338" max="14338" width="32.21875" bestFit="1" customWidth="1"/>
    <col min="14340" max="14351" width="11.6640625" bestFit="1" customWidth="1"/>
    <col min="14352" max="14352" width="12.6640625" bestFit="1" customWidth="1"/>
    <col min="14353" max="14353" width="11.6640625" bestFit="1" customWidth="1"/>
    <col min="14594" max="14594" width="32.21875" bestFit="1" customWidth="1"/>
    <col min="14596" max="14607" width="11.6640625" bestFit="1" customWidth="1"/>
    <col min="14608" max="14608" width="12.6640625" bestFit="1" customWidth="1"/>
    <col min="14609" max="14609" width="11.6640625" bestFit="1" customWidth="1"/>
    <col min="14850" max="14850" width="32.21875" bestFit="1" customWidth="1"/>
    <col min="14852" max="14863" width="11.6640625" bestFit="1" customWidth="1"/>
    <col min="14864" max="14864" width="12.6640625" bestFit="1" customWidth="1"/>
    <col min="14865" max="14865" width="11.6640625" bestFit="1" customWidth="1"/>
    <col min="15106" max="15106" width="32.21875" bestFit="1" customWidth="1"/>
    <col min="15108" max="15119" width="11.6640625" bestFit="1" customWidth="1"/>
    <col min="15120" max="15120" width="12.6640625" bestFit="1" customWidth="1"/>
    <col min="15121" max="15121" width="11.6640625" bestFit="1" customWidth="1"/>
    <col min="15362" max="15362" width="32.21875" bestFit="1" customWidth="1"/>
    <col min="15364" max="15375" width="11.6640625" bestFit="1" customWidth="1"/>
    <col min="15376" max="15376" width="12.6640625" bestFit="1" customWidth="1"/>
    <col min="15377" max="15377" width="11.6640625" bestFit="1" customWidth="1"/>
    <col min="15618" max="15618" width="32.21875" bestFit="1" customWidth="1"/>
    <col min="15620" max="15631" width="11.6640625" bestFit="1" customWidth="1"/>
    <col min="15632" max="15632" width="12.6640625" bestFit="1" customWidth="1"/>
    <col min="15633" max="15633" width="11.6640625" bestFit="1" customWidth="1"/>
    <col min="15874" max="15874" width="32.21875" bestFit="1" customWidth="1"/>
    <col min="15876" max="15887" width="11.6640625" bestFit="1" customWidth="1"/>
    <col min="15888" max="15888" width="12.6640625" bestFit="1" customWidth="1"/>
    <col min="15889" max="15889" width="11.6640625" bestFit="1" customWidth="1"/>
    <col min="16130" max="16130" width="32.21875" bestFit="1" customWidth="1"/>
    <col min="16132" max="16143" width="11.6640625" bestFit="1" customWidth="1"/>
    <col min="16144" max="16144" width="12.6640625" bestFit="1" customWidth="1"/>
    <col min="16145" max="16145" width="11.6640625" bestFit="1" customWidth="1"/>
  </cols>
  <sheetData>
    <row r="3" spans="2:17" x14ac:dyDescent="0.25">
      <c r="B3" s="95" t="s">
        <v>140</v>
      </c>
    </row>
    <row r="5" spans="2:17" x14ac:dyDescent="0.25">
      <c r="B5" s="223" t="s">
        <v>4</v>
      </c>
      <c r="C5" s="223" t="s">
        <v>30</v>
      </c>
      <c r="D5" s="224" t="s">
        <v>128</v>
      </c>
      <c r="E5" s="224" t="s">
        <v>129</v>
      </c>
      <c r="F5" s="224" t="s">
        <v>130</v>
      </c>
      <c r="G5" s="224" t="s">
        <v>131</v>
      </c>
      <c r="H5" s="224" t="s">
        <v>132</v>
      </c>
      <c r="I5" s="224" t="s">
        <v>133</v>
      </c>
      <c r="J5" s="224" t="s">
        <v>134</v>
      </c>
      <c r="K5" s="224" t="s">
        <v>135</v>
      </c>
      <c r="L5" s="224" t="s">
        <v>136</v>
      </c>
      <c r="M5" s="224" t="s">
        <v>137</v>
      </c>
      <c r="N5" s="224" t="s">
        <v>138</v>
      </c>
      <c r="O5" s="224" t="s">
        <v>139</v>
      </c>
      <c r="P5" s="224" t="s">
        <v>34</v>
      </c>
      <c r="Q5" s="224" t="s">
        <v>84</v>
      </c>
    </row>
    <row r="6" spans="2:17" x14ac:dyDescent="0.25">
      <c r="B6" s="107" t="s">
        <v>115</v>
      </c>
      <c r="C6" s="108" t="s">
        <v>106</v>
      </c>
      <c r="D6" s="225">
        <v>23744</v>
      </c>
      <c r="E6" s="225">
        <v>23801</v>
      </c>
      <c r="F6" s="225">
        <v>23926</v>
      </c>
      <c r="G6" s="225">
        <v>23861</v>
      </c>
      <c r="H6" s="225">
        <v>23866</v>
      </c>
      <c r="I6" s="225">
        <v>23944</v>
      </c>
      <c r="J6" s="225">
        <v>23853</v>
      </c>
      <c r="K6" s="225">
        <v>23982</v>
      </c>
      <c r="L6" s="225">
        <v>23953</v>
      </c>
      <c r="M6" s="225">
        <v>24004</v>
      </c>
      <c r="N6" s="225">
        <v>24015</v>
      </c>
      <c r="O6" s="225">
        <v>24098</v>
      </c>
      <c r="P6" s="226">
        <f>SUM(D6:O6)</f>
        <v>287047</v>
      </c>
      <c r="Q6" s="226">
        <f>AVERAGE(D6:O6)</f>
        <v>23920.583333333332</v>
      </c>
    </row>
    <row r="7" spans="2:17" x14ac:dyDescent="0.25">
      <c r="B7" s="107" t="s">
        <v>116</v>
      </c>
      <c r="C7" s="108" t="s">
        <v>127</v>
      </c>
      <c r="D7" s="225">
        <v>18</v>
      </c>
      <c r="E7" s="225">
        <v>18</v>
      </c>
      <c r="F7" s="225">
        <v>18</v>
      </c>
      <c r="G7" s="225">
        <v>18</v>
      </c>
      <c r="H7" s="225">
        <v>18</v>
      </c>
      <c r="I7" s="225">
        <v>18</v>
      </c>
      <c r="J7" s="225">
        <v>18</v>
      </c>
      <c r="K7" s="225">
        <v>18</v>
      </c>
      <c r="L7" s="225">
        <v>18</v>
      </c>
      <c r="M7" s="225">
        <v>17</v>
      </c>
      <c r="N7" s="225">
        <v>17</v>
      </c>
      <c r="O7" s="225">
        <v>17</v>
      </c>
      <c r="P7" s="226">
        <f t="shared" ref="P7:P12" si="0">SUM(D7:O7)</f>
        <v>213</v>
      </c>
      <c r="Q7" s="226">
        <f t="shared" ref="Q7:Q12" si="1">AVERAGE(D7:O7)</f>
        <v>17.75</v>
      </c>
    </row>
    <row r="8" spans="2:17" x14ac:dyDescent="0.25">
      <c r="B8" s="107" t="s">
        <v>117</v>
      </c>
      <c r="C8" s="108" t="s">
        <v>118</v>
      </c>
      <c r="D8" s="225">
        <v>2880</v>
      </c>
      <c r="E8" s="225">
        <v>2886</v>
      </c>
      <c r="F8" s="225">
        <v>2923</v>
      </c>
      <c r="G8" s="225">
        <v>2911</v>
      </c>
      <c r="H8" s="225">
        <v>2927</v>
      </c>
      <c r="I8" s="225">
        <v>2941</v>
      </c>
      <c r="J8" s="225">
        <v>2946</v>
      </c>
      <c r="K8" s="225">
        <v>2924</v>
      </c>
      <c r="L8" s="225">
        <v>2936</v>
      </c>
      <c r="M8" s="225">
        <v>2937</v>
      </c>
      <c r="N8" s="225">
        <v>2943</v>
      </c>
      <c r="O8" s="225">
        <v>2928</v>
      </c>
      <c r="P8" s="226">
        <f t="shared" si="0"/>
        <v>35082</v>
      </c>
      <c r="Q8" s="226">
        <f t="shared" si="1"/>
        <v>2923.5</v>
      </c>
    </row>
    <row r="9" spans="2:17" x14ac:dyDescent="0.25">
      <c r="B9" s="107" t="s">
        <v>119</v>
      </c>
      <c r="C9" s="108" t="s">
        <v>120</v>
      </c>
      <c r="D9" s="225">
        <v>345</v>
      </c>
      <c r="E9" s="225">
        <v>348</v>
      </c>
      <c r="F9" s="225">
        <v>352</v>
      </c>
      <c r="G9" s="225">
        <v>352</v>
      </c>
      <c r="H9" s="225">
        <v>352</v>
      </c>
      <c r="I9" s="225">
        <v>353</v>
      </c>
      <c r="J9" s="225">
        <v>352</v>
      </c>
      <c r="K9" s="225">
        <v>355</v>
      </c>
      <c r="L9" s="225">
        <v>351</v>
      </c>
      <c r="M9" s="225">
        <v>353</v>
      </c>
      <c r="N9" s="225">
        <v>354</v>
      </c>
      <c r="O9" s="225">
        <v>354</v>
      </c>
      <c r="P9" s="226">
        <f t="shared" si="0"/>
        <v>4221</v>
      </c>
      <c r="Q9" s="226">
        <f t="shared" si="1"/>
        <v>351.75</v>
      </c>
    </row>
    <row r="10" spans="2:17" x14ac:dyDescent="0.25">
      <c r="B10" s="107" t="s">
        <v>121</v>
      </c>
      <c r="C10" s="108" t="s">
        <v>122</v>
      </c>
      <c r="D10" s="225">
        <v>5</v>
      </c>
      <c r="E10" s="225">
        <v>5</v>
      </c>
      <c r="F10" s="225">
        <v>5</v>
      </c>
      <c r="G10" s="225">
        <v>5</v>
      </c>
      <c r="H10" s="225">
        <v>5</v>
      </c>
      <c r="I10" s="225">
        <v>5</v>
      </c>
      <c r="J10" s="225">
        <v>5</v>
      </c>
      <c r="K10" s="225">
        <v>5</v>
      </c>
      <c r="L10" s="225">
        <v>5</v>
      </c>
      <c r="M10" s="225">
        <v>5</v>
      </c>
      <c r="N10" s="225">
        <v>5</v>
      </c>
      <c r="O10" s="225">
        <v>5</v>
      </c>
      <c r="P10" s="226">
        <f t="shared" si="0"/>
        <v>60</v>
      </c>
      <c r="Q10" s="226">
        <f t="shared" si="1"/>
        <v>5</v>
      </c>
    </row>
    <row r="11" spans="2:17" x14ac:dyDescent="0.25">
      <c r="B11" s="107" t="s">
        <v>85</v>
      </c>
      <c r="C11" s="108" t="s">
        <v>107</v>
      </c>
      <c r="D11" s="225">
        <v>7118</v>
      </c>
      <c r="E11" s="225">
        <v>7135</v>
      </c>
      <c r="F11" s="225">
        <v>7174</v>
      </c>
      <c r="G11" s="225">
        <v>7164</v>
      </c>
      <c r="H11" s="225">
        <v>7175</v>
      </c>
      <c r="I11" s="225">
        <v>7203</v>
      </c>
      <c r="J11" s="225">
        <v>7183</v>
      </c>
      <c r="K11" s="225">
        <v>7201</v>
      </c>
      <c r="L11" s="225">
        <v>7187</v>
      </c>
      <c r="M11" s="225">
        <v>7206</v>
      </c>
      <c r="N11" s="225">
        <v>7221</v>
      </c>
      <c r="O11" s="225">
        <v>7229</v>
      </c>
      <c r="P11" s="226">
        <f t="shared" si="0"/>
        <v>86196</v>
      </c>
      <c r="Q11" s="226">
        <f t="shared" si="1"/>
        <v>7183</v>
      </c>
    </row>
    <row r="12" spans="2:17" x14ac:dyDescent="0.25">
      <c r="B12" s="107" t="s">
        <v>123</v>
      </c>
      <c r="C12" s="108" t="s">
        <v>124</v>
      </c>
      <c r="D12" s="225">
        <v>1</v>
      </c>
      <c r="E12" s="225">
        <v>1</v>
      </c>
      <c r="F12" s="225">
        <v>1</v>
      </c>
      <c r="G12" s="225">
        <v>1</v>
      </c>
      <c r="H12" s="225">
        <v>1</v>
      </c>
      <c r="I12" s="225">
        <v>1</v>
      </c>
      <c r="J12" s="225">
        <v>1</v>
      </c>
      <c r="K12" s="225">
        <v>1</v>
      </c>
      <c r="L12" s="225">
        <v>1</v>
      </c>
      <c r="M12" s="225">
        <v>1</v>
      </c>
      <c r="N12" s="225">
        <v>1</v>
      </c>
      <c r="O12" s="225">
        <v>1</v>
      </c>
      <c r="P12" s="226">
        <f t="shared" si="0"/>
        <v>12</v>
      </c>
      <c r="Q12" s="226">
        <f t="shared" si="1"/>
        <v>1</v>
      </c>
    </row>
    <row r="13" spans="2:17" x14ac:dyDescent="0.25">
      <c r="B13" s="112" t="s">
        <v>34</v>
      </c>
      <c r="C13" s="227"/>
      <c r="D13" s="228">
        <f t="shared" ref="D13:Q13" si="2">SUM(D6:D12)</f>
        <v>34111</v>
      </c>
      <c r="E13" s="228">
        <f t="shared" si="2"/>
        <v>34194</v>
      </c>
      <c r="F13" s="228">
        <f t="shared" si="2"/>
        <v>34399</v>
      </c>
      <c r="G13" s="228">
        <f t="shared" si="2"/>
        <v>34312</v>
      </c>
      <c r="H13" s="228">
        <f t="shared" si="2"/>
        <v>34344</v>
      </c>
      <c r="I13" s="228">
        <f t="shared" si="2"/>
        <v>34465</v>
      </c>
      <c r="J13" s="228">
        <f t="shared" si="2"/>
        <v>34358</v>
      </c>
      <c r="K13" s="228">
        <f t="shared" si="2"/>
        <v>34486</v>
      </c>
      <c r="L13" s="228">
        <f t="shared" si="2"/>
        <v>34451</v>
      </c>
      <c r="M13" s="228">
        <f t="shared" si="2"/>
        <v>34523</v>
      </c>
      <c r="N13" s="228">
        <f t="shared" si="2"/>
        <v>34556</v>
      </c>
      <c r="O13" s="228">
        <f t="shared" si="2"/>
        <v>34632</v>
      </c>
      <c r="P13" s="228">
        <f t="shared" si="2"/>
        <v>412831</v>
      </c>
      <c r="Q13" s="228">
        <f t="shared" si="2"/>
        <v>34402.583333333328</v>
      </c>
    </row>
    <row r="14" spans="2:17" x14ac:dyDescent="0.25">
      <c r="C14" s="108" t="s">
        <v>141</v>
      </c>
      <c r="D14" s="229">
        <f>D13-D11</f>
        <v>26993</v>
      </c>
      <c r="E14" s="229">
        <f t="shared" ref="E14:Q14" si="3">E13-E11</f>
        <v>27059</v>
      </c>
      <c r="F14" s="229">
        <f t="shared" si="3"/>
        <v>27225</v>
      </c>
      <c r="G14" s="229">
        <f t="shared" si="3"/>
        <v>27148</v>
      </c>
      <c r="H14" s="229">
        <f t="shared" si="3"/>
        <v>27169</v>
      </c>
      <c r="I14" s="229">
        <f t="shared" si="3"/>
        <v>27262</v>
      </c>
      <c r="J14" s="229">
        <f t="shared" si="3"/>
        <v>27175</v>
      </c>
      <c r="K14" s="229">
        <f t="shared" si="3"/>
        <v>27285</v>
      </c>
      <c r="L14" s="229">
        <f t="shared" si="3"/>
        <v>27264</v>
      </c>
      <c r="M14" s="229">
        <f t="shared" si="3"/>
        <v>27317</v>
      </c>
      <c r="N14" s="229">
        <f t="shared" si="3"/>
        <v>27335</v>
      </c>
      <c r="O14" s="229">
        <f t="shared" si="3"/>
        <v>27403</v>
      </c>
      <c r="P14" s="229">
        <f t="shared" si="3"/>
        <v>326635</v>
      </c>
      <c r="Q14" s="229">
        <f t="shared" si="3"/>
        <v>27219.583333333328</v>
      </c>
    </row>
    <row r="15" spans="2:17" x14ac:dyDescent="0.25">
      <c r="B15" s="95" t="s">
        <v>142</v>
      </c>
    </row>
    <row r="17" spans="2:17" x14ac:dyDescent="0.25">
      <c r="B17" s="223" t="s">
        <v>4</v>
      </c>
      <c r="C17" s="223" t="s">
        <v>30</v>
      </c>
      <c r="D17" s="224" t="s">
        <v>128</v>
      </c>
      <c r="E17" s="224" t="s">
        <v>129</v>
      </c>
      <c r="F17" s="224" t="s">
        <v>130</v>
      </c>
      <c r="G17" s="224" t="s">
        <v>131</v>
      </c>
      <c r="H17" s="224" t="s">
        <v>132</v>
      </c>
      <c r="I17" s="224" t="s">
        <v>133</v>
      </c>
      <c r="J17" s="224" t="s">
        <v>134</v>
      </c>
      <c r="K17" s="224" t="s">
        <v>135</v>
      </c>
      <c r="L17" s="224" t="s">
        <v>136</v>
      </c>
      <c r="M17" s="224" t="s">
        <v>137</v>
      </c>
      <c r="N17" s="224" t="s">
        <v>138</v>
      </c>
      <c r="O17" s="224" t="s">
        <v>139</v>
      </c>
      <c r="P17" s="224" t="s">
        <v>34</v>
      </c>
      <c r="Q17" s="224" t="s">
        <v>84</v>
      </c>
    </row>
    <row r="18" spans="2:17" x14ac:dyDescent="0.25">
      <c r="B18" s="107" t="s">
        <v>115</v>
      </c>
      <c r="C18" s="108" t="s">
        <v>106</v>
      </c>
      <c r="D18" s="225">
        <v>36246221</v>
      </c>
      <c r="E18" s="225">
        <v>37467164</v>
      </c>
      <c r="F18" s="225">
        <v>38279546</v>
      </c>
      <c r="G18" s="225">
        <v>23739296</v>
      </c>
      <c r="H18" s="225">
        <v>19916018</v>
      </c>
      <c r="I18" s="225">
        <v>18878071</v>
      </c>
      <c r="J18" s="225">
        <v>23610546</v>
      </c>
      <c r="K18" s="225">
        <v>27227917</v>
      </c>
      <c r="L18" s="225">
        <v>27323654</v>
      </c>
      <c r="M18" s="225">
        <v>20025070</v>
      </c>
      <c r="N18" s="225">
        <v>18928965</v>
      </c>
      <c r="O18" s="225">
        <v>27806015</v>
      </c>
      <c r="P18" s="226">
        <f>SUM(D18:O18)</f>
        <v>319448483</v>
      </c>
      <c r="Q18" s="226">
        <f>AVERAGE(D18:O18)</f>
        <v>26620706.916666668</v>
      </c>
    </row>
    <row r="19" spans="2:17" x14ac:dyDescent="0.25">
      <c r="B19" s="107" t="s">
        <v>116</v>
      </c>
      <c r="C19" s="108" t="s">
        <v>127</v>
      </c>
      <c r="D19" s="225">
        <v>45686</v>
      </c>
      <c r="E19" s="225">
        <v>48715</v>
      </c>
      <c r="F19" s="225">
        <v>48209</v>
      </c>
      <c r="G19" s="225">
        <v>30866</v>
      </c>
      <c r="H19" s="225">
        <v>20385</v>
      </c>
      <c r="I19" s="225">
        <v>14546</v>
      </c>
      <c r="J19" s="225">
        <v>14774</v>
      </c>
      <c r="K19" s="225">
        <v>18384</v>
      </c>
      <c r="L19" s="225">
        <v>19083</v>
      </c>
      <c r="M19" s="225">
        <v>13357</v>
      </c>
      <c r="N19" s="225">
        <v>13253</v>
      </c>
      <c r="O19" s="225">
        <v>28057</v>
      </c>
      <c r="P19" s="226">
        <f t="shared" ref="P19:P24" si="4">SUM(D19:O19)</f>
        <v>315315</v>
      </c>
      <c r="Q19" s="226">
        <f t="shared" ref="Q19:Q24" si="5">AVERAGE(D19:O19)</f>
        <v>26276.25</v>
      </c>
    </row>
    <row r="20" spans="2:17" x14ac:dyDescent="0.25">
      <c r="B20" s="107" t="s">
        <v>117</v>
      </c>
      <c r="C20" s="108" t="s">
        <v>118</v>
      </c>
      <c r="D20" s="225">
        <v>4026129</v>
      </c>
      <c r="E20" s="225">
        <v>4277815</v>
      </c>
      <c r="F20" s="225">
        <v>4293967</v>
      </c>
      <c r="G20" s="225">
        <v>3148536</v>
      </c>
      <c r="H20" s="225">
        <v>2819047</v>
      </c>
      <c r="I20" s="225">
        <v>2841958</v>
      </c>
      <c r="J20" s="225">
        <v>3396215</v>
      </c>
      <c r="K20" s="225">
        <v>3827070</v>
      </c>
      <c r="L20" s="225">
        <v>3843746</v>
      </c>
      <c r="M20" s="225">
        <v>3014474</v>
      </c>
      <c r="N20" s="225">
        <v>2877722</v>
      </c>
      <c r="O20" s="225">
        <v>3318974</v>
      </c>
      <c r="P20" s="226">
        <f t="shared" si="4"/>
        <v>41685653</v>
      </c>
      <c r="Q20" s="226">
        <f t="shared" si="5"/>
        <v>3473804.4166666665</v>
      </c>
    </row>
    <row r="21" spans="2:17" x14ac:dyDescent="0.25">
      <c r="B21" s="107" t="s">
        <v>119</v>
      </c>
      <c r="C21" s="108" t="s">
        <v>120</v>
      </c>
      <c r="D21" s="225">
        <v>6644153</v>
      </c>
      <c r="E21" s="225">
        <v>6909342</v>
      </c>
      <c r="F21" s="225">
        <v>6866385</v>
      </c>
      <c r="G21" s="225">
        <v>6902706</v>
      </c>
      <c r="H21" s="225">
        <v>6278271</v>
      </c>
      <c r="I21" s="225">
        <v>6761746</v>
      </c>
      <c r="J21" s="225">
        <v>7722817</v>
      </c>
      <c r="K21" s="225">
        <v>8151712</v>
      </c>
      <c r="L21" s="225">
        <v>8650734</v>
      </c>
      <c r="M21" s="225">
        <v>7014148</v>
      </c>
      <c r="N21" s="225">
        <v>7014564</v>
      </c>
      <c r="O21" s="225">
        <v>6579148</v>
      </c>
      <c r="P21" s="226">
        <f t="shared" si="4"/>
        <v>85495726</v>
      </c>
      <c r="Q21" s="226">
        <f t="shared" si="5"/>
        <v>7124643.833333333</v>
      </c>
    </row>
    <row r="22" spans="2:17" x14ac:dyDescent="0.25">
      <c r="B22" s="107" t="s">
        <v>121</v>
      </c>
      <c r="C22" s="108" t="s">
        <v>122</v>
      </c>
      <c r="D22" s="225">
        <v>2209596</v>
      </c>
      <c r="E22" s="225">
        <v>2334182</v>
      </c>
      <c r="F22" s="225">
        <v>2106331</v>
      </c>
      <c r="G22" s="225">
        <v>2261220</v>
      </c>
      <c r="H22" s="225">
        <v>2148906</v>
      </c>
      <c r="I22" s="225">
        <v>2287585</v>
      </c>
      <c r="J22" s="225">
        <v>2667247</v>
      </c>
      <c r="K22" s="225">
        <v>2756572</v>
      </c>
      <c r="L22" s="225">
        <v>2746473</v>
      </c>
      <c r="M22" s="225">
        <v>2363144</v>
      </c>
      <c r="N22" s="225">
        <v>2367591</v>
      </c>
      <c r="O22" s="225">
        <v>2207645</v>
      </c>
      <c r="P22" s="226">
        <f t="shared" si="4"/>
        <v>28456492</v>
      </c>
      <c r="Q22" s="226">
        <f t="shared" si="5"/>
        <v>2371374.3333333335</v>
      </c>
    </row>
    <row r="23" spans="2:17" x14ac:dyDescent="0.25">
      <c r="B23" s="107" t="s">
        <v>85</v>
      </c>
      <c r="C23" s="108" t="s">
        <v>107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0</v>
      </c>
      <c r="O23" s="225">
        <v>0</v>
      </c>
      <c r="P23" s="226">
        <f t="shared" si="4"/>
        <v>0</v>
      </c>
      <c r="Q23" s="226">
        <f t="shared" si="5"/>
        <v>0</v>
      </c>
    </row>
    <row r="24" spans="2:17" x14ac:dyDescent="0.25">
      <c r="B24" s="107" t="s">
        <v>123</v>
      </c>
      <c r="C24" s="108" t="s">
        <v>124</v>
      </c>
      <c r="D24" s="225">
        <v>9193339</v>
      </c>
      <c r="E24" s="225">
        <v>9076800</v>
      </c>
      <c r="F24" s="225">
        <v>7782239</v>
      </c>
      <c r="G24" s="225">
        <v>9657602</v>
      </c>
      <c r="H24" s="225">
        <v>9876976</v>
      </c>
      <c r="I24" s="225">
        <v>9262066</v>
      </c>
      <c r="J24" s="225">
        <v>9564681</v>
      </c>
      <c r="K24" s="225">
        <v>9083412</v>
      </c>
      <c r="L24" s="225">
        <v>8741595</v>
      </c>
      <c r="M24" s="225">
        <v>9041978</v>
      </c>
      <c r="N24" s="225">
        <v>9676336</v>
      </c>
      <c r="O24" s="225">
        <v>7503536</v>
      </c>
      <c r="P24" s="226">
        <f t="shared" si="4"/>
        <v>108460560</v>
      </c>
      <c r="Q24" s="226">
        <f t="shared" si="5"/>
        <v>9038380</v>
      </c>
    </row>
    <row r="25" spans="2:17" x14ac:dyDescent="0.25">
      <c r="B25" s="112" t="s">
        <v>34</v>
      </c>
      <c r="C25" s="227"/>
      <c r="D25" s="228">
        <f t="shared" ref="D25:Q25" si="6">SUM(D18:D24)</f>
        <v>58365124</v>
      </c>
      <c r="E25" s="228">
        <f t="shared" si="6"/>
        <v>60114018</v>
      </c>
      <c r="F25" s="228">
        <f t="shared" si="6"/>
        <v>59376677</v>
      </c>
      <c r="G25" s="228">
        <f t="shared" si="6"/>
        <v>45740226</v>
      </c>
      <c r="H25" s="228">
        <f t="shared" si="6"/>
        <v>41059603</v>
      </c>
      <c r="I25" s="228">
        <f t="shared" si="6"/>
        <v>40045972</v>
      </c>
      <c r="J25" s="228">
        <f t="shared" si="6"/>
        <v>46976280</v>
      </c>
      <c r="K25" s="228">
        <f t="shared" si="6"/>
        <v>51065067</v>
      </c>
      <c r="L25" s="228">
        <f t="shared" si="6"/>
        <v>51325285</v>
      </c>
      <c r="M25" s="228">
        <f t="shared" si="6"/>
        <v>41472171</v>
      </c>
      <c r="N25" s="228">
        <f t="shared" si="6"/>
        <v>40878431</v>
      </c>
      <c r="O25" s="228">
        <f t="shared" si="6"/>
        <v>47443375</v>
      </c>
      <c r="P25" s="228">
        <f t="shared" si="6"/>
        <v>583862229</v>
      </c>
      <c r="Q25" s="228">
        <f t="shared" si="6"/>
        <v>48655185.750000007</v>
      </c>
    </row>
    <row r="27" spans="2:17" x14ac:dyDescent="0.25">
      <c r="B27" s="95" t="s">
        <v>143</v>
      </c>
    </row>
    <row r="29" spans="2:17" x14ac:dyDescent="0.25">
      <c r="B29" s="223" t="s">
        <v>4</v>
      </c>
      <c r="C29" s="223" t="s">
        <v>30</v>
      </c>
      <c r="D29" s="224" t="s">
        <v>128</v>
      </c>
      <c r="E29" s="224" t="s">
        <v>129</v>
      </c>
      <c r="F29" s="224" t="s">
        <v>130</v>
      </c>
      <c r="G29" s="224" t="s">
        <v>131</v>
      </c>
      <c r="H29" s="224" t="s">
        <v>132</v>
      </c>
      <c r="I29" s="224" t="s">
        <v>133</v>
      </c>
      <c r="J29" s="224" t="s">
        <v>134</v>
      </c>
      <c r="K29" s="224" t="s">
        <v>135</v>
      </c>
      <c r="L29" s="224" t="s">
        <v>136</v>
      </c>
      <c r="M29" s="224" t="s">
        <v>137</v>
      </c>
      <c r="N29" s="224" t="s">
        <v>138</v>
      </c>
      <c r="O29" s="224" t="s">
        <v>139</v>
      </c>
      <c r="P29" s="224" t="s">
        <v>34</v>
      </c>
      <c r="Q29" s="224" t="s">
        <v>84</v>
      </c>
    </row>
    <row r="30" spans="2:17" x14ac:dyDescent="0.25">
      <c r="B30" s="107" t="s">
        <v>115</v>
      </c>
      <c r="C30" s="108" t="s">
        <v>106</v>
      </c>
      <c r="D30" s="225">
        <v>3320551.5707200002</v>
      </c>
      <c r="E30" s="225">
        <v>3438924.9109899998</v>
      </c>
      <c r="F30" s="225">
        <v>3450576.5472800001</v>
      </c>
      <c r="G30" s="225">
        <v>2161130.5375799998</v>
      </c>
      <c r="H30" s="225">
        <v>2060077.5137699998</v>
      </c>
      <c r="I30" s="225">
        <v>1790793.4927700001</v>
      </c>
      <c r="J30" s="225">
        <v>2272640.1032099999</v>
      </c>
      <c r="K30" s="225">
        <v>2608843.3339200006</v>
      </c>
      <c r="L30" s="225">
        <v>2638910.6854900001</v>
      </c>
      <c r="M30" s="225">
        <v>1978951.57076</v>
      </c>
      <c r="N30" s="225">
        <v>1961583.9095100004</v>
      </c>
      <c r="O30" s="225">
        <v>2840508.7270200001</v>
      </c>
      <c r="P30" s="226">
        <f>SUM(D30:O30)</f>
        <v>30523492.903020002</v>
      </c>
      <c r="Q30" s="226">
        <f>AVERAGE(D30:O30)</f>
        <v>2543624.4085850003</v>
      </c>
    </row>
    <row r="31" spans="2:17" x14ac:dyDescent="0.25">
      <c r="B31" s="107" t="s">
        <v>116</v>
      </c>
      <c r="C31" s="108" t="s">
        <v>127</v>
      </c>
      <c r="D31" s="225">
        <v>3619.02</v>
      </c>
      <c r="E31" s="225">
        <v>3812.52</v>
      </c>
      <c r="F31" s="225">
        <v>3708.8600000000006</v>
      </c>
      <c r="G31" s="225">
        <v>2348.16</v>
      </c>
      <c r="H31" s="225">
        <v>1918.0700000000002</v>
      </c>
      <c r="I31" s="225">
        <v>1254.3600000000001</v>
      </c>
      <c r="J31" s="225">
        <v>1455.47</v>
      </c>
      <c r="K31" s="225">
        <v>1772.3799999999999</v>
      </c>
      <c r="L31" s="225">
        <v>1845.2600000000002</v>
      </c>
      <c r="M31" s="225">
        <v>1331.5500000000002</v>
      </c>
      <c r="N31" s="225">
        <v>1333.5299999999997</v>
      </c>
      <c r="O31" s="225">
        <v>2425.92</v>
      </c>
      <c r="P31" s="226">
        <f t="shared" ref="P31:P36" si="7">SUM(D31:O31)</f>
        <v>26825.100000000006</v>
      </c>
      <c r="Q31" s="226">
        <f t="shared" ref="Q31:Q36" si="8">AVERAGE(D31:O31)</f>
        <v>2235.4250000000006</v>
      </c>
    </row>
    <row r="32" spans="2:17" x14ac:dyDescent="0.25">
      <c r="B32" s="107" t="s">
        <v>117</v>
      </c>
      <c r="C32" s="108" t="s">
        <v>118</v>
      </c>
      <c r="D32" s="225">
        <v>373451.96376000007</v>
      </c>
      <c r="E32" s="225">
        <v>396431.05648000003</v>
      </c>
      <c r="F32" s="225">
        <v>391369.02295999997</v>
      </c>
      <c r="G32" s="225">
        <v>285610.80432000005</v>
      </c>
      <c r="H32" s="225">
        <v>287901.09776000003</v>
      </c>
      <c r="I32" s="225">
        <v>263854.5992</v>
      </c>
      <c r="J32" s="225">
        <v>323287.13751999999</v>
      </c>
      <c r="K32" s="225">
        <v>363408.54032000003</v>
      </c>
      <c r="L32" s="225">
        <v>368044.11175999994</v>
      </c>
      <c r="M32" s="225">
        <v>292172.46339999995</v>
      </c>
      <c r="N32" s="225">
        <v>291383.05</v>
      </c>
      <c r="O32" s="225">
        <v>341280.04080000002</v>
      </c>
      <c r="P32" s="226">
        <f t="shared" si="7"/>
        <v>3978193.8882800001</v>
      </c>
      <c r="Q32" s="226">
        <f t="shared" si="8"/>
        <v>331516.15735666669</v>
      </c>
    </row>
    <row r="33" spans="2:17" x14ac:dyDescent="0.25">
      <c r="B33" s="107" t="s">
        <v>119</v>
      </c>
      <c r="C33" s="108" t="s">
        <v>120</v>
      </c>
      <c r="D33" s="225">
        <v>585154.01504000009</v>
      </c>
      <c r="E33" s="225">
        <v>605767.93498000002</v>
      </c>
      <c r="F33" s="225">
        <v>597873.36693999998</v>
      </c>
      <c r="G33" s="225">
        <v>578511.48693999997</v>
      </c>
      <c r="H33" s="225">
        <v>612753.4884700001</v>
      </c>
      <c r="I33" s="225">
        <v>580836.96649000014</v>
      </c>
      <c r="J33" s="225">
        <v>673213.83580000012</v>
      </c>
      <c r="K33" s="225">
        <v>714184.09655999986</v>
      </c>
      <c r="L33" s="225">
        <v>757407.30776</v>
      </c>
      <c r="M33" s="225">
        <v>637328.63167999999</v>
      </c>
      <c r="N33" s="225">
        <v>653094.96057</v>
      </c>
      <c r="O33" s="225">
        <v>645855.37231999997</v>
      </c>
      <c r="P33" s="226">
        <f t="shared" si="7"/>
        <v>7641981.4635499995</v>
      </c>
      <c r="Q33" s="226">
        <f t="shared" si="8"/>
        <v>636831.78862916667</v>
      </c>
    </row>
    <row r="34" spans="2:17" x14ac:dyDescent="0.25">
      <c r="B34" s="107" t="s">
        <v>121</v>
      </c>
      <c r="C34" s="108" t="s">
        <v>122</v>
      </c>
      <c r="D34" s="225">
        <v>152658.32</v>
      </c>
      <c r="E34" s="225">
        <v>160587.56</v>
      </c>
      <c r="F34" s="225">
        <v>148120.08000000002</v>
      </c>
      <c r="G34" s="225">
        <v>148586.35999999999</v>
      </c>
      <c r="H34" s="225">
        <v>163739.89000000001</v>
      </c>
      <c r="I34" s="225">
        <v>152566.1</v>
      </c>
      <c r="J34" s="225">
        <v>180654.84999999998</v>
      </c>
      <c r="K34" s="225">
        <v>190234.86</v>
      </c>
      <c r="L34" s="225">
        <v>193608.21999999997</v>
      </c>
      <c r="M34" s="225">
        <v>166504.57999999999</v>
      </c>
      <c r="N34" s="225">
        <v>173452.02999999997</v>
      </c>
      <c r="O34" s="225">
        <v>167426.49</v>
      </c>
      <c r="P34" s="226">
        <f t="shared" si="7"/>
        <v>1998139.34</v>
      </c>
      <c r="Q34" s="226">
        <f t="shared" si="8"/>
        <v>166511.61166666666</v>
      </c>
    </row>
    <row r="35" spans="2:17" x14ac:dyDescent="0.25">
      <c r="B35" s="107" t="s">
        <v>85</v>
      </c>
      <c r="C35" s="108" t="s">
        <v>107</v>
      </c>
      <c r="D35" s="225">
        <v>37739.250479999988</v>
      </c>
      <c r="E35" s="225">
        <v>38477.447549999997</v>
      </c>
      <c r="F35" s="225">
        <v>38728.262820000011</v>
      </c>
      <c r="G35" s="225">
        <v>39348.511159999995</v>
      </c>
      <c r="H35" s="225">
        <v>40347.62000000001</v>
      </c>
      <c r="I35" s="225">
        <v>40784.731539999993</v>
      </c>
      <c r="J35" s="225">
        <v>40917.533469999995</v>
      </c>
      <c r="K35" s="225">
        <v>41396.949200000003</v>
      </c>
      <c r="L35" s="225">
        <v>42055.934990000002</v>
      </c>
      <c r="M35" s="225">
        <v>41682.674159999995</v>
      </c>
      <c r="N35" s="225">
        <v>44606.169920000015</v>
      </c>
      <c r="O35" s="225">
        <v>45079.719859999968</v>
      </c>
      <c r="P35" s="226">
        <f t="shared" si="7"/>
        <v>491164.80514999997</v>
      </c>
      <c r="Q35" s="226">
        <f t="shared" si="8"/>
        <v>40930.400429166664</v>
      </c>
    </row>
    <row r="36" spans="2:17" x14ac:dyDescent="0.25">
      <c r="B36" s="107" t="s">
        <v>123</v>
      </c>
      <c r="C36" s="108" t="s">
        <v>124</v>
      </c>
      <c r="D36" s="225">
        <v>218601.66</v>
      </c>
      <c r="E36" s="225">
        <v>168830.44</v>
      </c>
      <c r="F36" s="225">
        <v>243147.01</v>
      </c>
      <c r="G36" s="225">
        <v>267663.21999999997</v>
      </c>
      <c r="H36" s="225">
        <v>368602.93</v>
      </c>
      <c r="I36" s="225">
        <v>401149.06</v>
      </c>
      <c r="J36" s="225">
        <v>423096.56</v>
      </c>
      <c r="K36" s="225">
        <v>357591.07</v>
      </c>
      <c r="L36" s="225">
        <v>368453.55</v>
      </c>
      <c r="M36" s="225">
        <v>378575.23</v>
      </c>
      <c r="N36" s="225">
        <v>475942.66</v>
      </c>
      <c r="O36" s="225">
        <v>377596.19</v>
      </c>
      <c r="P36" s="226">
        <f t="shared" si="7"/>
        <v>4049249.58</v>
      </c>
      <c r="Q36" s="226">
        <f t="shared" si="8"/>
        <v>337437.46500000003</v>
      </c>
    </row>
    <row r="37" spans="2:17" x14ac:dyDescent="0.25">
      <c r="B37" s="112" t="s">
        <v>34</v>
      </c>
      <c r="C37" s="227"/>
      <c r="D37" s="228">
        <f t="shared" ref="D37:Q37" si="9">SUM(D30:D36)</f>
        <v>4691775.8000000007</v>
      </c>
      <c r="E37" s="228">
        <f t="shared" si="9"/>
        <v>4812831.87</v>
      </c>
      <c r="F37" s="228">
        <f t="shared" si="9"/>
        <v>4873523.1499999994</v>
      </c>
      <c r="G37" s="228">
        <f t="shared" si="9"/>
        <v>3483199.0799999991</v>
      </c>
      <c r="H37" s="228">
        <f t="shared" si="9"/>
        <v>3535340.6100000003</v>
      </c>
      <c r="I37" s="228">
        <f t="shared" si="9"/>
        <v>3231239.3100000005</v>
      </c>
      <c r="J37" s="228">
        <f t="shared" si="9"/>
        <v>3915265.49</v>
      </c>
      <c r="K37" s="228">
        <f t="shared" si="9"/>
        <v>4277431.2300000004</v>
      </c>
      <c r="L37" s="228">
        <f t="shared" si="9"/>
        <v>4370325.0699999994</v>
      </c>
      <c r="M37" s="228">
        <f t="shared" si="9"/>
        <v>3496546.7</v>
      </c>
      <c r="N37" s="228">
        <f t="shared" si="9"/>
        <v>3601396.3100000005</v>
      </c>
      <c r="O37" s="228">
        <f t="shared" si="9"/>
        <v>4420172.46</v>
      </c>
      <c r="P37" s="228">
        <f t="shared" si="9"/>
        <v>48709047.080000006</v>
      </c>
      <c r="Q37" s="228">
        <f t="shared" si="9"/>
        <v>4059087.2566666673</v>
      </c>
    </row>
    <row r="39" spans="2:17" x14ac:dyDescent="0.25">
      <c r="B39" s="95" t="s">
        <v>144</v>
      </c>
    </row>
    <row r="41" spans="2:17" x14ac:dyDescent="0.25">
      <c r="B41" s="223" t="s">
        <v>4</v>
      </c>
      <c r="C41" s="223" t="s">
        <v>30</v>
      </c>
      <c r="D41" s="224" t="s">
        <v>128</v>
      </c>
      <c r="E41" s="224" t="s">
        <v>129</v>
      </c>
      <c r="F41" s="224" t="s">
        <v>130</v>
      </c>
      <c r="G41" s="224" t="s">
        <v>131</v>
      </c>
      <c r="H41" s="224" t="s">
        <v>132</v>
      </c>
      <c r="I41" s="224" t="s">
        <v>133</v>
      </c>
      <c r="J41" s="224" t="s">
        <v>134</v>
      </c>
      <c r="K41" s="224" t="s">
        <v>135</v>
      </c>
      <c r="L41" s="224" t="s">
        <v>136</v>
      </c>
      <c r="M41" s="224" t="s">
        <v>137</v>
      </c>
      <c r="N41" s="224" t="s">
        <v>138</v>
      </c>
      <c r="O41" s="224" t="s">
        <v>139</v>
      </c>
      <c r="P41" s="224" t="s">
        <v>34</v>
      </c>
      <c r="Q41" s="224" t="s">
        <v>84</v>
      </c>
    </row>
    <row r="42" spans="2:17" x14ac:dyDescent="0.25">
      <c r="B42" s="107" t="s">
        <v>115</v>
      </c>
      <c r="C42" s="108" t="s">
        <v>106</v>
      </c>
      <c r="D42" s="225">
        <v>-224323.52</v>
      </c>
      <c r="E42" s="225">
        <v>-169329.04</v>
      </c>
      <c r="F42" s="225">
        <v>-94523.95</v>
      </c>
      <c r="G42" s="225">
        <v>-118388.49999999999</v>
      </c>
      <c r="H42" s="225">
        <v>46178.229999999996</v>
      </c>
      <c r="I42" s="225">
        <v>-128461.94</v>
      </c>
      <c r="J42" s="225">
        <v>-167231.03000000003</v>
      </c>
      <c r="K42" s="225">
        <v>-135810.76999999999</v>
      </c>
      <c r="L42" s="225">
        <v>-86306.380000000019</v>
      </c>
      <c r="M42" s="225">
        <v>-64261.64</v>
      </c>
      <c r="N42" s="225">
        <v>-51633.2</v>
      </c>
      <c r="O42" s="225">
        <v>-54759.560000000005</v>
      </c>
      <c r="P42" s="226">
        <f>SUM(D42:O42)</f>
        <v>-1248851.3</v>
      </c>
      <c r="Q42" s="226">
        <f>AVERAGE(D42:O42)</f>
        <v>-104070.94166666667</v>
      </c>
    </row>
    <row r="43" spans="2:17" x14ac:dyDescent="0.25">
      <c r="B43" s="107" t="s">
        <v>116</v>
      </c>
      <c r="C43" s="108" t="s">
        <v>127</v>
      </c>
      <c r="D43" s="225">
        <v>-283.93</v>
      </c>
      <c r="E43" s="225">
        <v>-221.02</v>
      </c>
      <c r="F43" s="225">
        <v>-119.49</v>
      </c>
      <c r="G43" s="225">
        <v>-154.91999999999999</v>
      </c>
      <c r="H43" s="225">
        <v>47.72</v>
      </c>
      <c r="I43" s="225">
        <v>-100.31</v>
      </c>
      <c r="J43" s="225">
        <v>-106.03</v>
      </c>
      <c r="K43" s="225">
        <v>-92.65</v>
      </c>
      <c r="L43" s="225">
        <v>-60.87</v>
      </c>
      <c r="M43" s="225">
        <v>-43.87</v>
      </c>
      <c r="N43" s="225">
        <v>-36.67</v>
      </c>
      <c r="O43" s="225">
        <v>-55.62</v>
      </c>
      <c r="P43" s="226">
        <f t="shared" ref="P43:P48" si="10">SUM(D43:O43)</f>
        <v>-1227.6599999999999</v>
      </c>
      <c r="Q43" s="226">
        <f t="shared" ref="Q43:Q48" si="11">AVERAGE(D43:O43)</f>
        <v>-102.30499999999999</v>
      </c>
    </row>
    <row r="44" spans="2:17" x14ac:dyDescent="0.25">
      <c r="B44" s="107" t="s">
        <v>117</v>
      </c>
      <c r="C44" s="108" t="s">
        <v>118</v>
      </c>
      <c r="D44" s="225">
        <v>-24615.869999999995</v>
      </c>
      <c r="E44" s="225">
        <v>-19118.419999999998</v>
      </c>
      <c r="F44" s="225">
        <v>-10486.36</v>
      </c>
      <c r="G44" s="225">
        <v>-15484.36</v>
      </c>
      <c r="H44" s="225">
        <v>6435.2200000000012</v>
      </c>
      <c r="I44" s="225">
        <v>-19048.66</v>
      </c>
      <c r="J44" s="225">
        <v>-23758.71</v>
      </c>
      <c r="K44" s="225">
        <v>-18874.540000000005</v>
      </c>
      <c r="L44" s="225">
        <v>-12001.44</v>
      </c>
      <c r="M44" s="225">
        <v>-9528.8499999999985</v>
      </c>
      <c r="N44" s="225">
        <v>-7731.8600000000006</v>
      </c>
      <c r="O44" s="225">
        <v>-6450.8</v>
      </c>
      <c r="P44" s="226">
        <f t="shared" si="10"/>
        <v>-160664.65000000002</v>
      </c>
      <c r="Q44" s="226">
        <f t="shared" si="11"/>
        <v>-13388.720833333335</v>
      </c>
    </row>
    <row r="45" spans="2:17" x14ac:dyDescent="0.25">
      <c r="B45" s="107" t="s">
        <v>119</v>
      </c>
      <c r="C45" s="108" t="s">
        <v>120</v>
      </c>
      <c r="D45" s="225">
        <v>-41137.200000000004</v>
      </c>
      <c r="E45" s="225">
        <v>-31235.14</v>
      </c>
      <c r="F45" s="225">
        <v>-16963.93</v>
      </c>
      <c r="G45" s="225">
        <v>-34452.32</v>
      </c>
      <c r="H45" s="225">
        <v>14569.12</v>
      </c>
      <c r="I45" s="225">
        <v>-46058.100000000006</v>
      </c>
      <c r="J45" s="225">
        <v>-54770.21</v>
      </c>
      <c r="K45" s="225">
        <v>-40688.29</v>
      </c>
      <c r="L45" s="225">
        <v>-27343.269999999997</v>
      </c>
      <c r="M45" s="225">
        <v>-22522.47</v>
      </c>
      <c r="N45" s="225">
        <v>-19155.86</v>
      </c>
      <c r="O45" s="225">
        <v>-13021.98</v>
      </c>
      <c r="P45" s="226">
        <f t="shared" si="10"/>
        <v>-332779.65000000002</v>
      </c>
      <c r="Q45" s="226">
        <f t="shared" si="11"/>
        <v>-27731.637500000001</v>
      </c>
    </row>
    <row r="46" spans="2:17" x14ac:dyDescent="0.25">
      <c r="B46" s="107" t="s">
        <v>121</v>
      </c>
      <c r="C46" s="108" t="s">
        <v>122</v>
      </c>
      <c r="D46" s="225">
        <v>-13677.4</v>
      </c>
      <c r="E46" s="225">
        <v>-10550.5</v>
      </c>
      <c r="F46" s="225">
        <v>-5202.6400000000003</v>
      </c>
      <c r="G46" s="225">
        <v>-11283.48</v>
      </c>
      <c r="H46" s="225">
        <v>4985.47</v>
      </c>
      <c r="I46" s="225">
        <v>-15578.45</v>
      </c>
      <c r="J46" s="225">
        <v>-18910.780000000002</v>
      </c>
      <c r="K46" s="225">
        <v>-13755.300000000001</v>
      </c>
      <c r="L46" s="225">
        <v>-8678.86</v>
      </c>
      <c r="M46" s="225">
        <v>-7585.68</v>
      </c>
      <c r="N46" s="225">
        <v>-6463.53</v>
      </c>
      <c r="O46" s="225">
        <v>-4349.07</v>
      </c>
      <c r="P46" s="226">
        <f t="shared" si="10"/>
        <v>-111050.22</v>
      </c>
      <c r="Q46" s="226">
        <f t="shared" si="11"/>
        <v>-9254.1849999999995</v>
      </c>
    </row>
    <row r="47" spans="2:17" x14ac:dyDescent="0.25">
      <c r="B47" s="107" t="s">
        <v>85</v>
      </c>
      <c r="C47" s="108" t="s">
        <v>107</v>
      </c>
      <c r="D47" s="225">
        <v>0</v>
      </c>
      <c r="E47" s="225"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6">
        <f t="shared" si="10"/>
        <v>0</v>
      </c>
      <c r="Q47" s="226">
        <f t="shared" si="11"/>
        <v>0</v>
      </c>
    </row>
    <row r="48" spans="2:17" x14ac:dyDescent="0.25">
      <c r="B48" s="107" t="s">
        <v>123</v>
      </c>
      <c r="C48" s="108" t="s">
        <v>124</v>
      </c>
      <c r="D48" s="225">
        <v>0</v>
      </c>
      <c r="E48" s="225">
        <v>0</v>
      </c>
      <c r="F48" s="225">
        <v>0</v>
      </c>
      <c r="G48" s="225">
        <v>0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5">
        <v>0</v>
      </c>
      <c r="N48" s="225">
        <v>0</v>
      </c>
      <c r="O48" s="225">
        <v>0</v>
      </c>
      <c r="P48" s="226">
        <f t="shared" si="10"/>
        <v>0</v>
      </c>
      <c r="Q48" s="226">
        <f t="shared" si="11"/>
        <v>0</v>
      </c>
    </row>
    <row r="49" spans="2:17" x14ac:dyDescent="0.25">
      <c r="B49" s="112" t="s">
        <v>34</v>
      </c>
      <c r="C49" s="227"/>
      <c r="D49" s="228">
        <f t="shared" ref="D49:Q49" si="12">SUM(D42:D48)</f>
        <v>-304037.92</v>
      </c>
      <c r="E49" s="228">
        <f t="shared" si="12"/>
        <v>-230454.12</v>
      </c>
      <c r="F49" s="228">
        <f t="shared" si="12"/>
        <v>-127296.37000000001</v>
      </c>
      <c r="G49" s="228">
        <f t="shared" si="12"/>
        <v>-179763.58</v>
      </c>
      <c r="H49" s="228">
        <f t="shared" si="12"/>
        <v>72215.759999999995</v>
      </c>
      <c r="I49" s="228">
        <f t="shared" si="12"/>
        <v>-209247.46000000002</v>
      </c>
      <c r="J49" s="228">
        <f t="shared" si="12"/>
        <v>-264776.76</v>
      </c>
      <c r="K49" s="228">
        <f t="shared" si="12"/>
        <v>-209221.55</v>
      </c>
      <c r="L49" s="228">
        <f t="shared" si="12"/>
        <v>-134390.82</v>
      </c>
      <c r="M49" s="228">
        <f t="shared" si="12"/>
        <v>-103942.51000000001</v>
      </c>
      <c r="N49" s="228">
        <f t="shared" si="12"/>
        <v>-85021.119999999995</v>
      </c>
      <c r="O49" s="228">
        <f t="shared" si="12"/>
        <v>-78637.03</v>
      </c>
      <c r="P49" s="228">
        <f t="shared" si="12"/>
        <v>-1854573.4799999997</v>
      </c>
      <c r="Q49" s="228">
        <f t="shared" si="12"/>
        <v>-154547.79</v>
      </c>
    </row>
    <row r="51" spans="2:17" x14ac:dyDescent="0.25">
      <c r="B51" s="95" t="s">
        <v>145</v>
      </c>
    </row>
    <row r="53" spans="2:17" x14ac:dyDescent="0.25">
      <c r="B53" s="223" t="s">
        <v>4</v>
      </c>
      <c r="C53" s="223" t="s">
        <v>30</v>
      </c>
      <c r="D53" s="224" t="s">
        <v>128</v>
      </c>
      <c r="E53" s="224" t="s">
        <v>129</v>
      </c>
      <c r="F53" s="224" t="s">
        <v>130</v>
      </c>
      <c r="G53" s="224" t="s">
        <v>131</v>
      </c>
      <c r="H53" s="224" t="s">
        <v>132</v>
      </c>
      <c r="I53" s="224" t="s">
        <v>133</v>
      </c>
      <c r="J53" s="224" t="s">
        <v>134</v>
      </c>
      <c r="K53" s="224" t="s">
        <v>135</v>
      </c>
      <c r="L53" s="224" t="s">
        <v>136</v>
      </c>
      <c r="M53" s="224" t="s">
        <v>137</v>
      </c>
      <c r="N53" s="224" t="s">
        <v>138</v>
      </c>
      <c r="O53" s="224" t="s">
        <v>139</v>
      </c>
      <c r="P53" s="224" t="s">
        <v>34</v>
      </c>
      <c r="Q53" s="224" t="s">
        <v>84</v>
      </c>
    </row>
    <row r="54" spans="2:17" x14ac:dyDescent="0.25">
      <c r="B54" s="107" t="s">
        <v>115</v>
      </c>
      <c r="C54" s="108" t="s">
        <v>106</v>
      </c>
      <c r="D54" s="225">
        <v>483323.89</v>
      </c>
      <c r="E54" s="225">
        <v>451251.38999999996</v>
      </c>
      <c r="F54" s="225">
        <v>324181.18</v>
      </c>
      <c r="G54" s="225">
        <v>194778.83</v>
      </c>
      <c r="H54" s="225">
        <v>227361.55999999997</v>
      </c>
      <c r="I54" s="225">
        <v>212972.98</v>
      </c>
      <c r="J54" s="225">
        <v>367702.12</v>
      </c>
      <c r="K54" s="225">
        <v>386109.21</v>
      </c>
      <c r="L54" s="225">
        <v>359250.88</v>
      </c>
      <c r="M54" s="225">
        <v>246139.3</v>
      </c>
      <c r="N54" s="225">
        <v>232514.02</v>
      </c>
      <c r="O54" s="225">
        <v>393156.04</v>
      </c>
      <c r="P54" s="226">
        <f>SUM(D54:O54)</f>
        <v>3878741.4</v>
      </c>
      <c r="Q54" s="226">
        <f>AVERAGE(D54:O54)</f>
        <v>323228.45</v>
      </c>
    </row>
    <row r="55" spans="2:17" x14ac:dyDescent="0.25">
      <c r="B55" s="107" t="s">
        <v>116</v>
      </c>
      <c r="C55" s="108" t="s">
        <v>127</v>
      </c>
      <c r="D55" s="225">
        <v>530.1</v>
      </c>
      <c r="E55" s="225">
        <v>503.13</v>
      </c>
      <c r="F55" s="225">
        <v>350.53</v>
      </c>
      <c r="G55" s="225">
        <v>213.56</v>
      </c>
      <c r="H55" s="225">
        <v>214.47</v>
      </c>
      <c r="I55" s="225">
        <v>152.87</v>
      </c>
      <c r="J55" s="225">
        <v>240.72</v>
      </c>
      <c r="K55" s="225">
        <v>267.01</v>
      </c>
      <c r="L55" s="225">
        <v>255.4</v>
      </c>
      <c r="M55" s="225">
        <v>169.52</v>
      </c>
      <c r="N55" s="225">
        <v>161.83000000000001</v>
      </c>
      <c r="O55" s="225">
        <v>339.4</v>
      </c>
      <c r="P55" s="226">
        <f t="shared" ref="P55:P60" si="13">SUM(D55:O55)</f>
        <v>3398.5399999999995</v>
      </c>
      <c r="Q55" s="226">
        <f t="shared" ref="Q55:Q60" si="14">AVERAGE(D55:O55)</f>
        <v>283.21166666666664</v>
      </c>
    </row>
    <row r="56" spans="2:17" x14ac:dyDescent="0.25">
      <c r="B56" s="107" t="s">
        <v>117</v>
      </c>
      <c r="C56" s="108" t="s">
        <v>118</v>
      </c>
      <c r="D56" s="225">
        <v>54145.63</v>
      </c>
      <c r="E56" s="225">
        <v>51824.68</v>
      </c>
      <c r="F56" s="225">
        <v>36641.17</v>
      </c>
      <c r="G56" s="225">
        <v>25613.45</v>
      </c>
      <c r="H56" s="225">
        <v>31591.690000000002</v>
      </c>
      <c r="I56" s="225">
        <v>31164.600000000002</v>
      </c>
      <c r="J56" s="225">
        <v>52024.77</v>
      </c>
      <c r="K56" s="225">
        <v>53528.33</v>
      </c>
      <c r="L56" s="225">
        <v>49878.96</v>
      </c>
      <c r="M56" s="225">
        <v>36073.33</v>
      </c>
      <c r="N56" s="225">
        <v>34299.82</v>
      </c>
      <c r="O56" s="225">
        <v>47088.27</v>
      </c>
      <c r="P56" s="226">
        <f t="shared" si="13"/>
        <v>503874.70000000007</v>
      </c>
      <c r="Q56" s="226">
        <f t="shared" si="14"/>
        <v>41989.558333333342</v>
      </c>
    </row>
    <row r="57" spans="2:17" x14ac:dyDescent="0.25">
      <c r="B57" s="107" t="s">
        <v>119</v>
      </c>
      <c r="C57" s="108" t="s">
        <v>120</v>
      </c>
      <c r="D57" s="225">
        <v>84838.22</v>
      </c>
      <c r="E57" s="225">
        <v>79185.08</v>
      </c>
      <c r="F57" s="225">
        <v>55949.43</v>
      </c>
      <c r="G57" s="225">
        <v>51698.06</v>
      </c>
      <c r="H57" s="225">
        <v>66979.399999999994</v>
      </c>
      <c r="I57" s="225">
        <v>68275.259999999995</v>
      </c>
      <c r="J57" s="225">
        <v>107922.84</v>
      </c>
      <c r="K57" s="225">
        <v>104928.76</v>
      </c>
      <c r="L57" s="225">
        <v>102335.67999999999</v>
      </c>
      <c r="M57" s="225">
        <v>78429.53</v>
      </c>
      <c r="N57" s="225">
        <v>76521.77</v>
      </c>
      <c r="O57" s="225">
        <v>88732.459999999992</v>
      </c>
      <c r="P57" s="226">
        <f t="shared" si="13"/>
        <v>965796.49</v>
      </c>
      <c r="Q57" s="226">
        <f t="shared" si="14"/>
        <v>80483.040833333333</v>
      </c>
    </row>
    <row r="58" spans="2:17" x14ac:dyDescent="0.25">
      <c r="B58" s="107" t="s">
        <v>121</v>
      </c>
      <c r="C58" s="108" t="s">
        <v>122</v>
      </c>
      <c r="D58" s="225">
        <v>22065.18</v>
      </c>
      <c r="E58" s="225">
        <v>20926.02</v>
      </c>
      <c r="F58" s="225">
        <v>13818.98</v>
      </c>
      <c r="G58" s="225">
        <v>13235.929999999998</v>
      </c>
      <c r="H58" s="225">
        <v>17843.760000000002</v>
      </c>
      <c r="I58" s="225">
        <v>17876.41</v>
      </c>
      <c r="J58" s="225">
        <v>28876.74</v>
      </c>
      <c r="K58" s="225">
        <v>27867.42</v>
      </c>
      <c r="L58" s="225">
        <v>26085.89</v>
      </c>
      <c r="M58" s="225">
        <v>20424.780000000002</v>
      </c>
      <c r="N58" s="225">
        <v>20254.53</v>
      </c>
      <c r="O58" s="225">
        <v>22936.66</v>
      </c>
      <c r="P58" s="226">
        <f t="shared" si="13"/>
        <v>252212.30000000002</v>
      </c>
      <c r="Q58" s="226">
        <f t="shared" si="14"/>
        <v>21017.691666666669</v>
      </c>
    </row>
    <row r="59" spans="2:17" x14ac:dyDescent="0.25">
      <c r="B59" s="107" t="s">
        <v>85</v>
      </c>
      <c r="C59" s="108" t="s">
        <v>107</v>
      </c>
      <c r="D59" s="225">
        <v>0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0</v>
      </c>
      <c r="P59" s="226">
        <f t="shared" si="13"/>
        <v>0</v>
      </c>
      <c r="Q59" s="226">
        <f t="shared" si="14"/>
        <v>0</v>
      </c>
    </row>
    <row r="60" spans="2:17" x14ac:dyDescent="0.25">
      <c r="B60" s="107" t="s">
        <v>123</v>
      </c>
      <c r="C60" s="108" t="s">
        <v>124</v>
      </c>
      <c r="D60" s="225">
        <v>21675</v>
      </c>
      <c r="E60" s="225">
        <v>15005</v>
      </c>
      <c r="F60" s="225">
        <v>10581</v>
      </c>
      <c r="G60" s="225">
        <v>14978</v>
      </c>
      <c r="H60" s="225">
        <v>26602</v>
      </c>
      <c r="I60" s="225">
        <v>33807</v>
      </c>
      <c r="J60" s="225">
        <v>37244</v>
      </c>
      <c r="K60" s="225">
        <v>31697</v>
      </c>
      <c r="L60" s="225">
        <v>26833</v>
      </c>
      <c r="M60" s="225">
        <v>24927</v>
      </c>
      <c r="N60" s="225">
        <v>25534</v>
      </c>
      <c r="O60" s="225">
        <v>23717</v>
      </c>
      <c r="P60" s="226">
        <f t="shared" si="13"/>
        <v>292600</v>
      </c>
      <c r="Q60" s="226">
        <f t="shared" si="14"/>
        <v>24383.333333333332</v>
      </c>
    </row>
    <row r="61" spans="2:17" x14ac:dyDescent="0.25">
      <c r="B61" s="112" t="s">
        <v>34</v>
      </c>
      <c r="C61" s="227"/>
      <c r="D61" s="228">
        <f t="shared" ref="D61:Q61" si="15">SUM(D54:D60)</f>
        <v>666578.02</v>
      </c>
      <c r="E61" s="228">
        <f t="shared" si="15"/>
        <v>618695.29999999993</v>
      </c>
      <c r="F61" s="228">
        <f t="shared" si="15"/>
        <v>441522.29</v>
      </c>
      <c r="G61" s="228">
        <f t="shared" si="15"/>
        <v>300517.83</v>
      </c>
      <c r="H61" s="228">
        <f t="shared" si="15"/>
        <v>370592.88</v>
      </c>
      <c r="I61" s="228">
        <f t="shared" si="15"/>
        <v>364249.12</v>
      </c>
      <c r="J61" s="228">
        <f t="shared" si="15"/>
        <v>594011.18999999994</v>
      </c>
      <c r="K61" s="228">
        <f t="shared" si="15"/>
        <v>604397.7300000001</v>
      </c>
      <c r="L61" s="228">
        <f t="shared" si="15"/>
        <v>564639.81000000006</v>
      </c>
      <c r="M61" s="228">
        <f t="shared" si="15"/>
        <v>406163.45999999996</v>
      </c>
      <c r="N61" s="228">
        <f t="shared" si="15"/>
        <v>389285.97</v>
      </c>
      <c r="O61" s="228">
        <f t="shared" si="15"/>
        <v>575969.83000000007</v>
      </c>
      <c r="P61" s="228">
        <f t="shared" si="15"/>
        <v>5896623.4299999997</v>
      </c>
      <c r="Q61" s="228">
        <f t="shared" si="15"/>
        <v>491385.28583333333</v>
      </c>
    </row>
    <row r="63" spans="2:17" x14ac:dyDescent="0.25">
      <c r="B63" s="95" t="s">
        <v>146</v>
      </c>
    </row>
    <row r="65" spans="2:17" x14ac:dyDescent="0.25">
      <c r="B65" s="223" t="s">
        <v>4</v>
      </c>
      <c r="C65" s="223" t="s">
        <v>30</v>
      </c>
      <c r="D65" s="224" t="s">
        <v>128</v>
      </c>
      <c r="E65" s="224" t="s">
        <v>129</v>
      </c>
      <c r="F65" s="224" t="s">
        <v>130</v>
      </c>
      <c r="G65" s="224" t="s">
        <v>131</v>
      </c>
      <c r="H65" s="224" t="s">
        <v>132</v>
      </c>
      <c r="I65" s="224" t="s">
        <v>133</v>
      </c>
      <c r="J65" s="224" t="s">
        <v>134</v>
      </c>
      <c r="K65" s="224" t="s">
        <v>135</v>
      </c>
      <c r="L65" s="224" t="s">
        <v>136</v>
      </c>
      <c r="M65" s="224" t="s">
        <v>137</v>
      </c>
      <c r="N65" s="224" t="s">
        <v>138</v>
      </c>
      <c r="O65" s="224" t="s">
        <v>139</v>
      </c>
      <c r="P65" s="224" t="s">
        <v>34</v>
      </c>
      <c r="Q65" s="224" t="s">
        <v>84</v>
      </c>
    </row>
    <row r="66" spans="2:17" x14ac:dyDescent="0.25">
      <c r="B66" s="107" t="s">
        <v>115</v>
      </c>
      <c r="C66" s="108" t="s">
        <v>106</v>
      </c>
      <c r="D66" s="225">
        <v>0</v>
      </c>
      <c r="E66" s="225">
        <v>0</v>
      </c>
      <c r="F66" s="225">
        <v>0</v>
      </c>
      <c r="G66" s="225">
        <v>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0</v>
      </c>
      <c r="P66" s="226">
        <f>SUM(D66:O66)</f>
        <v>0</v>
      </c>
      <c r="Q66" s="226">
        <f>AVERAGE(D66:O66)</f>
        <v>0</v>
      </c>
    </row>
    <row r="67" spans="2:17" x14ac:dyDescent="0.25">
      <c r="B67" s="107" t="s">
        <v>116</v>
      </c>
      <c r="C67" s="108" t="s">
        <v>127</v>
      </c>
      <c r="D67" s="225">
        <v>0</v>
      </c>
      <c r="E67" s="225">
        <v>0</v>
      </c>
      <c r="F67" s="225">
        <v>0</v>
      </c>
      <c r="G67" s="225">
        <v>0</v>
      </c>
      <c r="H67" s="225">
        <v>0</v>
      </c>
      <c r="I67" s="225">
        <v>0</v>
      </c>
      <c r="J67" s="225">
        <v>0</v>
      </c>
      <c r="K67" s="225">
        <v>0</v>
      </c>
      <c r="L67" s="225">
        <v>0</v>
      </c>
      <c r="M67" s="225">
        <v>0</v>
      </c>
      <c r="N67" s="225">
        <v>0</v>
      </c>
      <c r="O67" s="225">
        <v>0</v>
      </c>
      <c r="P67" s="226">
        <f t="shared" ref="P67:P72" si="16">SUM(D67:O67)</f>
        <v>0</v>
      </c>
      <c r="Q67" s="226">
        <f t="shared" ref="Q67:Q72" si="17">AVERAGE(D67:O67)</f>
        <v>0</v>
      </c>
    </row>
    <row r="68" spans="2:17" x14ac:dyDescent="0.25">
      <c r="B68" s="107" t="s">
        <v>117</v>
      </c>
      <c r="C68" s="108" t="s">
        <v>118</v>
      </c>
      <c r="D68" s="225">
        <v>0</v>
      </c>
      <c r="E68" s="225">
        <v>0</v>
      </c>
      <c r="F68" s="225">
        <v>0</v>
      </c>
      <c r="G68" s="225">
        <v>0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0</v>
      </c>
      <c r="P68" s="226">
        <f t="shared" si="16"/>
        <v>0</v>
      </c>
      <c r="Q68" s="226">
        <f t="shared" si="17"/>
        <v>0</v>
      </c>
    </row>
    <row r="69" spans="2:17" x14ac:dyDescent="0.25">
      <c r="B69" s="107" t="s">
        <v>119</v>
      </c>
      <c r="C69" s="108" t="s">
        <v>120</v>
      </c>
      <c r="D69" s="225">
        <v>26120.555</v>
      </c>
      <c r="E69" s="225">
        <v>26172.914000000001</v>
      </c>
      <c r="F69" s="225">
        <v>26770.042999999998</v>
      </c>
      <c r="G69" s="225">
        <v>26493.744999999999</v>
      </c>
      <c r="H69" s="225">
        <v>27948.848000000002</v>
      </c>
      <c r="I69" s="225">
        <v>27890.929</v>
      </c>
      <c r="J69" s="225">
        <v>29149.695</v>
      </c>
      <c r="K69" s="225">
        <v>30024.298000000003</v>
      </c>
      <c r="L69" s="225">
        <v>30762.953999999998</v>
      </c>
      <c r="M69" s="225">
        <v>29331.96</v>
      </c>
      <c r="N69" s="225">
        <v>27639.478999999999</v>
      </c>
      <c r="O69" s="225">
        <v>27816.536</v>
      </c>
      <c r="P69" s="226">
        <f t="shared" si="16"/>
        <v>336121.95600000001</v>
      </c>
      <c r="Q69" s="226">
        <f t="shared" si="17"/>
        <v>28010.163</v>
      </c>
    </row>
    <row r="70" spans="2:17" x14ac:dyDescent="0.25">
      <c r="B70" s="107" t="s">
        <v>121</v>
      </c>
      <c r="C70" s="108" t="s">
        <v>122</v>
      </c>
      <c r="D70" s="225">
        <v>4665.6000000000004</v>
      </c>
      <c r="E70" s="225">
        <v>4647.9399999999996</v>
      </c>
      <c r="F70" s="225">
        <v>4697.8599999999997</v>
      </c>
      <c r="G70" s="225">
        <v>4647.28</v>
      </c>
      <c r="H70" s="225">
        <v>4622.24</v>
      </c>
      <c r="I70" s="225">
        <v>4908.82</v>
      </c>
      <c r="J70" s="225">
        <v>5113.34</v>
      </c>
      <c r="K70" s="225">
        <v>5231.7</v>
      </c>
      <c r="L70" s="225">
        <v>5295.64</v>
      </c>
      <c r="M70" s="225">
        <v>4828.88</v>
      </c>
      <c r="N70" s="225">
        <v>4827.4399999999996</v>
      </c>
      <c r="O70" s="225">
        <v>4540.4799999999996</v>
      </c>
      <c r="P70" s="226">
        <f t="shared" si="16"/>
        <v>58027.22</v>
      </c>
      <c r="Q70" s="226">
        <f t="shared" si="17"/>
        <v>4835.6016666666665</v>
      </c>
    </row>
    <row r="71" spans="2:17" x14ac:dyDescent="0.25">
      <c r="B71" s="107" t="s">
        <v>85</v>
      </c>
      <c r="C71" s="108" t="s">
        <v>107</v>
      </c>
      <c r="D71" s="225">
        <v>0</v>
      </c>
      <c r="E71" s="225">
        <v>0</v>
      </c>
      <c r="F71" s="225">
        <v>0</v>
      </c>
      <c r="G71" s="225">
        <v>0</v>
      </c>
      <c r="H71" s="225">
        <v>0</v>
      </c>
      <c r="I71" s="225">
        <v>0</v>
      </c>
      <c r="J71" s="225">
        <v>0</v>
      </c>
      <c r="K71" s="225">
        <v>0</v>
      </c>
      <c r="L71" s="225">
        <v>0</v>
      </c>
      <c r="M71" s="225">
        <v>0</v>
      </c>
      <c r="N71" s="225">
        <v>0</v>
      </c>
      <c r="O71" s="225">
        <v>0</v>
      </c>
      <c r="P71" s="226">
        <f t="shared" si="16"/>
        <v>0</v>
      </c>
      <c r="Q71" s="226">
        <f t="shared" si="17"/>
        <v>0</v>
      </c>
    </row>
    <row r="72" spans="2:17" x14ac:dyDescent="0.25">
      <c r="B72" s="107" t="s">
        <v>123</v>
      </c>
      <c r="C72" s="108" t="s">
        <v>124</v>
      </c>
      <c r="D72" s="225">
        <v>13764</v>
      </c>
      <c r="E72" s="225">
        <v>12000</v>
      </c>
      <c r="F72" s="225">
        <v>12000</v>
      </c>
      <c r="G72" s="225">
        <v>13665</v>
      </c>
      <c r="H72" s="225">
        <v>13630</v>
      </c>
      <c r="I72" s="225">
        <v>15262</v>
      </c>
      <c r="J72" s="225">
        <v>15301</v>
      </c>
      <c r="K72" s="225">
        <v>13692</v>
      </c>
      <c r="L72" s="225">
        <v>13737</v>
      </c>
      <c r="M72" s="225">
        <v>13721</v>
      </c>
      <c r="N72" s="225">
        <v>13770</v>
      </c>
      <c r="O72" s="225">
        <v>13688</v>
      </c>
      <c r="P72" s="226">
        <f t="shared" si="16"/>
        <v>164230</v>
      </c>
      <c r="Q72" s="226">
        <f t="shared" si="17"/>
        <v>13685.833333333334</v>
      </c>
    </row>
    <row r="73" spans="2:17" x14ac:dyDescent="0.25">
      <c r="B73" s="112" t="s">
        <v>34</v>
      </c>
      <c r="C73" s="227"/>
      <c r="D73" s="228">
        <f t="shared" ref="D73:Q73" si="18">SUM(D66:D72)</f>
        <v>44550.154999999999</v>
      </c>
      <c r="E73" s="228">
        <f t="shared" si="18"/>
        <v>42820.853999999999</v>
      </c>
      <c r="F73" s="228">
        <f t="shared" si="18"/>
        <v>43467.902999999998</v>
      </c>
      <c r="G73" s="228">
        <f t="shared" si="18"/>
        <v>44806.024999999994</v>
      </c>
      <c r="H73" s="228">
        <f t="shared" si="18"/>
        <v>46201.088000000003</v>
      </c>
      <c r="I73" s="228">
        <f t="shared" si="18"/>
        <v>48061.748999999996</v>
      </c>
      <c r="J73" s="228">
        <f t="shared" si="18"/>
        <v>49564.035000000003</v>
      </c>
      <c r="K73" s="228">
        <f t="shared" si="18"/>
        <v>48947.998</v>
      </c>
      <c r="L73" s="228">
        <f t="shared" si="18"/>
        <v>49795.593999999997</v>
      </c>
      <c r="M73" s="228">
        <f t="shared" si="18"/>
        <v>47881.84</v>
      </c>
      <c r="N73" s="228">
        <f t="shared" si="18"/>
        <v>46236.918999999994</v>
      </c>
      <c r="O73" s="228">
        <f t="shared" si="18"/>
        <v>46045.016000000003</v>
      </c>
      <c r="P73" s="228">
        <f t="shared" si="18"/>
        <v>558379.17599999998</v>
      </c>
      <c r="Q73" s="228">
        <f t="shared" si="18"/>
        <v>46531.598000000005</v>
      </c>
    </row>
  </sheetData>
  <phoneticPr fontId="2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T133"/>
  <sheetViews>
    <sheetView tabSelected="1" view="pageBreakPreview" topLeftCell="A7" zoomScale="75" zoomScaleNormal="85" zoomScaleSheetLayoutView="75" workbookViewId="0">
      <selection activeCell="T27" sqref="T27"/>
    </sheetView>
  </sheetViews>
  <sheetFormatPr defaultColWidth="9.109375" defaultRowHeight="15.6" x14ac:dyDescent="0.3"/>
  <cols>
    <col min="1" max="1" width="4.6640625" style="2" customWidth="1"/>
    <col min="2" max="2" width="23.5546875" style="2" customWidth="1"/>
    <col min="3" max="3" width="5.33203125" style="2" customWidth="1"/>
    <col min="4" max="4" width="15" style="2" bestFit="1" customWidth="1"/>
    <col min="5" max="5" width="16.33203125" style="2" bestFit="1" customWidth="1"/>
    <col min="6" max="6" width="3.109375" style="2" customWidth="1"/>
    <col min="7" max="7" width="16.44140625" style="2" customWidth="1"/>
    <col min="8" max="8" width="2.6640625" style="2" customWidth="1"/>
    <col min="9" max="10" width="16.44140625" style="2" customWidth="1"/>
    <col min="11" max="12" width="2.88671875" style="2" customWidth="1"/>
    <col min="13" max="13" width="4.6640625" style="2" customWidth="1"/>
    <col min="14" max="14" width="15.88671875" style="2" customWidth="1"/>
    <col min="15" max="15" width="3" style="2" customWidth="1"/>
    <col min="16" max="16" width="15.6640625" style="2" customWidth="1"/>
    <col min="17" max="17" width="15.109375" style="2" customWidth="1"/>
    <col min="18" max="18" width="2.44140625" style="2" customWidth="1"/>
    <col min="19" max="19" width="17.44140625" style="2" customWidth="1"/>
    <col min="20" max="20" width="2.109375" style="2" customWidth="1"/>
    <col min="21" max="22" width="14.33203125" style="2" bestFit="1" customWidth="1"/>
    <col min="23" max="23" width="11.44140625" style="2" bestFit="1" customWidth="1"/>
    <col min="24" max="16384" width="9.109375" style="2"/>
  </cols>
  <sheetData>
    <row r="1" spans="1:19" x14ac:dyDescent="0.3">
      <c r="A1" s="1" t="str">
        <f>'Present and Proposed Rates'!A1</f>
        <v>Taylor County RECC</v>
      </c>
      <c r="N1" s="1"/>
    </row>
    <row r="2" spans="1:19" x14ac:dyDescent="0.3">
      <c r="A2" s="1" t="str">
        <f>List!B6</f>
        <v>Residential Farm &amp; Home</v>
      </c>
    </row>
    <row r="3" spans="1:19" ht="16.2" thickBot="1" x14ac:dyDescent="0.35">
      <c r="A3" s="110" t="str">
        <f>List!C6</f>
        <v>A</v>
      </c>
    </row>
    <row r="4" spans="1:19" x14ac:dyDescent="0.3">
      <c r="D4" s="270" t="s">
        <v>17</v>
      </c>
      <c r="E4" s="271"/>
      <c r="F4" s="271"/>
      <c r="G4" s="272"/>
      <c r="H4" s="3"/>
      <c r="I4" s="270" t="s">
        <v>60</v>
      </c>
      <c r="J4" s="272"/>
      <c r="K4" s="249"/>
      <c r="L4" s="3"/>
      <c r="P4" s="270" t="s">
        <v>43</v>
      </c>
      <c r="Q4" s="271"/>
      <c r="R4" s="271"/>
      <c r="S4" s="272"/>
    </row>
    <row r="5" spans="1:19" ht="16.2" thickBot="1" x14ac:dyDescent="0.35">
      <c r="A5" s="31"/>
      <c r="B5" s="38"/>
      <c r="C5" s="3"/>
      <c r="D5" s="273"/>
      <c r="E5" s="274"/>
      <c r="F5" s="274"/>
      <c r="G5" s="275"/>
      <c r="H5" s="3"/>
      <c r="I5" s="273"/>
      <c r="J5" s="275"/>
      <c r="K5" s="249"/>
      <c r="L5" s="3"/>
      <c r="M5" s="31"/>
      <c r="N5" s="38"/>
      <c r="O5" s="3"/>
      <c r="P5" s="273"/>
      <c r="Q5" s="274"/>
      <c r="R5" s="274"/>
      <c r="S5" s="275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25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274" t="s">
        <v>4</v>
      </c>
      <c r="F7" s="274"/>
      <c r="G7" s="5" t="s">
        <v>5</v>
      </c>
      <c r="H7" s="5"/>
      <c r="I7" s="5" t="s">
        <v>4</v>
      </c>
      <c r="J7" s="5" t="s">
        <v>5</v>
      </c>
      <c r="K7" s="80"/>
      <c r="L7" s="5"/>
      <c r="M7" s="5"/>
      <c r="N7" s="5"/>
      <c r="O7" s="5"/>
      <c r="P7" s="5" t="s">
        <v>3</v>
      </c>
      <c r="Q7" s="274" t="s">
        <v>4</v>
      </c>
      <c r="R7" s="274"/>
      <c r="S7" s="5" t="s">
        <v>5</v>
      </c>
    </row>
    <row r="8" spans="1:19" x14ac:dyDescent="0.3">
      <c r="K8" s="81"/>
    </row>
    <row r="9" spans="1:19" x14ac:dyDescent="0.3">
      <c r="K9" s="81"/>
    </row>
    <row r="10" spans="1:19" x14ac:dyDescent="0.3">
      <c r="A10" s="57" t="s">
        <v>19</v>
      </c>
      <c r="D10" s="251" t="s">
        <v>47</v>
      </c>
      <c r="E10" s="251" t="s">
        <v>48</v>
      </c>
      <c r="I10" s="251" t="s">
        <v>48</v>
      </c>
      <c r="K10" s="81"/>
      <c r="M10" s="57" t="s">
        <v>8</v>
      </c>
      <c r="P10" s="251" t="s">
        <v>47</v>
      </c>
      <c r="Q10" s="251" t="s">
        <v>48</v>
      </c>
    </row>
    <row r="11" spans="1:19" x14ac:dyDescent="0.3">
      <c r="B11" s="2" t="s">
        <v>147</v>
      </c>
      <c r="D11" s="6">
        <f>SUM(Billings!D6:L6)</f>
        <v>214930</v>
      </c>
      <c r="E11" s="51">
        <f>'Present and Proposed Rates'!F11</f>
        <v>9.82</v>
      </c>
      <c r="G11" s="9">
        <f>D11*E11</f>
        <v>2110612.6</v>
      </c>
      <c r="H11" s="9"/>
      <c r="I11" s="51">
        <f>'Present and Proposed Rates'!G11</f>
        <v>10.220000000000001</v>
      </c>
      <c r="J11" s="9">
        <f>I11*D11</f>
        <v>2196584.6</v>
      </c>
      <c r="K11" s="82"/>
      <c r="L11" s="9"/>
      <c r="N11" s="2" t="s">
        <v>54</v>
      </c>
      <c r="P11" s="6">
        <f>D11+D12</f>
        <v>287047</v>
      </c>
      <c r="Q11" s="51">
        <f>'Present and Proposed Rates'!H11</f>
        <v>16.839800000000004</v>
      </c>
      <c r="S11" s="9">
        <f>P11*Q11</f>
        <v>4833814.0706000011</v>
      </c>
    </row>
    <row r="12" spans="1:19" x14ac:dyDescent="0.3">
      <c r="B12" s="2" t="s">
        <v>148</v>
      </c>
      <c r="D12" s="6">
        <f>SUM(Billings!M6:O6)</f>
        <v>72117</v>
      </c>
      <c r="E12" s="8">
        <f>I11</f>
        <v>10.220000000000001</v>
      </c>
      <c r="G12" s="9">
        <f>D12*E12</f>
        <v>737035.74</v>
      </c>
      <c r="H12" s="9"/>
      <c r="I12" s="8">
        <f>I11</f>
        <v>10.220000000000001</v>
      </c>
      <c r="J12" s="9">
        <f>I12*D12</f>
        <v>737035.74</v>
      </c>
      <c r="K12" s="82"/>
      <c r="L12" s="9"/>
      <c r="P12" s="6"/>
      <c r="S12" s="9"/>
    </row>
    <row r="13" spans="1:19" x14ac:dyDescent="0.3">
      <c r="D13" s="6"/>
      <c r="G13" s="9"/>
      <c r="H13" s="9"/>
      <c r="J13" s="9"/>
      <c r="K13" s="82"/>
      <c r="L13" s="9"/>
      <c r="P13" s="6"/>
      <c r="S13" s="9"/>
    </row>
    <row r="14" spans="1:19" x14ac:dyDescent="0.3">
      <c r="A14" s="1" t="s">
        <v>6</v>
      </c>
      <c r="D14" s="86" t="s">
        <v>7</v>
      </c>
      <c r="E14" s="87" t="s">
        <v>9</v>
      </c>
      <c r="G14" s="9"/>
      <c r="H14" s="9"/>
      <c r="I14" s="87" t="s">
        <v>9</v>
      </c>
      <c r="J14" s="9"/>
      <c r="K14" s="82"/>
      <c r="L14" s="9"/>
      <c r="M14" s="1" t="s">
        <v>6</v>
      </c>
      <c r="P14" s="86" t="s">
        <v>7</v>
      </c>
      <c r="Q14" s="87" t="s">
        <v>9</v>
      </c>
      <c r="S14" s="9"/>
    </row>
    <row r="15" spans="1:19" x14ac:dyDescent="0.3">
      <c r="B15" s="2" t="s">
        <v>147</v>
      </c>
      <c r="D15" s="6">
        <f>SUM(Billings!D18:L18)</f>
        <v>252688433</v>
      </c>
      <c r="E15" s="20">
        <f>'Present and Proposed Rates'!F12</f>
        <v>7.8070000000000001E-2</v>
      </c>
      <c r="G15" s="9">
        <f>D15*E15</f>
        <v>19727385.964310002</v>
      </c>
      <c r="H15" s="9"/>
      <c r="I15" s="20">
        <f>'Present and Proposed Rates'!G12</f>
        <v>8.1229999999999997E-2</v>
      </c>
      <c r="J15" s="9">
        <f>D15*I15</f>
        <v>20525881.412590001</v>
      </c>
      <c r="K15" s="82"/>
      <c r="L15" s="9"/>
      <c r="N15" s="2" t="s">
        <v>79</v>
      </c>
      <c r="P15" s="6">
        <f>D15+D16</f>
        <v>319448483</v>
      </c>
      <c r="Q15" s="20">
        <f>'Present and Proposed Rates'!H12</f>
        <v>9.4458E-2</v>
      </c>
      <c r="S15" s="9">
        <f>P15*Q15</f>
        <v>30174464.807213999</v>
      </c>
    </row>
    <row r="16" spans="1:19" x14ac:dyDescent="0.3">
      <c r="A16" s="1"/>
      <c r="B16" s="2" t="s">
        <v>148</v>
      </c>
      <c r="C16" s="53"/>
      <c r="D16" s="6">
        <f>SUM(Billings!M18:O18)</f>
        <v>66760050</v>
      </c>
      <c r="E16" s="20">
        <f>I15</f>
        <v>8.1229999999999997E-2</v>
      </c>
      <c r="G16" s="9">
        <f>D16*E16</f>
        <v>5422918.8614999996</v>
      </c>
      <c r="H16" s="9"/>
      <c r="I16" s="20">
        <f>I15</f>
        <v>8.1229999999999997E-2</v>
      </c>
      <c r="J16" s="9">
        <f>D16*I16</f>
        <v>5422918.8614999996</v>
      </c>
      <c r="K16" s="82"/>
      <c r="L16" s="9"/>
      <c r="M16" s="1"/>
      <c r="N16" s="1"/>
      <c r="O16" s="53"/>
      <c r="P16" s="6"/>
      <c r="Q16" s="20"/>
      <c r="S16" s="9"/>
    </row>
    <row r="17" spans="1:19" x14ac:dyDescent="0.3">
      <c r="A17" s="1" t="s">
        <v>52</v>
      </c>
      <c r="B17" s="1"/>
      <c r="C17" s="53"/>
      <c r="D17" s="6"/>
      <c r="E17" s="20"/>
      <c r="G17" s="9"/>
      <c r="H17" s="9"/>
      <c r="I17" s="9"/>
      <c r="J17" s="9"/>
      <c r="K17" s="82"/>
      <c r="L17" s="9"/>
      <c r="M17" s="1" t="s">
        <v>52</v>
      </c>
      <c r="N17" s="1"/>
      <c r="O17" s="53"/>
      <c r="P17" s="6"/>
      <c r="Q17" s="20"/>
      <c r="S17" s="9"/>
    </row>
    <row r="18" spans="1:19" x14ac:dyDescent="0.3">
      <c r="A18" s="1"/>
      <c r="B18" s="2" t="s">
        <v>46</v>
      </c>
      <c r="C18" s="53"/>
      <c r="D18" s="6"/>
      <c r="E18" s="20"/>
      <c r="G18" s="9">
        <f>Billings!P42</f>
        <v>-1248851.3</v>
      </c>
      <c r="H18" s="9"/>
      <c r="I18" s="9"/>
      <c r="J18" s="9">
        <f>G18</f>
        <v>-1248851.3</v>
      </c>
      <c r="K18" s="82"/>
      <c r="L18" s="9"/>
      <c r="M18" s="1"/>
      <c r="N18" s="2" t="s">
        <v>46</v>
      </c>
      <c r="O18" s="53"/>
      <c r="P18" s="6"/>
      <c r="Q18" s="20"/>
      <c r="S18" s="9">
        <f>G18</f>
        <v>-1248851.3</v>
      </c>
    </row>
    <row r="19" spans="1:19" x14ac:dyDescent="0.3">
      <c r="A19" s="1"/>
      <c r="B19" s="2" t="s">
        <v>53</v>
      </c>
      <c r="C19" s="53"/>
      <c r="D19" s="6"/>
      <c r="E19" s="20"/>
      <c r="G19" s="9">
        <f>Billings!P54</f>
        <v>3878741.4</v>
      </c>
      <c r="H19" s="9"/>
      <c r="I19" s="9"/>
      <c r="J19" s="9">
        <f>G19</f>
        <v>3878741.4</v>
      </c>
      <c r="K19" s="82"/>
      <c r="L19" s="9"/>
      <c r="M19" s="1"/>
      <c r="N19" s="2" t="s">
        <v>53</v>
      </c>
      <c r="O19" s="53"/>
      <c r="P19" s="6"/>
      <c r="Q19" s="20"/>
      <c r="S19" s="9">
        <f>G19</f>
        <v>3878741.4</v>
      </c>
    </row>
    <row r="20" spans="1:19" x14ac:dyDescent="0.3">
      <c r="A20" s="1"/>
      <c r="C20" s="53"/>
      <c r="D20" s="6"/>
      <c r="E20" s="20"/>
      <c r="G20" s="9"/>
      <c r="H20" s="9"/>
      <c r="I20" s="9"/>
      <c r="J20" s="9"/>
      <c r="K20" s="82"/>
      <c r="L20" s="9"/>
      <c r="M20" s="1"/>
      <c r="O20" s="53"/>
      <c r="P20" s="6"/>
      <c r="Q20" s="20"/>
      <c r="S20" s="9"/>
    </row>
    <row r="21" spans="1:19" x14ac:dyDescent="0.3">
      <c r="A21" s="1"/>
      <c r="C21" s="53"/>
      <c r="D21" s="6"/>
      <c r="E21" s="20"/>
      <c r="G21" s="9"/>
      <c r="H21" s="9"/>
      <c r="I21" s="9"/>
      <c r="J21" s="9"/>
      <c r="K21" s="82"/>
      <c r="L21" s="9"/>
      <c r="M21" s="1"/>
      <c r="O21" s="53"/>
      <c r="P21" s="6"/>
      <c r="Q21" s="20"/>
      <c r="S21" s="9"/>
    </row>
    <row r="22" spans="1:19" ht="16.2" thickBot="1" x14ac:dyDescent="0.35">
      <c r="A22" s="1" t="s">
        <v>35</v>
      </c>
      <c r="G22" s="252">
        <f>SUM(G11:G21)</f>
        <v>30627843.265809998</v>
      </c>
      <c r="H22" s="9"/>
      <c r="I22" s="9"/>
      <c r="J22" s="252">
        <f>SUM(J11:J21)</f>
        <v>31512310.714089997</v>
      </c>
      <c r="K22" s="82"/>
      <c r="L22" s="9"/>
      <c r="M22" s="1" t="s">
        <v>35</v>
      </c>
      <c r="S22" s="252">
        <f>SUM(S11:S21)</f>
        <v>37638168.977814004</v>
      </c>
    </row>
    <row r="23" spans="1:19" ht="16.2" thickTop="1" x14ac:dyDescent="0.3">
      <c r="A23" s="1"/>
      <c r="B23" s="1"/>
      <c r="G23" s="9"/>
      <c r="H23" s="9"/>
      <c r="I23" s="9"/>
      <c r="J23" s="9"/>
      <c r="K23" s="82"/>
      <c r="L23" s="9"/>
      <c r="M23" s="1"/>
      <c r="N23" s="1"/>
      <c r="S23" s="9"/>
    </row>
    <row r="24" spans="1:19" x14ac:dyDescent="0.3">
      <c r="A24" s="1" t="s">
        <v>14</v>
      </c>
      <c r="B24" s="8"/>
      <c r="G24" s="9">
        <f>Billings!P30</f>
        <v>30523492.903020002</v>
      </c>
      <c r="H24" s="9"/>
      <c r="I24" s="9"/>
      <c r="J24" s="9"/>
      <c r="K24" s="82"/>
      <c r="L24" s="9"/>
      <c r="M24" s="1" t="s">
        <v>61</v>
      </c>
      <c r="N24" s="8"/>
      <c r="S24" s="49">
        <f>S22-J22</f>
        <v>6125858.2637240067</v>
      </c>
    </row>
    <row r="25" spans="1:19" x14ac:dyDescent="0.3">
      <c r="A25" s="8"/>
      <c r="B25" s="8"/>
      <c r="G25" s="8"/>
      <c r="H25" s="8"/>
      <c r="I25" s="8"/>
      <c r="J25" s="8"/>
      <c r="K25" s="253"/>
      <c r="L25" s="8"/>
      <c r="N25" s="8"/>
      <c r="S25" s="8"/>
    </row>
    <row r="26" spans="1:19" x14ac:dyDescent="0.3">
      <c r="A26" s="1" t="s">
        <v>10</v>
      </c>
      <c r="B26" s="8"/>
      <c r="G26" s="180">
        <f>G22-G24</f>
        <v>104350.36278999597</v>
      </c>
      <c r="H26" s="180"/>
      <c r="I26" s="180"/>
      <c r="J26" s="180">
        <f>J22-G22</f>
        <v>884467.4482799992</v>
      </c>
      <c r="K26" s="254"/>
      <c r="L26" s="179"/>
      <c r="M26" s="1" t="s">
        <v>62</v>
      </c>
      <c r="N26" s="8"/>
      <c r="S26" s="50">
        <f>S24/J22</f>
        <v>0.19439571789272095</v>
      </c>
    </row>
    <row r="27" spans="1:19" x14ac:dyDescent="0.3">
      <c r="A27" s="8"/>
      <c r="B27" s="8"/>
      <c r="G27" s="9"/>
      <c r="H27" s="9"/>
      <c r="I27" s="9"/>
      <c r="J27" s="9"/>
      <c r="K27" s="82"/>
      <c r="L27" s="9"/>
      <c r="N27" s="8"/>
      <c r="S27" s="9"/>
    </row>
    <row r="28" spans="1:19" x14ac:dyDescent="0.3">
      <c r="A28" s="1" t="s">
        <v>16</v>
      </c>
      <c r="B28" s="8"/>
      <c r="G28" s="34">
        <f>G26/G24</f>
        <v>3.4186900929569406E-3</v>
      </c>
      <c r="H28" s="34"/>
      <c r="I28" s="34"/>
      <c r="J28" s="34">
        <f>J26/G24</f>
        <v>2.8976613230017649E-2</v>
      </c>
      <c r="K28" s="255"/>
      <c r="L28" s="34"/>
      <c r="M28" s="1" t="s">
        <v>38</v>
      </c>
      <c r="N28" s="8"/>
      <c r="S28" s="256">
        <f>S24/P11</f>
        <v>21.340959019686697</v>
      </c>
    </row>
    <row r="29" spans="1:19" x14ac:dyDescent="0.3">
      <c r="A29" s="1"/>
      <c r="B29" s="8"/>
      <c r="D29" s="32">
        <f>SUM(D15:D16)/SUM(D11:D12)</f>
        <v>1112.8786679533316</v>
      </c>
      <c r="G29" s="34"/>
      <c r="H29" s="34"/>
      <c r="I29" s="34"/>
      <c r="J29" s="34"/>
      <c r="K29" s="34"/>
      <c r="L29" s="34"/>
      <c r="M29" s="1"/>
      <c r="N29" s="8"/>
      <c r="S29" s="34"/>
    </row>
    <row r="30" spans="1:19" x14ac:dyDescent="0.3">
      <c r="A30" s="1"/>
      <c r="B30" s="8"/>
      <c r="C30" s="8"/>
      <c r="D30" s="32"/>
      <c r="E30" s="8" t="s">
        <v>161</v>
      </c>
      <c r="F30" s="8"/>
      <c r="G30" s="8">
        <f>G11+G15+G12+G16</f>
        <v>27997953.16581</v>
      </c>
      <c r="H30" s="8"/>
      <c r="I30" s="8"/>
      <c r="J30" s="8"/>
      <c r="K30" s="8"/>
      <c r="L30" s="8"/>
      <c r="M30" s="8"/>
      <c r="N30" s="8"/>
      <c r="S30" s="34"/>
    </row>
    <row r="31" spans="1:19" x14ac:dyDescent="0.3">
      <c r="A31" s="1"/>
      <c r="B31" s="8"/>
      <c r="C31" s="8"/>
      <c r="E31" s="8"/>
      <c r="F31" s="8"/>
      <c r="G31" s="8"/>
      <c r="H31" s="8"/>
      <c r="I31" s="8"/>
      <c r="J31" s="8"/>
      <c r="K31" s="8"/>
      <c r="L31" s="8"/>
      <c r="M31" s="8"/>
      <c r="N31" s="8"/>
      <c r="S31" s="34"/>
    </row>
    <row r="32" spans="1:19" x14ac:dyDescent="0.3">
      <c r="A32" s="1"/>
      <c r="B32" s="8"/>
      <c r="C32" s="8"/>
      <c r="D32" s="8"/>
      <c r="E32" s="8"/>
      <c r="F32" s="8"/>
      <c r="G32" s="51">
        <f>G22/D11</f>
        <v>142.5014807882101</v>
      </c>
      <c r="H32" s="8"/>
      <c r="I32" s="8"/>
      <c r="J32" s="8"/>
      <c r="K32" s="8"/>
      <c r="L32" s="8"/>
      <c r="M32" s="8"/>
      <c r="N32" s="8"/>
      <c r="S32" s="34"/>
    </row>
    <row r="33" spans="1:20" x14ac:dyDescent="0.3">
      <c r="A33" s="1"/>
      <c r="B33" s="8"/>
      <c r="G33" s="34"/>
      <c r="H33" s="34"/>
      <c r="I33" s="34"/>
      <c r="J33" s="34"/>
      <c r="K33" s="34"/>
      <c r="L33" s="34"/>
      <c r="M33" s="1"/>
      <c r="N33" s="8"/>
      <c r="S33" s="34"/>
    </row>
    <row r="34" spans="1:20" x14ac:dyDescent="0.3">
      <c r="A34" s="1"/>
      <c r="B34" s="8"/>
      <c r="G34" s="256">
        <f>G24/D11</f>
        <v>142.01597219103894</v>
      </c>
      <c r="H34" s="34"/>
      <c r="I34" s="34"/>
      <c r="J34" s="34"/>
      <c r="K34" s="34"/>
      <c r="L34" s="34"/>
      <c r="M34" s="1"/>
      <c r="N34" s="8"/>
      <c r="S34" s="34"/>
    </row>
    <row r="35" spans="1:20" ht="18.75" customHeight="1" x14ac:dyDescent="0.3">
      <c r="A35" s="1"/>
      <c r="B35" s="9"/>
      <c r="G35" s="34"/>
      <c r="H35" s="34"/>
      <c r="I35" s="34"/>
      <c r="J35" s="34"/>
      <c r="K35" s="34"/>
      <c r="L35" s="34"/>
    </row>
    <row r="36" spans="1:20" x14ac:dyDescent="0.3">
      <c r="E36" s="9"/>
    </row>
    <row r="41" spans="1:20" x14ac:dyDescent="0.3">
      <c r="T41" s="257"/>
    </row>
    <row r="42" spans="1:20" x14ac:dyDescent="0.3">
      <c r="T42" s="257"/>
    </row>
    <row r="43" spans="1:20" x14ac:dyDescent="0.3">
      <c r="T43" s="257"/>
    </row>
    <row r="44" spans="1:20" x14ac:dyDescent="0.3">
      <c r="T44" s="257"/>
    </row>
    <row r="45" spans="1:20" x14ac:dyDescent="0.3">
      <c r="T45" s="257"/>
    </row>
    <row r="46" spans="1:20" x14ac:dyDescent="0.3">
      <c r="T46" s="257"/>
    </row>
    <row r="47" spans="1:20" x14ac:dyDescent="0.3">
      <c r="T47" s="257"/>
    </row>
    <row r="48" spans="1:20" x14ac:dyDescent="0.3">
      <c r="T48" s="257"/>
    </row>
    <row r="49" spans="20:20" x14ac:dyDescent="0.3">
      <c r="T49" s="257"/>
    </row>
    <row r="50" spans="20:20" ht="16.5" customHeight="1" x14ac:dyDescent="0.3">
      <c r="T50" s="257"/>
    </row>
    <row r="51" spans="20:20" x14ac:dyDescent="0.3">
      <c r="T51" s="257"/>
    </row>
    <row r="52" spans="20:20" x14ac:dyDescent="0.3">
      <c r="T52" s="257"/>
    </row>
    <row r="55" spans="20:20" x14ac:dyDescent="0.3">
      <c r="T55" s="29"/>
    </row>
    <row r="56" spans="20:20" x14ac:dyDescent="0.3">
      <c r="T56" s="29"/>
    </row>
    <row r="58" spans="20:20" x14ac:dyDescent="0.3">
      <c r="T58" s="29"/>
    </row>
    <row r="59" spans="20:20" x14ac:dyDescent="0.3">
      <c r="T59" s="29"/>
    </row>
    <row r="60" spans="20:20" x14ac:dyDescent="0.3">
      <c r="T60" s="29"/>
    </row>
    <row r="61" spans="20:20" x14ac:dyDescent="0.3">
      <c r="T61" s="29"/>
    </row>
    <row r="62" spans="20:20" x14ac:dyDescent="0.3">
      <c r="T62" s="29"/>
    </row>
    <row r="63" spans="20:20" x14ac:dyDescent="0.3">
      <c r="T63" s="29"/>
    </row>
    <row r="64" spans="20:20" x14ac:dyDescent="0.3">
      <c r="T64" s="29"/>
    </row>
    <row r="65" spans="20:20" x14ac:dyDescent="0.3">
      <c r="T65" s="29"/>
    </row>
    <row r="66" spans="20:20" x14ac:dyDescent="0.3">
      <c r="T66" s="29"/>
    </row>
    <row r="67" spans="20:20" x14ac:dyDescent="0.3">
      <c r="T67" s="29"/>
    </row>
    <row r="68" spans="20:20" x14ac:dyDescent="0.3">
      <c r="T68" s="29"/>
    </row>
    <row r="69" spans="20:20" x14ac:dyDescent="0.3">
      <c r="T69" s="29"/>
    </row>
    <row r="70" spans="20:20" x14ac:dyDescent="0.3">
      <c r="T70" s="258"/>
    </row>
    <row r="71" spans="20:20" x14ac:dyDescent="0.3">
      <c r="T71" s="258"/>
    </row>
    <row r="72" spans="20:20" x14ac:dyDescent="0.3">
      <c r="T72" s="258"/>
    </row>
    <row r="73" spans="20:20" x14ac:dyDescent="0.3">
      <c r="T73" s="258"/>
    </row>
    <row r="74" spans="20:20" x14ac:dyDescent="0.3">
      <c r="T74" s="258"/>
    </row>
    <row r="75" spans="20:20" x14ac:dyDescent="0.3">
      <c r="T75" s="258"/>
    </row>
    <row r="76" spans="20:20" x14ac:dyDescent="0.3">
      <c r="T76" s="258"/>
    </row>
    <row r="77" spans="20:20" x14ac:dyDescent="0.3">
      <c r="T77" s="258"/>
    </row>
    <row r="78" spans="20:20" x14ac:dyDescent="0.3">
      <c r="T78" s="258"/>
    </row>
    <row r="79" spans="20:20" x14ac:dyDescent="0.3">
      <c r="T79" s="258"/>
    </row>
    <row r="80" spans="20:20" x14ac:dyDescent="0.3">
      <c r="T80" s="258"/>
    </row>
    <row r="81" spans="20:20" x14ac:dyDescent="0.3">
      <c r="T81" s="258"/>
    </row>
    <row r="82" spans="20:20" x14ac:dyDescent="0.3">
      <c r="T82" s="258"/>
    </row>
    <row r="83" spans="20:20" ht="15" customHeight="1" x14ac:dyDescent="0.3">
      <c r="T83" s="258"/>
    </row>
    <row r="84" spans="20:20" x14ac:dyDescent="0.3">
      <c r="T84" s="258"/>
    </row>
    <row r="85" spans="20:20" x14ac:dyDescent="0.3">
      <c r="T85" s="258"/>
    </row>
    <row r="86" spans="20:20" x14ac:dyDescent="0.3">
      <c r="T86" s="258"/>
    </row>
    <row r="87" spans="20:20" x14ac:dyDescent="0.3">
      <c r="T87" s="258"/>
    </row>
    <row r="88" spans="20:20" x14ac:dyDescent="0.3">
      <c r="T88" s="258"/>
    </row>
    <row r="89" spans="20:20" x14ac:dyDescent="0.3">
      <c r="T89" s="258"/>
    </row>
    <row r="90" spans="20:20" x14ac:dyDescent="0.3">
      <c r="T90" s="258"/>
    </row>
    <row r="91" spans="20:20" x14ac:dyDescent="0.3">
      <c r="T91" s="258"/>
    </row>
    <row r="92" spans="20:20" x14ac:dyDescent="0.3">
      <c r="T92" s="258"/>
    </row>
    <row r="93" spans="20:20" x14ac:dyDescent="0.3">
      <c r="T93" s="258"/>
    </row>
    <row r="94" spans="20:20" x14ac:dyDescent="0.3">
      <c r="T94" s="258"/>
    </row>
    <row r="95" spans="20:20" x14ac:dyDescent="0.3">
      <c r="T95" s="258"/>
    </row>
    <row r="96" spans="20:20" x14ac:dyDescent="0.3">
      <c r="T96" s="258"/>
    </row>
    <row r="97" spans="20:20" x14ac:dyDescent="0.3">
      <c r="T97" s="258"/>
    </row>
    <row r="98" spans="20:20" x14ac:dyDescent="0.3">
      <c r="T98" s="258"/>
    </row>
    <row r="99" spans="20:20" x14ac:dyDescent="0.3">
      <c r="T99" s="258"/>
    </row>
    <row r="100" spans="20:20" x14ac:dyDescent="0.3">
      <c r="T100" s="258"/>
    </row>
    <row r="101" spans="20:20" x14ac:dyDescent="0.3">
      <c r="T101" s="258"/>
    </row>
    <row r="102" spans="20:20" x14ac:dyDescent="0.3">
      <c r="T102" s="258"/>
    </row>
    <row r="103" spans="20:20" x14ac:dyDescent="0.3">
      <c r="T103" s="258"/>
    </row>
    <row r="104" spans="20:20" x14ac:dyDescent="0.3">
      <c r="T104" s="258"/>
    </row>
    <row r="105" spans="20:20" x14ac:dyDescent="0.3">
      <c r="T105" s="258"/>
    </row>
    <row r="106" spans="20:20" x14ac:dyDescent="0.3">
      <c r="T106" s="258"/>
    </row>
    <row r="107" spans="20:20" x14ac:dyDescent="0.3">
      <c r="T107" s="258"/>
    </row>
    <row r="108" spans="20:20" x14ac:dyDescent="0.3">
      <c r="T108" s="258"/>
    </row>
    <row r="109" spans="20:20" x14ac:dyDescent="0.3">
      <c r="T109" s="258"/>
    </row>
    <row r="110" spans="20:20" x14ac:dyDescent="0.3">
      <c r="T110" s="258"/>
    </row>
    <row r="111" spans="20:20" x14ac:dyDescent="0.3">
      <c r="T111" s="258"/>
    </row>
    <row r="112" spans="20:20" x14ac:dyDescent="0.3">
      <c r="T112" s="258"/>
    </row>
    <row r="113" spans="20:20" x14ac:dyDescent="0.3">
      <c r="T113" s="258"/>
    </row>
    <row r="114" spans="20:20" x14ac:dyDescent="0.3">
      <c r="T114" s="258"/>
    </row>
    <row r="115" spans="20:20" x14ac:dyDescent="0.3">
      <c r="T115" s="258"/>
    </row>
    <row r="129" spans="3:14" x14ac:dyDescent="0.3">
      <c r="N129" s="29"/>
    </row>
    <row r="130" spans="3:14" x14ac:dyDescent="0.3">
      <c r="C130" s="29"/>
      <c r="D130" s="29"/>
      <c r="N130" s="29"/>
    </row>
    <row r="131" spans="3:14" x14ac:dyDescent="0.3">
      <c r="C131" s="30"/>
      <c r="D131" s="35"/>
      <c r="E131" s="259"/>
      <c r="N131" s="29"/>
    </row>
    <row r="132" spans="3:14" x14ac:dyDescent="0.3">
      <c r="C132" s="30"/>
      <c r="D132" s="35"/>
      <c r="E132" s="259"/>
      <c r="N132" s="29"/>
    </row>
    <row r="133" spans="3:14" x14ac:dyDescent="0.3">
      <c r="C133" s="30"/>
      <c r="D133" s="35"/>
      <c r="E133" s="259"/>
      <c r="N133" s="29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  <ignoredErrors>
    <ignoredError sqref="D11:D12 D15:D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U135"/>
  <sheetViews>
    <sheetView tabSelected="1" view="pageBreakPreview" zoomScale="75" zoomScaleNormal="85" zoomScaleSheetLayoutView="75" workbookViewId="0">
      <selection activeCell="T27" sqref="T27"/>
    </sheetView>
  </sheetViews>
  <sheetFormatPr defaultColWidth="9.109375" defaultRowHeight="15.6" x14ac:dyDescent="0.3"/>
  <cols>
    <col min="1" max="1" width="4.6640625" style="2" customWidth="1"/>
    <col min="2" max="2" width="23.5546875" style="2" customWidth="1"/>
    <col min="3" max="3" width="2.5546875" style="2" customWidth="1"/>
    <col min="4" max="4" width="12.6640625" style="2" bestFit="1" customWidth="1"/>
    <col min="5" max="5" width="14.5546875" style="2" bestFit="1" customWidth="1"/>
    <col min="6" max="6" width="3.109375" style="2" customWidth="1"/>
    <col min="7" max="7" width="15" style="2" customWidth="1"/>
    <col min="8" max="8" width="3" style="2" customWidth="1"/>
    <col min="9" max="9" width="13.88671875" style="2" customWidth="1"/>
    <col min="10" max="10" width="14.44140625" style="2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2.6640625" style="2" bestFit="1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Taylor County RECC</v>
      </c>
      <c r="N1" s="1"/>
    </row>
    <row r="2" spans="1:19" x14ac:dyDescent="0.3">
      <c r="A2" s="1" t="str">
        <f>List!B7</f>
        <v>Residential Marketing Rate</v>
      </c>
    </row>
    <row r="3" spans="1:19" ht="16.2" thickBot="1" x14ac:dyDescent="0.35">
      <c r="A3" s="110" t="str">
        <f>List!C7</f>
        <v>R-1</v>
      </c>
    </row>
    <row r="4" spans="1:19" x14ac:dyDescent="0.3">
      <c r="D4" s="270" t="s">
        <v>17</v>
      </c>
      <c r="E4" s="271"/>
      <c r="F4" s="271"/>
      <c r="G4" s="272"/>
      <c r="H4" s="3"/>
      <c r="I4" s="270" t="s">
        <v>60</v>
      </c>
      <c r="J4" s="272"/>
      <c r="K4" s="81"/>
      <c r="L4" s="3"/>
      <c r="P4" s="270" t="s">
        <v>43</v>
      </c>
      <c r="Q4" s="271"/>
      <c r="R4" s="271"/>
      <c r="S4" s="272"/>
    </row>
    <row r="5" spans="1:19" ht="16.2" thickBot="1" x14ac:dyDescent="0.35">
      <c r="A5" s="31"/>
      <c r="B5" s="38"/>
      <c r="C5" s="3"/>
      <c r="D5" s="273"/>
      <c r="E5" s="274"/>
      <c r="F5" s="274"/>
      <c r="G5" s="275"/>
      <c r="H5" s="3"/>
      <c r="I5" s="273"/>
      <c r="J5" s="275"/>
      <c r="K5" s="81"/>
      <c r="L5" s="3"/>
      <c r="M5" s="31"/>
      <c r="N5" s="38"/>
      <c r="O5" s="3"/>
      <c r="P5" s="273"/>
      <c r="Q5" s="274"/>
      <c r="R5" s="274"/>
      <c r="S5" s="275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274" t="s">
        <v>4</v>
      </c>
      <c r="F7" s="274"/>
      <c r="G7" s="5" t="s">
        <v>5</v>
      </c>
      <c r="H7" s="5"/>
      <c r="I7" s="5" t="s">
        <v>4</v>
      </c>
      <c r="J7" s="5" t="s">
        <v>5</v>
      </c>
      <c r="K7" s="80"/>
      <c r="L7" s="5"/>
      <c r="M7" s="5"/>
      <c r="N7" s="5"/>
      <c r="O7" s="5"/>
      <c r="P7" s="5" t="s">
        <v>3</v>
      </c>
      <c r="Q7" s="274" t="s">
        <v>4</v>
      </c>
      <c r="R7" s="274"/>
      <c r="S7" s="5" t="s">
        <v>5</v>
      </c>
    </row>
    <row r="8" spans="1:19" x14ac:dyDescent="0.3">
      <c r="K8" s="81"/>
    </row>
    <row r="9" spans="1:19" x14ac:dyDescent="0.3">
      <c r="K9" s="81"/>
    </row>
    <row r="10" spans="1:19" x14ac:dyDescent="0.3">
      <c r="K10" s="81"/>
    </row>
    <row r="11" spans="1:19" x14ac:dyDescent="0.3">
      <c r="A11" s="57" t="s">
        <v>8</v>
      </c>
      <c r="D11" s="251" t="s">
        <v>47</v>
      </c>
      <c r="E11" s="251" t="s">
        <v>48</v>
      </c>
      <c r="I11" s="251" t="s">
        <v>48</v>
      </c>
      <c r="K11" s="81"/>
      <c r="M11" s="57" t="s">
        <v>8</v>
      </c>
      <c r="P11" s="251" t="s">
        <v>47</v>
      </c>
      <c r="Q11" s="251" t="s">
        <v>48</v>
      </c>
    </row>
    <row r="12" spans="1:19" x14ac:dyDescent="0.3">
      <c r="B12" s="2" t="s">
        <v>147</v>
      </c>
      <c r="D12" s="6">
        <f>SUM(Billings!D7:L7)</f>
        <v>162</v>
      </c>
      <c r="E12" s="51">
        <f>'Present and Proposed Rates'!F14</f>
        <v>9.82</v>
      </c>
      <c r="G12" s="9">
        <f>D12*E12</f>
        <v>1590.8400000000001</v>
      </c>
      <c r="H12" s="9"/>
      <c r="I12" s="260">
        <f>'Present and Proposed Rates'!G14</f>
        <v>10.220000000000001</v>
      </c>
      <c r="J12" s="9">
        <f>I12*D12</f>
        <v>1655.64</v>
      </c>
      <c r="K12" s="82"/>
      <c r="L12" s="9"/>
      <c r="N12" s="2" t="s">
        <v>54</v>
      </c>
      <c r="P12" s="6">
        <f>D12+D13</f>
        <v>213</v>
      </c>
      <c r="Q12" s="51">
        <f>'Present and Proposed Rates'!H14</f>
        <v>16.839800000000004</v>
      </c>
      <c r="S12" s="9">
        <f>P12*Q12</f>
        <v>3586.8774000000008</v>
      </c>
    </row>
    <row r="13" spans="1:19" x14ac:dyDescent="0.3">
      <c r="B13" s="2" t="s">
        <v>148</v>
      </c>
      <c r="D13" s="6">
        <f>SUM(Billings!M7:O7)</f>
        <v>51</v>
      </c>
      <c r="E13" s="8">
        <f>I12</f>
        <v>10.220000000000001</v>
      </c>
      <c r="G13" s="9">
        <f>D13*E13</f>
        <v>521.22</v>
      </c>
      <c r="H13" s="9"/>
      <c r="I13" s="188">
        <f>I12</f>
        <v>10.220000000000001</v>
      </c>
      <c r="J13" s="9">
        <f>I13*D13</f>
        <v>521.22</v>
      </c>
      <c r="K13" s="82"/>
      <c r="L13" s="9"/>
      <c r="P13" s="6"/>
      <c r="S13" s="9"/>
    </row>
    <row r="14" spans="1:19" x14ac:dyDescent="0.3">
      <c r="D14" s="6"/>
      <c r="G14" s="9"/>
      <c r="H14" s="9"/>
      <c r="I14" s="29"/>
      <c r="J14" s="9"/>
      <c r="K14" s="82"/>
      <c r="L14" s="9"/>
      <c r="P14" s="26"/>
      <c r="Q14" s="29"/>
      <c r="S14" s="9"/>
    </row>
    <row r="15" spans="1:19" x14ac:dyDescent="0.3">
      <c r="A15" s="1" t="s">
        <v>6</v>
      </c>
      <c r="D15" s="86" t="s">
        <v>7</v>
      </c>
      <c r="E15" s="87" t="s">
        <v>9</v>
      </c>
      <c r="G15" s="9"/>
      <c r="H15" s="9"/>
      <c r="I15" s="87" t="s">
        <v>9</v>
      </c>
      <c r="J15" s="9"/>
      <c r="K15" s="82"/>
      <c r="L15" s="9"/>
      <c r="M15" s="1" t="s">
        <v>6</v>
      </c>
      <c r="P15" s="86" t="s">
        <v>7</v>
      </c>
      <c r="Q15" s="87" t="s">
        <v>9</v>
      </c>
      <c r="S15" s="9"/>
    </row>
    <row r="16" spans="1:19" x14ac:dyDescent="0.3">
      <c r="B16" s="2" t="s">
        <v>147</v>
      </c>
      <c r="D16" s="6">
        <f>SUM(Billings!D19:L19)</f>
        <v>260648</v>
      </c>
      <c r="E16" s="20">
        <f>'Present and Proposed Rates'!F15</f>
        <v>4.6199999999999998E-2</v>
      </c>
      <c r="G16" s="9">
        <f>D16*E16</f>
        <v>12041.937599999999</v>
      </c>
      <c r="H16" s="9"/>
      <c r="I16" s="261">
        <f>'Present and Proposed Rates'!G15</f>
        <v>4.8070000000000002E-2</v>
      </c>
      <c r="J16" s="9">
        <f>I16*D16</f>
        <v>12529.34936</v>
      </c>
      <c r="K16" s="82"/>
      <c r="L16" s="9"/>
      <c r="N16" s="2" t="s">
        <v>79</v>
      </c>
      <c r="P16" s="6">
        <f>D16+D17</f>
        <v>315315</v>
      </c>
      <c r="Q16" s="20">
        <f>'Present and Proposed Rates'!H15</f>
        <v>4.8070000000000002E-2</v>
      </c>
      <c r="S16" s="9">
        <f>P16*Q16</f>
        <v>15157.19205</v>
      </c>
    </row>
    <row r="17" spans="1:21" x14ac:dyDescent="0.3">
      <c r="A17" s="1"/>
      <c r="B17" s="2" t="s">
        <v>148</v>
      </c>
      <c r="C17" s="171"/>
      <c r="D17" s="11">
        <f>SUM(Billings!M19:O19)</f>
        <v>54667</v>
      </c>
      <c r="E17" s="20">
        <f>I16</f>
        <v>4.8070000000000002E-2</v>
      </c>
      <c r="G17" s="9">
        <f>D17*E17</f>
        <v>2627.8426899999999</v>
      </c>
      <c r="I17" s="20">
        <f>I16</f>
        <v>4.8070000000000002E-2</v>
      </c>
      <c r="J17" s="9">
        <f>I17*D17</f>
        <v>2627.8426899999999</v>
      </c>
      <c r="K17" s="81"/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262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52</v>
      </c>
      <c r="B19" s="1"/>
      <c r="C19" s="53"/>
      <c r="D19" s="6"/>
      <c r="E19" s="20"/>
      <c r="G19" s="9"/>
      <c r="H19" s="9"/>
      <c r="I19" s="9"/>
      <c r="J19" s="9"/>
      <c r="K19" s="82"/>
      <c r="L19" s="9"/>
      <c r="M19" s="1" t="s">
        <v>52</v>
      </c>
      <c r="N19" s="1"/>
      <c r="O19" s="53"/>
      <c r="P19" s="6"/>
      <c r="Q19" s="20"/>
      <c r="S19" s="9"/>
    </row>
    <row r="20" spans="1:21" x14ac:dyDescent="0.3">
      <c r="A20" s="1"/>
      <c r="B20" s="2" t="s">
        <v>46</v>
      </c>
      <c r="C20" s="53"/>
      <c r="D20" s="6"/>
      <c r="E20" s="20"/>
      <c r="G20" s="9">
        <f>Billings!P43</f>
        <v>-1227.6599999999999</v>
      </c>
      <c r="H20" s="9"/>
      <c r="I20" s="9"/>
      <c r="J20" s="9">
        <f>G20</f>
        <v>-1227.6599999999999</v>
      </c>
      <c r="K20" s="82"/>
      <c r="L20" s="9"/>
      <c r="M20" s="1"/>
      <c r="N20" s="2" t="s">
        <v>46</v>
      </c>
      <c r="O20" s="53"/>
      <c r="P20" s="6"/>
      <c r="Q20" s="20"/>
      <c r="S20" s="9">
        <f>G20</f>
        <v>-1227.6599999999999</v>
      </c>
    </row>
    <row r="21" spans="1:21" x14ac:dyDescent="0.3">
      <c r="A21" s="1"/>
      <c r="B21" s="2" t="s">
        <v>53</v>
      </c>
      <c r="C21" s="53"/>
      <c r="D21" s="6"/>
      <c r="E21" s="20"/>
      <c r="G21" s="9">
        <f>Billings!P55</f>
        <v>3398.5399999999995</v>
      </c>
      <c r="H21" s="9"/>
      <c r="I21" s="9"/>
      <c r="J21" s="9">
        <f>G21</f>
        <v>3398.5399999999995</v>
      </c>
      <c r="K21" s="82"/>
      <c r="L21" s="9"/>
      <c r="M21" s="1"/>
      <c r="N21" s="2" t="s">
        <v>53</v>
      </c>
      <c r="O21" s="53"/>
      <c r="P21" s="6"/>
      <c r="Q21" s="20"/>
      <c r="S21" s="9">
        <f>G21</f>
        <v>3398.5399999999995</v>
      </c>
    </row>
    <row r="22" spans="1:21" x14ac:dyDescent="0.3">
      <c r="A22" s="1"/>
      <c r="C22" s="53"/>
      <c r="D22" s="6"/>
      <c r="E22" s="20"/>
      <c r="G22" s="9"/>
      <c r="H22" s="9"/>
      <c r="I22" s="9"/>
      <c r="J22" s="9"/>
      <c r="K22" s="82"/>
      <c r="L22" s="9"/>
      <c r="M22" s="1"/>
      <c r="O22" s="53"/>
      <c r="P22" s="6"/>
      <c r="Q22" s="20"/>
      <c r="S22" s="9"/>
    </row>
    <row r="23" spans="1:21" x14ac:dyDescent="0.3">
      <c r="A23" s="1"/>
      <c r="D23" s="50"/>
      <c r="G23" s="9"/>
      <c r="H23" s="9"/>
      <c r="I23" s="9"/>
      <c r="J23" s="9"/>
      <c r="K23" s="82"/>
      <c r="L23" s="9"/>
      <c r="M23" s="1"/>
      <c r="S23" s="9"/>
    </row>
    <row r="24" spans="1:21" ht="16.2" thickBot="1" x14ac:dyDescent="0.35">
      <c r="A24" s="1" t="s">
        <v>35</v>
      </c>
      <c r="G24" s="252">
        <f>SUM(G12:G22)</f>
        <v>18952.720290000001</v>
      </c>
      <c r="H24" s="9"/>
      <c r="I24" s="9"/>
      <c r="J24" s="252">
        <f>SUM(J12:J21)</f>
        <v>19504.932050000003</v>
      </c>
      <c r="K24" s="82"/>
      <c r="L24" s="9"/>
      <c r="M24" s="1" t="s">
        <v>35</v>
      </c>
      <c r="S24" s="252">
        <f>SUM(S12:S21)</f>
        <v>20914.94945</v>
      </c>
    </row>
    <row r="25" spans="1:21" ht="16.2" thickTop="1" x14ac:dyDescent="0.3">
      <c r="A25" s="1"/>
      <c r="B25" s="1"/>
      <c r="G25" s="9"/>
      <c r="H25" s="9"/>
      <c r="I25" s="9"/>
      <c r="J25" s="9"/>
      <c r="K25" s="82"/>
      <c r="L25" s="9"/>
      <c r="M25" s="1"/>
      <c r="N25" s="1"/>
      <c r="S25" s="9"/>
    </row>
    <row r="26" spans="1:21" x14ac:dyDescent="0.3">
      <c r="A26" s="1" t="s">
        <v>14</v>
      </c>
      <c r="B26" s="8"/>
      <c r="G26" s="9">
        <f>Billings!P31</f>
        <v>26825.100000000006</v>
      </c>
      <c r="H26" s="9"/>
      <c r="I26" s="9"/>
      <c r="J26" s="9"/>
      <c r="K26" s="253"/>
      <c r="L26" s="9"/>
      <c r="M26" s="1" t="s">
        <v>61</v>
      </c>
      <c r="N26" s="8"/>
      <c r="S26" s="49">
        <f>S24-J24</f>
        <v>1410.017399999997</v>
      </c>
    </row>
    <row r="27" spans="1:21" x14ac:dyDescent="0.3">
      <c r="A27" s="8"/>
      <c r="B27" s="8"/>
      <c r="G27" s="8"/>
      <c r="H27" s="8"/>
      <c r="I27" s="8"/>
      <c r="J27" s="8"/>
      <c r="K27" s="254"/>
      <c r="L27" s="8"/>
      <c r="N27" s="8"/>
      <c r="S27" s="8"/>
    </row>
    <row r="28" spans="1:21" x14ac:dyDescent="0.3">
      <c r="A28" s="1" t="s">
        <v>10</v>
      </c>
      <c r="B28" s="8"/>
      <c r="G28" s="180">
        <f>G24-G26</f>
        <v>-7872.3797100000047</v>
      </c>
      <c r="H28" s="180"/>
      <c r="I28" s="180"/>
      <c r="J28" s="180">
        <f>J24-G24</f>
        <v>552.21176000000196</v>
      </c>
      <c r="K28" s="82"/>
      <c r="L28" s="180"/>
      <c r="M28" s="1" t="s">
        <v>62</v>
      </c>
      <c r="N28" s="8"/>
      <c r="S28" s="174">
        <f>S26/J24</f>
        <v>7.2290300544779224E-2</v>
      </c>
    </row>
    <row r="29" spans="1:21" x14ac:dyDescent="0.3">
      <c r="A29" s="8"/>
      <c r="B29" s="8"/>
      <c r="G29" s="9"/>
      <c r="H29" s="9"/>
      <c r="I29" s="9"/>
      <c r="J29" s="9"/>
      <c r="K29" s="255"/>
      <c r="L29" s="9"/>
      <c r="N29" s="8"/>
      <c r="S29" s="9"/>
    </row>
    <row r="30" spans="1:21" x14ac:dyDescent="0.3">
      <c r="A30" s="1" t="s">
        <v>16</v>
      </c>
      <c r="B30" s="8"/>
      <c r="G30" s="34">
        <f>G28/G26</f>
        <v>-0.29347065658655525</v>
      </c>
      <c r="H30" s="34"/>
      <c r="I30" s="34"/>
      <c r="J30" s="34">
        <f>J28/G26</f>
        <v>2.0585636586629756E-2</v>
      </c>
      <c r="K30" s="82"/>
      <c r="L30" s="34"/>
      <c r="M30" s="1" t="s">
        <v>38</v>
      </c>
      <c r="N30" s="8"/>
      <c r="S30" s="37">
        <f>S26/P12</f>
        <v>6.6197999999999855</v>
      </c>
    </row>
    <row r="31" spans="1:21" x14ac:dyDescent="0.3">
      <c r="A31" s="1"/>
      <c r="B31" s="8"/>
      <c r="D31" s="32">
        <f>SUM(D16:D17)/SUM(D12:D13)</f>
        <v>1480.3521126760563</v>
      </c>
      <c r="G31" s="34"/>
      <c r="H31" s="34"/>
      <c r="I31" s="34"/>
      <c r="J31" s="34"/>
      <c r="K31" s="34"/>
      <c r="L31" s="34"/>
      <c r="M31" s="1"/>
      <c r="N31" s="8"/>
      <c r="S31" s="34"/>
    </row>
    <row r="32" spans="1:21" x14ac:dyDescent="0.3">
      <c r="A32" s="1"/>
      <c r="B32" s="8"/>
      <c r="G32" s="179">
        <f>G12+G16</f>
        <v>13632.777599999999</v>
      </c>
      <c r="H32" s="34"/>
      <c r="I32" s="34"/>
      <c r="J32" s="34"/>
      <c r="K32" s="34"/>
      <c r="L32" s="34"/>
      <c r="M32" s="1"/>
      <c r="N32" s="8"/>
      <c r="S32" s="34"/>
    </row>
    <row r="33" spans="1:19" x14ac:dyDescent="0.3">
      <c r="A33" s="1"/>
      <c r="B33" s="8"/>
      <c r="G33" s="179"/>
      <c r="H33" s="34"/>
      <c r="I33" s="34"/>
      <c r="J33" s="34"/>
      <c r="K33" s="34"/>
      <c r="L33" s="34"/>
      <c r="M33" s="1"/>
      <c r="N33" s="8"/>
      <c r="S33" s="34"/>
    </row>
    <row r="34" spans="1:19" x14ac:dyDescent="0.3">
      <c r="A34" s="1"/>
      <c r="B34" s="8"/>
      <c r="G34" s="179"/>
      <c r="H34" s="34"/>
      <c r="I34" s="34"/>
      <c r="J34" s="34"/>
      <c r="K34" s="34"/>
      <c r="L34" s="34"/>
      <c r="M34" s="1"/>
      <c r="N34" s="8"/>
      <c r="S34" s="34"/>
    </row>
    <row r="35" spans="1:19" x14ac:dyDescent="0.3">
      <c r="A35" s="1"/>
      <c r="B35" s="8"/>
      <c r="G35" s="263"/>
      <c r="H35" s="34"/>
      <c r="I35" s="34"/>
      <c r="J35" s="34"/>
      <c r="K35" s="34"/>
      <c r="L35" s="34"/>
      <c r="M35" s="1"/>
      <c r="N35" s="8"/>
      <c r="S35" s="34"/>
    </row>
    <row r="36" spans="1:19" x14ac:dyDescent="0.3">
      <c r="A36" s="1"/>
      <c r="B36" s="8"/>
      <c r="G36" s="34"/>
      <c r="H36" s="34"/>
      <c r="I36" s="34"/>
      <c r="J36" s="34"/>
      <c r="K36" s="34"/>
      <c r="L36" s="34"/>
      <c r="M36" s="1"/>
      <c r="N36" s="8"/>
      <c r="S36" s="34"/>
    </row>
    <row r="37" spans="1:19" ht="18.75" customHeight="1" x14ac:dyDescent="0.3">
      <c r="A37" s="1"/>
      <c r="B37" s="9"/>
      <c r="G37" s="34"/>
      <c r="H37" s="34"/>
      <c r="I37" s="34"/>
      <c r="J37" s="34"/>
      <c r="K37" s="34"/>
      <c r="L37" s="34"/>
    </row>
    <row r="38" spans="1:19" x14ac:dyDescent="0.3">
      <c r="E38" s="9"/>
    </row>
    <row r="52" s="2" customFormat="1" ht="16.5" customHeight="1" x14ac:dyDescent="0.3"/>
    <row r="85" s="2" customFormat="1" ht="15" customHeight="1" x14ac:dyDescent="0.3"/>
    <row r="131" spans="3:14" x14ac:dyDescent="0.3">
      <c r="N131" s="29"/>
    </row>
    <row r="132" spans="3:14" x14ac:dyDescent="0.3">
      <c r="C132" s="29"/>
      <c r="D132" s="29"/>
      <c r="N132" s="29"/>
    </row>
    <row r="133" spans="3:14" x14ac:dyDescent="0.3">
      <c r="C133" s="30"/>
      <c r="D133" s="35"/>
      <c r="E133" s="259"/>
      <c r="N133" s="29"/>
    </row>
    <row r="134" spans="3:14" x14ac:dyDescent="0.3">
      <c r="C134" s="30"/>
      <c r="D134" s="35"/>
      <c r="E134" s="259"/>
      <c r="N134" s="29"/>
    </row>
    <row r="135" spans="3:14" x14ac:dyDescent="0.3">
      <c r="C135" s="30"/>
      <c r="D135" s="35"/>
      <c r="E135" s="259"/>
      <c r="N135" s="29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  <ignoredErrors>
    <ignoredError sqref="D12:D13 D16:D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S135"/>
  <sheetViews>
    <sheetView tabSelected="1" view="pageBreakPreview" zoomScale="75" zoomScaleNormal="85" zoomScaleSheetLayoutView="75" workbookViewId="0">
      <selection activeCell="T27" sqref="T27"/>
    </sheetView>
  </sheetViews>
  <sheetFormatPr defaultColWidth="9.109375" defaultRowHeight="15.6" x14ac:dyDescent="0.3"/>
  <cols>
    <col min="1" max="1" width="4.6640625" style="2" customWidth="1"/>
    <col min="2" max="2" width="23.5546875" style="2" customWidth="1"/>
    <col min="3" max="3" width="2.5546875" style="2" customWidth="1"/>
    <col min="4" max="4" width="14.6640625" style="2" customWidth="1"/>
    <col min="5" max="5" width="14.5546875" style="2" bestFit="1" customWidth="1"/>
    <col min="6" max="6" width="3.109375" style="2" customWidth="1"/>
    <col min="7" max="7" width="15" style="2" customWidth="1"/>
    <col min="8" max="8" width="3" style="2" customWidth="1"/>
    <col min="9" max="9" width="13.88671875" style="2" customWidth="1"/>
    <col min="10" max="10" width="17.33203125" style="2" bestFit="1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3.88671875" style="2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Taylor County RECC</v>
      </c>
      <c r="N1" s="1"/>
    </row>
    <row r="2" spans="1:19" x14ac:dyDescent="0.3">
      <c r="A2" s="1" t="str">
        <f>List!B8</f>
        <v>General Purpose Part 1 &lt; 50 KVA</v>
      </c>
    </row>
    <row r="3" spans="1:19" ht="16.2" thickBot="1" x14ac:dyDescent="0.35">
      <c r="A3" s="110" t="str">
        <f>List!C8</f>
        <v>GP1</v>
      </c>
    </row>
    <row r="4" spans="1:19" x14ac:dyDescent="0.3">
      <c r="D4" s="270" t="s">
        <v>17</v>
      </c>
      <c r="E4" s="271"/>
      <c r="F4" s="271"/>
      <c r="G4" s="272"/>
      <c r="H4" s="3"/>
      <c r="I4" s="270" t="s">
        <v>60</v>
      </c>
      <c r="J4" s="272"/>
      <c r="K4" s="81"/>
      <c r="L4" s="3"/>
      <c r="P4" s="270" t="s">
        <v>43</v>
      </c>
      <c r="Q4" s="271"/>
      <c r="R4" s="271"/>
      <c r="S4" s="272"/>
    </row>
    <row r="5" spans="1:19" ht="16.2" thickBot="1" x14ac:dyDescent="0.35">
      <c r="A5" s="31"/>
      <c r="B5" s="38"/>
      <c r="C5" s="3"/>
      <c r="D5" s="273"/>
      <c r="E5" s="274"/>
      <c r="F5" s="274"/>
      <c r="G5" s="275"/>
      <c r="H5" s="3"/>
      <c r="I5" s="273"/>
      <c r="J5" s="275"/>
      <c r="K5" s="81"/>
      <c r="L5" s="3"/>
      <c r="M5" s="31"/>
      <c r="N5" s="38"/>
      <c r="O5" s="3"/>
      <c r="P5" s="273"/>
      <c r="Q5" s="274"/>
      <c r="R5" s="274"/>
      <c r="S5" s="275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274" t="s">
        <v>4</v>
      </c>
      <c r="F7" s="274"/>
      <c r="G7" s="5" t="s">
        <v>5</v>
      </c>
      <c r="H7" s="5"/>
      <c r="I7" s="5" t="s">
        <v>4</v>
      </c>
      <c r="J7" s="5" t="s">
        <v>5</v>
      </c>
      <c r="K7" s="80"/>
      <c r="L7" s="5"/>
      <c r="M7" s="5"/>
      <c r="N7" s="5"/>
      <c r="O7" s="5"/>
      <c r="P7" s="5" t="s">
        <v>3</v>
      </c>
      <c r="Q7" s="274" t="s">
        <v>4</v>
      </c>
      <c r="R7" s="274"/>
      <c r="S7" s="5" t="s">
        <v>5</v>
      </c>
    </row>
    <row r="8" spans="1:19" x14ac:dyDescent="0.3">
      <c r="K8" s="81"/>
    </row>
    <row r="9" spans="1:19" x14ac:dyDescent="0.3">
      <c r="K9" s="81"/>
    </row>
    <row r="10" spans="1:19" x14ac:dyDescent="0.3">
      <c r="K10" s="81"/>
    </row>
    <row r="11" spans="1:19" x14ac:dyDescent="0.3">
      <c r="A11" s="57" t="s">
        <v>8</v>
      </c>
      <c r="D11" s="251" t="s">
        <v>47</v>
      </c>
      <c r="E11" s="251" t="s">
        <v>48</v>
      </c>
      <c r="I11" s="251" t="s">
        <v>48</v>
      </c>
      <c r="K11" s="81"/>
      <c r="M11" s="57" t="s">
        <v>8</v>
      </c>
      <c r="P11" s="251" t="s">
        <v>47</v>
      </c>
      <c r="Q11" s="251" t="s">
        <v>48</v>
      </c>
    </row>
    <row r="12" spans="1:19" x14ac:dyDescent="0.3">
      <c r="B12" s="2" t="s">
        <v>147</v>
      </c>
      <c r="D12" s="6">
        <f>SUM(Billings!D8:L8)</f>
        <v>26274</v>
      </c>
      <c r="E12" s="51">
        <f>'Present and Proposed Rates'!F17</f>
        <v>10</v>
      </c>
      <c r="G12" s="9">
        <f>D12*E12</f>
        <v>262740</v>
      </c>
      <c r="H12" s="9"/>
      <c r="I12" s="260">
        <f>'Present and Proposed Rates'!G17</f>
        <v>10.4</v>
      </c>
      <c r="J12" s="9">
        <f>I12*D12</f>
        <v>273249.60000000003</v>
      </c>
      <c r="K12" s="82"/>
      <c r="L12" s="9"/>
      <c r="N12" s="2" t="s">
        <v>54</v>
      </c>
      <c r="P12" s="6">
        <f>D12+D13</f>
        <v>35082</v>
      </c>
      <c r="Q12" s="51">
        <f>'Present and Proposed Rates'!H17</f>
        <v>17.019800000000004</v>
      </c>
      <c r="S12" s="9">
        <f>P12*Q12</f>
        <v>597088.62360000017</v>
      </c>
    </row>
    <row r="13" spans="1:19" x14ac:dyDescent="0.3">
      <c r="B13" s="2" t="s">
        <v>148</v>
      </c>
      <c r="D13" s="6">
        <f>SUM(Billings!M8:O8)</f>
        <v>8808</v>
      </c>
      <c r="E13" s="8">
        <f>I12</f>
        <v>10.4</v>
      </c>
      <c r="G13" s="9">
        <f>D13*E13</f>
        <v>91603.199999999997</v>
      </c>
      <c r="H13" s="9"/>
      <c r="I13" s="188">
        <f>I12</f>
        <v>10.4</v>
      </c>
      <c r="J13" s="9">
        <f>I13*D13</f>
        <v>91603.199999999997</v>
      </c>
      <c r="K13" s="82"/>
      <c r="L13" s="9"/>
      <c r="P13" s="6"/>
      <c r="S13" s="9"/>
    </row>
    <row r="14" spans="1:19" x14ac:dyDescent="0.3">
      <c r="D14" s="6"/>
      <c r="G14" s="9"/>
      <c r="H14" s="9"/>
      <c r="I14" s="29"/>
      <c r="J14" s="9"/>
      <c r="K14" s="82"/>
      <c r="L14" s="9"/>
      <c r="P14" s="26"/>
      <c r="Q14" s="29"/>
      <c r="S14" s="9"/>
    </row>
    <row r="15" spans="1:19" x14ac:dyDescent="0.3">
      <c r="A15" s="1" t="s">
        <v>6</v>
      </c>
      <c r="D15" s="264" t="s">
        <v>7</v>
      </c>
      <c r="E15" s="87" t="s">
        <v>9</v>
      </c>
      <c r="G15" s="9"/>
      <c r="H15" s="9"/>
      <c r="I15" s="87" t="s">
        <v>9</v>
      </c>
      <c r="J15" s="9"/>
      <c r="K15" s="82"/>
      <c r="L15" s="9"/>
      <c r="M15" s="1" t="s">
        <v>6</v>
      </c>
      <c r="P15" s="86" t="s">
        <v>7</v>
      </c>
      <c r="Q15" s="87" t="s">
        <v>9</v>
      </c>
      <c r="S15" s="9"/>
    </row>
    <row r="16" spans="1:19" x14ac:dyDescent="0.3">
      <c r="B16" s="2" t="s">
        <v>147</v>
      </c>
      <c r="D16" s="6">
        <f>SUM(Billings!D20:L20)</f>
        <v>32474483</v>
      </c>
      <c r="E16" s="20">
        <f>'Present and Proposed Rates'!F18</f>
        <v>7.8240000000000004E-2</v>
      </c>
      <c r="G16" s="9">
        <f>D16*E16</f>
        <v>2540803.5499200001</v>
      </c>
      <c r="H16" s="9"/>
      <c r="I16" s="261">
        <f>'Present and Proposed Rates'!G18</f>
        <v>8.14E-2</v>
      </c>
      <c r="J16" s="9">
        <f>I16*D16</f>
        <v>2643422.9161999999</v>
      </c>
      <c r="K16" s="82"/>
      <c r="L16" s="9"/>
      <c r="N16" s="2" t="s">
        <v>79</v>
      </c>
      <c r="P16" s="6">
        <f>D16+D17</f>
        <v>41685653</v>
      </c>
      <c r="Q16" s="20">
        <f>'Present and Proposed Rates'!H18</f>
        <v>8.1825999999999996E-2</v>
      </c>
      <c r="S16" s="9">
        <f>P16*Q16</f>
        <v>3410970.2423779997</v>
      </c>
    </row>
    <row r="17" spans="1:19" x14ac:dyDescent="0.3">
      <c r="B17" s="2" t="s">
        <v>150</v>
      </c>
      <c r="D17" s="6">
        <f>SUM(Billings!M20:O20)</f>
        <v>9211170</v>
      </c>
      <c r="E17" s="20">
        <f>I16</f>
        <v>8.14E-2</v>
      </c>
      <c r="G17" s="9">
        <f>D17*E17</f>
        <v>749789.23800000001</v>
      </c>
      <c r="H17" s="9"/>
      <c r="I17" s="261">
        <f>I16</f>
        <v>8.14E-2</v>
      </c>
      <c r="J17" s="9">
        <f>I17*D17</f>
        <v>749789.23800000001</v>
      </c>
      <c r="K17" s="82"/>
      <c r="L17" s="9"/>
      <c r="P17" s="6"/>
      <c r="Q17" s="20"/>
      <c r="S17" s="9"/>
    </row>
    <row r="18" spans="1:19" x14ac:dyDescent="0.3">
      <c r="D18" s="6"/>
      <c r="G18" s="9"/>
      <c r="H18" s="9"/>
      <c r="I18" s="29"/>
      <c r="J18" s="9"/>
      <c r="K18" s="82"/>
      <c r="L18" s="9"/>
      <c r="P18" s="26"/>
      <c r="Q18" s="29"/>
      <c r="S18" s="9"/>
    </row>
    <row r="19" spans="1:19" x14ac:dyDescent="0.3">
      <c r="A19" s="1" t="s">
        <v>52</v>
      </c>
      <c r="B19" s="1"/>
      <c r="C19" s="53"/>
      <c r="D19" s="6"/>
      <c r="E19" s="20"/>
      <c r="G19" s="9"/>
      <c r="H19" s="9"/>
      <c r="I19" s="9"/>
      <c r="J19" s="9"/>
      <c r="K19" s="82"/>
      <c r="L19" s="9"/>
      <c r="M19" s="1" t="s">
        <v>52</v>
      </c>
      <c r="N19" s="1"/>
      <c r="O19" s="53"/>
      <c r="P19" s="6"/>
      <c r="Q19" s="20"/>
      <c r="S19" s="9"/>
    </row>
    <row r="20" spans="1:19" x14ac:dyDescent="0.3">
      <c r="A20" s="1"/>
      <c r="B20" s="2" t="s">
        <v>46</v>
      </c>
      <c r="C20" s="53"/>
      <c r="D20" s="6"/>
      <c r="E20" s="20"/>
      <c r="G20" s="9">
        <f>Billings!P44</f>
        <v>-160664.65000000002</v>
      </c>
      <c r="H20" s="9"/>
      <c r="I20" s="9"/>
      <c r="J20" s="9">
        <f>G20</f>
        <v>-160664.65000000002</v>
      </c>
      <c r="K20" s="82"/>
      <c r="L20" s="9"/>
      <c r="M20" s="1"/>
      <c r="N20" s="2" t="s">
        <v>46</v>
      </c>
      <c r="O20" s="53"/>
      <c r="P20" s="6"/>
      <c r="Q20" s="20"/>
      <c r="S20" s="9">
        <f>G20</f>
        <v>-160664.65000000002</v>
      </c>
    </row>
    <row r="21" spans="1:19" x14ac:dyDescent="0.3">
      <c r="A21" s="1"/>
      <c r="B21" s="2" t="s">
        <v>53</v>
      </c>
      <c r="C21" s="53"/>
      <c r="D21" s="6"/>
      <c r="E21" s="20"/>
      <c r="G21" s="9">
        <f>Billings!P56</f>
        <v>503874.70000000007</v>
      </c>
      <c r="H21" s="9"/>
      <c r="I21" s="9"/>
      <c r="J21" s="9">
        <f>G21</f>
        <v>503874.70000000007</v>
      </c>
      <c r="K21" s="82"/>
      <c r="L21" s="9"/>
      <c r="M21" s="1"/>
      <c r="N21" s="2" t="s">
        <v>53</v>
      </c>
      <c r="O21" s="53"/>
      <c r="P21" s="6"/>
      <c r="Q21" s="20"/>
      <c r="S21" s="9">
        <f>G21</f>
        <v>503874.70000000007</v>
      </c>
    </row>
    <row r="22" spans="1:19" x14ac:dyDescent="0.3">
      <c r="A22" s="1"/>
      <c r="B22" s="2" t="s">
        <v>113</v>
      </c>
      <c r="C22" s="53"/>
      <c r="D22" s="6"/>
      <c r="E22" s="20"/>
      <c r="G22" s="9">
        <v>0</v>
      </c>
      <c r="H22" s="9"/>
      <c r="I22" s="9"/>
      <c r="J22" s="9">
        <f>G22</f>
        <v>0</v>
      </c>
      <c r="K22" s="82"/>
      <c r="L22" s="9"/>
      <c r="M22" s="1"/>
      <c r="N22" s="2" t="str">
        <f>B22</f>
        <v>Primary Discount</v>
      </c>
      <c r="O22" s="53"/>
      <c r="P22" s="6"/>
      <c r="Q22" s="20"/>
      <c r="S22" s="9">
        <f>J22</f>
        <v>0</v>
      </c>
    </row>
    <row r="23" spans="1:19" x14ac:dyDescent="0.3">
      <c r="A23" s="1"/>
      <c r="D23" s="50"/>
      <c r="G23" s="9"/>
      <c r="H23" s="9"/>
      <c r="I23" s="9"/>
      <c r="J23" s="9"/>
      <c r="K23" s="82"/>
      <c r="L23" s="9"/>
      <c r="M23" s="1"/>
      <c r="S23" s="9"/>
    </row>
    <row r="24" spans="1:19" ht="16.2" thickBot="1" x14ac:dyDescent="0.35">
      <c r="A24" s="1" t="s">
        <v>35</v>
      </c>
      <c r="G24" s="252">
        <f>SUM(G12:G22)</f>
        <v>3988146.0379200005</v>
      </c>
      <c r="H24" s="9"/>
      <c r="I24" s="9"/>
      <c r="J24" s="252">
        <f>SUM(J12:J22)</f>
        <v>4101275.0041999999</v>
      </c>
      <c r="K24" s="82"/>
      <c r="L24" s="9"/>
      <c r="M24" s="1" t="s">
        <v>35</v>
      </c>
      <c r="S24" s="252">
        <f>SUM(S12:S22)</f>
        <v>4351268.9159779996</v>
      </c>
    </row>
    <row r="25" spans="1:19" ht="16.2" thickTop="1" x14ac:dyDescent="0.3">
      <c r="A25" s="1"/>
      <c r="B25" s="1"/>
      <c r="G25" s="9"/>
      <c r="H25" s="9"/>
      <c r="I25" s="9"/>
      <c r="J25" s="9"/>
      <c r="K25" s="82"/>
      <c r="L25" s="9"/>
      <c r="M25" s="1"/>
      <c r="N25" s="1"/>
      <c r="S25" s="9"/>
    </row>
    <row r="26" spans="1:19" x14ac:dyDescent="0.3">
      <c r="A26" s="1" t="s">
        <v>14</v>
      </c>
      <c r="B26" s="8"/>
      <c r="G26" s="9">
        <f>Billings!P32</f>
        <v>3978193.8882800001</v>
      </c>
      <c r="H26" s="9"/>
      <c r="I26" s="9"/>
      <c r="J26" s="9"/>
      <c r="K26" s="253"/>
      <c r="L26" s="9"/>
      <c r="M26" s="1" t="s">
        <v>61</v>
      </c>
      <c r="N26" s="8"/>
      <c r="S26" s="49">
        <f>S24-J24</f>
        <v>249993.91177799972</v>
      </c>
    </row>
    <row r="27" spans="1:19" x14ac:dyDescent="0.3">
      <c r="A27" s="8"/>
      <c r="B27" s="8"/>
      <c r="G27" s="8"/>
      <c r="H27" s="8"/>
      <c r="I27" s="8"/>
      <c r="J27" s="8"/>
      <c r="K27" s="254"/>
      <c r="L27" s="8"/>
      <c r="N27" s="8"/>
      <c r="S27" s="8"/>
    </row>
    <row r="28" spans="1:19" x14ac:dyDescent="0.3">
      <c r="A28" s="1" t="s">
        <v>10</v>
      </c>
      <c r="B28" s="8"/>
      <c r="G28" s="180">
        <f>G24-G26</f>
        <v>9952.1496400004253</v>
      </c>
      <c r="H28" s="180"/>
      <c r="I28" s="180"/>
      <c r="J28" s="180">
        <f>J24-G24</f>
        <v>113128.96627999935</v>
      </c>
      <c r="K28" s="82"/>
      <c r="L28" s="180"/>
      <c r="M28" s="1" t="s">
        <v>62</v>
      </c>
      <c r="N28" s="8"/>
      <c r="S28" s="174">
        <f>S26/J24</f>
        <v>6.0955169190553674E-2</v>
      </c>
    </row>
    <row r="29" spans="1:19" x14ac:dyDescent="0.3">
      <c r="A29" s="8"/>
      <c r="B29" s="8"/>
      <c r="G29" s="9"/>
      <c r="H29" s="9"/>
      <c r="I29" s="9"/>
      <c r="J29" s="9"/>
      <c r="K29" s="255"/>
      <c r="L29" s="9"/>
      <c r="N29" s="8"/>
      <c r="S29" s="9"/>
    </row>
    <row r="30" spans="1:19" x14ac:dyDescent="0.3">
      <c r="A30" s="1" t="s">
        <v>16</v>
      </c>
      <c r="B30" s="8"/>
      <c r="G30" s="34">
        <f>G28/G26</f>
        <v>2.5016753631139149E-3</v>
      </c>
      <c r="H30" s="34"/>
      <c r="I30" s="34"/>
      <c r="J30" s="34">
        <f>J28/G26</f>
        <v>2.8437268131471453E-2</v>
      </c>
      <c r="K30" s="82"/>
      <c r="L30" s="34"/>
      <c r="M30" s="1" t="s">
        <v>38</v>
      </c>
      <c r="N30" s="8"/>
      <c r="S30" s="37">
        <f>S26/P12</f>
        <v>7.1259880217205325</v>
      </c>
    </row>
    <row r="31" spans="1:19" x14ac:dyDescent="0.3">
      <c r="A31" s="1"/>
      <c r="B31" s="8"/>
      <c r="D31" s="11">
        <f>SUM(D16:D17)/SUM(D12:D13)</f>
        <v>1188.2347927712217</v>
      </c>
      <c r="G31" s="34"/>
      <c r="H31" s="34"/>
      <c r="I31" s="34"/>
      <c r="J31" s="34"/>
      <c r="K31" s="34"/>
      <c r="L31" s="34"/>
      <c r="M31" s="1"/>
      <c r="N31" s="8"/>
      <c r="S31" s="34"/>
    </row>
    <row r="32" spans="1:19" x14ac:dyDescent="0.3">
      <c r="A32" s="1"/>
      <c r="B32" s="8"/>
      <c r="G32" s="179"/>
      <c r="H32" s="34"/>
      <c r="I32" s="34"/>
      <c r="J32" s="34"/>
      <c r="K32" s="34"/>
      <c r="L32" s="34"/>
      <c r="M32" s="1"/>
      <c r="N32" s="8"/>
      <c r="S32" s="34"/>
    </row>
    <row r="33" spans="1:19" x14ac:dyDescent="0.3">
      <c r="A33" s="1"/>
      <c r="B33" s="8"/>
      <c r="E33" s="2" t="s">
        <v>161</v>
      </c>
      <c r="G33" s="179">
        <f>G12+G16+G13+G17</f>
        <v>3644935.9879200002</v>
      </c>
      <c r="H33" s="34"/>
      <c r="I33" s="34"/>
      <c r="J33" s="34"/>
      <c r="K33" s="34"/>
      <c r="L33" s="34"/>
      <c r="M33" s="1"/>
      <c r="N33" s="8"/>
      <c r="S33" s="34"/>
    </row>
    <row r="34" spans="1:19" x14ac:dyDescent="0.3">
      <c r="A34" s="1"/>
      <c r="B34" s="8"/>
      <c r="G34" s="179"/>
      <c r="H34" s="34"/>
      <c r="I34" s="34"/>
      <c r="J34" s="34"/>
      <c r="K34" s="34"/>
      <c r="L34" s="34"/>
      <c r="M34" s="1"/>
      <c r="N34" s="8"/>
      <c r="S34" s="34"/>
    </row>
    <row r="35" spans="1:19" x14ac:dyDescent="0.3">
      <c r="A35" s="1"/>
      <c r="B35" s="8"/>
      <c r="G35" s="263"/>
      <c r="H35" s="34"/>
      <c r="I35" s="34"/>
      <c r="J35" s="34"/>
      <c r="K35" s="34"/>
      <c r="L35" s="34"/>
      <c r="M35" s="1"/>
      <c r="N35" s="8"/>
      <c r="S35" s="34"/>
    </row>
    <row r="36" spans="1:19" x14ac:dyDescent="0.3">
      <c r="A36" s="1"/>
      <c r="B36" s="8"/>
      <c r="G36" s="34"/>
      <c r="H36" s="34"/>
      <c r="I36" s="34"/>
      <c r="J36" s="34"/>
      <c r="K36" s="34"/>
      <c r="L36" s="34"/>
      <c r="M36" s="1"/>
      <c r="N36" s="8"/>
      <c r="S36" s="34"/>
    </row>
    <row r="37" spans="1:19" ht="18.75" customHeight="1" x14ac:dyDescent="0.3">
      <c r="A37" s="1"/>
      <c r="B37" s="9"/>
      <c r="G37" s="34"/>
      <c r="H37" s="34"/>
      <c r="I37" s="34"/>
      <c r="J37" s="34"/>
      <c r="K37" s="34"/>
      <c r="L37" s="34"/>
    </row>
    <row r="38" spans="1:19" x14ac:dyDescent="0.3">
      <c r="E38" s="9"/>
    </row>
    <row r="52" s="2" customFormat="1" ht="16.5" customHeight="1" x14ac:dyDescent="0.3"/>
    <row r="85" s="2" customFormat="1" ht="15" customHeight="1" x14ac:dyDescent="0.3"/>
    <row r="131" spans="3:14" x14ac:dyDescent="0.3">
      <c r="N131" s="29"/>
    </row>
    <row r="132" spans="3:14" x14ac:dyDescent="0.3">
      <c r="C132" s="29"/>
      <c r="D132" s="29"/>
      <c r="N132" s="29"/>
    </row>
    <row r="133" spans="3:14" x14ac:dyDescent="0.3">
      <c r="C133" s="30"/>
      <c r="D133" s="35"/>
      <c r="E133" s="259"/>
      <c r="N133" s="29"/>
    </row>
    <row r="134" spans="3:14" x14ac:dyDescent="0.3">
      <c r="C134" s="30"/>
      <c r="D134" s="35"/>
      <c r="E134" s="259"/>
      <c r="N134" s="29"/>
    </row>
    <row r="135" spans="3:14" x14ac:dyDescent="0.3">
      <c r="C135" s="30"/>
      <c r="D135" s="35"/>
      <c r="E135" s="259"/>
      <c r="N135" s="29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2" orientation="landscape" r:id="rId1"/>
  <headerFooter alignWithMargins="0">
    <oddFooter>&amp;RExhibit JW-9
Page &amp;P of &amp;N</oddFooter>
  </headerFooter>
  <ignoredErrors>
    <ignoredError sqref="D12:D13 D16:D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S138"/>
  <sheetViews>
    <sheetView tabSelected="1" view="pageBreakPreview" topLeftCell="A4" zoomScale="75" zoomScaleNormal="85" zoomScaleSheetLayoutView="75" workbookViewId="0">
      <selection activeCell="T27" sqref="T27"/>
    </sheetView>
  </sheetViews>
  <sheetFormatPr defaultColWidth="9.109375" defaultRowHeight="15.6" x14ac:dyDescent="0.3"/>
  <cols>
    <col min="1" max="1" width="4.6640625" style="2" customWidth="1"/>
    <col min="2" max="2" width="23.5546875" style="2" customWidth="1"/>
    <col min="3" max="3" width="2.5546875" style="2" customWidth="1"/>
    <col min="4" max="4" width="15.44140625" style="2" bestFit="1" customWidth="1"/>
    <col min="5" max="5" width="14.5546875" style="2" bestFit="1" customWidth="1"/>
    <col min="6" max="6" width="5.21875" style="2" customWidth="1"/>
    <col min="7" max="7" width="15" style="2" customWidth="1"/>
    <col min="8" max="8" width="3" style="2" customWidth="1"/>
    <col min="9" max="9" width="13.88671875" style="2" customWidth="1"/>
    <col min="10" max="10" width="14.44140625" style="2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2.6640625" style="2" bestFit="1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Taylor County RECC</v>
      </c>
      <c r="N1" s="1"/>
    </row>
    <row r="2" spans="1:19" x14ac:dyDescent="0.3">
      <c r="A2" s="1" t="str">
        <f>List!B9</f>
        <v>General Purpose Part 2 &gt; 50 KVA</v>
      </c>
    </row>
    <row r="3" spans="1:19" ht="16.2" thickBot="1" x14ac:dyDescent="0.35">
      <c r="A3" s="110" t="str">
        <f>List!C9</f>
        <v>GP2</v>
      </c>
    </row>
    <row r="4" spans="1:19" x14ac:dyDescent="0.3">
      <c r="D4" s="270" t="s">
        <v>17</v>
      </c>
      <c r="E4" s="271"/>
      <c r="F4" s="271"/>
      <c r="G4" s="272"/>
      <c r="H4" s="3"/>
      <c r="I4" s="270" t="s">
        <v>60</v>
      </c>
      <c r="J4" s="272"/>
      <c r="K4" s="81"/>
      <c r="L4" s="3"/>
      <c r="P4" s="270" t="s">
        <v>43</v>
      </c>
      <c r="Q4" s="271"/>
      <c r="R4" s="271"/>
      <c r="S4" s="272"/>
    </row>
    <row r="5" spans="1:19" ht="16.2" thickBot="1" x14ac:dyDescent="0.35">
      <c r="A5" s="31"/>
      <c r="B5" s="38"/>
      <c r="C5" s="3"/>
      <c r="D5" s="273"/>
      <c r="E5" s="274"/>
      <c r="F5" s="274"/>
      <c r="G5" s="275"/>
      <c r="H5" s="3"/>
      <c r="I5" s="273"/>
      <c r="J5" s="275"/>
      <c r="K5" s="81"/>
      <c r="L5" s="3"/>
      <c r="M5" s="31"/>
      <c r="N5" s="38"/>
      <c r="O5" s="3"/>
      <c r="P5" s="273"/>
      <c r="Q5" s="274"/>
      <c r="R5" s="274"/>
      <c r="S5" s="275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274" t="s">
        <v>4</v>
      </c>
      <c r="F7" s="274"/>
      <c r="G7" s="5" t="s">
        <v>5</v>
      </c>
      <c r="H7" s="5"/>
      <c r="I7" s="5" t="s">
        <v>4</v>
      </c>
      <c r="J7" s="5" t="s">
        <v>5</v>
      </c>
      <c r="K7" s="80"/>
      <c r="L7" s="5"/>
      <c r="M7" s="5"/>
      <c r="N7" s="5"/>
      <c r="O7" s="5"/>
      <c r="P7" s="5" t="s">
        <v>3</v>
      </c>
      <c r="Q7" s="274" t="s">
        <v>4</v>
      </c>
      <c r="R7" s="274"/>
      <c r="S7" s="5" t="s">
        <v>5</v>
      </c>
    </row>
    <row r="8" spans="1:19" x14ac:dyDescent="0.3">
      <c r="K8" s="81"/>
    </row>
    <row r="9" spans="1:19" x14ac:dyDescent="0.3">
      <c r="K9" s="81"/>
    </row>
    <row r="10" spans="1:19" x14ac:dyDescent="0.3">
      <c r="K10" s="81"/>
    </row>
    <row r="11" spans="1:19" x14ac:dyDescent="0.3">
      <c r="A11" s="57" t="s">
        <v>8</v>
      </c>
      <c r="D11" s="251" t="s">
        <v>47</v>
      </c>
      <c r="E11" s="251" t="s">
        <v>48</v>
      </c>
      <c r="I11" s="251" t="s">
        <v>48</v>
      </c>
      <c r="K11" s="81"/>
      <c r="M11" s="57" t="s">
        <v>8</v>
      </c>
      <c r="P11" s="251" t="s">
        <v>47</v>
      </c>
      <c r="Q11" s="251" t="s">
        <v>48</v>
      </c>
    </row>
    <row r="12" spans="1:19" x14ac:dyDescent="0.3">
      <c r="B12" s="2" t="s">
        <v>147</v>
      </c>
      <c r="D12" s="6">
        <f>SUM(Billings!D9:L9)</f>
        <v>3160</v>
      </c>
      <c r="E12" s="51">
        <f>'Present and Proposed Rates'!F21</f>
        <v>49.78</v>
      </c>
      <c r="G12" s="9">
        <f>D12*E12</f>
        <v>157304.80000000002</v>
      </c>
      <c r="H12" s="9"/>
      <c r="I12" s="260">
        <f>'Present and Proposed Rates'!G21</f>
        <v>51.79</v>
      </c>
      <c r="J12" s="9">
        <f>I12*D12</f>
        <v>163656.4</v>
      </c>
      <c r="K12" s="82"/>
      <c r="L12" s="9"/>
      <c r="N12" s="2" t="s">
        <v>54</v>
      </c>
      <c r="P12" s="6">
        <f>D12+D13</f>
        <v>4221</v>
      </c>
      <c r="Q12" s="51">
        <f>'Present and Proposed Rates'!H21</f>
        <v>51.79</v>
      </c>
      <c r="S12" s="9">
        <f>P12*Q12</f>
        <v>218605.59</v>
      </c>
    </row>
    <row r="13" spans="1:19" x14ac:dyDescent="0.3">
      <c r="B13" s="2" t="s">
        <v>148</v>
      </c>
      <c r="D13" s="6">
        <f>SUM(Billings!M9:O9)</f>
        <v>1061</v>
      </c>
      <c r="E13" s="8">
        <f>I12</f>
        <v>51.79</v>
      </c>
      <c r="G13" s="9">
        <f>D13*E13</f>
        <v>54949.19</v>
      </c>
      <c r="H13" s="9"/>
      <c r="I13" s="188">
        <f>I12</f>
        <v>51.79</v>
      </c>
      <c r="J13" s="9">
        <f>I13*D13</f>
        <v>54949.19</v>
      </c>
      <c r="K13" s="82"/>
      <c r="L13" s="9"/>
      <c r="P13" s="6"/>
      <c r="S13" s="9"/>
    </row>
    <row r="14" spans="1:19" x14ac:dyDescent="0.3">
      <c r="D14" s="6"/>
      <c r="G14" s="9"/>
      <c r="H14" s="9"/>
      <c r="I14" s="29"/>
      <c r="J14" s="9"/>
      <c r="K14" s="82"/>
      <c r="L14" s="9"/>
      <c r="P14" s="26"/>
      <c r="Q14" s="29"/>
      <c r="S14" s="9"/>
    </row>
    <row r="15" spans="1:19" x14ac:dyDescent="0.3">
      <c r="A15" s="1" t="s">
        <v>6</v>
      </c>
      <c r="D15" s="86" t="s">
        <v>7</v>
      </c>
      <c r="E15" s="87" t="s">
        <v>9</v>
      </c>
      <c r="G15" s="9"/>
      <c r="H15" s="9"/>
      <c r="I15" s="87" t="s">
        <v>9</v>
      </c>
      <c r="J15" s="9"/>
      <c r="K15" s="82"/>
      <c r="L15" s="9"/>
      <c r="M15" s="1" t="s">
        <v>6</v>
      </c>
      <c r="P15" s="86" t="s">
        <v>7</v>
      </c>
      <c r="Q15" s="87" t="s">
        <v>9</v>
      </c>
      <c r="S15" s="9"/>
    </row>
    <row r="16" spans="1:19" x14ac:dyDescent="0.3">
      <c r="B16" s="2" t="s">
        <v>147</v>
      </c>
      <c r="D16" s="32">
        <f>SUM(Billings!D21:L21)</f>
        <v>64887866</v>
      </c>
      <c r="E16" s="20">
        <f>'Present and Proposed Rates'!F22</f>
        <v>5.7770000000000002E-2</v>
      </c>
      <c r="G16" s="9">
        <f>D16*E16</f>
        <v>3748572.0188200003</v>
      </c>
      <c r="H16" s="9"/>
      <c r="I16" s="261">
        <f>'Present and Proposed Rates'!G22</f>
        <v>6.0109999999999997E-2</v>
      </c>
      <c r="J16" s="9">
        <f>I16*D16</f>
        <v>3900409.6252599997</v>
      </c>
      <c r="K16" s="82"/>
      <c r="L16" s="9"/>
      <c r="N16" s="2" t="s">
        <v>79</v>
      </c>
      <c r="P16" s="6">
        <f>D16+D17</f>
        <v>85495726</v>
      </c>
      <c r="Q16" s="20">
        <f>'Present and Proposed Rates'!H22</f>
        <v>6.0109999999999997E-2</v>
      </c>
      <c r="S16" s="9">
        <f>P16*Q16</f>
        <v>5139148.0898599997</v>
      </c>
    </row>
    <row r="17" spans="1:19" x14ac:dyDescent="0.3">
      <c r="A17" s="1"/>
      <c r="B17" s="2" t="s">
        <v>148</v>
      </c>
      <c r="D17" s="32">
        <f>SUM(Billings!M21:O21)</f>
        <v>20607860</v>
      </c>
      <c r="E17" s="20">
        <f>I16</f>
        <v>6.0109999999999997E-2</v>
      </c>
      <c r="G17" s="9">
        <f>D17*E17</f>
        <v>1238738.4645999998</v>
      </c>
      <c r="I17" s="20">
        <f>I16</f>
        <v>6.0109999999999997E-2</v>
      </c>
      <c r="J17" s="9">
        <f>I17*D17</f>
        <v>1238738.4645999998</v>
      </c>
      <c r="K17" s="81"/>
    </row>
    <row r="18" spans="1:19" ht="13.2" customHeight="1" x14ac:dyDescent="0.3">
      <c r="D18" s="6"/>
      <c r="G18" s="9"/>
      <c r="H18" s="9"/>
      <c r="I18" s="29"/>
      <c r="J18" s="9"/>
      <c r="K18" s="82"/>
      <c r="L18" s="9"/>
      <c r="P18" s="26"/>
      <c r="Q18" s="29"/>
      <c r="S18" s="9"/>
    </row>
    <row r="19" spans="1:19" x14ac:dyDescent="0.3">
      <c r="A19" s="1" t="s">
        <v>49</v>
      </c>
      <c r="D19" s="86" t="s">
        <v>50</v>
      </c>
      <c r="E19" s="87" t="s">
        <v>51</v>
      </c>
      <c r="G19" s="9"/>
      <c r="H19" s="9"/>
      <c r="I19" s="87" t="s">
        <v>51</v>
      </c>
      <c r="J19" s="9"/>
      <c r="K19" s="82"/>
      <c r="L19" s="9"/>
      <c r="M19" s="1" t="str">
        <f>A19</f>
        <v>Demand Charge</v>
      </c>
      <c r="P19" s="86" t="s">
        <v>50</v>
      </c>
      <c r="Q19" s="87" t="s">
        <v>51</v>
      </c>
      <c r="S19" s="9"/>
    </row>
    <row r="20" spans="1:19" x14ac:dyDescent="0.3">
      <c r="B20" s="2" t="s">
        <v>147</v>
      </c>
      <c r="D20" s="32">
        <f>SUM(Billings!D69:L69)</f>
        <v>251333.981</v>
      </c>
      <c r="E20" s="265">
        <f>'Present and Proposed Rates'!F23</f>
        <v>5.32</v>
      </c>
      <c r="G20" s="9">
        <f>D20*E20</f>
        <v>1337096.7789200002</v>
      </c>
      <c r="H20" s="9"/>
      <c r="I20" s="266">
        <f>'Present and Proposed Rates'!G23</f>
        <v>5.54</v>
      </c>
      <c r="J20" s="9">
        <f>I20*D20</f>
        <v>1392390.25474</v>
      </c>
      <c r="K20" s="82"/>
      <c r="L20" s="9"/>
      <c r="N20" s="2" t="s">
        <v>79</v>
      </c>
      <c r="P20" s="6">
        <f>D20+D21</f>
        <v>336121.95600000001</v>
      </c>
      <c r="Q20" s="265">
        <f>'Present and Proposed Rates'!H23</f>
        <v>5.54</v>
      </c>
      <c r="S20" s="9">
        <f>P20*Q20</f>
        <v>1862115.6362400001</v>
      </c>
    </row>
    <row r="21" spans="1:19" x14ac:dyDescent="0.3">
      <c r="A21" s="1"/>
      <c r="B21" s="2" t="s">
        <v>148</v>
      </c>
      <c r="D21" s="32">
        <f>SUM(Billings!M69:O69)</f>
        <v>84787.975000000006</v>
      </c>
      <c r="E21" s="265">
        <f>I20</f>
        <v>5.54</v>
      </c>
      <c r="G21" s="9">
        <f>D21*E21</f>
        <v>469725.38150000002</v>
      </c>
      <c r="I21" s="265">
        <f>I20</f>
        <v>5.54</v>
      </c>
      <c r="J21" s="9">
        <f>I21*D21</f>
        <v>469725.38150000002</v>
      </c>
      <c r="K21" s="81"/>
    </row>
    <row r="22" spans="1:19" x14ac:dyDescent="0.3">
      <c r="A22" s="1" t="s">
        <v>52</v>
      </c>
      <c r="B22" s="1"/>
      <c r="C22" s="53"/>
      <c r="D22" s="6"/>
      <c r="E22" s="20"/>
      <c r="G22" s="9"/>
      <c r="H22" s="9"/>
      <c r="I22" s="9"/>
      <c r="J22" s="9"/>
      <c r="K22" s="82"/>
      <c r="L22" s="9"/>
      <c r="M22" s="1" t="s">
        <v>52</v>
      </c>
      <c r="N22" s="1"/>
      <c r="O22" s="53"/>
      <c r="P22" s="6"/>
      <c r="Q22" s="20"/>
      <c r="S22" s="9"/>
    </row>
    <row r="23" spans="1:19" x14ac:dyDescent="0.3">
      <c r="A23" s="1"/>
      <c r="B23" s="2" t="s">
        <v>46</v>
      </c>
      <c r="C23" s="53"/>
      <c r="D23" s="6"/>
      <c r="E23" s="20"/>
      <c r="G23" s="9">
        <f>Billings!P45</f>
        <v>-332779.65000000002</v>
      </c>
      <c r="H23" s="9"/>
      <c r="I23" s="9"/>
      <c r="J23" s="9">
        <f>G23</f>
        <v>-332779.65000000002</v>
      </c>
      <c r="K23" s="82"/>
      <c r="L23" s="9"/>
      <c r="M23" s="1"/>
      <c r="N23" s="2" t="s">
        <v>46</v>
      </c>
      <c r="O23" s="53"/>
      <c r="P23" s="6"/>
      <c r="Q23" s="20"/>
      <c r="S23" s="9">
        <f>G23</f>
        <v>-332779.65000000002</v>
      </c>
    </row>
    <row r="24" spans="1:19" x14ac:dyDescent="0.3">
      <c r="A24" s="1"/>
      <c r="B24" s="2" t="s">
        <v>53</v>
      </c>
      <c r="C24" s="53"/>
      <c r="D24" s="6"/>
      <c r="E24" s="20"/>
      <c r="G24" s="9">
        <f>Billings!P57</f>
        <v>965796.49</v>
      </c>
      <c r="H24" s="9"/>
      <c r="I24" s="9"/>
      <c r="J24" s="9">
        <f>G24</f>
        <v>965796.49</v>
      </c>
      <c r="K24" s="82"/>
      <c r="L24" s="9"/>
      <c r="M24" s="1"/>
      <c r="N24" s="2" t="s">
        <v>53</v>
      </c>
      <c r="O24" s="53"/>
      <c r="P24" s="6"/>
      <c r="Q24" s="20"/>
      <c r="S24" s="9">
        <f>G24</f>
        <v>965796.49</v>
      </c>
    </row>
    <row r="25" spans="1:19" x14ac:dyDescent="0.3">
      <c r="A25" s="1"/>
      <c r="B25" s="2" t="s">
        <v>113</v>
      </c>
      <c r="C25" s="53"/>
      <c r="D25" s="6"/>
      <c r="E25" s="20"/>
      <c r="G25" s="9">
        <v>0</v>
      </c>
      <c r="H25" s="9"/>
      <c r="I25" s="9"/>
      <c r="J25" s="9">
        <f>G25</f>
        <v>0</v>
      </c>
      <c r="K25" s="82"/>
      <c r="L25" s="9"/>
      <c r="M25" s="1"/>
      <c r="N25" s="2" t="str">
        <f>B25</f>
        <v>Primary Discount</v>
      </c>
      <c r="O25" s="53"/>
      <c r="P25" s="6"/>
      <c r="Q25" s="20"/>
      <c r="S25" s="9">
        <f>J25</f>
        <v>0</v>
      </c>
    </row>
    <row r="26" spans="1:19" x14ac:dyDescent="0.3">
      <c r="A26" s="1"/>
      <c r="D26" s="50"/>
      <c r="G26" s="9"/>
      <c r="H26" s="9"/>
      <c r="I26" s="9"/>
      <c r="J26" s="9"/>
      <c r="K26" s="82"/>
      <c r="L26" s="9"/>
      <c r="M26" s="1"/>
      <c r="S26" s="9"/>
    </row>
    <row r="27" spans="1:19" ht="16.2" thickBot="1" x14ac:dyDescent="0.35">
      <c r="A27" s="1" t="s">
        <v>35</v>
      </c>
      <c r="G27" s="252">
        <f>SUM(G12:G25)</f>
        <v>7639403.473840001</v>
      </c>
      <c r="H27" s="9"/>
      <c r="I27" s="9"/>
      <c r="J27" s="252">
        <f>SUM(J12:J25)</f>
        <v>7852886.1560999993</v>
      </c>
      <c r="K27" s="82"/>
      <c r="L27" s="9"/>
      <c r="M27" s="1" t="s">
        <v>35</v>
      </c>
      <c r="S27" s="252">
        <f>SUM(S12:S25)</f>
        <v>7852886.1560999993</v>
      </c>
    </row>
    <row r="28" spans="1:19" ht="16.2" thickTop="1" x14ac:dyDescent="0.3">
      <c r="A28" s="1"/>
      <c r="B28" s="1"/>
      <c r="G28" s="9"/>
      <c r="H28" s="9"/>
      <c r="I28" s="9"/>
      <c r="J28" s="9"/>
      <c r="K28" s="82"/>
      <c r="L28" s="9"/>
      <c r="M28" s="1"/>
      <c r="N28" s="1"/>
      <c r="S28" s="9"/>
    </row>
    <row r="29" spans="1:19" x14ac:dyDescent="0.3">
      <c r="A29" s="1" t="s">
        <v>14</v>
      </c>
      <c r="B29" s="8"/>
      <c r="G29" s="9">
        <f>Billings!P33</f>
        <v>7641981.4635499995</v>
      </c>
      <c r="H29" s="9"/>
      <c r="I29" s="9"/>
      <c r="J29" s="9"/>
      <c r="K29" s="253"/>
      <c r="L29" s="9"/>
      <c r="M29" s="1" t="s">
        <v>61</v>
      </c>
      <c r="N29" s="8"/>
      <c r="S29" s="49">
        <f>S27-J27</f>
        <v>0</v>
      </c>
    </row>
    <row r="30" spans="1:19" x14ac:dyDescent="0.3">
      <c r="A30" s="8"/>
      <c r="B30" s="8"/>
      <c r="G30" s="8"/>
      <c r="H30" s="8"/>
      <c r="I30" s="8"/>
      <c r="J30" s="8"/>
      <c r="K30" s="254"/>
      <c r="L30" s="8"/>
      <c r="N30" s="8"/>
      <c r="S30" s="8"/>
    </row>
    <row r="31" spans="1:19" x14ac:dyDescent="0.3">
      <c r="A31" s="1" t="s">
        <v>10</v>
      </c>
      <c r="B31" s="8"/>
      <c r="G31" s="180">
        <f>G27-G29</f>
        <v>-2577.989709998481</v>
      </c>
      <c r="H31" s="180"/>
      <c r="I31" s="180"/>
      <c r="J31" s="180">
        <f>J27-G27</f>
        <v>213482.68225999828</v>
      </c>
      <c r="K31" s="82"/>
      <c r="L31" s="180"/>
      <c r="M31" s="1" t="s">
        <v>62</v>
      </c>
      <c r="N31" s="8"/>
      <c r="S31" s="174">
        <f>S29/J27</f>
        <v>0</v>
      </c>
    </row>
    <row r="32" spans="1:19" x14ac:dyDescent="0.3">
      <c r="A32" s="8"/>
      <c r="B32" s="8"/>
      <c r="G32" s="9"/>
      <c r="H32" s="9"/>
      <c r="I32" s="9"/>
      <c r="J32" s="9"/>
      <c r="K32" s="255"/>
      <c r="L32" s="9"/>
      <c r="N32" s="8"/>
      <c r="S32" s="9"/>
    </row>
    <row r="33" spans="1:19" x14ac:dyDescent="0.3">
      <c r="A33" s="1" t="s">
        <v>16</v>
      </c>
      <c r="B33" s="8"/>
      <c r="G33" s="34">
        <f>G31/G29</f>
        <v>-3.3734571619870219E-4</v>
      </c>
      <c r="H33" s="34"/>
      <c r="I33" s="34"/>
      <c r="J33" s="34">
        <f>J31/G29</f>
        <v>2.7935514274438873E-2</v>
      </c>
      <c r="K33" s="82"/>
      <c r="L33" s="34"/>
      <c r="M33" s="1" t="s">
        <v>38</v>
      </c>
      <c r="N33" s="8"/>
      <c r="S33" s="37">
        <f>S29/P12</f>
        <v>0</v>
      </c>
    </row>
    <row r="34" spans="1:19" x14ac:dyDescent="0.3">
      <c r="A34" s="1"/>
      <c r="B34" s="8"/>
      <c r="D34" s="32">
        <f>SUM(D16:D17)/SUM(D12:D13)</f>
        <v>20254.850983179342</v>
      </c>
      <c r="G34" s="34"/>
      <c r="H34" s="34"/>
      <c r="I34" s="34"/>
      <c r="J34" s="34"/>
      <c r="K34" s="34"/>
      <c r="L34" s="34"/>
      <c r="M34" s="1"/>
      <c r="N34" s="8"/>
      <c r="S34" s="34"/>
    </row>
    <row r="35" spans="1:19" x14ac:dyDescent="0.3">
      <c r="A35" s="1"/>
      <c r="B35" s="8"/>
      <c r="E35" s="2" t="s">
        <v>161</v>
      </c>
      <c r="G35" s="179">
        <f>G12+G16+G20+G13+G17+G21</f>
        <v>7006386.6338400003</v>
      </c>
      <c r="H35" s="34"/>
      <c r="I35" s="34"/>
      <c r="J35" s="34"/>
      <c r="K35" s="34"/>
      <c r="L35" s="34"/>
      <c r="M35" s="1"/>
      <c r="N35" s="8"/>
      <c r="S35" s="34"/>
    </row>
    <row r="36" spans="1:19" x14ac:dyDescent="0.3">
      <c r="A36" s="1"/>
      <c r="B36" s="8"/>
      <c r="G36" s="179"/>
      <c r="H36" s="34"/>
      <c r="I36" s="34"/>
      <c r="J36" s="34"/>
      <c r="K36" s="34"/>
      <c r="L36" s="34"/>
      <c r="M36" s="1"/>
      <c r="N36" s="8"/>
      <c r="S36" s="34"/>
    </row>
    <row r="37" spans="1:19" x14ac:dyDescent="0.3">
      <c r="A37" s="1"/>
      <c r="B37" s="8"/>
      <c r="G37" s="179"/>
      <c r="H37" s="34"/>
      <c r="I37" s="34"/>
      <c r="J37" s="34"/>
      <c r="K37" s="34"/>
      <c r="L37" s="34"/>
      <c r="M37" s="1"/>
      <c r="N37" s="8"/>
      <c r="S37" s="34"/>
    </row>
    <row r="38" spans="1:19" x14ac:dyDescent="0.3">
      <c r="A38" s="1"/>
      <c r="B38" s="8"/>
      <c r="G38" s="263"/>
      <c r="H38" s="34"/>
      <c r="I38" s="34"/>
      <c r="J38" s="34"/>
      <c r="K38" s="34"/>
      <c r="L38" s="34"/>
      <c r="M38" s="1"/>
      <c r="N38" s="8"/>
      <c r="S38" s="34"/>
    </row>
    <row r="39" spans="1:19" x14ac:dyDescent="0.3">
      <c r="A39" s="1"/>
      <c r="B39" s="8"/>
      <c r="G39" s="33">
        <f>G12/12</f>
        <v>13108.733333333335</v>
      </c>
      <c r="H39" s="34"/>
      <c r="I39" s="34"/>
      <c r="J39" s="34"/>
      <c r="K39" s="34"/>
      <c r="L39" s="34"/>
      <c r="M39" s="1"/>
      <c r="N39" s="8"/>
      <c r="S39" s="34"/>
    </row>
    <row r="40" spans="1:19" ht="18.75" customHeight="1" x14ac:dyDescent="0.3">
      <c r="A40" s="1"/>
      <c r="B40" s="9"/>
      <c r="G40" s="33">
        <f>G16/12</f>
        <v>312381.00156833336</v>
      </c>
      <c r="H40" s="34"/>
      <c r="I40" s="34"/>
      <c r="J40" s="34"/>
      <c r="K40" s="34"/>
      <c r="L40" s="34"/>
    </row>
    <row r="41" spans="1:19" x14ac:dyDescent="0.3">
      <c r="E41" s="9"/>
      <c r="G41" s="32">
        <f>G20/12</f>
        <v>111424.73157666669</v>
      </c>
    </row>
    <row r="55" s="2" customFormat="1" ht="16.5" customHeight="1" x14ac:dyDescent="0.3"/>
    <row r="88" s="2" customFormat="1" ht="15" customHeight="1" x14ac:dyDescent="0.3"/>
    <row r="134" spans="3:14" x14ac:dyDescent="0.3">
      <c r="N134" s="29"/>
    </row>
    <row r="135" spans="3:14" x14ac:dyDescent="0.3">
      <c r="C135" s="29"/>
      <c r="D135" s="29"/>
      <c r="N135" s="29"/>
    </row>
    <row r="136" spans="3:14" x14ac:dyDescent="0.3">
      <c r="C136" s="30"/>
      <c r="D136" s="35"/>
      <c r="E136" s="259"/>
      <c r="N136" s="29"/>
    </row>
    <row r="137" spans="3:14" x14ac:dyDescent="0.3">
      <c r="C137" s="30"/>
      <c r="D137" s="35"/>
      <c r="E137" s="259"/>
      <c r="N137" s="29"/>
    </row>
    <row r="138" spans="3:14" x14ac:dyDescent="0.3">
      <c r="C138" s="30"/>
      <c r="D138" s="35"/>
      <c r="E138" s="259"/>
      <c r="N138" s="29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3" orientation="landscape" r:id="rId1"/>
  <headerFooter alignWithMargins="0">
    <oddFooter>&amp;RExhibit JW-9
Page &amp;P of &amp;N</oddFooter>
  </headerFooter>
  <ignoredErrors>
    <ignoredError sqref="D12:D13 D16:D17 D20:D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09A7-36A9-42B6-8EEE-2D9601D27F3D}">
  <sheetPr>
    <pageSetUpPr fitToPage="1"/>
  </sheetPr>
  <dimension ref="A1:S142"/>
  <sheetViews>
    <sheetView tabSelected="1" view="pageBreakPreview" topLeftCell="A7" zoomScale="75" zoomScaleNormal="85" zoomScaleSheetLayoutView="75" workbookViewId="0">
      <selection activeCell="T27" sqref="T27"/>
    </sheetView>
  </sheetViews>
  <sheetFormatPr defaultColWidth="9.109375" defaultRowHeight="15.6" x14ac:dyDescent="0.3"/>
  <cols>
    <col min="1" max="1" width="4.6640625" style="2" customWidth="1"/>
    <col min="2" max="2" width="23.5546875" style="2" customWidth="1"/>
    <col min="3" max="3" width="2.5546875" style="2" customWidth="1"/>
    <col min="4" max="4" width="15.44140625" style="2" bestFit="1" customWidth="1"/>
    <col min="5" max="5" width="14.5546875" style="2" bestFit="1" customWidth="1"/>
    <col min="6" max="6" width="5.21875" style="2" customWidth="1"/>
    <col min="7" max="7" width="15" style="2" customWidth="1"/>
    <col min="8" max="8" width="3" style="2" customWidth="1"/>
    <col min="9" max="9" width="13.88671875" style="2" customWidth="1"/>
    <col min="10" max="10" width="14.44140625" style="2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2.6640625" style="2" bestFit="1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Taylor County RECC</v>
      </c>
      <c r="N1" s="1"/>
    </row>
    <row r="2" spans="1:19" x14ac:dyDescent="0.3">
      <c r="A2" s="1" t="str">
        <f>List!B9</f>
        <v>General Purpose Part 2 &gt; 50 KVA</v>
      </c>
    </row>
    <row r="3" spans="1:19" ht="16.2" thickBot="1" x14ac:dyDescent="0.35">
      <c r="A3" s="110" t="str">
        <f>List!C9</f>
        <v>GP2</v>
      </c>
    </row>
    <row r="4" spans="1:19" x14ac:dyDescent="0.3">
      <c r="D4" s="270" t="s">
        <v>17</v>
      </c>
      <c r="E4" s="271"/>
      <c r="F4" s="271"/>
      <c r="G4" s="272"/>
      <c r="H4" s="3"/>
      <c r="I4" s="270" t="s">
        <v>60</v>
      </c>
      <c r="J4" s="272"/>
      <c r="K4" s="81"/>
      <c r="L4" s="3"/>
      <c r="P4" s="270" t="s">
        <v>43</v>
      </c>
      <c r="Q4" s="271"/>
      <c r="R4" s="271"/>
      <c r="S4" s="272"/>
    </row>
    <row r="5" spans="1:19" ht="16.2" thickBot="1" x14ac:dyDescent="0.35">
      <c r="A5" s="31"/>
      <c r="B5" s="38"/>
      <c r="C5" s="3"/>
      <c r="D5" s="273"/>
      <c r="E5" s="274"/>
      <c r="F5" s="274"/>
      <c r="G5" s="275"/>
      <c r="H5" s="3"/>
      <c r="I5" s="273"/>
      <c r="J5" s="275"/>
      <c r="K5" s="81"/>
      <c r="L5" s="3"/>
      <c r="M5" s="31"/>
      <c r="N5" s="38"/>
      <c r="O5" s="3"/>
      <c r="P5" s="273"/>
      <c r="Q5" s="274"/>
      <c r="R5" s="274"/>
      <c r="S5" s="275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274" t="s">
        <v>4</v>
      </c>
      <c r="F7" s="274"/>
      <c r="G7" s="5" t="s">
        <v>5</v>
      </c>
      <c r="H7" s="5"/>
      <c r="I7" s="5" t="s">
        <v>4</v>
      </c>
      <c r="J7" s="5" t="s">
        <v>5</v>
      </c>
      <c r="K7" s="80"/>
      <c r="L7" s="5"/>
      <c r="M7" s="5"/>
      <c r="N7" s="5"/>
      <c r="O7" s="5"/>
      <c r="P7" s="5" t="s">
        <v>3</v>
      </c>
      <c r="Q7" s="274" t="s">
        <v>4</v>
      </c>
      <c r="R7" s="274"/>
      <c r="S7" s="5" t="s">
        <v>5</v>
      </c>
    </row>
    <row r="8" spans="1:19" x14ac:dyDescent="0.3">
      <c r="K8" s="81"/>
    </row>
    <row r="9" spans="1:19" x14ac:dyDescent="0.3">
      <c r="K9" s="81"/>
    </row>
    <row r="10" spans="1:19" x14ac:dyDescent="0.3">
      <c r="K10" s="81"/>
    </row>
    <row r="11" spans="1:19" x14ac:dyDescent="0.3">
      <c r="A11" s="57" t="s">
        <v>8</v>
      </c>
      <c r="D11" s="251" t="s">
        <v>47</v>
      </c>
      <c r="E11" s="251" t="s">
        <v>48</v>
      </c>
      <c r="I11" s="251" t="s">
        <v>48</v>
      </c>
      <c r="K11" s="81"/>
      <c r="M11" s="57" t="str">
        <f>A11</f>
        <v>Customer Charge</v>
      </c>
      <c r="P11" s="251" t="s">
        <v>47</v>
      </c>
      <c r="Q11" s="251" t="s">
        <v>48</v>
      </c>
    </row>
    <row r="12" spans="1:19" x14ac:dyDescent="0.3">
      <c r="B12" s="2" t="s">
        <v>147</v>
      </c>
      <c r="D12" s="6">
        <f>SUM(Billings!D10:L10)</f>
        <v>45</v>
      </c>
      <c r="E12" s="51">
        <f>'Present and Proposed Rates'!F21</f>
        <v>49.78</v>
      </c>
      <c r="G12" s="9">
        <f>D12*E12</f>
        <v>2240.1</v>
      </c>
      <c r="H12" s="9"/>
      <c r="I12" s="260">
        <f>'Present and Proposed Rates'!G21</f>
        <v>51.79</v>
      </c>
      <c r="J12" s="9">
        <f>I12*D12</f>
        <v>2330.5500000000002</v>
      </c>
      <c r="K12" s="82"/>
      <c r="L12" s="9"/>
      <c r="N12" s="2" t="s">
        <v>54</v>
      </c>
      <c r="P12" s="6">
        <f>D12+D13</f>
        <v>60</v>
      </c>
      <c r="Q12" s="51">
        <f>'Present and Proposed Rates'!H21</f>
        <v>51.79</v>
      </c>
      <c r="S12" s="9">
        <f>P12*Q12</f>
        <v>3107.4</v>
      </c>
    </row>
    <row r="13" spans="1:19" x14ac:dyDescent="0.3">
      <c r="B13" s="2" t="s">
        <v>148</v>
      </c>
      <c r="D13" s="6">
        <f>SUM(Billings!M10:O10)</f>
        <v>15</v>
      </c>
      <c r="E13" s="8">
        <f>I12</f>
        <v>51.79</v>
      </c>
      <c r="G13" s="9">
        <f>D13*E13</f>
        <v>776.85</v>
      </c>
      <c r="H13" s="9"/>
      <c r="I13" s="188">
        <f>I12</f>
        <v>51.79</v>
      </c>
      <c r="J13" s="9">
        <f>I13*D13</f>
        <v>776.85</v>
      </c>
      <c r="K13" s="82"/>
      <c r="L13" s="9"/>
      <c r="P13" s="6"/>
      <c r="S13" s="9"/>
    </row>
    <row r="14" spans="1:19" x14ac:dyDescent="0.3">
      <c r="D14" s="6"/>
      <c r="G14" s="9"/>
      <c r="H14" s="9"/>
      <c r="I14" s="29"/>
      <c r="J14" s="9"/>
      <c r="K14" s="82"/>
      <c r="L14" s="9"/>
      <c r="P14" s="26"/>
      <c r="Q14" s="29"/>
      <c r="S14" s="9"/>
    </row>
    <row r="15" spans="1:19" x14ac:dyDescent="0.3">
      <c r="A15" s="1" t="s">
        <v>6</v>
      </c>
      <c r="D15" s="86" t="s">
        <v>7</v>
      </c>
      <c r="E15" s="87" t="s">
        <v>9</v>
      </c>
      <c r="G15" s="9"/>
      <c r="H15" s="9"/>
      <c r="I15" s="87" t="s">
        <v>9</v>
      </c>
      <c r="J15" s="9"/>
      <c r="K15" s="82"/>
      <c r="L15" s="9"/>
      <c r="M15" s="57" t="str">
        <f>A15</f>
        <v>Energy Charge</v>
      </c>
      <c r="P15" s="86" t="s">
        <v>7</v>
      </c>
      <c r="Q15" s="87" t="s">
        <v>9</v>
      </c>
      <c r="S15" s="9"/>
    </row>
    <row r="16" spans="1:19" x14ac:dyDescent="0.3">
      <c r="B16" s="2" t="s">
        <v>147</v>
      </c>
      <c r="D16" s="32">
        <f>SUM(Billings!D22:L22)</f>
        <v>21518112</v>
      </c>
      <c r="E16" s="20">
        <f>'Present and Proposed Rates'!F22</f>
        <v>5.7770000000000002E-2</v>
      </c>
      <c r="G16" s="9">
        <f>D16*E16</f>
        <v>1243101.33024</v>
      </c>
      <c r="H16" s="9"/>
      <c r="I16" s="261">
        <f>'Present and Proposed Rates'!G22</f>
        <v>6.0109999999999997E-2</v>
      </c>
      <c r="J16" s="9">
        <f>I16*D16</f>
        <v>1293453.7123199999</v>
      </c>
      <c r="K16" s="82"/>
      <c r="L16" s="9"/>
      <c r="N16" s="2" t="s">
        <v>79</v>
      </c>
      <c r="P16" s="6">
        <f>D16+D17</f>
        <v>28456492</v>
      </c>
      <c r="Q16" s="20">
        <f>'Present and Proposed Rates'!H22</f>
        <v>6.0109999999999997E-2</v>
      </c>
      <c r="S16" s="9">
        <f>P16*Q16</f>
        <v>1710519.7341199999</v>
      </c>
    </row>
    <row r="17" spans="1:19" x14ac:dyDescent="0.3">
      <c r="B17" s="2" t="s">
        <v>148</v>
      </c>
      <c r="D17" s="32">
        <f>SUM(Billings!M22:O22)</f>
        <v>6938380</v>
      </c>
      <c r="E17" s="20">
        <f>I16</f>
        <v>6.0109999999999997E-2</v>
      </c>
      <c r="G17" s="9">
        <f>D17*E17</f>
        <v>417066.02179999999</v>
      </c>
      <c r="I17" s="20">
        <f>I16</f>
        <v>6.0109999999999997E-2</v>
      </c>
      <c r="J17" s="9">
        <f>I17*D17</f>
        <v>417066.02179999999</v>
      </c>
      <c r="K17" s="81"/>
    </row>
    <row r="18" spans="1:19" x14ac:dyDescent="0.3">
      <c r="A18" s="1"/>
      <c r="D18" s="6"/>
      <c r="G18" s="9"/>
      <c r="H18" s="9"/>
      <c r="I18" s="29"/>
      <c r="J18" s="9"/>
      <c r="K18" s="82"/>
      <c r="L18" s="9"/>
      <c r="P18" s="26"/>
      <c r="Q18" s="29"/>
      <c r="S18" s="9"/>
    </row>
    <row r="19" spans="1:19" x14ac:dyDescent="0.3">
      <c r="A19" s="1" t="s">
        <v>151</v>
      </c>
      <c r="D19" s="86" t="s">
        <v>50</v>
      </c>
      <c r="E19" s="87" t="s">
        <v>51</v>
      </c>
      <c r="G19" s="9"/>
      <c r="H19" s="9"/>
      <c r="I19" s="87" t="s">
        <v>51</v>
      </c>
      <c r="J19" s="9"/>
      <c r="K19" s="82"/>
      <c r="L19" s="9"/>
      <c r="M19" s="57" t="str">
        <f>A19</f>
        <v>Demand Charge - Contract</v>
      </c>
      <c r="P19" s="86" t="s">
        <v>50</v>
      </c>
      <c r="Q19" s="87" t="s">
        <v>51</v>
      </c>
      <c r="S19" s="9"/>
    </row>
    <row r="20" spans="1:19" x14ac:dyDescent="0.3">
      <c r="B20" s="2" t="s">
        <v>147</v>
      </c>
      <c r="D20" s="6">
        <f>4260*9</f>
        <v>38340</v>
      </c>
      <c r="E20" s="265">
        <f>'Present and Proposed Rates'!F27</f>
        <v>6.18</v>
      </c>
      <c r="G20" s="9">
        <f>D20*E20</f>
        <v>236941.19999999998</v>
      </c>
      <c r="H20" s="9"/>
      <c r="I20" s="266">
        <f>'Present and Proposed Rates'!G27</f>
        <v>6.43</v>
      </c>
      <c r="J20" s="9">
        <f>I20*D20</f>
        <v>246526.19999999998</v>
      </c>
      <c r="K20" s="82"/>
      <c r="L20" s="9"/>
      <c r="N20" s="2" t="s">
        <v>79</v>
      </c>
      <c r="P20" s="6">
        <f>D20+D21</f>
        <v>50971</v>
      </c>
      <c r="Q20" s="265">
        <f>'Present and Proposed Rates'!H27</f>
        <v>6.43</v>
      </c>
      <c r="S20" s="9">
        <f>P20*Q20</f>
        <v>327743.52999999997</v>
      </c>
    </row>
    <row r="21" spans="1:19" x14ac:dyDescent="0.3">
      <c r="B21" s="2" t="s">
        <v>148</v>
      </c>
      <c r="D21" s="6">
        <v>12631</v>
      </c>
      <c r="E21" s="265">
        <f>I20</f>
        <v>6.43</v>
      </c>
      <c r="G21" s="9">
        <f>D21*E21</f>
        <v>81217.33</v>
      </c>
      <c r="H21" s="9"/>
      <c r="I21" s="266">
        <f>I20</f>
        <v>6.43</v>
      </c>
      <c r="J21" s="9">
        <f>I21*D21</f>
        <v>81217.33</v>
      </c>
      <c r="K21" s="82"/>
      <c r="L21" s="9"/>
      <c r="P21" s="6"/>
      <c r="Q21" s="265"/>
      <c r="S21" s="9"/>
    </row>
    <row r="22" spans="1:19" x14ac:dyDescent="0.3">
      <c r="D22" s="6"/>
      <c r="G22" s="9"/>
      <c r="H22" s="9"/>
      <c r="I22" s="29"/>
      <c r="J22" s="9"/>
      <c r="K22" s="82"/>
      <c r="L22" s="9"/>
      <c r="P22" s="26"/>
      <c r="Q22" s="29"/>
      <c r="S22" s="9"/>
    </row>
    <row r="23" spans="1:19" x14ac:dyDescent="0.3">
      <c r="A23" s="1" t="s">
        <v>152</v>
      </c>
      <c r="D23" s="86" t="s">
        <v>50</v>
      </c>
      <c r="E23" s="87" t="s">
        <v>51</v>
      </c>
      <c r="G23" s="9"/>
      <c r="H23" s="9"/>
      <c r="I23" s="87" t="s">
        <v>51</v>
      </c>
      <c r="J23" s="9"/>
      <c r="K23" s="82"/>
      <c r="L23" s="9"/>
      <c r="M23" s="57" t="str">
        <f>A23</f>
        <v>Demand Charge - Excess</v>
      </c>
      <c r="P23" s="86" t="s">
        <v>50</v>
      </c>
      <c r="Q23" s="87" t="s">
        <v>51</v>
      </c>
      <c r="S23" s="9"/>
    </row>
    <row r="24" spans="1:19" x14ac:dyDescent="0.3">
      <c r="B24" s="2" t="s">
        <v>147</v>
      </c>
      <c r="D24" s="32">
        <v>5490</v>
      </c>
      <c r="E24" s="265">
        <f>'Present and Proposed Rates'!F28</f>
        <v>8.9600000000000009</v>
      </c>
      <c r="G24" s="9">
        <f>D24*E24</f>
        <v>49190.400000000001</v>
      </c>
      <c r="H24" s="9"/>
      <c r="I24" s="266">
        <f>'Present and Proposed Rates'!G28</f>
        <v>9.32</v>
      </c>
      <c r="J24" s="9">
        <f>I24*D24</f>
        <v>51166.8</v>
      </c>
      <c r="K24" s="82"/>
      <c r="L24" s="9"/>
      <c r="N24" s="2" t="s">
        <v>79</v>
      </c>
      <c r="P24" s="6">
        <f>D24+D25</f>
        <v>7056</v>
      </c>
      <c r="Q24" s="265">
        <f>'Present and Proposed Rates'!H28</f>
        <v>9.32</v>
      </c>
      <c r="S24" s="9">
        <f>P24*Q24</f>
        <v>65761.919999999998</v>
      </c>
    </row>
    <row r="25" spans="1:19" x14ac:dyDescent="0.3">
      <c r="A25" s="1"/>
      <c r="B25" s="2" t="s">
        <v>148</v>
      </c>
      <c r="D25" s="32">
        <v>1566</v>
      </c>
      <c r="E25" s="265">
        <f>I24</f>
        <v>9.32</v>
      </c>
      <c r="G25" s="9">
        <f>D25*E25</f>
        <v>14595.12</v>
      </c>
      <c r="I25" s="265">
        <f>I24</f>
        <v>9.32</v>
      </c>
      <c r="J25" s="9">
        <f>I25*D25</f>
        <v>14595.12</v>
      </c>
      <c r="K25" s="81"/>
    </row>
    <row r="26" spans="1:19" x14ac:dyDescent="0.3">
      <c r="A26" s="1" t="s">
        <v>52</v>
      </c>
      <c r="B26" s="1"/>
      <c r="C26" s="53"/>
      <c r="D26" s="6"/>
      <c r="E26" s="20"/>
      <c r="G26" s="9"/>
      <c r="H26" s="9"/>
      <c r="I26" s="9"/>
      <c r="J26" s="9"/>
      <c r="K26" s="82"/>
      <c r="L26" s="9"/>
      <c r="M26" s="1" t="s">
        <v>52</v>
      </c>
      <c r="N26" s="1"/>
      <c r="O26" s="53"/>
      <c r="P26" s="6"/>
      <c r="Q26" s="20"/>
      <c r="S26" s="9"/>
    </row>
    <row r="27" spans="1:19" x14ac:dyDescent="0.3">
      <c r="A27" s="1"/>
      <c r="B27" s="2" t="s">
        <v>46</v>
      </c>
      <c r="C27" s="53"/>
      <c r="D27" s="6"/>
      <c r="E27" s="20"/>
      <c r="G27" s="9">
        <f>Billings!P46</f>
        <v>-111050.22</v>
      </c>
      <c r="H27" s="9"/>
      <c r="I27" s="9"/>
      <c r="J27" s="9">
        <f>G27</f>
        <v>-111050.22</v>
      </c>
      <c r="K27" s="82"/>
      <c r="L27" s="9"/>
      <c r="M27" s="1"/>
      <c r="N27" s="2" t="s">
        <v>46</v>
      </c>
      <c r="O27" s="53"/>
      <c r="P27" s="6"/>
      <c r="Q27" s="20"/>
      <c r="S27" s="9">
        <f>G27</f>
        <v>-111050.22</v>
      </c>
    </row>
    <row r="28" spans="1:19" x14ac:dyDescent="0.3">
      <c r="A28" s="1"/>
      <c r="B28" s="2" t="s">
        <v>53</v>
      </c>
      <c r="C28" s="53"/>
      <c r="D28" s="6"/>
      <c r="E28" s="20"/>
      <c r="G28" s="9">
        <f>Billings!P58</f>
        <v>252212.30000000002</v>
      </c>
      <c r="H28" s="9"/>
      <c r="I28" s="9"/>
      <c r="J28" s="9">
        <f>G28</f>
        <v>252212.30000000002</v>
      </c>
      <c r="K28" s="82"/>
      <c r="L28" s="9"/>
      <c r="M28" s="1"/>
      <c r="N28" s="2" t="s">
        <v>53</v>
      </c>
      <c r="O28" s="53"/>
      <c r="P28" s="6"/>
      <c r="Q28" s="20"/>
      <c r="S28" s="9">
        <f>G28</f>
        <v>252212.30000000002</v>
      </c>
    </row>
    <row r="29" spans="1:19" x14ac:dyDescent="0.3">
      <c r="A29" s="1"/>
      <c r="C29" s="53"/>
      <c r="D29" s="6"/>
      <c r="E29" s="20"/>
      <c r="G29" s="9">
        <v>0</v>
      </c>
      <c r="H29" s="9"/>
      <c r="I29" s="9"/>
      <c r="J29" s="9">
        <f>G29</f>
        <v>0</v>
      </c>
      <c r="K29" s="82"/>
      <c r="L29" s="9"/>
      <c r="M29" s="1"/>
      <c r="N29" s="2">
        <f>B29</f>
        <v>0</v>
      </c>
      <c r="O29" s="53"/>
      <c r="P29" s="6"/>
      <c r="Q29" s="20"/>
      <c r="S29" s="9">
        <f>J29</f>
        <v>0</v>
      </c>
    </row>
    <row r="30" spans="1:19" x14ac:dyDescent="0.3">
      <c r="A30" s="1"/>
      <c r="D30" s="50"/>
      <c r="G30" s="9"/>
      <c r="H30" s="9"/>
      <c r="I30" s="9"/>
      <c r="J30" s="9"/>
      <c r="K30" s="82"/>
      <c r="L30" s="9"/>
      <c r="M30" s="1"/>
      <c r="S30" s="9"/>
    </row>
    <row r="31" spans="1:19" ht="16.2" thickBot="1" x14ac:dyDescent="0.35">
      <c r="A31" s="1" t="s">
        <v>35</v>
      </c>
      <c r="G31" s="252">
        <f>SUM(G12:G29)</f>
        <v>2186290.4320399999</v>
      </c>
      <c r="H31" s="9"/>
      <c r="I31" s="9"/>
      <c r="J31" s="252">
        <f>SUM(J12:J29)</f>
        <v>2248294.6641199999</v>
      </c>
      <c r="K31" s="82"/>
      <c r="L31" s="9"/>
      <c r="M31" s="1" t="s">
        <v>35</v>
      </c>
      <c r="S31" s="252">
        <f>SUM(S12:S29)</f>
        <v>2248294.6641199999</v>
      </c>
    </row>
    <row r="32" spans="1:19" ht="16.2" thickTop="1" x14ac:dyDescent="0.3">
      <c r="A32" s="1"/>
      <c r="B32" s="1"/>
      <c r="G32" s="9"/>
      <c r="H32" s="9"/>
      <c r="I32" s="9"/>
      <c r="J32" s="9"/>
      <c r="K32" s="82"/>
      <c r="L32" s="9"/>
      <c r="M32" s="1"/>
      <c r="N32" s="1"/>
      <c r="S32" s="9"/>
    </row>
    <row r="33" spans="1:19" x14ac:dyDescent="0.3">
      <c r="A33" s="1" t="s">
        <v>14</v>
      </c>
      <c r="B33" s="8"/>
      <c r="G33" s="9">
        <f>Billings!P34</f>
        <v>1998139.34</v>
      </c>
      <c r="H33" s="9"/>
      <c r="I33" s="9"/>
      <c r="J33" s="9"/>
      <c r="K33" s="253"/>
      <c r="L33" s="9"/>
      <c r="M33" s="1" t="s">
        <v>61</v>
      </c>
      <c r="N33" s="8"/>
      <c r="S33" s="49">
        <f>S31-J31</f>
        <v>0</v>
      </c>
    </row>
    <row r="34" spans="1:19" x14ac:dyDescent="0.3">
      <c r="A34" s="8"/>
      <c r="B34" s="8"/>
      <c r="G34" s="8"/>
      <c r="H34" s="8"/>
      <c r="I34" s="8"/>
      <c r="J34" s="8"/>
      <c r="K34" s="254"/>
      <c r="L34" s="8"/>
      <c r="N34" s="8"/>
      <c r="S34" s="8"/>
    </row>
    <row r="35" spans="1:19" x14ac:dyDescent="0.3">
      <c r="A35" s="1" t="s">
        <v>10</v>
      </c>
      <c r="B35" s="8"/>
      <c r="G35" s="180">
        <f>G31-G33</f>
        <v>188151.09203999978</v>
      </c>
      <c r="H35" s="180"/>
      <c r="I35" s="180"/>
      <c r="J35" s="180">
        <f>J31-G31</f>
        <v>62004.232079999987</v>
      </c>
      <c r="K35" s="82"/>
      <c r="L35" s="180"/>
      <c r="M35" s="1" t="s">
        <v>62</v>
      </c>
      <c r="N35" s="8"/>
      <c r="S35" s="174">
        <f>S33/J31</f>
        <v>0</v>
      </c>
    </row>
    <row r="36" spans="1:19" x14ac:dyDescent="0.3">
      <c r="A36" s="8"/>
      <c r="B36" s="8"/>
      <c r="G36" s="9"/>
      <c r="H36" s="9"/>
      <c r="I36" s="9"/>
      <c r="J36" s="9"/>
      <c r="K36" s="255"/>
      <c r="L36" s="9"/>
      <c r="N36" s="8"/>
      <c r="S36" s="9"/>
    </row>
    <row r="37" spans="1:19" x14ac:dyDescent="0.3">
      <c r="A37" s="1" t="s">
        <v>16</v>
      </c>
      <c r="B37" s="8"/>
      <c r="G37" s="34">
        <f>G35/G33</f>
        <v>9.4163148822243692E-2</v>
      </c>
      <c r="H37" s="34"/>
      <c r="I37" s="34"/>
      <c r="J37" s="34">
        <f>J35/G33</f>
        <v>3.1030985096364695E-2</v>
      </c>
      <c r="K37" s="82"/>
      <c r="L37" s="34"/>
      <c r="M37" s="1" t="s">
        <v>38</v>
      </c>
      <c r="N37" s="8"/>
      <c r="S37" s="37">
        <f>S33/P12</f>
        <v>0</v>
      </c>
    </row>
    <row r="38" spans="1:19" x14ac:dyDescent="0.3">
      <c r="A38" s="1"/>
      <c r="B38" s="8"/>
      <c r="D38" s="32">
        <f>SUM(D16:D17)/SUM(D12:D13)</f>
        <v>474274.86666666664</v>
      </c>
      <c r="G38" s="34"/>
      <c r="H38" s="34"/>
      <c r="I38" s="34"/>
      <c r="J38" s="34"/>
      <c r="K38" s="34"/>
      <c r="L38" s="34"/>
      <c r="M38" s="1"/>
      <c r="N38" s="8"/>
      <c r="S38" s="34"/>
    </row>
    <row r="39" spans="1:19" x14ac:dyDescent="0.3">
      <c r="A39" s="1"/>
      <c r="B39" s="8"/>
      <c r="G39" s="179">
        <f>G12+G16+G24</f>
        <v>1294531.83024</v>
      </c>
      <c r="H39" s="34"/>
      <c r="I39" s="34"/>
      <c r="J39" s="34"/>
      <c r="K39" s="34"/>
      <c r="L39" s="34"/>
      <c r="M39" s="1"/>
      <c r="N39" s="8"/>
      <c r="S39" s="34"/>
    </row>
    <row r="40" spans="1:19" x14ac:dyDescent="0.3">
      <c r="A40" s="1"/>
      <c r="B40" s="8"/>
      <c r="G40" s="179"/>
      <c r="H40" s="34"/>
      <c r="I40" s="34"/>
      <c r="J40" s="34"/>
      <c r="K40" s="34"/>
      <c r="L40" s="34"/>
      <c r="M40" s="1"/>
      <c r="N40" s="8"/>
      <c r="S40" s="34"/>
    </row>
    <row r="41" spans="1:19" x14ac:dyDescent="0.3">
      <c r="A41" s="1"/>
      <c r="B41" s="8"/>
      <c r="G41" s="179"/>
      <c r="H41" s="34"/>
      <c r="I41" s="34"/>
      <c r="J41" s="34"/>
      <c r="K41" s="34"/>
      <c r="L41" s="34"/>
      <c r="M41" s="1"/>
      <c r="N41" s="8"/>
      <c r="S41" s="34"/>
    </row>
    <row r="42" spans="1:19" x14ac:dyDescent="0.3">
      <c r="A42" s="1"/>
      <c r="B42" s="8"/>
      <c r="G42" s="263"/>
      <c r="H42" s="34"/>
      <c r="I42" s="34"/>
      <c r="J42" s="34"/>
      <c r="K42" s="34"/>
      <c r="L42" s="34"/>
      <c r="M42" s="1"/>
      <c r="N42" s="8"/>
      <c r="S42" s="34"/>
    </row>
    <row r="43" spans="1:19" x14ac:dyDescent="0.3">
      <c r="A43" s="1"/>
      <c r="B43" s="8"/>
      <c r="G43" s="33">
        <f>G12/12</f>
        <v>186.67499999999998</v>
      </c>
      <c r="H43" s="34"/>
      <c r="I43" s="34"/>
      <c r="J43" s="34"/>
      <c r="K43" s="34"/>
      <c r="L43" s="34"/>
      <c r="M43" s="1"/>
      <c r="N43" s="8"/>
      <c r="S43" s="34"/>
    </row>
    <row r="44" spans="1:19" ht="18.75" customHeight="1" x14ac:dyDescent="0.3">
      <c r="A44" s="1"/>
      <c r="B44" s="9"/>
      <c r="G44" s="33">
        <f>G16/12</f>
        <v>103591.77752</v>
      </c>
      <c r="H44" s="34"/>
      <c r="I44" s="34"/>
      <c r="J44" s="34"/>
      <c r="K44" s="34"/>
      <c r="L44" s="34"/>
    </row>
    <row r="45" spans="1:19" x14ac:dyDescent="0.3">
      <c r="E45" s="9"/>
      <c r="G45" s="32">
        <f>G24/12</f>
        <v>4099.2</v>
      </c>
    </row>
    <row r="59" s="2" customFormat="1" ht="16.5" customHeight="1" x14ac:dyDescent="0.3"/>
    <row r="92" s="2" customFormat="1" ht="15" customHeight="1" x14ac:dyDescent="0.3"/>
    <row r="138" spans="3:14" x14ac:dyDescent="0.3">
      <c r="N138" s="29"/>
    </row>
    <row r="139" spans="3:14" x14ac:dyDescent="0.3">
      <c r="C139" s="29"/>
      <c r="D139" s="29"/>
      <c r="N139" s="29"/>
    </row>
    <row r="140" spans="3:14" x14ac:dyDescent="0.3">
      <c r="C140" s="30"/>
      <c r="D140" s="35"/>
      <c r="E140" s="259"/>
      <c r="N140" s="29"/>
    </row>
    <row r="141" spans="3:14" x14ac:dyDescent="0.3">
      <c r="C141" s="30"/>
      <c r="D141" s="35"/>
      <c r="E141" s="259"/>
      <c r="N141" s="29"/>
    </row>
    <row r="142" spans="3:14" x14ac:dyDescent="0.3">
      <c r="C142" s="30"/>
      <c r="D142" s="35"/>
      <c r="E142" s="259"/>
      <c r="N142" s="29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3" orientation="landscape" r:id="rId1"/>
  <headerFooter alignWithMargins="0">
    <oddFooter>&amp;RExhibit JW-9
Page &amp;P of &amp;N</oddFooter>
  </headerFooter>
  <ignoredErrors>
    <ignoredError sqref="D16:D17 D12:D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AB123"/>
  <sheetViews>
    <sheetView tabSelected="1" view="pageBreakPreview" topLeftCell="A13" zoomScale="75" zoomScaleNormal="100" zoomScaleSheetLayoutView="75" workbookViewId="0">
      <selection activeCell="T27" sqref="T27"/>
    </sheetView>
  </sheetViews>
  <sheetFormatPr defaultColWidth="9.109375" defaultRowHeight="15.6" x14ac:dyDescent="0.3"/>
  <cols>
    <col min="1" max="1" width="4.33203125" style="2" customWidth="1"/>
    <col min="2" max="2" width="7.21875" style="2" customWidth="1"/>
    <col min="3" max="3" width="34.109375" style="2" customWidth="1"/>
    <col min="4" max="4" width="14.33203125" style="2" customWidth="1"/>
    <col min="5" max="5" width="3.109375" style="10" customWidth="1"/>
    <col min="6" max="6" width="10.44140625" style="2" bestFit="1" customWidth="1"/>
    <col min="7" max="7" width="10.88671875" style="2" bestFit="1" customWidth="1"/>
    <col min="8" max="8" width="14.109375" style="2" customWidth="1"/>
    <col min="9" max="9" width="3.33203125" style="2" customWidth="1"/>
    <col min="10" max="10" width="10.88671875" style="2" bestFit="1" customWidth="1"/>
    <col min="11" max="11" width="15.33203125" style="2" customWidth="1"/>
    <col min="12" max="12" width="2" style="2" customWidth="1"/>
    <col min="13" max="13" width="2.6640625" style="2" customWidth="1"/>
    <col min="14" max="14" width="16.5546875" style="2" customWidth="1"/>
    <col min="15" max="15" width="15.109375" style="2" customWidth="1"/>
    <col min="16" max="16" width="7.5546875" style="2" customWidth="1"/>
    <col min="17" max="17" width="15.33203125" style="2" customWidth="1"/>
    <col min="18" max="18" width="2.6640625" style="2" customWidth="1"/>
    <col min="19" max="19" width="16.6640625" style="2" customWidth="1"/>
    <col min="20" max="20" width="9.109375" style="2"/>
    <col min="21" max="22" width="6.6640625" style="2" customWidth="1"/>
    <col min="23" max="23" width="27.5546875" style="2" customWidth="1"/>
    <col min="24" max="24" width="11.6640625" style="2" customWidth="1"/>
    <col min="25" max="25" width="13" style="2" customWidth="1"/>
    <col min="26" max="26" width="10.5546875" style="2" customWidth="1"/>
    <col min="27" max="27" width="2.6640625" style="2" customWidth="1"/>
    <col min="28" max="28" width="16.6640625" style="2" customWidth="1"/>
    <col min="29" max="16384" width="9.109375" style="2"/>
  </cols>
  <sheetData>
    <row r="1" spans="1:28" x14ac:dyDescent="0.3">
      <c r="A1" s="1" t="str">
        <f>List!A1</f>
        <v>Taylor County RECC</v>
      </c>
      <c r="B1" s="1"/>
      <c r="C1" s="1"/>
      <c r="D1" s="1"/>
      <c r="E1" s="32"/>
    </row>
    <row r="2" spans="1:28" x14ac:dyDescent="0.3">
      <c r="A2" s="1" t="str">
        <f>List!B11</f>
        <v xml:space="preserve">Street Lighting </v>
      </c>
      <c r="B2" s="1"/>
      <c r="C2" s="1"/>
      <c r="D2" s="1"/>
      <c r="E2" s="32"/>
    </row>
    <row r="3" spans="1:28" ht="16.2" thickBot="1" x14ac:dyDescent="0.35">
      <c r="A3" s="110" t="str">
        <f>List!C10</f>
        <v>B1</v>
      </c>
      <c r="B3" s="1"/>
      <c r="C3" s="1"/>
      <c r="D3" s="1"/>
      <c r="E3" s="32"/>
    </row>
    <row r="4" spans="1:28" x14ac:dyDescent="0.3">
      <c r="E4" s="32"/>
      <c r="F4" s="270" t="s">
        <v>17</v>
      </c>
      <c r="G4" s="271"/>
      <c r="H4" s="272"/>
      <c r="I4" s="3"/>
      <c r="J4" s="270" t="s">
        <v>60</v>
      </c>
      <c r="K4" s="272"/>
      <c r="L4" s="81"/>
      <c r="M4" s="3"/>
      <c r="N4" s="270" t="s">
        <v>43</v>
      </c>
      <c r="O4" s="271"/>
      <c r="P4" s="271"/>
      <c r="Q4" s="272"/>
      <c r="R4" s="1"/>
      <c r="S4" s="1"/>
      <c r="Y4" s="276"/>
      <c r="Z4" s="276"/>
      <c r="AA4" s="276"/>
      <c r="AB4" s="276"/>
    </row>
    <row r="5" spans="1:28" ht="16.2" thickBot="1" x14ac:dyDescent="0.35">
      <c r="E5" s="32"/>
      <c r="F5" s="273"/>
      <c r="G5" s="274"/>
      <c r="H5" s="275"/>
      <c r="I5" s="3"/>
      <c r="J5" s="273"/>
      <c r="K5" s="275"/>
      <c r="L5" s="81"/>
      <c r="M5" s="3"/>
      <c r="N5" s="273"/>
      <c r="O5" s="274"/>
      <c r="P5" s="274"/>
      <c r="Q5" s="275"/>
      <c r="R5" s="1"/>
      <c r="S5" s="1"/>
      <c r="U5" s="3"/>
      <c r="V5" s="3"/>
      <c r="W5" s="3"/>
      <c r="X5" s="3"/>
      <c r="Y5" s="276"/>
      <c r="Z5" s="276"/>
      <c r="AA5" s="276"/>
      <c r="AB5" s="276"/>
    </row>
    <row r="6" spans="1:28" x14ac:dyDescent="0.3">
      <c r="E6" s="32"/>
      <c r="F6" s="4" t="s">
        <v>0</v>
      </c>
      <c r="G6" s="4"/>
      <c r="H6" s="4" t="s">
        <v>1</v>
      </c>
      <c r="I6" s="4"/>
      <c r="J6" s="4"/>
      <c r="K6" s="4" t="s">
        <v>1</v>
      </c>
      <c r="L6" s="81"/>
      <c r="M6" s="4"/>
      <c r="N6" s="4" t="s">
        <v>0</v>
      </c>
      <c r="O6" s="4"/>
      <c r="P6" s="4"/>
      <c r="Q6" s="4" t="s">
        <v>1</v>
      </c>
      <c r="R6" s="4"/>
      <c r="S6" s="4"/>
      <c r="U6" s="4"/>
      <c r="V6" s="4"/>
      <c r="W6" s="4"/>
      <c r="X6" s="4"/>
      <c r="Y6" s="4"/>
      <c r="Z6" s="4"/>
      <c r="AA6" s="4"/>
      <c r="AB6" s="4"/>
    </row>
    <row r="7" spans="1:28" ht="16.2" thickBot="1" x14ac:dyDescent="0.35">
      <c r="A7" s="182" t="s">
        <v>2</v>
      </c>
      <c r="B7" s="182"/>
      <c r="C7" s="182"/>
      <c r="D7" s="182"/>
      <c r="E7" s="184"/>
      <c r="F7" s="5" t="s">
        <v>3</v>
      </c>
      <c r="G7" s="5" t="s">
        <v>4</v>
      </c>
      <c r="H7" s="5" t="s">
        <v>5</v>
      </c>
      <c r="I7" s="183"/>
      <c r="J7" s="5" t="s">
        <v>4</v>
      </c>
      <c r="K7" s="5" t="s">
        <v>5</v>
      </c>
      <c r="L7" s="80"/>
      <c r="M7" s="4"/>
      <c r="N7" s="5" t="s">
        <v>3</v>
      </c>
      <c r="O7" s="5" t="s">
        <v>4</v>
      </c>
      <c r="P7" s="5"/>
      <c r="Q7" s="5" t="s">
        <v>5</v>
      </c>
      <c r="R7" s="1"/>
      <c r="S7" s="4"/>
      <c r="U7" s="4"/>
      <c r="V7" s="4"/>
      <c r="W7" s="4"/>
      <c r="X7" s="4"/>
      <c r="Y7" s="4"/>
      <c r="Z7" s="276"/>
      <c r="AA7" s="276"/>
      <c r="AB7" s="4"/>
    </row>
    <row r="8" spans="1:28" x14ac:dyDescent="0.3">
      <c r="E8" s="32"/>
      <c r="L8" s="81"/>
    </row>
    <row r="9" spans="1:28" x14ac:dyDescent="0.3">
      <c r="A9" s="1" t="s">
        <v>12</v>
      </c>
      <c r="B9" s="1"/>
      <c r="C9" s="1"/>
      <c r="D9" s="1"/>
      <c r="E9" s="32"/>
      <c r="F9" s="185" t="s">
        <v>54</v>
      </c>
      <c r="G9" s="171"/>
      <c r="H9" s="8"/>
      <c r="I9" s="8"/>
      <c r="J9" s="8"/>
      <c r="K9" s="8"/>
      <c r="L9" s="81"/>
      <c r="M9" s="8"/>
      <c r="N9" s="185" t="s">
        <v>54</v>
      </c>
      <c r="O9" s="171"/>
      <c r="P9" s="171"/>
      <c r="Q9" s="8"/>
      <c r="S9" s="8"/>
      <c r="U9" s="1"/>
      <c r="Y9" s="6"/>
      <c r="AB9" s="8"/>
    </row>
    <row r="10" spans="1:28" x14ac:dyDescent="0.3">
      <c r="D10" s="186" t="s">
        <v>86</v>
      </c>
      <c r="E10" s="32"/>
      <c r="F10" s="86" t="s">
        <v>12</v>
      </c>
      <c r="G10" s="87" t="s">
        <v>13</v>
      </c>
      <c r="H10" s="8"/>
      <c r="I10" s="8"/>
      <c r="J10" s="186" t="s">
        <v>13</v>
      </c>
      <c r="K10" s="8"/>
      <c r="L10" s="82"/>
      <c r="M10" s="8"/>
      <c r="N10" s="86" t="s">
        <v>12</v>
      </c>
      <c r="O10" s="87" t="s">
        <v>13</v>
      </c>
      <c r="P10" s="171"/>
      <c r="Q10" s="8"/>
      <c r="S10" s="8"/>
      <c r="X10" s="29"/>
      <c r="Y10" s="210"/>
      <c r="Z10" s="53"/>
      <c r="AB10" s="8"/>
    </row>
    <row r="11" spans="1:28" x14ac:dyDescent="0.3">
      <c r="B11" s="189"/>
      <c r="E11" s="32"/>
      <c r="F11" s="185"/>
      <c r="G11" s="171"/>
      <c r="H11" s="8"/>
      <c r="I11" s="8"/>
      <c r="J11" s="29"/>
      <c r="K11" s="8"/>
      <c r="L11" s="82"/>
      <c r="M11" s="8"/>
      <c r="N11" s="185"/>
      <c r="O11" s="171"/>
      <c r="P11" s="171"/>
      <c r="Q11" s="8"/>
      <c r="S11" s="8"/>
      <c r="X11" s="29"/>
      <c r="Y11" s="210"/>
      <c r="Z11" s="53"/>
      <c r="AB11" s="8"/>
    </row>
    <row r="12" spans="1:28" x14ac:dyDescent="0.3">
      <c r="B12" s="2">
        <v>1</v>
      </c>
      <c r="C12" s="31" t="s">
        <v>168</v>
      </c>
      <c r="D12" s="230"/>
      <c r="E12" s="231"/>
      <c r="F12" s="32">
        <v>30566</v>
      </c>
      <c r="G12" s="267">
        <v>2.84</v>
      </c>
      <c r="H12" s="49">
        <f>G12*F12</f>
        <v>86807.44</v>
      </c>
      <c r="I12" s="8"/>
      <c r="J12" s="267">
        <v>2.95</v>
      </c>
      <c r="K12" s="49">
        <f>J12*F12</f>
        <v>90169.700000000012</v>
      </c>
      <c r="L12" s="82"/>
      <c r="M12" s="8"/>
      <c r="N12" s="26">
        <f>F12</f>
        <v>30566</v>
      </c>
      <c r="O12" s="234">
        <f>J12</f>
        <v>2.95</v>
      </c>
      <c r="P12" s="171"/>
      <c r="Q12" s="49">
        <f>O12*N12</f>
        <v>90169.700000000012</v>
      </c>
      <c r="S12" s="8"/>
      <c r="X12" s="29"/>
      <c r="Y12" s="210"/>
      <c r="Z12" s="53"/>
      <c r="AB12" s="8"/>
    </row>
    <row r="13" spans="1:28" x14ac:dyDescent="0.3">
      <c r="B13" s="2">
        <v>2</v>
      </c>
      <c r="C13" s="31" t="s">
        <v>169</v>
      </c>
      <c r="D13" s="230"/>
      <c r="E13" s="231"/>
      <c r="F13" s="32">
        <v>991</v>
      </c>
      <c r="G13" s="267">
        <v>4.5199999999999996</v>
      </c>
      <c r="H13" s="49">
        <f t="shared" ref="H13:H24" si="0">G13*F13</f>
        <v>4479.32</v>
      </c>
      <c r="I13" s="8"/>
      <c r="J13" s="267">
        <v>4.7</v>
      </c>
      <c r="K13" s="49">
        <f t="shared" ref="K13:K24" si="1">J13*F13</f>
        <v>4657.7</v>
      </c>
      <c r="L13" s="82"/>
      <c r="M13" s="8"/>
      <c r="N13" s="26">
        <f t="shared" ref="N13:N24" si="2">F13</f>
        <v>991</v>
      </c>
      <c r="O13" s="234">
        <f t="shared" ref="O13:O24" si="3">J13</f>
        <v>4.7</v>
      </c>
      <c r="P13" s="171"/>
      <c r="Q13" s="49">
        <f t="shared" ref="Q13:Q24" si="4">O13*N13</f>
        <v>4657.7</v>
      </c>
      <c r="S13" s="8"/>
      <c r="X13" s="29"/>
      <c r="Y13" s="210"/>
      <c r="Z13" s="53"/>
      <c r="AB13" s="8"/>
    </row>
    <row r="14" spans="1:28" x14ac:dyDescent="0.3">
      <c r="B14" s="189">
        <v>3</v>
      </c>
      <c r="C14" s="2" t="s">
        <v>170</v>
      </c>
      <c r="D14" s="10"/>
      <c r="E14" s="32"/>
      <c r="F14" s="32">
        <v>16020</v>
      </c>
      <c r="G14" s="267">
        <v>3.25</v>
      </c>
      <c r="H14" s="49">
        <f t="shared" si="0"/>
        <v>52065</v>
      </c>
      <c r="I14" s="8"/>
      <c r="J14" s="267">
        <v>3.38</v>
      </c>
      <c r="K14" s="49">
        <f t="shared" si="1"/>
        <v>54147.6</v>
      </c>
      <c r="L14" s="82"/>
      <c r="M14" s="8"/>
      <c r="N14" s="26">
        <f t="shared" si="2"/>
        <v>16020</v>
      </c>
      <c r="O14" s="234">
        <f t="shared" si="3"/>
        <v>3.38</v>
      </c>
      <c r="P14" s="171"/>
      <c r="Q14" s="49">
        <f t="shared" si="4"/>
        <v>54147.6</v>
      </c>
      <c r="S14" s="8"/>
      <c r="X14" s="29"/>
      <c r="Y14" s="210"/>
      <c r="Z14" s="53"/>
      <c r="AB14" s="8"/>
    </row>
    <row r="15" spans="1:28" x14ac:dyDescent="0.3">
      <c r="B15" s="2">
        <v>4</v>
      </c>
      <c r="C15" s="2" t="s">
        <v>171</v>
      </c>
      <c r="D15" s="10"/>
      <c r="E15" s="32"/>
      <c r="F15" s="32">
        <v>7704</v>
      </c>
      <c r="G15" s="267">
        <v>5</v>
      </c>
      <c r="H15" s="49">
        <f t="shared" si="0"/>
        <v>38520</v>
      </c>
      <c r="I15" s="8"/>
      <c r="J15" s="267">
        <v>5.2</v>
      </c>
      <c r="K15" s="49">
        <f t="shared" si="1"/>
        <v>40060.800000000003</v>
      </c>
      <c r="L15" s="82"/>
      <c r="M15" s="8"/>
      <c r="N15" s="26">
        <f t="shared" si="2"/>
        <v>7704</v>
      </c>
      <c r="O15" s="234">
        <f t="shared" si="3"/>
        <v>5.2</v>
      </c>
      <c r="P15" s="171"/>
      <c r="Q15" s="49">
        <f t="shared" si="4"/>
        <v>40060.800000000003</v>
      </c>
      <c r="S15" s="8"/>
      <c r="X15" s="29"/>
      <c r="Y15" s="210"/>
      <c r="Z15" s="53"/>
      <c r="AB15" s="8"/>
    </row>
    <row r="16" spans="1:28" x14ac:dyDescent="0.3">
      <c r="B16" s="2">
        <v>5</v>
      </c>
      <c r="C16" s="2" t="s">
        <v>172</v>
      </c>
      <c r="D16" s="10"/>
      <c r="E16" s="32"/>
      <c r="F16" s="32">
        <v>12</v>
      </c>
      <c r="G16" s="267">
        <v>3.41</v>
      </c>
      <c r="H16" s="49">
        <f t="shared" si="0"/>
        <v>40.92</v>
      </c>
      <c r="I16" s="8"/>
      <c r="J16" s="267">
        <v>3.55</v>
      </c>
      <c r="K16" s="49">
        <f t="shared" si="1"/>
        <v>42.599999999999994</v>
      </c>
      <c r="L16" s="82"/>
      <c r="M16" s="8"/>
      <c r="N16" s="26">
        <f t="shared" si="2"/>
        <v>12</v>
      </c>
      <c r="O16" s="234">
        <f t="shared" si="3"/>
        <v>3.55</v>
      </c>
      <c r="P16" s="171"/>
      <c r="Q16" s="49">
        <f t="shared" si="4"/>
        <v>42.599999999999994</v>
      </c>
      <c r="S16" s="8"/>
      <c r="X16" s="29"/>
      <c r="Y16" s="210"/>
      <c r="Z16" s="53"/>
      <c r="AB16" s="8"/>
    </row>
    <row r="17" spans="1:28" x14ac:dyDescent="0.3">
      <c r="B17" s="189">
        <v>10</v>
      </c>
      <c r="C17" s="2" t="s">
        <v>173</v>
      </c>
      <c r="D17" s="10"/>
      <c r="E17" s="32"/>
      <c r="F17" s="32">
        <v>143</v>
      </c>
      <c r="G17" s="267">
        <v>2.84</v>
      </c>
      <c r="H17" s="49">
        <f t="shared" si="0"/>
        <v>406.12</v>
      </c>
      <c r="I17" s="8"/>
      <c r="J17" s="267">
        <v>2.95</v>
      </c>
      <c r="K17" s="49">
        <f t="shared" si="1"/>
        <v>421.85</v>
      </c>
      <c r="L17" s="82"/>
      <c r="M17" s="8"/>
      <c r="N17" s="26">
        <f t="shared" si="2"/>
        <v>143</v>
      </c>
      <c r="O17" s="234">
        <f t="shared" si="3"/>
        <v>2.95</v>
      </c>
      <c r="P17" s="171"/>
      <c r="Q17" s="49">
        <f t="shared" si="4"/>
        <v>421.85</v>
      </c>
      <c r="S17" s="8"/>
      <c r="X17" s="29"/>
      <c r="Y17" s="210"/>
      <c r="Z17" s="53"/>
      <c r="AB17" s="8"/>
    </row>
    <row r="18" spans="1:28" ht="18" customHeight="1" x14ac:dyDescent="0.3">
      <c r="B18" s="2">
        <v>15</v>
      </c>
      <c r="C18" s="2" t="s">
        <v>174</v>
      </c>
      <c r="D18" s="10"/>
      <c r="E18" s="32"/>
      <c r="F18" s="32">
        <v>24</v>
      </c>
      <c r="G18" s="267">
        <v>4.5199999999999996</v>
      </c>
      <c r="H18" s="49">
        <f t="shared" si="0"/>
        <v>108.47999999999999</v>
      </c>
      <c r="I18" s="8"/>
      <c r="J18" s="267">
        <v>4.7</v>
      </c>
      <c r="K18" s="49">
        <f t="shared" si="1"/>
        <v>112.80000000000001</v>
      </c>
      <c r="L18" s="82"/>
      <c r="M18" s="8"/>
      <c r="N18" s="26">
        <f t="shared" si="2"/>
        <v>24</v>
      </c>
      <c r="O18" s="234">
        <f t="shared" si="3"/>
        <v>4.7</v>
      </c>
      <c r="P18" s="171"/>
      <c r="Q18" s="49">
        <f t="shared" si="4"/>
        <v>112.80000000000001</v>
      </c>
      <c r="S18" s="8"/>
      <c r="X18" s="29"/>
      <c r="Y18" s="210"/>
      <c r="Z18" s="53"/>
      <c r="AB18" s="8"/>
    </row>
    <row r="19" spans="1:28" ht="18" customHeight="1" x14ac:dyDescent="0.3">
      <c r="B19" s="2">
        <v>30</v>
      </c>
      <c r="C19" s="2" t="s">
        <v>175</v>
      </c>
      <c r="D19" s="10"/>
      <c r="E19" s="32"/>
      <c r="F19" s="32">
        <v>72</v>
      </c>
      <c r="G19" s="267">
        <v>5</v>
      </c>
      <c r="H19" s="49">
        <f t="shared" si="0"/>
        <v>360</v>
      </c>
      <c r="I19" s="8"/>
      <c r="J19" s="267">
        <v>5.2</v>
      </c>
      <c r="K19" s="49">
        <f t="shared" si="1"/>
        <v>374.40000000000003</v>
      </c>
      <c r="L19" s="82"/>
      <c r="M19" s="8"/>
      <c r="N19" s="26">
        <f t="shared" si="2"/>
        <v>72</v>
      </c>
      <c r="O19" s="234">
        <f t="shared" si="3"/>
        <v>5.2</v>
      </c>
      <c r="P19" s="171"/>
      <c r="Q19" s="49">
        <f t="shared" si="4"/>
        <v>374.40000000000003</v>
      </c>
      <c r="S19" s="8"/>
      <c r="X19" s="29"/>
      <c r="Y19" s="210"/>
      <c r="Z19" s="53"/>
      <c r="AB19" s="8"/>
    </row>
    <row r="20" spans="1:28" ht="18" customHeight="1" x14ac:dyDescent="0.3">
      <c r="B20" s="2">
        <v>42</v>
      </c>
      <c r="C20" s="2" t="s">
        <v>176</v>
      </c>
      <c r="D20" s="10"/>
      <c r="E20" s="32"/>
      <c r="F20" s="32">
        <v>26654</v>
      </c>
      <c r="G20" s="267">
        <v>9.4600000000000009</v>
      </c>
      <c r="H20" s="49">
        <f t="shared" si="0"/>
        <v>252146.84000000003</v>
      </c>
      <c r="I20" s="8"/>
      <c r="J20" s="267">
        <v>9.84</v>
      </c>
      <c r="K20" s="49">
        <f t="shared" si="1"/>
        <v>262275.36</v>
      </c>
      <c r="L20" s="82"/>
      <c r="M20" s="8"/>
      <c r="N20" s="26">
        <f t="shared" si="2"/>
        <v>26654</v>
      </c>
      <c r="O20" s="234">
        <f t="shared" si="3"/>
        <v>9.84</v>
      </c>
      <c r="P20" s="171"/>
      <c r="Q20" s="49">
        <f t="shared" si="4"/>
        <v>262275.36</v>
      </c>
      <c r="S20" s="8"/>
      <c r="X20" s="29"/>
      <c r="Y20" s="210"/>
      <c r="Z20" s="53"/>
      <c r="AB20" s="8"/>
    </row>
    <row r="21" spans="1:28" ht="18" customHeight="1" x14ac:dyDescent="0.3">
      <c r="B21" s="2">
        <v>43</v>
      </c>
      <c r="C21" s="2" t="s">
        <v>177</v>
      </c>
      <c r="D21" s="10"/>
      <c r="E21" s="32"/>
      <c r="F21" s="32">
        <v>2402</v>
      </c>
      <c r="G21" s="267">
        <v>12.48</v>
      </c>
      <c r="H21" s="49">
        <f t="shared" si="0"/>
        <v>29976.960000000003</v>
      </c>
      <c r="I21" s="8"/>
      <c r="J21" s="267">
        <v>12.98</v>
      </c>
      <c r="K21" s="49">
        <f t="shared" si="1"/>
        <v>31177.960000000003</v>
      </c>
      <c r="L21" s="82"/>
      <c r="M21" s="8"/>
      <c r="N21" s="26">
        <f t="shared" si="2"/>
        <v>2402</v>
      </c>
      <c r="O21" s="234">
        <f t="shared" si="3"/>
        <v>12.98</v>
      </c>
      <c r="P21" s="171"/>
      <c r="Q21" s="49">
        <f t="shared" si="4"/>
        <v>31177.960000000003</v>
      </c>
      <c r="S21" s="8"/>
      <c r="X21" s="29"/>
      <c r="Y21" s="210"/>
      <c r="Z21" s="53"/>
      <c r="AB21" s="8"/>
    </row>
    <row r="22" spans="1:28" ht="18" customHeight="1" x14ac:dyDescent="0.3">
      <c r="B22" s="2">
        <v>44</v>
      </c>
      <c r="C22" s="2" t="s">
        <v>178</v>
      </c>
      <c r="D22" s="10"/>
      <c r="E22" s="32"/>
      <c r="F22" s="32">
        <v>1425</v>
      </c>
      <c r="G22" s="267">
        <v>16.88</v>
      </c>
      <c r="H22" s="49">
        <f t="shared" si="0"/>
        <v>24054</v>
      </c>
      <c r="I22" s="8"/>
      <c r="J22" s="267">
        <v>17.559999999999999</v>
      </c>
      <c r="K22" s="49">
        <f t="shared" si="1"/>
        <v>25022.999999999996</v>
      </c>
      <c r="L22" s="82"/>
      <c r="M22" s="8"/>
      <c r="N22" s="26">
        <f t="shared" si="2"/>
        <v>1425</v>
      </c>
      <c r="O22" s="234">
        <f t="shared" si="3"/>
        <v>17.559999999999999</v>
      </c>
      <c r="P22" s="171"/>
      <c r="Q22" s="49">
        <f t="shared" si="4"/>
        <v>25022.999999999996</v>
      </c>
      <c r="S22" s="8"/>
      <c r="X22" s="29"/>
      <c r="Y22" s="210"/>
      <c r="Z22" s="53"/>
      <c r="AB22" s="8"/>
    </row>
    <row r="23" spans="1:28" ht="18" customHeight="1" x14ac:dyDescent="0.3">
      <c r="B23" s="2">
        <v>46</v>
      </c>
      <c r="C23" s="2" t="s">
        <v>179</v>
      </c>
      <c r="D23" s="10"/>
      <c r="E23" s="32"/>
      <c r="F23" s="32">
        <v>171</v>
      </c>
      <c r="G23" s="267">
        <v>15.48</v>
      </c>
      <c r="H23" s="49">
        <f t="shared" si="0"/>
        <v>2647.08</v>
      </c>
      <c r="I23" s="8"/>
      <c r="J23" s="267">
        <v>15.48</v>
      </c>
      <c r="K23" s="49">
        <f t="shared" si="1"/>
        <v>2647.08</v>
      </c>
      <c r="L23" s="82"/>
      <c r="M23" s="8"/>
      <c r="N23" s="26">
        <f t="shared" si="2"/>
        <v>171</v>
      </c>
      <c r="O23" s="234">
        <f t="shared" si="3"/>
        <v>15.48</v>
      </c>
      <c r="P23" s="171"/>
      <c r="Q23" s="49">
        <f t="shared" si="4"/>
        <v>2647.08</v>
      </c>
      <c r="S23" s="8"/>
      <c r="X23" s="29"/>
      <c r="Y23" s="210"/>
      <c r="Z23" s="53"/>
      <c r="AB23" s="8"/>
    </row>
    <row r="24" spans="1:28" ht="18" customHeight="1" x14ac:dyDescent="0.3">
      <c r="B24" s="2">
        <v>50</v>
      </c>
      <c r="C24" s="2" t="s">
        <v>180</v>
      </c>
      <c r="D24" s="10"/>
      <c r="E24" s="32"/>
      <c r="F24" s="32">
        <v>12</v>
      </c>
      <c r="G24" s="267">
        <v>3.25</v>
      </c>
      <c r="H24" s="49">
        <f t="shared" si="0"/>
        <v>39</v>
      </c>
      <c r="I24" s="8"/>
      <c r="J24" s="267">
        <v>3.38</v>
      </c>
      <c r="K24" s="49">
        <f t="shared" si="1"/>
        <v>40.56</v>
      </c>
      <c r="L24" s="82"/>
      <c r="M24" s="8"/>
      <c r="N24" s="26">
        <f t="shared" si="2"/>
        <v>12</v>
      </c>
      <c r="O24" s="234">
        <f t="shared" si="3"/>
        <v>3.38</v>
      </c>
      <c r="P24" s="171"/>
      <c r="Q24" s="49">
        <f t="shared" si="4"/>
        <v>40.56</v>
      </c>
      <c r="S24" s="8"/>
      <c r="X24" s="29"/>
      <c r="Y24" s="210"/>
      <c r="Z24" s="53"/>
      <c r="AB24" s="8"/>
    </row>
    <row r="25" spans="1:28" ht="18" customHeight="1" x14ac:dyDescent="0.3">
      <c r="D25" s="10"/>
      <c r="E25" s="32"/>
      <c r="F25" s="32"/>
      <c r="G25" s="29"/>
      <c r="H25" s="49"/>
      <c r="I25" s="8"/>
      <c r="J25" s="8"/>
      <c r="K25" s="49"/>
      <c r="L25" s="82"/>
      <c r="M25" s="8"/>
      <c r="N25" s="26"/>
      <c r="O25" s="188"/>
      <c r="P25" s="171"/>
      <c r="Q25" s="49"/>
      <c r="S25" s="8"/>
      <c r="X25" s="29"/>
      <c r="Y25" s="210"/>
      <c r="Z25" s="53"/>
      <c r="AB25" s="8"/>
    </row>
    <row r="26" spans="1:28" ht="18" customHeight="1" x14ac:dyDescent="0.3">
      <c r="D26" s="190">
        <v>3752618</v>
      </c>
      <c r="E26" s="32"/>
      <c r="F26" s="187">
        <f>SUM(F12:F25)</f>
        <v>86196</v>
      </c>
      <c r="G26" s="29"/>
      <c r="H26" s="217">
        <f t="shared" ref="H26" si="5">SUM(H12:H25)</f>
        <v>491651.16000000009</v>
      </c>
      <c r="I26" s="8"/>
      <c r="J26" s="29"/>
      <c r="K26" s="217">
        <f t="shared" ref="K26" si="6">SUM(K12:K25)</f>
        <v>511151.41</v>
      </c>
      <c r="L26" s="82"/>
      <c r="M26" s="8"/>
      <c r="N26" s="187">
        <f>SUM(N12:N25)</f>
        <v>86196</v>
      </c>
      <c r="O26" s="171"/>
      <c r="P26" s="171"/>
      <c r="Q26" s="217">
        <f t="shared" ref="Q26" si="7">SUM(Q12:Q25)</f>
        <v>511151.41</v>
      </c>
      <c r="S26" s="8"/>
      <c r="X26" s="29"/>
      <c r="Y26" s="210"/>
      <c r="Z26" s="53"/>
      <c r="AB26" s="8"/>
    </row>
    <row r="27" spans="1:28" ht="18" customHeight="1" x14ac:dyDescent="0.3">
      <c r="D27" s="11"/>
      <c r="E27" s="32"/>
      <c r="F27" s="33"/>
      <c r="G27" s="29"/>
      <c r="H27" s="37"/>
      <c r="I27" s="8"/>
      <c r="J27" s="29"/>
      <c r="K27" s="37"/>
      <c r="L27" s="82"/>
      <c r="M27" s="8"/>
      <c r="N27" s="185"/>
      <c r="O27" s="171"/>
      <c r="P27" s="171"/>
      <c r="Q27" s="37"/>
      <c r="S27" s="8"/>
      <c r="X27" s="29"/>
      <c r="Y27" s="210"/>
      <c r="Z27" s="53"/>
      <c r="AB27" s="8"/>
    </row>
    <row r="28" spans="1:28" ht="18" customHeight="1" x14ac:dyDescent="0.3">
      <c r="A28" s="1" t="s">
        <v>52</v>
      </c>
      <c r="B28" s="1"/>
      <c r="C28" s="53"/>
      <c r="D28" s="6"/>
      <c r="E28" s="9"/>
      <c r="F28" s="33"/>
      <c r="G28" s="171"/>
      <c r="H28" s="49"/>
      <c r="I28" s="8"/>
      <c r="J28" s="29"/>
      <c r="K28" s="49"/>
      <c r="L28" s="82"/>
      <c r="M28" s="8"/>
      <c r="N28" s="185"/>
      <c r="O28" s="171"/>
      <c r="P28" s="171"/>
      <c r="Q28" s="49"/>
      <c r="S28" s="8"/>
      <c r="X28" s="29"/>
      <c r="Y28" s="210"/>
      <c r="Z28" s="53"/>
      <c r="AB28" s="8"/>
    </row>
    <row r="29" spans="1:28" ht="18" customHeight="1" x14ac:dyDescent="0.3">
      <c r="A29" s="1"/>
      <c r="B29" s="2" t="s">
        <v>46</v>
      </c>
      <c r="C29" s="53"/>
      <c r="D29" s="6"/>
      <c r="E29" s="9"/>
      <c r="F29" s="33"/>
      <c r="G29" s="171"/>
      <c r="H29" s="49">
        <f>Billings!P47</f>
        <v>0</v>
      </c>
      <c r="I29" s="8"/>
      <c r="J29" s="29"/>
      <c r="K29" s="49">
        <f>H29</f>
        <v>0</v>
      </c>
      <c r="L29" s="82"/>
      <c r="M29" s="8"/>
      <c r="N29" s="185"/>
      <c r="O29" s="171"/>
      <c r="P29" s="171"/>
      <c r="Q29" s="49">
        <f>K29</f>
        <v>0</v>
      </c>
      <c r="S29" s="8"/>
      <c r="X29" s="29"/>
      <c r="Y29" s="210"/>
      <c r="Z29" s="53"/>
      <c r="AB29" s="8"/>
    </row>
    <row r="30" spans="1:28" ht="18" customHeight="1" x14ac:dyDescent="0.3">
      <c r="A30" s="1"/>
      <c r="B30" s="2" t="s">
        <v>53</v>
      </c>
      <c r="C30" s="53"/>
      <c r="D30" s="6"/>
      <c r="E30" s="9"/>
      <c r="F30" s="33"/>
      <c r="G30" s="171"/>
      <c r="H30" s="49">
        <f>Billings!P59</f>
        <v>0</v>
      </c>
      <c r="I30" s="8"/>
      <c r="J30" s="29"/>
      <c r="K30" s="49">
        <f>H30</f>
        <v>0</v>
      </c>
      <c r="L30" s="82"/>
      <c r="M30" s="8"/>
      <c r="N30" s="185"/>
      <c r="O30" s="171"/>
      <c r="P30" s="171"/>
      <c r="Q30" s="49">
        <f>K30</f>
        <v>0</v>
      </c>
      <c r="S30" s="8"/>
      <c r="X30" s="29"/>
      <c r="Y30" s="210"/>
      <c r="Z30" s="53"/>
      <c r="AB30" s="8"/>
    </row>
    <row r="31" spans="1:28" ht="18" customHeight="1" x14ac:dyDescent="0.3">
      <c r="A31" s="1"/>
      <c r="C31" s="53"/>
      <c r="D31" s="6"/>
      <c r="E31" s="9"/>
      <c r="F31" s="33"/>
      <c r="G31" s="171"/>
      <c r="H31" s="49"/>
      <c r="I31" s="8"/>
      <c r="J31" s="29"/>
      <c r="K31" s="49"/>
      <c r="L31" s="82"/>
      <c r="M31" s="8"/>
      <c r="N31" s="185"/>
      <c r="O31" s="171"/>
      <c r="P31" s="171"/>
      <c r="Q31" s="49"/>
      <c r="S31" s="8"/>
      <c r="X31" s="29"/>
      <c r="Y31" s="210"/>
      <c r="Z31" s="53"/>
      <c r="AB31" s="8"/>
    </row>
    <row r="32" spans="1:28" x14ac:dyDescent="0.3">
      <c r="E32" s="32"/>
      <c r="F32" s="6"/>
      <c r="H32" s="9"/>
      <c r="I32" s="9"/>
      <c r="J32" s="9"/>
      <c r="K32" s="9"/>
      <c r="L32" s="82"/>
      <c r="M32" s="9"/>
      <c r="N32" s="6"/>
      <c r="Q32" s="9"/>
      <c r="S32" s="9"/>
      <c r="Y32" s="6"/>
      <c r="AB32" s="9"/>
    </row>
    <row r="33" spans="1:28" ht="16.2" thickBot="1" x14ac:dyDescent="0.35">
      <c r="A33" s="1" t="s">
        <v>35</v>
      </c>
      <c r="B33" s="1"/>
      <c r="C33" s="1"/>
      <c r="D33" s="1"/>
      <c r="E33" s="32"/>
      <c r="H33" s="40">
        <f>H26+H29+H30+H31</f>
        <v>491651.16000000009</v>
      </c>
      <c r="I33" s="37"/>
      <c r="J33" s="37"/>
      <c r="K33" s="40">
        <f>K26+K29+K30</f>
        <v>511151.41</v>
      </c>
      <c r="L33" s="82"/>
      <c r="M33" s="37"/>
      <c r="N33" s="1" t="s">
        <v>35</v>
      </c>
      <c r="Q33" s="40">
        <f>Q26+Q29+Q30</f>
        <v>511151.41</v>
      </c>
      <c r="S33" s="37"/>
      <c r="U33" s="1"/>
      <c r="AB33" s="37"/>
    </row>
    <row r="34" spans="1:28" ht="16.2" thickTop="1" x14ac:dyDescent="0.3">
      <c r="A34" s="1"/>
      <c r="B34" s="1"/>
      <c r="C34" s="1"/>
      <c r="D34" s="1"/>
      <c r="E34" s="32"/>
      <c r="H34" s="9"/>
      <c r="I34" s="9"/>
      <c r="J34" s="9"/>
      <c r="K34" s="9"/>
      <c r="L34" s="82"/>
      <c r="M34" s="9"/>
      <c r="N34" s="1"/>
      <c r="Q34" s="9"/>
      <c r="S34" s="9"/>
      <c r="U34" s="1"/>
      <c r="AB34" s="9"/>
    </row>
    <row r="35" spans="1:28" x14ac:dyDescent="0.3">
      <c r="A35" s="1" t="s">
        <v>14</v>
      </c>
      <c r="B35" s="1"/>
      <c r="C35" s="1"/>
      <c r="D35" s="1"/>
      <c r="E35" s="32"/>
      <c r="F35" s="33"/>
      <c r="H35" s="9">
        <f>Billings!P35</f>
        <v>491164.80514999997</v>
      </c>
      <c r="I35" s="9"/>
      <c r="J35" s="9"/>
      <c r="K35" s="9"/>
      <c r="L35" s="82"/>
      <c r="M35" s="9"/>
      <c r="N35" s="1" t="s">
        <v>61</v>
      </c>
      <c r="Q35" s="19">
        <f>Q33-K33</f>
        <v>0</v>
      </c>
      <c r="S35" s="179"/>
      <c r="U35" s="1"/>
      <c r="Y35" s="179"/>
      <c r="AB35" s="179"/>
    </row>
    <row r="36" spans="1:28" x14ac:dyDescent="0.3">
      <c r="A36" s="8"/>
      <c r="B36" s="8"/>
      <c r="C36" s="8"/>
      <c r="D36" s="8"/>
      <c r="E36" s="32"/>
      <c r="H36" s="8"/>
      <c r="I36" s="8"/>
      <c r="J36" s="8"/>
      <c r="K36" s="8"/>
      <c r="L36" s="82"/>
      <c r="M36" s="8"/>
      <c r="Q36" s="8"/>
      <c r="S36" s="9"/>
      <c r="U36" s="8"/>
      <c r="Y36" s="9"/>
      <c r="AB36" s="9"/>
    </row>
    <row r="37" spans="1:28" x14ac:dyDescent="0.3">
      <c r="A37" s="1" t="s">
        <v>10</v>
      </c>
      <c r="B37" s="1"/>
      <c r="C37" s="1"/>
      <c r="D37" s="1"/>
      <c r="E37" s="32"/>
      <c r="F37" s="179"/>
      <c r="H37" s="180">
        <f>H33-H35</f>
        <v>486.35485000011977</v>
      </c>
      <c r="I37" s="180"/>
      <c r="J37" s="180"/>
      <c r="K37" s="180">
        <f>K33-H33</f>
        <v>19500.249999999884</v>
      </c>
      <c r="L37" s="82"/>
      <c r="M37" s="180"/>
      <c r="N37" s="1" t="s">
        <v>62</v>
      </c>
      <c r="Q37" s="54">
        <f>IF(K33=0,0,Q35/K33)</f>
        <v>0</v>
      </c>
      <c r="S37" s="181"/>
      <c r="U37" s="1"/>
      <c r="Y37" s="181"/>
      <c r="AB37" s="181"/>
    </row>
    <row r="38" spans="1:28" x14ac:dyDescent="0.3">
      <c r="A38" s="8"/>
      <c r="B38" s="8"/>
      <c r="C38" s="8"/>
      <c r="D38" s="8"/>
      <c r="E38" s="32"/>
      <c r="F38" s="9"/>
      <c r="H38" s="9"/>
      <c r="I38" s="9"/>
      <c r="J38" s="9"/>
      <c r="K38" s="9"/>
      <c r="L38" s="82"/>
      <c r="M38" s="9"/>
      <c r="Q38" s="9"/>
    </row>
    <row r="39" spans="1:28" x14ac:dyDescent="0.3">
      <c r="A39" s="1" t="s">
        <v>16</v>
      </c>
      <c r="B39" s="1"/>
      <c r="C39" s="1"/>
      <c r="D39" s="1"/>
      <c r="E39" s="32"/>
      <c r="F39" s="181"/>
      <c r="H39" s="34">
        <f>(H33-H35)/H35</f>
        <v>9.9020704435772572E-4</v>
      </c>
      <c r="I39" s="181"/>
      <c r="J39" s="181"/>
      <c r="K39" s="14">
        <f>K37/H35</f>
        <v>3.9702050707897479E-2</v>
      </c>
      <c r="L39" s="82"/>
      <c r="M39" s="181"/>
      <c r="N39" s="1" t="s">
        <v>44</v>
      </c>
      <c r="Q39" s="23">
        <f>Q35/F26</f>
        <v>0</v>
      </c>
    </row>
    <row r="40" spans="1:28" x14ac:dyDescent="0.3">
      <c r="A40" s="9"/>
      <c r="B40" s="9"/>
      <c r="C40" s="9"/>
      <c r="D40" s="10"/>
      <c r="E40" s="32"/>
      <c r="H40" s="9"/>
      <c r="I40" s="9"/>
      <c r="J40" s="9"/>
      <c r="K40" s="9"/>
      <c r="M40" s="9"/>
      <c r="Q40" s="9"/>
      <c r="S40" s="21"/>
      <c r="U40" s="9"/>
      <c r="V40" s="9"/>
      <c r="W40" s="9"/>
      <c r="AB40" s="21"/>
    </row>
    <row r="41" spans="1:28" x14ac:dyDescent="0.3">
      <c r="E41" s="32"/>
      <c r="H41" s="9"/>
      <c r="I41" s="9"/>
      <c r="J41" s="9"/>
      <c r="K41" s="9"/>
      <c r="L41" s="83"/>
      <c r="M41" s="9"/>
      <c r="N41" s="32"/>
      <c r="O41" s="20"/>
      <c r="P41" s="20"/>
      <c r="Q41" s="9"/>
      <c r="S41" s="9"/>
      <c r="V41" s="211"/>
      <c r="X41" s="11"/>
      <c r="Y41" s="6"/>
      <c r="Z41" s="20"/>
      <c r="AB41" s="9"/>
    </row>
    <row r="42" spans="1:28" x14ac:dyDescent="0.3">
      <c r="E42" s="32"/>
      <c r="H42" s="9"/>
      <c r="I42" s="9"/>
      <c r="J42" s="9"/>
      <c r="K42" s="9"/>
      <c r="L42" s="83"/>
      <c r="M42" s="9"/>
      <c r="N42" s="32"/>
      <c r="O42" s="20"/>
      <c r="P42" s="20"/>
      <c r="Q42" s="9"/>
      <c r="S42" s="9"/>
      <c r="V42" s="211"/>
      <c r="X42" s="11"/>
      <c r="Y42" s="6"/>
      <c r="Z42" s="20"/>
      <c r="AB42" s="9"/>
    </row>
    <row r="43" spans="1:28" ht="15" customHeight="1" x14ac:dyDescent="0.3">
      <c r="E43" s="32"/>
      <c r="H43" s="8"/>
      <c r="I43" s="8"/>
      <c r="J43" s="8"/>
      <c r="K43" s="8"/>
      <c r="M43" s="8"/>
      <c r="Q43" s="8"/>
      <c r="U43" s="8"/>
      <c r="V43" s="8"/>
      <c r="W43" s="8"/>
    </row>
    <row r="44" spans="1:28" x14ac:dyDescent="0.3">
      <c r="E44" s="32"/>
      <c r="H44" s="8"/>
      <c r="I44" s="8"/>
      <c r="J44" s="8"/>
      <c r="K44" s="8"/>
      <c r="M44" s="8"/>
      <c r="Q44" s="8"/>
      <c r="S44" s="12"/>
      <c r="U44" s="9"/>
      <c r="V44" s="9"/>
      <c r="Y44" s="29"/>
      <c r="AB44" s="12"/>
    </row>
    <row r="45" spans="1:28" x14ac:dyDescent="0.3">
      <c r="E45" s="32"/>
      <c r="H45" s="8"/>
      <c r="I45" s="8"/>
      <c r="J45" s="8"/>
      <c r="K45" s="8"/>
      <c r="M45" s="8"/>
      <c r="Q45" s="8"/>
      <c r="U45" s="8"/>
      <c r="V45" s="8"/>
      <c r="W45" s="29"/>
      <c r="X45" s="29"/>
      <c r="Y45" s="29"/>
    </row>
    <row r="46" spans="1:28" x14ac:dyDescent="0.3">
      <c r="E46" s="32"/>
      <c r="H46" s="8"/>
      <c r="I46" s="8"/>
      <c r="J46" s="8"/>
      <c r="K46" s="8"/>
      <c r="M46" s="8"/>
      <c r="Q46" s="8"/>
      <c r="U46" s="13"/>
      <c r="V46" s="13"/>
      <c r="W46" s="30"/>
      <c r="X46" s="35"/>
      <c r="Y46" s="24"/>
    </row>
    <row r="47" spans="1:28" x14ac:dyDescent="0.3">
      <c r="E47" s="32"/>
      <c r="H47" s="8"/>
      <c r="I47" s="8"/>
      <c r="J47" s="8"/>
      <c r="K47" s="8"/>
      <c r="M47" s="8"/>
      <c r="Q47" s="8"/>
      <c r="U47" s="14"/>
      <c r="V47" s="14"/>
      <c r="W47" s="30"/>
      <c r="X47" s="35"/>
      <c r="Y47" s="24"/>
    </row>
    <row r="48" spans="1:28" x14ac:dyDescent="0.3">
      <c r="H48" s="8"/>
      <c r="I48" s="8"/>
      <c r="J48" s="8"/>
      <c r="K48" s="8"/>
      <c r="M48" s="8"/>
      <c r="Q48" s="8"/>
      <c r="W48" s="30"/>
      <c r="X48" s="35"/>
      <c r="Y48" s="24"/>
    </row>
    <row r="49" spans="5:25" x14ac:dyDescent="0.3">
      <c r="H49" s="8"/>
      <c r="I49" s="8"/>
      <c r="J49" s="8"/>
      <c r="K49" s="8"/>
      <c r="M49" s="8"/>
      <c r="Q49" s="8"/>
      <c r="W49" s="30"/>
      <c r="X49" s="35"/>
      <c r="Y49" s="24"/>
    </row>
    <row r="50" spans="5:25" x14ac:dyDescent="0.3">
      <c r="H50" s="8"/>
      <c r="I50" s="8"/>
      <c r="J50" s="8"/>
      <c r="K50" s="8"/>
      <c r="M50" s="8"/>
      <c r="Q50" s="8"/>
      <c r="W50" s="30"/>
      <c r="X50" s="35"/>
      <c r="Y50" s="24"/>
    </row>
    <row r="51" spans="5:25" x14ac:dyDescent="0.3">
      <c r="H51" s="8"/>
      <c r="I51" s="8"/>
      <c r="J51" s="8"/>
      <c r="K51" s="8"/>
      <c r="M51" s="8"/>
      <c r="Q51" s="8"/>
      <c r="W51" s="30"/>
      <c r="X51" s="35"/>
      <c r="Y51" s="24"/>
    </row>
    <row r="52" spans="5:25" x14ac:dyDescent="0.3">
      <c r="F52" s="38"/>
      <c r="G52" s="24"/>
      <c r="H52" s="8"/>
      <c r="I52" s="8"/>
      <c r="J52" s="8"/>
      <c r="K52" s="8"/>
      <c r="M52" s="8"/>
      <c r="N52" s="38"/>
      <c r="O52" s="24"/>
      <c r="P52" s="24"/>
      <c r="Q52" s="8"/>
      <c r="Y52" s="24"/>
    </row>
    <row r="53" spans="5:25" x14ac:dyDescent="0.3">
      <c r="E53" s="24"/>
      <c r="G53" s="29"/>
      <c r="H53" s="8"/>
      <c r="I53" s="8"/>
      <c r="J53" s="8"/>
      <c r="K53" s="8"/>
      <c r="M53" s="8"/>
      <c r="O53" s="29"/>
      <c r="P53" s="29"/>
      <c r="Q53" s="8"/>
      <c r="Y53" s="11"/>
    </row>
    <row r="54" spans="5:25" x14ac:dyDescent="0.3">
      <c r="E54" s="28"/>
      <c r="F54" s="38"/>
      <c r="G54" s="29"/>
      <c r="H54" s="8"/>
      <c r="I54" s="8"/>
      <c r="J54" s="8"/>
      <c r="K54" s="8"/>
      <c r="M54" s="8"/>
      <c r="N54" s="38"/>
      <c r="O54" s="29"/>
      <c r="P54" s="29"/>
      <c r="Q54" s="8"/>
    </row>
    <row r="55" spans="5:25" x14ac:dyDescent="0.3">
      <c r="E55" s="28"/>
      <c r="F55" s="38"/>
      <c r="G55" s="29"/>
      <c r="H55" s="8"/>
      <c r="I55" s="8"/>
      <c r="J55" s="8"/>
      <c r="K55" s="8"/>
      <c r="M55" s="8"/>
      <c r="N55" s="38"/>
      <c r="O55" s="29"/>
      <c r="P55" s="29"/>
      <c r="Q55" s="8"/>
    </row>
    <row r="56" spans="5:25" x14ac:dyDescent="0.3">
      <c r="E56" s="28"/>
      <c r="F56" s="38"/>
      <c r="G56" s="29"/>
      <c r="H56" s="8"/>
      <c r="I56" s="8"/>
      <c r="J56" s="8"/>
      <c r="K56" s="8"/>
      <c r="M56" s="8"/>
      <c r="N56" s="38"/>
      <c r="O56" s="29"/>
      <c r="P56" s="29"/>
      <c r="Q56" s="8"/>
    </row>
    <row r="57" spans="5:25" x14ac:dyDescent="0.3">
      <c r="E57" s="28"/>
      <c r="F57" s="38"/>
      <c r="G57" s="29"/>
      <c r="H57" s="8"/>
      <c r="I57" s="8"/>
      <c r="J57" s="8"/>
      <c r="K57" s="8"/>
      <c r="M57" s="8"/>
      <c r="N57" s="38"/>
      <c r="O57" s="29"/>
      <c r="P57" s="29"/>
      <c r="Q57" s="8"/>
    </row>
    <row r="58" spans="5:25" x14ac:dyDescent="0.3">
      <c r="E58" s="28"/>
      <c r="F58" s="38"/>
      <c r="G58" s="29"/>
      <c r="H58" s="8"/>
      <c r="I58" s="8"/>
      <c r="J58" s="8"/>
      <c r="K58" s="8"/>
      <c r="M58" s="8"/>
      <c r="N58" s="38"/>
      <c r="O58" s="29"/>
      <c r="P58" s="29"/>
      <c r="Q58" s="8"/>
    </row>
    <row r="59" spans="5:25" x14ac:dyDescent="0.3">
      <c r="E59" s="28"/>
      <c r="F59" s="38"/>
      <c r="G59" s="29"/>
      <c r="H59" s="8"/>
      <c r="I59" s="8"/>
      <c r="J59" s="8"/>
      <c r="K59" s="8"/>
      <c r="M59" s="8"/>
      <c r="N59" s="38"/>
      <c r="O59" s="29"/>
      <c r="P59" s="29"/>
      <c r="Q59" s="8"/>
    </row>
    <row r="60" spans="5:25" x14ac:dyDescent="0.3">
      <c r="E60" s="2"/>
      <c r="G60" s="185"/>
      <c r="H60" s="171"/>
      <c r="I60" s="8"/>
      <c r="J60" s="8"/>
      <c r="K60" s="8"/>
      <c r="M60" s="8"/>
      <c r="N60" s="38"/>
      <c r="O60" s="29"/>
      <c r="P60" s="29"/>
      <c r="Q60" s="8"/>
    </row>
    <row r="61" spans="5:25" x14ac:dyDescent="0.3">
      <c r="E61" s="2"/>
      <c r="G61" s="32"/>
      <c r="H61" s="171"/>
      <c r="I61" s="8"/>
      <c r="J61" s="8"/>
      <c r="K61" s="8"/>
      <c r="M61" s="8"/>
      <c r="N61" s="38"/>
      <c r="O61" s="29"/>
      <c r="P61" s="29"/>
      <c r="Q61" s="8"/>
    </row>
    <row r="62" spans="5:25" x14ac:dyDescent="0.3">
      <c r="E62" s="2"/>
      <c r="G62" s="32"/>
      <c r="H62" s="171"/>
      <c r="I62" s="8"/>
      <c r="J62" s="8"/>
      <c r="K62" s="8"/>
      <c r="M62" s="8"/>
      <c r="N62" s="38"/>
      <c r="O62" s="29"/>
      <c r="P62" s="29"/>
      <c r="Q62" s="8"/>
    </row>
    <row r="63" spans="5:25" x14ac:dyDescent="0.3">
      <c r="E63" s="2"/>
      <c r="G63" s="32"/>
      <c r="H63" s="171"/>
      <c r="I63" s="8"/>
      <c r="J63" s="8"/>
      <c r="K63" s="8"/>
      <c r="M63" s="8"/>
      <c r="N63" s="38"/>
      <c r="O63" s="29"/>
      <c r="P63" s="29"/>
      <c r="Q63" s="8"/>
    </row>
    <row r="64" spans="5:25" x14ac:dyDescent="0.3">
      <c r="E64" s="2"/>
      <c r="G64" s="32"/>
      <c r="H64" s="171"/>
      <c r="I64" s="8"/>
      <c r="J64" s="8"/>
      <c r="K64" s="8"/>
      <c r="M64" s="8"/>
      <c r="N64" s="38"/>
      <c r="O64" s="29"/>
      <c r="P64" s="29"/>
      <c r="Q64" s="8"/>
    </row>
    <row r="65" spans="5:17" x14ac:dyDescent="0.3">
      <c r="E65" s="2"/>
      <c r="G65" s="32"/>
      <c r="H65" s="171"/>
      <c r="I65" s="8"/>
      <c r="J65" s="8"/>
      <c r="K65" s="8"/>
      <c r="M65" s="8"/>
      <c r="N65" s="38"/>
      <c r="O65" s="29"/>
      <c r="P65" s="29"/>
      <c r="Q65" s="8"/>
    </row>
    <row r="66" spans="5:17" x14ac:dyDescent="0.3">
      <c r="E66" s="2"/>
      <c r="G66" s="32"/>
      <c r="H66" s="171"/>
      <c r="I66" s="8"/>
      <c r="J66" s="8"/>
      <c r="K66" s="8"/>
      <c r="M66" s="8"/>
      <c r="N66" s="38"/>
      <c r="O66" s="29"/>
      <c r="P66" s="29"/>
      <c r="Q66" s="8"/>
    </row>
    <row r="67" spans="5:17" x14ac:dyDescent="0.3">
      <c r="E67" s="2"/>
      <c r="G67" s="32"/>
      <c r="H67" s="171"/>
      <c r="I67" s="8"/>
      <c r="J67" s="8"/>
      <c r="K67" s="8"/>
      <c r="M67" s="8"/>
      <c r="N67" s="38"/>
      <c r="O67" s="29"/>
      <c r="P67" s="29"/>
      <c r="Q67" s="8"/>
    </row>
    <row r="68" spans="5:17" x14ac:dyDescent="0.3">
      <c r="E68" s="2"/>
      <c r="G68" s="32"/>
      <c r="H68" s="171"/>
      <c r="I68" s="8"/>
      <c r="J68" s="8"/>
      <c r="K68" s="8"/>
      <c r="M68" s="8"/>
      <c r="N68" s="38"/>
      <c r="O68" s="29"/>
      <c r="P68" s="29"/>
      <c r="Q68" s="8"/>
    </row>
    <row r="69" spans="5:17" x14ac:dyDescent="0.3">
      <c r="E69" s="2"/>
      <c r="G69" s="32"/>
      <c r="H69" s="171"/>
      <c r="I69" s="8"/>
      <c r="J69" s="8"/>
      <c r="K69" s="8"/>
      <c r="M69" s="8"/>
      <c r="N69" s="38"/>
      <c r="O69" s="29"/>
      <c r="P69" s="29"/>
      <c r="Q69" s="8"/>
    </row>
    <row r="70" spans="5:17" x14ac:dyDescent="0.3">
      <c r="E70" s="2"/>
      <c r="G70" s="32"/>
      <c r="H70" s="171"/>
      <c r="I70" s="8"/>
      <c r="J70" s="8"/>
      <c r="K70" s="8"/>
      <c r="M70" s="8"/>
      <c r="N70" s="38"/>
      <c r="O70" s="29"/>
      <c r="P70" s="29"/>
      <c r="Q70" s="8"/>
    </row>
    <row r="71" spans="5:17" x14ac:dyDescent="0.3">
      <c r="E71" s="32"/>
      <c r="G71" s="185"/>
      <c r="H71" s="171"/>
      <c r="I71" s="8"/>
      <c r="J71" s="8"/>
      <c r="K71" s="8"/>
      <c r="M71" s="8"/>
      <c r="N71" s="38"/>
      <c r="O71" s="29"/>
      <c r="P71" s="29"/>
      <c r="Q71" s="8"/>
    </row>
    <row r="72" spans="5:17" x14ac:dyDescent="0.3">
      <c r="E72" s="32"/>
      <c r="G72" s="185"/>
      <c r="H72" s="171"/>
      <c r="I72" s="8"/>
      <c r="J72" s="30"/>
      <c r="K72" s="30"/>
      <c r="M72" s="30"/>
      <c r="N72" s="38"/>
      <c r="O72" s="29"/>
      <c r="P72" s="29"/>
      <c r="Q72" s="30"/>
    </row>
    <row r="73" spans="5:17" x14ac:dyDescent="0.3">
      <c r="E73" s="212"/>
      <c r="F73" s="32"/>
      <c r="G73" s="32"/>
      <c r="H73" s="213"/>
      <c r="I73" s="37"/>
      <c r="J73" s="30"/>
      <c r="K73" s="30"/>
      <c r="M73" s="30"/>
      <c r="N73" s="38"/>
      <c r="O73" s="29"/>
      <c r="P73" s="29"/>
      <c r="Q73" s="30"/>
    </row>
    <row r="74" spans="5:17" x14ac:dyDescent="0.3">
      <c r="E74" s="28"/>
      <c r="F74" s="38"/>
      <c r="G74" s="29"/>
      <c r="H74" s="30"/>
      <c r="I74" s="30"/>
      <c r="J74" s="30"/>
      <c r="K74" s="30"/>
      <c r="M74" s="30"/>
      <c r="N74" s="38"/>
      <c r="O74" s="29"/>
      <c r="P74" s="29"/>
      <c r="Q74" s="30"/>
    </row>
    <row r="75" spans="5:17" x14ac:dyDescent="0.3">
      <c r="E75" s="28"/>
      <c r="F75" s="38"/>
      <c r="G75" s="29"/>
      <c r="H75" s="30"/>
      <c r="I75" s="30"/>
      <c r="J75" s="30"/>
      <c r="K75" s="30"/>
      <c r="M75" s="30"/>
      <c r="N75" s="38"/>
      <c r="O75" s="29"/>
      <c r="P75" s="29"/>
      <c r="Q75" s="30"/>
    </row>
    <row r="76" spans="5:17" x14ac:dyDescent="0.3">
      <c r="E76" s="28"/>
      <c r="F76" s="38"/>
      <c r="G76" s="29"/>
      <c r="H76" s="30"/>
      <c r="I76" s="30"/>
      <c r="J76" s="30"/>
      <c r="K76" s="30"/>
      <c r="M76" s="30"/>
      <c r="N76" s="38"/>
      <c r="O76" s="29"/>
      <c r="P76" s="29"/>
      <c r="Q76" s="30"/>
    </row>
    <row r="77" spans="5:17" x14ac:dyDescent="0.3">
      <c r="E77" s="28"/>
      <c r="F77" s="38"/>
      <c r="G77" s="29"/>
      <c r="H77" s="30"/>
      <c r="I77" s="30"/>
      <c r="J77" s="30"/>
      <c r="K77" s="30"/>
      <c r="M77" s="30"/>
      <c r="N77" s="38"/>
      <c r="O77" s="29"/>
      <c r="P77" s="29"/>
      <c r="Q77" s="30"/>
    </row>
    <row r="78" spans="5:17" x14ac:dyDescent="0.3">
      <c r="E78" s="28"/>
      <c r="F78" s="38"/>
      <c r="G78" s="29"/>
      <c r="H78" s="30"/>
      <c r="I78" s="30"/>
      <c r="J78" s="30"/>
      <c r="K78" s="30"/>
      <c r="M78" s="30"/>
      <c r="N78" s="38"/>
      <c r="O78" s="29"/>
      <c r="P78" s="29"/>
      <c r="Q78" s="30"/>
    </row>
    <row r="79" spans="5:17" x14ac:dyDescent="0.3">
      <c r="E79" s="28"/>
      <c r="F79" s="38"/>
      <c r="G79" s="29"/>
      <c r="H79" s="30"/>
      <c r="I79" s="30"/>
      <c r="J79" s="30"/>
      <c r="K79" s="30"/>
      <c r="M79" s="30"/>
      <c r="N79" s="38"/>
      <c r="O79" s="29"/>
      <c r="P79" s="29"/>
      <c r="Q79" s="30"/>
    </row>
    <row r="80" spans="5:17" x14ac:dyDescent="0.3">
      <c r="E80" s="28"/>
      <c r="F80" s="38"/>
      <c r="G80" s="29"/>
      <c r="H80" s="30"/>
      <c r="I80" s="30"/>
      <c r="J80" s="30"/>
      <c r="K80" s="30"/>
      <c r="M80" s="30"/>
      <c r="N80" s="38"/>
      <c r="O80" s="29"/>
      <c r="P80" s="29"/>
      <c r="Q80" s="30"/>
    </row>
    <row r="81" spans="5:17" x14ac:dyDescent="0.3">
      <c r="E81" s="28"/>
      <c r="F81" s="38"/>
      <c r="G81" s="29"/>
      <c r="H81" s="30"/>
      <c r="I81" s="30"/>
      <c r="J81" s="30"/>
      <c r="K81" s="30"/>
      <c r="M81" s="30"/>
      <c r="N81" s="38"/>
      <c r="O81" s="29"/>
      <c r="P81" s="29"/>
      <c r="Q81" s="30"/>
    </row>
    <row r="82" spans="5:17" x14ac:dyDescent="0.3">
      <c r="E82" s="28"/>
      <c r="F82" s="38"/>
      <c r="G82" s="29"/>
      <c r="H82" s="30"/>
      <c r="I82" s="30"/>
      <c r="J82" s="30"/>
      <c r="K82" s="30"/>
      <c r="M82" s="30"/>
      <c r="N82" s="38"/>
      <c r="O82" s="29"/>
      <c r="P82" s="29"/>
      <c r="Q82" s="30"/>
    </row>
    <row r="83" spans="5:17" x14ac:dyDescent="0.3">
      <c r="E83" s="28"/>
      <c r="F83" s="38"/>
      <c r="G83" s="29"/>
      <c r="H83" s="30"/>
      <c r="I83" s="30"/>
      <c r="J83" s="30"/>
      <c r="K83" s="30"/>
      <c r="M83" s="30"/>
      <c r="N83" s="38"/>
      <c r="O83" s="29"/>
      <c r="P83" s="29"/>
      <c r="Q83" s="30"/>
    </row>
    <row r="84" spans="5:17" x14ac:dyDescent="0.3">
      <c r="E84" s="28"/>
      <c r="F84" s="38"/>
      <c r="G84" s="29"/>
      <c r="H84" s="30"/>
      <c r="I84" s="30"/>
      <c r="J84" s="30"/>
      <c r="K84" s="30"/>
      <c r="M84" s="30"/>
      <c r="N84" s="38"/>
      <c r="O84" s="29"/>
      <c r="P84" s="29"/>
      <c r="Q84" s="30"/>
    </row>
    <row r="85" spans="5:17" x14ac:dyDescent="0.3">
      <c r="E85" s="28"/>
      <c r="F85" s="38"/>
      <c r="G85" s="29"/>
      <c r="H85" s="30"/>
      <c r="I85" s="30"/>
      <c r="J85" s="30"/>
      <c r="K85" s="30"/>
      <c r="M85" s="30"/>
      <c r="N85" s="38"/>
      <c r="O85" s="29"/>
      <c r="P85" s="29"/>
      <c r="Q85" s="30"/>
    </row>
    <row r="86" spans="5:17" x14ac:dyDescent="0.3">
      <c r="E86" s="28"/>
      <c r="F86" s="38"/>
      <c r="G86" s="29"/>
      <c r="H86" s="30"/>
      <c r="I86" s="30"/>
      <c r="J86" s="30"/>
      <c r="K86" s="30"/>
      <c r="M86" s="30"/>
      <c r="N86" s="38"/>
      <c r="O86" s="29"/>
      <c r="P86" s="29"/>
      <c r="Q86" s="30"/>
    </row>
    <row r="87" spans="5:17" x14ac:dyDescent="0.3">
      <c r="E87" s="28"/>
      <c r="F87" s="38"/>
      <c r="G87" s="29"/>
      <c r="H87" s="30"/>
      <c r="I87" s="30"/>
      <c r="J87" s="30"/>
      <c r="K87" s="30"/>
      <c r="M87" s="30"/>
      <c r="N87" s="38"/>
      <c r="O87" s="29"/>
      <c r="P87" s="29"/>
      <c r="Q87" s="30"/>
    </row>
    <row r="88" spans="5:17" x14ac:dyDescent="0.3">
      <c r="E88" s="28"/>
      <c r="F88" s="38"/>
      <c r="G88" s="29"/>
      <c r="H88" s="30"/>
      <c r="I88" s="30"/>
      <c r="J88" s="30"/>
      <c r="K88" s="30"/>
      <c r="M88" s="30"/>
      <c r="N88" s="38"/>
      <c r="O88" s="29"/>
      <c r="P88" s="29"/>
      <c r="Q88" s="30"/>
    </row>
    <row r="89" spans="5:17" x14ac:dyDescent="0.3">
      <c r="E89" s="28"/>
      <c r="F89" s="38"/>
      <c r="G89" s="29"/>
      <c r="H89" s="30"/>
      <c r="I89" s="30"/>
      <c r="J89" s="30"/>
      <c r="K89" s="30"/>
      <c r="M89" s="30"/>
      <c r="N89" s="38"/>
      <c r="O89" s="29"/>
      <c r="P89" s="29"/>
      <c r="Q89" s="30"/>
    </row>
    <row r="90" spans="5:17" x14ac:dyDescent="0.3">
      <c r="E90" s="28"/>
      <c r="F90" s="38"/>
      <c r="G90" s="29"/>
      <c r="H90" s="30"/>
      <c r="I90" s="30"/>
      <c r="J90" s="30"/>
      <c r="K90" s="30"/>
      <c r="M90" s="30"/>
      <c r="N90" s="38"/>
      <c r="O90" s="29"/>
      <c r="P90" s="29"/>
      <c r="Q90" s="30"/>
    </row>
    <row r="91" spans="5:17" x14ac:dyDescent="0.3">
      <c r="E91" s="24"/>
      <c r="F91" s="24"/>
      <c r="G91" s="24"/>
      <c r="H91" s="30"/>
      <c r="I91" s="30"/>
      <c r="J91" s="30"/>
      <c r="K91" s="30"/>
      <c r="M91" s="30"/>
      <c r="N91" s="24"/>
      <c r="O91" s="24"/>
      <c r="P91" s="24"/>
      <c r="Q91" s="30"/>
    </row>
    <row r="92" spans="5:17" x14ac:dyDescent="0.3">
      <c r="E92" s="24"/>
      <c r="F92" s="24"/>
      <c r="G92" s="24"/>
      <c r="H92" s="30"/>
      <c r="I92" s="30"/>
      <c r="J92" s="30"/>
      <c r="K92" s="30"/>
      <c r="M92" s="30"/>
      <c r="N92" s="24"/>
      <c r="O92" s="24"/>
      <c r="P92" s="24"/>
      <c r="Q92" s="30"/>
    </row>
    <row r="93" spans="5:17" x14ac:dyDescent="0.3">
      <c r="E93" s="24"/>
      <c r="F93" s="24"/>
      <c r="G93" s="24"/>
      <c r="H93" s="30"/>
      <c r="I93" s="30"/>
      <c r="J93" s="30"/>
      <c r="K93" s="30"/>
      <c r="M93" s="30"/>
      <c r="N93" s="24"/>
      <c r="O93" s="24"/>
      <c r="P93" s="24"/>
      <c r="Q93" s="30"/>
    </row>
    <row r="94" spans="5:17" x14ac:dyDescent="0.3">
      <c r="E94" s="24"/>
      <c r="H94" s="21"/>
      <c r="I94" s="21"/>
      <c r="J94" s="21"/>
      <c r="K94" s="21"/>
      <c r="M94" s="21"/>
      <c r="Q94" s="21"/>
    </row>
    <row r="95" spans="5:17" x14ac:dyDescent="0.3">
      <c r="E95" s="24"/>
      <c r="F95" s="24"/>
      <c r="G95" s="24"/>
      <c r="N95" s="24"/>
      <c r="O95" s="24"/>
      <c r="P95" s="24"/>
    </row>
    <row r="96" spans="5:17" x14ac:dyDescent="0.3">
      <c r="E96" s="24"/>
      <c r="F96" s="24"/>
      <c r="G96" s="24"/>
      <c r="H96" s="29"/>
      <c r="I96" s="29"/>
      <c r="J96" s="29"/>
      <c r="K96" s="29"/>
      <c r="M96" s="29"/>
      <c r="N96" s="24"/>
      <c r="O96" s="24"/>
      <c r="P96" s="24"/>
      <c r="Q96" s="29"/>
    </row>
    <row r="97" spans="5:17" x14ac:dyDescent="0.3">
      <c r="E97" s="24"/>
      <c r="F97" s="24"/>
      <c r="G97" s="24"/>
      <c r="H97" s="30"/>
      <c r="I97" s="30"/>
      <c r="J97" s="30"/>
      <c r="K97" s="30"/>
      <c r="M97" s="30"/>
      <c r="N97" s="24"/>
      <c r="O97" s="24"/>
      <c r="P97" s="24"/>
      <c r="Q97" s="30"/>
    </row>
    <row r="98" spans="5:17" x14ac:dyDescent="0.3">
      <c r="E98" s="24"/>
      <c r="F98" s="24"/>
      <c r="G98" s="24"/>
      <c r="H98" s="30"/>
      <c r="I98" s="30"/>
      <c r="J98" s="30"/>
      <c r="K98" s="30"/>
      <c r="M98" s="30"/>
      <c r="N98" s="24"/>
      <c r="O98" s="24"/>
      <c r="P98" s="24"/>
      <c r="Q98" s="30"/>
    </row>
    <row r="99" spans="5:17" x14ac:dyDescent="0.3">
      <c r="E99" s="24"/>
      <c r="F99" s="24"/>
      <c r="G99" s="24"/>
      <c r="H99" s="30"/>
      <c r="I99" s="30"/>
      <c r="J99" s="30"/>
      <c r="K99" s="30"/>
      <c r="M99" s="30"/>
      <c r="N99" s="24"/>
      <c r="O99" s="24"/>
      <c r="P99" s="24"/>
      <c r="Q99" s="30"/>
    </row>
    <row r="100" spans="5:17" x14ac:dyDescent="0.3">
      <c r="E100" s="24"/>
      <c r="F100" s="11"/>
      <c r="G100" s="11"/>
      <c r="H100" s="30"/>
      <c r="I100" s="30"/>
      <c r="J100" s="30"/>
      <c r="K100" s="30"/>
      <c r="M100" s="30"/>
      <c r="N100" s="11"/>
      <c r="O100" s="11"/>
      <c r="P100" s="11"/>
      <c r="Q100" s="30"/>
    </row>
    <row r="101" spans="5:17" x14ac:dyDescent="0.3">
      <c r="E101" s="24"/>
      <c r="H101" s="30"/>
      <c r="I101" s="30"/>
      <c r="J101" s="30"/>
      <c r="K101" s="30"/>
      <c r="M101" s="30"/>
      <c r="Q101" s="30"/>
    </row>
    <row r="102" spans="5:17" x14ac:dyDescent="0.3">
      <c r="E102" s="24"/>
      <c r="F102" s="11"/>
      <c r="H102" s="30"/>
      <c r="I102" s="30"/>
      <c r="J102" s="30"/>
      <c r="K102" s="30"/>
      <c r="M102" s="30"/>
      <c r="N102" s="11"/>
      <c r="Q102" s="30"/>
    </row>
    <row r="103" spans="5:17" x14ac:dyDescent="0.3">
      <c r="H103" s="30"/>
      <c r="I103" s="30"/>
      <c r="J103" s="30"/>
      <c r="K103" s="30"/>
      <c r="M103" s="30"/>
      <c r="Q103" s="30"/>
    </row>
    <row r="104" spans="5:17" x14ac:dyDescent="0.3">
      <c r="H104" s="30"/>
      <c r="I104" s="30"/>
      <c r="J104" s="30"/>
      <c r="K104" s="30"/>
      <c r="M104" s="30"/>
      <c r="Q104" s="30"/>
    </row>
    <row r="105" spans="5:17" x14ac:dyDescent="0.3">
      <c r="H105" s="30"/>
      <c r="I105" s="30"/>
      <c r="J105" s="30"/>
      <c r="K105" s="30"/>
      <c r="M105" s="30"/>
      <c r="Q105" s="30"/>
    </row>
    <row r="106" spans="5:17" x14ac:dyDescent="0.3">
      <c r="H106" s="30"/>
      <c r="I106" s="30"/>
      <c r="J106" s="30"/>
      <c r="K106" s="30"/>
      <c r="M106" s="30"/>
      <c r="Q106" s="30"/>
    </row>
    <row r="107" spans="5:17" x14ac:dyDescent="0.3">
      <c r="H107" s="30"/>
      <c r="I107" s="30"/>
      <c r="J107" s="30"/>
      <c r="K107" s="30"/>
      <c r="M107" s="30"/>
      <c r="Q107" s="30"/>
    </row>
    <row r="108" spans="5:17" x14ac:dyDescent="0.3">
      <c r="H108" s="30"/>
      <c r="I108" s="30"/>
      <c r="J108" s="30"/>
      <c r="K108" s="30"/>
      <c r="M108" s="30"/>
      <c r="Q108" s="30"/>
    </row>
    <row r="109" spans="5:17" x14ac:dyDescent="0.3">
      <c r="H109" s="24"/>
      <c r="I109" s="24"/>
      <c r="J109" s="24"/>
      <c r="K109" s="24"/>
      <c r="M109" s="24"/>
      <c r="Q109" s="24"/>
    </row>
    <row r="110" spans="5:17" x14ac:dyDescent="0.3">
      <c r="H110" s="24"/>
      <c r="I110" s="24"/>
      <c r="J110" s="24"/>
      <c r="K110" s="24"/>
      <c r="M110" s="24"/>
      <c r="Q110" s="24"/>
    </row>
    <row r="111" spans="5:17" x14ac:dyDescent="0.3">
      <c r="H111" s="29"/>
      <c r="I111" s="29"/>
      <c r="J111" s="29"/>
      <c r="K111" s="29"/>
      <c r="M111" s="29"/>
      <c r="Q111" s="29"/>
    </row>
    <row r="112" spans="5:17" x14ac:dyDescent="0.3">
      <c r="H112" s="30"/>
      <c r="I112" s="30"/>
      <c r="J112" s="30"/>
      <c r="K112" s="30"/>
      <c r="M112" s="30"/>
      <c r="Q112" s="30"/>
    </row>
    <row r="113" spans="8:17" x14ac:dyDescent="0.3">
      <c r="H113" s="30"/>
      <c r="I113" s="30"/>
      <c r="J113" s="30"/>
      <c r="K113" s="30"/>
      <c r="M113" s="30"/>
      <c r="Q113" s="30"/>
    </row>
    <row r="114" spans="8:17" x14ac:dyDescent="0.3">
      <c r="H114" s="30"/>
      <c r="I114" s="30"/>
      <c r="J114" s="30"/>
      <c r="K114" s="30"/>
      <c r="M114" s="30"/>
      <c r="Q114" s="30"/>
    </row>
    <row r="115" spans="8:17" x14ac:dyDescent="0.3">
      <c r="H115" s="30"/>
      <c r="I115" s="30"/>
      <c r="J115" s="30"/>
      <c r="K115" s="30"/>
      <c r="M115" s="30"/>
      <c r="Q115" s="30"/>
    </row>
    <row r="116" spans="8:17" x14ac:dyDescent="0.3">
      <c r="H116" s="30"/>
      <c r="I116" s="30"/>
      <c r="J116" s="30"/>
      <c r="K116" s="30"/>
      <c r="M116" s="30"/>
      <c r="Q116" s="30"/>
    </row>
    <row r="117" spans="8:17" x14ac:dyDescent="0.3">
      <c r="H117" s="30"/>
      <c r="I117" s="30"/>
      <c r="J117" s="30"/>
      <c r="K117" s="30"/>
      <c r="M117" s="30"/>
      <c r="Q117" s="30"/>
    </row>
    <row r="118" spans="8:17" x14ac:dyDescent="0.3">
      <c r="H118" s="30"/>
      <c r="I118" s="30"/>
      <c r="J118" s="30"/>
      <c r="K118" s="30"/>
      <c r="M118" s="30"/>
      <c r="Q118" s="30"/>
    </row>
    <row r="119" spans="8:17" x14ac:dyDescent="0.3">
      <c r="H119" s="30"/>
      <c r="I119" s="30"/>
      <c r="J119" s="30"/>
      <c r="K119" s="30"/>
      <c r="M119" s="30"/>
      <c r="Q119" s="30"/>
    </row>
    <row r="120" spans="8:17" x14ac:dyDescent="0.3">
      <c r="H120" s="30"/>
      <c r="I120" s="30"/>
      <c r="J120" s="30"/>
      <c r="K120" s="30"/>
      <c r="M120" s="30"/>
      <c r="Q120" s="30"/>
    </row>
    <row r="121" spans="8:17" x14ac:dyDescent="0.3">
      <c r="H121" s="30"/>
      <c r="I121" s="30"/>
      <c r="J121" s="30"/>
      <c r="K121" s="30"/>
      <c r="M121" s="30"/>
      <c r="Q121" s="30"/>
    </row>
    <row r="122" spans="8:17" x14ac:dyDescent="0.3">
      <c r="H122" s="30"/>
      <c r="I122" s="30"/>
      <c r="J122" s="30"/>
      <c r="K122" s="30"/>
      <c r="M122" s="30"/>
      <c r="Q122" s="30"/>
    </row>
    <row r="123" spans="8:17" x14ac:dyDescent="0.3">
      <c r="H123" s="30"/>
      <c r="I123" s="30"/>
      <c r="J123" s="30"/>
      <c r="K123" s="30"/>
      <c r="M123" s="30"/>
      <c r="Q123" s="30"/>
    </row>
  </sheetData>
  <mergeCells count="5">
    <mergeCell ref="F4:H5"/>
    <mergeCell ref="Y4:AB5"/>
    <mergeCell ref="Z7:AA7"/>
    <mergeCell ref="N4:Q5"/>
    <mergeCell ref="J4:K5"/>
  </mergeCells>
  <pageMargins left="0.75" right="0.75" top="1" bottom="1" header="0.5" footer="0.5"/>
  <pageSetup scale="66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M39"/>
  <sheetViews>
    <sheetView tabSelected="1" view="pageBreakPreview" zoomScale="75" zoomScaleNormal="75" zoomScaleSheetLayoutView="75" workbookViewId="0">
      <selection activeCell="T27" sqref="T27"/>
    </sheetView>
  </sheetViews>
  <sheetFormatPr defaultColWidth="9.109375" defaultRowHeight="15.6" x14ac:dyDescent="0.3"/>
  <cols>
    <col min="1" max="1" width="36" style="2" customWidth="1"/>
    <col min="2" max="2" width="23.5546875" style="38" customWidth="1"/>
    <col min="3" max="3" width="15" style="2" bestFit="1" customWidth="1"/>
    <col min="4" max="4" width="17.109375" style="2" customWidth="1"/>
    <col min="5" max="5" width="16.5546875" style="2" customWidth="1"/>
    <col min="6" max="6" width="13.6640625" style="2" customWidth="1"/>
    <col min="7" max="7" width="12.5546875" style="2" hidden="1" customWidth="1"/>
    <col min="8" max="8" width="1.44140625" style="2" hidden="1" customWidth="1"/>
    <col min="9" max="9" width="16.33203125" style="2" customWidth="1"/>
    <col min="10" max="10" width="15.88671875" style="2" customWidth="1"/>
    <col min="11" max="11" width="15.6640625" style="2" customWidth="1"/>
    <col min="12" max="12" width="4.5546875" style="2" customWidth="1"/>
    <col min="13" max="13" width="20" style="2" customWidth="1"/>
    <col min="14" max="14" width="18.109375" style="2" bestFit="1" customWidth="1"/>
    <col min="15" max="15" width="15.109375" style="2" customWidth="1"/>
    <col min="16" max="16" width="18.44140625" style="2" customWidth="1"/>
    <col min="17" max="17" width="9.109375" style="2"/>
    <col min="18" max="18" width="10.6640625" style="2" customWidth="1"/>
    <col min="19" max="16384" width="9.109375" style="2"/>
  </cols>
  <sheetData>
    <row r="1" spans="1:13" ht="17.399999999999999" x14ac:dyDescent="0.3">
      <c r="A1" s="45" t="str">
        <f>List!A1</f>
        <v>Taylor County RECC</v>
      </c>
      <c r="B1" s="52"/>
    </row>
    <row r="2" spans="1:13" x14ac:dyDescent="0.3">
      <c r="A2" s="1" t="s">
        <v>83</v>
      </c>
    </row>
    <row r="5" spans="1:13" ht="57" customHeight="1" x14ac:dyDescent="0.3">
      <c r="A5" s="17" t="s">
        <v>11</v>
      </c>
      <c r="B5" s="46" t="s">
        <v>36</v>
      </c>
      <c r="C5" s="18" t="s">
        <v>7</v>
      </c>
      <c r="D5" s="18" t="s">
        <v>14</v>
      </c>
      <c r="E5" s="18" t="s">
        <v>18</v>
      </c>
      <c r="F5" s="18" t="s">
        <v>10</v>
      </c>
      <c r="G5" s="18" t="s">
        <v>15</v>
      </c>
      <c r="H5" s="18"/>
      <c r="I5" s="18" t="s">
        <v>149</v>
      </c>
    </row>
    <row r="7" spans="1:13" x14ac:dyDescent="0.3">
      <c r="A7" s="2" t="str">
        <f>List!B6</f>
        <v>Residential Farm &amp; Home</v>
      </c>
      <c r="B7" s="38" t="str">
        <f>List!C6</f>
        <v>A</v>
      </c>
      <c r="C7" s="26">
        <f>A!D15+A!D16</f>
        <v>319448483</v>
      </c>
      <c r="D7" s="48">
        <f>A!G24</f>
        <v>30523492.903020002</v>
      </c>
      <c r="E7" s="49">
        <f>A!G22</f>
        <v>30627843.265809998</v>
      </c>
      <c r="F7" s="49">
        <f t="shared" ref="F7:F13" si="0">E7-D7</f>
        <v>104350.36278999597</v>
      </c>
      <c r="G7" s="50">
        <f t="shared" ref="G7:G13" si="1">F7/D7</f>
        <v>3.4186900929569406E-3</v>
      </c>
      <c r="H7" s="50"/>
      <c r="I7" s="49">
        <f>A!J26</f>
        <v>884467.4482799992</v>
      </c>
      <c r="K7" s="10"/>
      <c r="M7" s="12"/>
    </row>
    <row r="8" spans="1:13" x14ac:dyDescent="0.3">
      <c r="A8" s="2" t="str">
        <f>List!B7</f>
        <v>Residential Marketing Rate</v>
      </c>
      <c r="B8" s="38" t="str">
        <f>List!C7</f>
        <v>R-1</v>
      </c>
      <c r="C8" s="26">
        <f>'R1'!D16+'R1'!D17</f>
        <v>315315</v>
      </c>
      <c r="D8" s="48">
        <f>'R1'!G26</f>
        <v>26825.100000000006</v>
      </c>
      <c r="E8" s="49">
        <f>'R1'!G24</f>
        <v>18952.720290000001</v>
      </c>
      <c r="F8" s="49">
        <f t="shared" si="0"/>
        <v>-7872.3797100000047</v>
      </c>
      <c r="G8" s="50">
        <f t="shared" si="1"/>
        <v>-0.29347065658655525</v>
      </c>
      <c r="H8" s="50"/>
      <c r="I8" s="49">
        <f>'R1'!J28</f>
        <v>552.21176000000196</v>
      </c>
      <c r="K8" s="10"/>
      <c r="M8" s="12"/>
    </row>
    <row r="9" spans="1:13" x14ac:dyDescent="0.3">
      <c r="A9" s="2" t="str">
        <f>List!B8</f>
        <v>General Purpose Part 1 &lt; 50 KVA</v>
      </c>
      <c r="B9" s="38" t="str">
        <f>List!C8</f>
        <v>GP1</v>
      </c>
      <c r="C9" s="26">
        <f>'GP1'!D16+'GP1'!D17</f>
        <v>41685653</v>
      </c>
      <c r="D9" s="48">
        <f>'GP1'!G26</f>
        <v>3978193.8882800001</v>
      </c>
      <c r="E9" s="49">
        <f>'GP1'!G24</f>
        <v>3988146.0379200005</v>
      </c>
      <c r="F9" s="49">
        <f t="shared" si="0"/>
        <v>9952.1496400004253</v>
      </c>
      <c r="G9" s="50">
        <f t="shared" si="1"/>
        <v>2.5016753631139149E-3</v>
      </c>
      <c r="H9" s="50"/>
      <c r="I9" s="49">
        <f>'GP1'!J28</f>
        <v>113128.96627999935</v>
      </c>
      <c r="K9" s="10"/>
      <c r="M9" s="12"/>
    </row>
    <row r="10" spans="1:13" x14ac:dyDescent="0.3">
      <c r="A10" s="2" t="str">
        <f>List!B9</f>
        <v>General Purpose Part 2 &gt; 50 KVA</v>
      </c>
      <c r="B10" s="38" t="str">
        <f>List!C9</f>
        <v>GP2</v>
      </c>
      <c r="C10" s="26">
        <f>'GP2'!D16+'GP2'!D17</f>
        <v>85495726</v>
      </c>
      <c r="D10" s="111">
        <f>'GP2'!G29</f>
        <v>7641981.4635499995</v>
      </c>
      <c r="E10" s="37">
        <f>'GP2'!G27</f>
        <v>7639403.473840001</v>
      </c>
      <c r="F10" s="37">
        <f t="shared" si="0"/>
        <v>-2577.989709998481</v>
      </c>
      <c r="G10" s="50">
        <f t="shared" si="1"/>
        <v>-3.3734571619870219E-4</v>
      </c>
      <c r="H10" s="50"/>
      <c r="I10" s="37">
        <f>'GP2'!J31</f>
        <v>213482.68225999828</v>
      </c>
      <c r="K10" s="10"/>
      <c r="M10" s="12"/>
    </row>
    <row r="11" spans="1:13" x14ac:dyDescent="0.3">
      <c r="A11" s="2" t="str">
        <f>List!B10</f>
        <v>Large Industrial</v>
      </c>
      <c r="B11" s="38" t="str">
        <f>List!C10</f>
        <v>B1</v>
      </c>
      <c r="C11" s="26">
        <f>'B1'!D16+'B1'!D17</f>
        <v>28456492</v>
      </c>
      <c r="D11" s="111">
        <f>'B1'!G33</f>
        <v>1998139.34</v>
      </c>
      <c r="E11" s="37">
        <f>'B1'!G31</f>
        <v>2186290.4320399999</v>
      </c>
      <c r="F11" s="37">
        <f t="shared" si="0"/>
        <v>188151.09203999978</v>
      </c>
      <c r="G11" s="50">
        <f t="shared" si="1"/>
        <v>9.4163148822243692E-2</v>
      </c>
      <c r="H11" s="50"/>
      <c r="I11" s="37">
        <f>'B1'!J35</f>
        <v>62004.232079999987</v>
      </c>
      <c r="K11" s="10"/>
      <c r="M11" s="12"/>
    </row>
    <row r="12" spans="1:13" x14ac:dyDescent="0.3">
      <c r="A12" s="2" t="str">
        <f>List!B11</f>
        <v xml:space="preserve">Street Lighting </v>
      </c>
      <c r="B12" s="38" t="str">
        <f>List!C11</f>
        <v>SL</v>
      </c>
      <c r="C12" s="26">
        <f>Billings!P23</f>
        <v>0</v>
      </c>
      <c r="D12" s="111">
        <f>Billings!P35</f>
        <v>491164.80514999997</v>
      </c>
      <c r="E12" s="37">
        <f>D12</f>
        <v>491164.80514999997</v>
      </c>
      <c r="F12" s="37">
        <f t="shared" si="0"/>
        <v>0</v>
      </c>
      <c r="G12" s="50">
        <f t="shared" si="1"/>
        <v>0</v>
      </c>
      <c r="H12" s="50"/>
      <c r="I12" s="37">
        <f>SL!K37</f>
        <v>19500.249999999884</v>
      </c>
    </row>
    <row r="13" spans="1:13" x14ac:dyDescent="0.3">
      <c r="A13" s="2" t="str">
        <f>List!B12</f>
        <v>Special Contract</v>
      </c>
      <c r="B13" s="38" t="str">
        <f>List!C12</f>
        <v>TGP</v>
      </c>
      <c r="C13" s="26">
        <f>Billings!P24</f>
        <v>108460560</v>
      </c>
      <c r="D13" s="111">
        <f>Billings!P36</f>
        <v>4049249.58</v>
      </c>
      <c r="E13" s="37">
        <f>D13</f>
        <v>4049249.58</v>
      </c>
      <c r="F13" s="37">
        <f t="shared" si="0"/>
        <v>0</v>
      </c>
      <c r="G13" s="50">
        <f t="shared" si="1"/>
        <v>0</v>
      </c>
      <c r="H13" s="50"/>
      <c r="I13" s="37">
        <v>0</v>
      </c>
    </row>
    <row r="14" spans="1:13" ht="16.2" thickBot="1" x14ac:dyDescent="0.35">
      <c r="C14" s="39">
        <f>SUM(C7:C13)</f>
        <v>583862229</v>
      </c>
      <c r="D14" s="242">
        <f t="shared" ref="D14:F14" si="2">SUM(D7:D13)</f>
        <v>48709047.080000006</v>
      </c>
      <c r="E14" s="242">
        <f t="shared" si="2"/>
        <v>49001050.315049998</v>
      </c>
      <c r="F14" s="242">
        <f t="shared" si="2"/>
        <v>292003.23504999769</v>
      </c>
      <c r="G14" s="218">
        <f t="shared" ref="G14" si="3">F14/D14</f>
        <v>5.9948459794421762E-3</v>
      </c>
      <c r="H14" s="39">
        <f t="shared" ref="H14" si="4">SUM(H7:H11)</f>
        <v>0</v>
      </c>
      <c r="I14" s="242">
        <f>SUM(I7:I13)</f>
        <v>1293135.7906599967</v>
      </c>
    </row>
    <row r="15" spans="1:13" ht="16.2" thickTop="1" x14ac:dyDescent="0.3">
      <c r="E15" s="9"/>
      <c r="F15" s="15"/>
      <c r="I15" s="9"/>
    </row>
    <row r="16" spans="1:13" ht="15.75" customHeight="1" x14ac:dyDescent="0.3">
      <c r="B16" s="38" t="s">
        <v>20</v>
      </c>
      <c r="C16" s="32">
        <f>C14</f>
        <v>583862229</v>
      </c>
      <c r="D16" s="10">
        <f>D14</f>
        <v>48709047.080000006</v>
      </c>
      <c r="E16" s="10">
        <f>E14</f>
        <v>49001050.315049998</v>
      </c>
      <c r="G16" s="221"/>
      <c r="I16" s="31"/>
    </row>
    <row r="17" spans="1:13" ht="15.75" customHeight="1" x14ac:dyDescent="0.3">
      <c r="B17" s="38" t="s">
        <v>56</v>
      </c>
      <c r="C17" s="268">
        <v>583874807</v>
      </c>
      <c r="D17" s="25">
        <v>48719895</v>
      </c>
      <c r="E17" s="25">
        <f>D17</f>
        <v>48719895</v>
      </c>
      <c r="G17" s="15"/>
      <c r="H17" s="11"/>
      <c r="I17" s="43"/>
    </row>
    <row r="18" spans="1:13" ht="15.75" customHeight="1" x14ac:dyDescent="0.3">
      <c r="B18" s="38" t="s">
        <v>10</v>
      </c>
      <c r="C18" s="10">
        <f>C17-C16</f>
        <v>12578</v>
      </c>
      <c r="D18" s="10">
        <f>D17-D16</f>
        <v>10847.919999994338</v>
      </c>
      <c r="E18" s="10">
        <f>E17-E16</f>
        <v>-281155.31504999846</v>
      </c>
      <c r="F18" s="11"/>
      <c r="I18" s="44"/>
    </row>
    <row r="19" spans="1:13" ht="15.75" customHeight="1" x14ac:dyDescent="0.3">
      <c r="B19" s="38" t="s">
        <v>10</v>
      </c>
      <c r="C19" s="15">
        <f>C18/C17</f>
        <v>2.1542289287367727E-5</v>
      </c>
      <c r="D19" s="15">
        <f>D18/D17</f>
        <v>2.2265893635432378E-4</v>
      </c>
      <c r="E19" s="15">
        <f>E18/E17</f>
        <v>-5.7708522370583607E-3</v>
      </c>
      <c r="F19" s="42"/>
      <c r="G19" s="15"/>
      <c r="H19" s="15"/>
      <c r="I19" s="6"/>
      <c r="M19" s="10"/>
    </row>
    <row r="20" spans="1:13" ht="15.75" customHeight="1" x14ac:dyDescent="0.3">
      <c r="C20" s="11"/>
      <c r="D20" s="11"/>
      <c r="F20" s="11"/>
    </row>
    <row r="21" spans="1:13" x14ac:dyDescent="0.3">
      <c r="A21" s="29"/>
      <c r="C21" s="32"/>
      <c r="D21" s="32"/>
      <c r="E21" s="31"/>
    </row>
    <row r="22" spans="1:13" x14ac:dyDescent="0.3">
      <c r="A22" s="1"/>
      <c r="B22" s="3"/>
      <c r="C22" s="85"/>
      <c r="D22" s="89"/>
      <c r="E22" s="41"/>
      <c r="F22" s="41"/>
      <c r="G22" s="41"/>
      <c r="H22" s="41"/>
      <c r="I22" s="41"/>
      <c r="J22" s="41"/>
    </row>
    <row r="23" spans="1:13" x14ac:dyDescent="0.3">
      <c r="C23" s="4"/>
      <c r="D23" s="4"/>
      <c r="E23" s="4"/>
      <c r="F23" s="4"/>
      <c r="G23" s="4"/>
      <c r="H23" s="4"/>
      <c r="I23" s="4"/>
    </row>
    <row r="24" spans="1:13" x14ac:dyDescent="0.3">
      <c r="A24" s="29"/>
      <c r="C24" s="26"/>
      <c r="D24" s="28"/>
      <c r="E24" s="14"/>
      <c r="F24" s="27"/>
      <c r="G24" s="27"/>
      <c r="H24" s="27"/>
      <c r="I24" s="14"/>
      <c r="J24" s="27"/>
    </row>
    <row r="25" spans="1:13" x14ac:dyDescent="0.3">
      <c r="A25" s="29"/>
      <c r="C25" s="26"/>
      <c r="D25" s="22"/>
      <c r="E25" s="33"/>
      <c r="F25" s="37"/>
      <c r="G25" s="34"/>
      <c r="H25" s="34"/>
      <c r="I25" s="33"/>
      <c r="J25" s="37"/>
    </row>
    <row r="26" spans="1:13" x14ac:dyDescent="0.3">
      <c r="A26" s="29"/>
      <c r="C26" s="26"/>
      <c r="D26" s="28"/>
      <c r="E26" s="14"/>
      <c r="F26" s="33"/>
      <c r="G26" s="33"/>
      <c r="H26" s="33"/>
      <c r="I26" s="14"/>
      <c r="J26" s="37"/>
    </row>
    <row r="27" spans="1:13" x14ac:dyDescent="0.3">
      <c r="A27" s="29"/>
      <c r="C27" s="26"/>
      <c r="D27" s="22"/>
      <c r="E27" s="33"/>
      <c r="F27" s="33"/>
      <c r="G27" s="33"/>
      <c r="H27" s="33"/>
      <c r="I27" s="33"/>
      <c r="J27" s="37"/>
    </row>
    <row r="28" spans="1:13" x14ac:dyDescent="0.3">
      <c r="A28" s="29"/>
      <c r="C28" s="26"/>
      <c r="D28" s="28"/>
      <c r="E28" s="14"/>
      <c r="F28" s="33"/>
      <c r="G28" s="33"/>
      <c r="H28" s="33"/>
      <c r="I28" s="14"/>
      <c r="J28" s="37"/>
    </row>
    <row r="29" spans="1:13" x14ac:dyDescent="0.3">
      <c r="A29" s="29"/>
      <c r="C29" s="26"/>
      <c r="D29" s="22"/>
      <c r="E29" s="33"/>
      <c r="F29" s="33"/>
      <c r="G29" s="33"/>
      <c r="H29" s="33"/>
      <c r="I29" s="33"/>
      <c r="J29" s="37"/>
    </row>
    <row r="30" spans="1:13" x14ac:dyDescent="0.3">
      <c r="A30" s="29"/>
      <c r="C30" s="28"/>
      <c r="D30" s="28"/>
      <c r="E30" s="14"/>
      <c r="F30" s="33"/>
      <c r="G30" s="33"/>
      <c r="H30" s="33"/>
      <c r="I30" s="14"/>
      <c r="J30" s="37"/>
    </row>
    <row r="31" spans="1:13" x14ac:dyDescent="0.3">
      <c r="A31" s="29"/>
      <c r="C31" s="6"/>
      <c r="D31" s="23"/>
      <c r="E31" s="21"/>
      <c r="F31" s="24"/>
      <c r="G31" s="24"/>
      <c r="H31" s="24"/>
      <c r="I31" s="21"/>
      <c r="J31" s="9"/>
    </row>
    <row r="32" spans="1:13" x14ac:dyDescent="0.3">
      <c r="A32" s="29"/>
      <c r="C32" s="6"/>
      <c r="D32" s="28"/>
      <c r="E32" s="14"/>
      <c r="F32" s="10"/>
      <c r="G32" s="10"/>
      <c r="H32" s="10"/>
      <c r="I32" s="14"/>
    </row>
    <row r="33" spans="1:9" x14ac:dyDescent="0.3">
      <c r="C33" s="6"/>
      <c r="E33" s="16"/>
      <c r="F33" s="12"/>
      <c r="I33" s="36"/>
    </row>
    <row r="34" spans="1:9" x14ac:dyDescent="0.3">
      <c r="C34" s="6"/>
      <c r="F34" s="6"/>
      <c r="G34" s="6"/>
      <c r="H34" s="6"/>
    </row>
    <row r="36" spans="1:9" x14ac:dyDescent="0.3">
      <c r="G36" s="15"/>
      <c r="H36" s="15"/>
    </row>
    <row r="38" spans="1:9" x14ac:dyDescent="0.3">
      <c r="A38" s="29"/>
      <c r="C38" s="7"/>
    </row>
    <row r="39" spans="1:9" x14ac:dyDescent="0.3">
      <c r="A39" s="29"/>
    </row>
  </sheetData>
  <phoneticPr fontId="0" type="noConversion"/>
  <pageMargins left="0.75" right="0.35" top="1" bottom="1" header="0.5" footer="0.5"/>
  <pageSetup scale="93" orientation="landscape" r:id="rId1"/>
  <headerFooter alignWithMargins="0">
    <oddFooter>&amp;RExhibit JW-9
Page &amp;P of &amp;N</oddFooter>
  </headerFooter>
  <ignoredErrors>
    <ignoredError sqref="G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K41"/>
  <sheetViews>
    <sheetView tabSelected="1" view="pageBreakPreview" zoomScaleNormal="100" zoomScaleSheetLayoutView="100" workbookViewId="0">
      <selection activeCell="T27" sqref="T27"/>
    </sheetView>
  </sheetViews>
  <sheetFormatPr defaultColWidth="9.109375" defaultRowHeight="13.2" x14ac:dyDescent="0.25"/>
  <cols>
    <col min="1" max="1" width="3.44140625" style="115" customWidth="1"/>
    <col min="2" max="2" width="23.5546875" style="114" customWidth="1"/>
    <col min="3" max="4" width="9.109375" style="115"/>
    <col min="5" max="5" width="10.33203125" style="115" bestFit="1" customWidth="1"/>
    <col min="6" max="6" width="9.109375" style="115"/>
    <col min="7" max="7" width="10.5546875" style="115" customWidth="1"/>
    <col min="8" max="8" width="10.33203125" style="115" bestFit="1" customWidth="1"/>
    <col min="9" max="9" width="9.109375" style="115"/>
    <col min="10" max="10" width="8.33203125" style="115" bestFit="1" customWidth="1"/>
    <col min="11" max="11" width="7.6640625" style="115" customWidth="1"/>
    <col min="12" max="16384" width="9.109375" style="115"/>
  </cols>
  <sheetData>
    <row r="1" spans="1:11" ht="17.399999999999999" x14ac:dyDescent="0.3">
      <c r="A1" s="113" t="str">
        <f>'Present and Proposed Rates'!A1</f>
        <v>Taylor County RECC</v>
      </c>
    </row>
    <row r="2" spans="1:11" ht="20.399999999999999" x14ac:dyDescent="0.3">
      <c r="A2" s="56" t="s">
        <v>105</v>
      </c>
      <c r="H2" s="116"/>
    </row>
    <row r="3" spans="1:11" ht="17.399999999999999" x14ac:dyDescent="0.3">
      <c r="A3" s="113" t="s">
        <v>80</v>
      </c>
    </row>
    <row r="4" spans="1:11" ht="13.8" thickBot="1" x14ac:dyDescent="0.3"/>
    <row r="5" spans="1:11" ht="21" customHeight="1" thickTop="1" x14ac:dyDescent="0.25">
      <c r="B5" s="117"/>
      <c r="C5" s="118" t="s">
        <v>55</v>
      </c>
      <c r="D5" s="277" t="s">
        <v>77</v>
      </c>
      <c r="E5" s="277"/>
      <c r="F5" s="278"/>
      <c r="G5" s="279" t="s">
        <v>78</v>
      </c>
      <c r="H5" s="277"/>
      <c r="I5" s="278"/>
      <c r="J5" s="279" t="s">
        <v>28</v>
      </c>
      <c r="K5" s="280"/>
    </row>
    <row r="6" spans="1:11" ht="23.25" customHeight="1" x14ac:dyDescent="0.25">
      <c r="B6" s="119" t="s">
        <v>74</v>
      </c>
      <c r="C6" s="120" t="s">
        <v>7</v>
      </c>
      <c r="D6" s="121" t="s">
        <v>65</v>
      </c>
      <c r="E6" s="121" t="s">
        <v>75</v>
      </c>
      <c r="F6" s="121" t="s">
        <v>87</v>
      </c>
      <c r="G6" s="121" t="s">
        <v>76</v>
      </c>
      <c r="H6" s="121" t="s">
        <v>66</v>
      </c>
      <c r="I6" s="121" t="s">
        <v>87</v>
      </c>
      <c r="J6" s="121" t="s">
        <v>32</v>
      </c>
      <c r="K6" s="122" t="s">
        <v>33</v>
      </c>
    </row>
    <row r="7" spans="1:11" s="123" customFormat="1" ht="18" customHeight="1" thickBot="1" x14ac:dyDescent="0.3">
      <c r="B7" s="124"/>
      <c r="C7" s="125"/>
      <c r="D7" s="126">
        <f>'Present and Proposed Rates'!G11</f>
        <v>10.220000000000001</v>
      </c>
      <c r="E7" s="145">
        <f>'Present and Proposed Rates'!G12</f>
        <v>8.1229999999999997E-2</v>
      </c>
      <c r="F7" s="127"/>
      <c r="G7" s="126">
        <f>'Present and Proposed Rates'!H11</f>
        <v>16.839800000000004</v>
      </c>
      <c r="H7" s="145">
        <f>'Present and Proposed Rates'!H12</f>
        <v>9.4458E-2</v>
      </c>
      <c r="I7" s="125"/>
      <c r="J7" s="125"/>
      <c r="K7" s="128"/>
    </row>
    <row r="8" spans="1:11" ht="13.8" thickTop="1" x14ac:dyDescent="0.25">
      <c r="B8" s="129">
        <v>1</v>
      </c>
      <c r="C8" s="130">
        <v>0</v>
      </c>
      <c r="D8" s="131">
        <f>D$7</f>
        <v>10.220000000000001</v>
      </c>
      <c r="E8" s="132">
        <f>$E$7*C8</f>
        <v>0</v>
      </c>
      <c r="F8" s="133">
        <f>E8+D8</f>
        <v>10.220000000000001</v>
      </c>
      <c r="G8" s="134">
        <f>$G$7</f>
        <v>16.839800000000004</v>
      </c>
      <c r="H8" s="132">
        <f>$H$7*C8</f>
        <v>0</v>
      </c>
      <c r="I8" s="135">
        <f>G8+H8</f>
        <v>16.839800000000004</v>
      </c>
      <c r="J8" s="134">
        <f t="shared" ref="J8:J38" si="0">I8-F8</f>
        <v>6.6198000000000032</v>
      </c>
      <c r="K8" s="136">
        <f t="shared" ref="K8:K38" si="1">J8/F8</f>
        <v>0.64772994129158545</v>
      </c>
    </row>
    <row r="9" spans="1:11" x14ac:dyDescent="0.25">
      <c r="B9" s="129">
        <v>2</v>
      </c>
      <c r="C9" s="130">
        <f t="shared" ref="C9:C38" si="2">C8+100</f>
        <v>100</v>
      </c>
      <c r="D9" s="131">
        <f t="shared" ref="D9:D12" si="3">D$7</f>
        <v>10.220000000000001</v>
      </c>
      <c r="E9" s="132">
        <f t="shared" ref="E9" si="4">$E$7*C9</f>
        <v>8.1229999999999993</v>
      </c>
      <c r="F9" s="133">
        <f t="shared" ref="F9" si="5">E9+D9</f>
        <v>18.343</v>
      </c>
      <c r="G9" s="134">
        <f t="shared" ref="G9:G12" si="6">$G$7</f>
        <v>16.839800000000004</v>
      </c>
      <c r="H9" s="132">
        <f t="shared" ref="H9" si="7">$H$7*C9</f>
        <v>9.4458000000000002</v>
      </c>
      <c r="I9" s="135">
        <f t="shared" ref="I9" si="8">G9+H9</f>
        <v>26.285600000000002</v>
      </c>
      <c r="J9" s="134">
        <f t="shared" si="0"/>
        <v>7.9426000000000023</v>
      </c>
      <c r="K9" s="136">
        <f t="shared" si="1"/>
        <v>0.43300441585345922</v>
      </c>
    </row>
    <row r="10" spans="1:11" x14ac:dyDescent="0.25">
      <c r="B10" s="129">
        <v>2</v>
      </c>
      <c r="C10" s="130">
        <f t="shared" si="2"/>
        <v>200</v>
      </c>
      <c r="D10" s="131">
        <f t="shared" si="3"/>
        <v>10.220000000000001</v>
      </c>
      <c r="E10" s="132">
        <f t="shared" ref="E10:E12" si="9">$E$7*C10</f>
        <v>16.245999999999999</v>
      </c>
      <c r="F10" s="133">
        <f t="shared" ref="F10:F12" si="10">E10+D10</f>
        <v>26.466000000000001</v>
      </c>
      <c r="G10" s="134">
        <f t="shared" si="6"/>
        <v>16.839800000000004</v>
      </c>
      <c r="H10" s="132">
        <f t="shared" ref="H10:H12" si="11">$H$7*C10</f>
        <v>18.8916</v>
      </c>
      <c r="I10" s="135">
        <f t="shared" ref="I10:I12" si="12">G10+H10</f>
        <v>35.731400000000008</v>
      </c>
      <c r="J10" s="134">
        <f t="shared" ref="J10:J12" si="13">I10-F10</f>
        <v>9.2654000000000067</v>
      </c>
      <c r="K10" s="136">
        <f t="shared" ref="K10:K12" si="14">J10/F10</f>
        <v>0.35008690395224085</v>
      </c>
    </row>
    <row r="11" spans="1:11" x14ac:dyDescent="0.25">
      <c r="B11" s="129">
        <v>3</v>
      </c>
      <c r="C11" s="130">
        <f t="shared" si="2"/>
        <v>300</v>
      </c>
      <c r="D11" s="131">
        <f t="shared" si="3"/>
        <v>10.220000000000001</v>
      </c>
      <c r="E11" s="132">
        <f t="shared" si="9"/>
        <v>24.369</v>
      </c>
      <c r="F11" s="133">
        <f t="shared" si="10"/>
        <v>34.588999999999999</v>
      </c>
      <c r="G11" s="134">
        <f t="shared" si="6"/>
        <v>16.839800000000004</v>
      </c>
      <c r="H11" s="132">
        <f t="shared" si="11"/>
        <v>28.337399999999999</v>
      </c>
      <c r="I11" s="135">
        <f t="shared" si="12"/>
        <v>45.177199999999999</v>
      </c>
      <c r="J11" s="134">
        <f t="shared" si="13"/>
        <v>10.588200000000001</v>
      </c>
      <c r="K11" s="136">
        <f t="shared" si="14"/>
        <v>0.30611466073028998</v>
      </c>
    </row>
    <row r="12" spans="1:11" x14ac:dyDescent="0.25">
      <c r="B12" s="129">
        <v>4</v>
      </c>
      <c r="C12" s="130">
        <f t="shared" si="2"/>
        <v>400</v>
      </c>
      <c r="D12" s="131">
        <f t="shared" si="3"/>
        <v>10.220000000000001</v>
      </c>
      <c r="E12" s="132">
        <f t="shared" si="9"/>
        <v>32.491999999999997</v>
      </c>
      <c r="F12" s="133">
        <f t="shared" si="10"/>
        <v>42.711999999999996</v>
      </c>
      <c r="G12" s="134">
        <f t="shared" si="6"/>
        <v>16.839800000000004</v>
      </c>
      <c r="H12" s="132">
        <f t="shared" si="11"/>
        <v>37.783200000000001</v>
      </c>
      <c r="I12" s="135">
        <f t="shared" si="12"/>
        <v>54.623000000000005</v>
      </c>
      <c r="J12" s="134">
        <f t="shared" si="13"/>
        <v>11.911000000000008</v>
      </c>
      <c r="K12" s="136">
        <f t="shared" si="14"/>
        <v>0.27886776549915737</v>
      </c>
    </row>
    <row r="13" spans="1:11" x14ac:dyDescent="0.25">
      <c r="B13" s="129">
        <v>2</v>
      </c>
      <c r="C13" s="130">
        <f t="shared" si="2"/>
        <v>500</v>
      </c>
      <c r="D13" s="131">
        <f t="shared" ref="D13:D39" si="15">D$7</f>
        <v>10.220000000000001</v>
      </c>
      <c r="E13" s="132">
        <f t="shared" ref="E13:E38" si="16">$E$7*C13</f>
        <v>40.614999999999995</v>
      </c>
      <c r="F13" s="133">
        <f t="shared" ref="F13:F38" si="17">E13+D13</f>
        <v>50.834999999999994</v>
      </c>
      <c r="G13" s="134">
        <f t="shared" ref="G13:G39" si="18">$G$7</f>
        <v>16.839800000000004</v>
      </c>
      <c r="H13" s="132">
        <f t="shared" ref="H13:H38" si="19">$H$7*C13</f>
        <v>47.228999999999999</v>
      </c>
      <c r="I13" s="135">
        <f t="shared" ref="I13:I38" si="20">G13+H13</f>
        <v>64.06880000000001</v>
      </c>
      <c r="J13" s="134">
        <f t="shared" si="0"/>
        <v>13.233800000000016</v>
      </c>
      <c r="K13" s="136">
        <f t="shared" si="1"/>
        <v>0.2603285138192194</v>
      </c>
    </row>
    <row r="14" spans="1:11" x14ac:dyDescent="0.25">
      <c r="B14" s="129">
        <v>3</v>
      </c>
      <c r="C14" s="130">
        <f t="shared" si="2"/>
        <v>600</v>
      </c>
      <c r="D14" s="131">
        <f t="shared" si="15"/>
        <v>10.220000000000001</v>
      </c>
      <c r="E14" s="132">
        <f t="shared" si="16"/>
        <v>48.738</v>
      </c>
      <c r="F14" s="133">
        <f t="shared" si="17"/>
        <v>58.957999999999998</v>
      </c>
      <c r="G14" s="134">
        <f t="shared" si="18"/>
        <v>16.839800000000004</v>
      </c>
      <c r="H14" s="132">
        <f t="shared" si="19"/>
        <v>56.674799999999998</v>
      </c>
      <c r="I14" s="135">
        <f t="shared" si="20"/>
        <v>73.514600000000002</v>
      </c>
      <c r="J14" s="134">
        <f t="shared" si="0"/>
        <v>14.556600000000003</v>
      </c>
      <c r="K14" s="136">
        <f t="shared" si="1"/>
        <v>0.24689779164829206</v>
      </c>
    </row>
    <row r="15" spans="1:11" x14ac:dyDescent="0.25">
      <c r="B15" s="129">
        <v>4</v>
      </c>
      <c r="C15" s="130">
        <f t="shared" si="2"/>
        <v>700</v>
      </c>
      <c r="D15" s="131">
        <f t="shared" si="15"/>
        <v>10.220000000000001</v>
      </c>
      <c r="E15" s="132">
        <f t="shared" si="16"/>
        <v>56.860999999999997</v>
      </c>
      <c r="F15" s="133">
        <f t="shared" si="17"/>
        <v>67.081000000000003</v>
      </c>
      <c r="G15" s="134">
        <f t="shared" si="18"/>
        <v>16.839800000000004</v>
      </c>
      <c r="H15" s="132">
        <f t="shared" si="19"/>
        <v>66.120599999999996</v>
      </c>
      <c r="I15" s="135">
        <f t="shared" si="20"/>
        <v>82.960399999999993</v>
      </c>
      <c r="J15" s="134">
        <f t="shared" si="0"/>
        <v>15.87939999999999</v>
      </c>
      <c r="K15" s="136">
        <f t="shared" si="1"/>
        <v>0.23671978652673617</v>
      </c>
    </row>
    <row r="16" spans="1:11" x14ac:dyDescent="0.25">
      <c r="B16" s="129">
        <v>5</v>
      </c>
      <c r="C16" s="130">
        <f t="shared" si="2"/>
        <v>800</v>
      </c>
      <c r="D16" s="131">
        <f t="shared" si="15"/>
        <v>10.220000000000001</v>
      </c>
      <c r="E16" s="132">
        <f t="shared" si="16"/>
        <v>64.983999999999995</v>
      </c>
      <c r="F16" s="133">
        <f t="shared" si="17"/>
        <v>75.203999999999994</v>
      </c>
      <c r="G16" s="134">
        <f t="shared" si="18"/>
        <v>16.839800000000004</v>
      </c>
      <c r="H16" s="132">
        <f t="shared" si="19"/>
        <v>75.566400000000002</v>
      </c>
      <c r="I16" s="135">
        <f t="shared" si="20"/>
        <v>92.406200000000013</v>
      </c>
      <c r="J16" s="134">
        <f t="shared" si="0"/>
        <v>17.202200000000019</v>
      </c>
      <c r="K16" s="136">
        <f t="shared" si="1"/>
        <v>0.22874049252699352</v>
      </c>
    </row>
    <row r="17" spans="2:11" x14ac:dyDescent="0.25">
      <c r="B17" s="129">
        <v>6</v>
      </c>
      <c r="C17" s="130">
        <f t="shared" si="2"/>
        <v>900</v>
      </c>
      <c r="D17" s="131">
        <f t="shared" si="15"/>
        <v>10.220000000000001</v>
      </c>
      <c r="E17" s="132">
        <f t="shared" si="16"/>
        <v>73.106999999999999</v>
      </c>
      <c r="F17" s="133">
        <f t="shared" si="17"/>
        <v>83.326999999999998</v>
      </c>
      <c r="G17" s="134">
        <f t="shared" si="18"/>
        <v>16.839800000000004</v>
      </c>
      <c r="H17" s="132">
        <f t="shared" si="19"/>
        <v>85.012200000000007</v>
      </c>
      <c r="I17" s="135">
        <f t="shared" si="20"/>
        <v>101.852</v>
      </c>
      <c r="J17" s="134">
        <f t="shared" si="0"/>
        <v>18.525000000000006</v>
      </c>
      <c r="K17" s="136">
        <f t="shared" si="1"/>
        <v>0.22231689608410246</v>
      </c>
    </row>
    <row r="18" spans="2:11" x14ac:dyDescent="0.25">
      <c r="B18" s="129">
        <v>7</v>
      </c>
      <c r="C18" s="130">
        <f t="shared" si="2"/>
        <v>1000</v>
      </c>
      <c r="D18" s="131">
        <f t="shared" si="15"/>
        <v>10.220000000000001</v>
      </c>
      <c r="E18" s="132">
        <f t="shared" si="16"/>
        <v>81.22999999999999</v>
      </c>
      <c r="F18" s="133">
        <f t="shared" si="17"/>
        <v>91.449999999999989</v>
      </c>
      <c r="G18" s="134">
        <f t="shared" si="18"/>
        <v>16.839800000000004</v>
      </c>
      <c r="H18" s="132">
        <f t="shared" si="19"/>
        <v>94.457999999999998</v>
      </c>
      <c r="I18" s="135">
        <f t="shared" si="20"/>
        <v>111.2978</v>
      </c>
      <c r="J18" s="134">
        <f t="shared" si="0"/>
        <v>19.847800000000007</v>
      </c>
      <c r="K18" s="136">
        <f t="shared" si="1"/>
        <v>0.21703444505194106</v>
      </c>
    </row>
    <row r="19" spans="2:11" x14ac:dyDescent="0.25">
      <c r="B19" s="129">
        <v>8</v>
      </c>
      <c r="C19" s="130">
        <f t="shared" si="2"/>
        <v>1100</v>
      </c>
      <c r="D19" s="131">
        <f t="shared" si="15"/>
        <v>10.220000000000001</v>
      </c>
      <c r="E19" s="132">
        <f t="shared" si="16"/>
        <v>89.352999999999994</v>
      </c>
      <c r="F19" s="133">
        <f t="shared" si="17"/>
        <v>99.572999999999993</v>
      </c>
      <c r="G19" s="134">
        <f t="shared" si="18"/>
        <v>16.839800000000004</v>
      </c>
      <c r="H19" s="132">
        <f t="shared" si="19"/>
        <v>103.9038</v>
      </c>
      <c r="I19" s="135">
        <f t="shared" si="20"/>
        <v>120.74360000000001</v>
      </c>
      <c r="J19" s="134">
        <f t="shared" si="0"/>
        <v>21.170600000000022</v>
      </c>
      <c r="K19" s="136">
        <f t="shared" si="1"/>
        <v>0.21261386118726988</v>
      </c>
    </row>
    <row r="20" spans="2:11" x14ac:dyDescent="0.25">
      <c r="B20" s="129">
        <v>9</v>
      </c>
      <c r="C20" s="130">
        <f t="shared" si="2"/>
        <v>1200</v>
      </c>
      <c r="D20" s="131">
        <f t="shared" si="15"/>
        <v>10.220000000000001</v>
      </c>
      <c r="E20" s="132">
        <f t="shared" si="16"/>
        <v>97.475999999999999</v>
      </c>
      <c r="F20" s="133">
        <f t="shared" si="17"/>
        <v>107.696</v>
      </c>
      <c r="G20" s="134">
        <f t="shared" si="18"/>
        <v>16.839800000000004</v>
      </c>
      <c r="H20" s="132">
        <f t="shared" si="19"/>
        <v>113.3496</v>
      </c>
      <c r="I20" s="135">
        <f t="shared" si="20"/>
        <v>130.18940000000001</v>
      </c>
      <c r="J20" s="134">
        <f t="shared" si="0"/>
        <v>22.493400000000008</v>
      </c>
      <c r="K20" s="136">
        <f t="shared" si="1"/>
        <v>0.20886012479572136</v>
      </c>
    </row>
    <row r="21" spans="2:11" x14ac:dyDescent="0.25">
      <c r="B21" s="129">
        <v>10</v>
      </c>
      <c r="C21" s="130">
        <f t="shared" si="2"/>
        <v>1300</v>
      </c>
      <c r="D21" s="131">
        <f t="shared" si="15"/>
        <v>10.220000000000001</v>
      </c>
      <c r="E21" s="132">
        <f t="shared" si="16"/>
        <v>105.59899999999999</v>
      </c>
      <c r="F21" s="133">
        <f t="shared" si="17"/>
        <v>115.81899999999999</v>
      </c>
      <c r="G21" s="134">
        <f t="shared" si="18"/>
        <v>16.839800000000004</v>
      </c>
      <c r="H21" s="132">
        <f t="shared" si="19"/>
        <v>122.7954</v>
      </c>
      <c r="I21" s="135">
        <f t="shared" si="20"/>
        <v>139.6352</v>
      </c>
      <c r="J21" s="134">
        <f t="shared" si="0"/>
        <v>23.816200000000009</v>
      </c>
      <c r="K21" s="136">
        <f t="shared" si="1"/>
        <v>0.20563292723991755</v>
      </c>
    </row>
    <row r="22" spans="2:11" x14ac:dyDescent="0.25">
      <c r="B22" s="129">
        <v>11</v>
      </c>
      <c r="C22" s="130">
        <f t="shared" si="2"/>
        <v>1400</v>
      </c>
      <c r="D22" s="131">
        <f t="shared" si="15"/>
        <v>10.220000000000001</v>
      </c>
      <c r="E22" s="132">
        <f t="shared" si="16"/>
        <v>113.72199999999999</v>
      </c>
      <c r="F22" s="133">
        <f t="shared" si="17"/>
        <v>123.94199999999999</v>
      </c>
      <c r="G22" s="134">
        <f t="shared" si="18"/>
        <v>16.839800000000004</v>
      </c>
      <c r="H22" s="132">
        <f t="shared" si="19"/>
        <v>132.24119999999999</v>
      </c>
      <c r="I22" s="135">
        <f t="shared" si="20"/>
        <v>149.08099999999999</v>
      </c>
      <c r="J22" s="134">
        <f t="shared" si="0"/>
        <v>25.138999999999996</v>
      </c>
      <c r="K22" s="136">
        <f t="shared" si="1"/>
        <v>0.20282874247631955</v>
      </c>
    </row>
    <row r="23" spans="2:11" x14ac:dyDescent="0.25">
      <c r="B23" s="129">
        <v>12</v>
      </c>
      <c r="C23" s="130">
        <f t="shared" si="2"/>
        <v>1500</v>
      </c>
      <c r="D23" s="131">
        <f t="shared" si="15"/>
        <v>10.220000000000001</v>
      </c>
      <c r="E23" s="132">
        <f t="shared" si="16"/>
        <v>121.845</v>
      </c>
      <c r="F23" s="133">
        <f t="shared" si="17"/>
        <v>132.065</v>
      </c>
      <c r="G23" s="134">
        <f t="shared" si="18"/>
        <v>16.839800000000004</v>
      </c>
      <c r="H23" s="132">
        <f t="shared" si="19"/>
        <v>141.68700000000001</v>
      </c>
      <c r="I23" s="135">
        <f t="shared" si="20"/>
        <v>158.52680000000001</v>
      </c>
      <c r="J23" s="134">
        <f t="shared" si="0"/>
        <v>26.461800000000011</v>
      </c>
      <c r="K23" s="136">
        <f t="shared" si="1"/>
        <v>0.20036951501154743</v>
      </c>
    </row>
    <row r="24" spans="2:11" x14ac:dyDescent="0.25">
      <c r="B24" s="129">
        <v>13</v>
      </c>
      <c r="C24" s="130">
        <f t="shared" si="2"/>
        <v>1600</v>
      </c>
      <c r="D24" s="131">
        <f t="shared" si="15"/>
        <v>10.220000000000001</v>
      </c>
      <c r="E24" s="132">
        <f t="shared" si="16"/>
        <v>129.96799999999999</v>
      </c>
      <c r="F24" s="133">
        <f t="shared" si="17"/>
        <v>140.18799999999999</v>
      </c>
      <c r="G24" s="134">
        <f t="shared" si="18"/>
        <v>16.839800000000004</v>
      </c>
      <c r="H24" s="132">
        <f t="shared" si="19"/>
        <v>151.1328</v>
      </c>
      <c r="I24" s="135">
        <f t="shared" si="20"/>
        <v>167.9726</v>
      </c>
      <c r="J24" s="134">
        <f t="shared" si="0"/>
        <v>27.784600000000012</v>
      </c>
      <c r="K24" s="136">
        <f t="shared" si="1"/>
        <v>0.19819528062316327</v>
      </c>
    </row>
    <row r="25" spans="2:11" x14ac:dyDescent="0.25">
      <c r="B25" s="129">
        <v>14</v>
      </c>
      <c r="C25" s="130">
        <f t="shared" si="2"/>
        <v>1700</v>
      </c>
      <c r="D25" s="131">
        <f t="shared" si="15"/>
        <v>10.220000000000001</v>
      </c>
      <c r="E25" s="132">
        <f t="shared" si="16"/>
        <v>138.09100000000001</v>
      </c>
      <c r="F25" s="133">
        <f t="shared" si="17"/>
        <v>148.31100000000001</v>
      </c>
      <c r="G25" s="134">
        <f t="shared" si="18"/>
        <v>16.839800000000004</v>
      </c>
      <c r="H25" s="132">
        <f t="shared" si="19"/>
        <v>160.57859999999999</v>
      </c>
      <c r="I25" s="135">
        <f t="shared" si="20"/>
        <v>177.41839999999999</v>
      </c>
      <c r="J25" s="134">
        <f t="shared" si="0"/>
        <v>29.107399999999984</v>
      </c>
      <c r="K25" s="136">
        <f t="shared" si="1"/>
        <v>0.19625921206114166</v>
      </c>
    </row>
    <row r="26" spans="2:11" x14ac:dyDescent="0.25">
      <c r="B26" s="129">
        <v>15</v>
      </c>
      <c r="C26" s="130">
        <f t="shared" si="2"/>
        <v>1800</v>
      </c>
      <c r="D26" s="131">
        <f t="shared" si="15"/>
        <v>10.220000000000001</v>
      </c>
      <c r="E26" s="132">
        <f t="shared" si="16"/>
        <v>146.214</v>
      </c>
      <c r="F26" s="133">
        <f t="shared" si="17"/>
        <v>156.434</v>
      </c>
      <c r="G26" s="134">
        <f t="shared" si="18"/>
        <v>16.839800000000004</v>
      </c>
      <c r="H26" s="132">
        <f t="shared" si="19"/>
        <v>170.02440000000001</v>
      </c>
      <c r="I26" s="135">
        <f t="shared" si="20"/>
        <v>186.86420000000001</v>
      </c>
      <c r="J26" s="134">
        <f t="shared" si="0"/>
        <v>30.430200000000013</v>
      </c>
      <c r="K26" s="136">
        <f t="shared" si="1"/>
        <v>0.19452420829231507</v>
      </c>
    </row>
    <row r="27" spans="2:11" x14ac:dyDescent="0.25">
      <c r="B27" s="129">
        <v>16</v>
      </c>
      <c r="C27" s="130">
        <f t="shared" si="2"/>
        <v>1900</v>
      </c>
      <c r="D27" s="131">
        <f t="shared" si="15"/>
        <v>10.220000000000001</v>
      </c>
      <c r="E27" s="132">
        <f t="shared" si="16"/>
        <v>154.33699999999999</v>
      </c>
      <c r="F27" s="133">
        <f t="shared" si="17"/>
        <v>164.55699999999999</v>
      </c>
      <c r="G27" s="134">
        <f t="shared" si="18"/>
        <v>16.839800000000004</v>
      </c>
      <c r="H27" s="132">
        <f t="shared" si="19"/>
        <v>179.47020000000001</v>
      </c>
      <c r="I27" s="135">
        <f t="shared" si="20"/>
        <v>196.31</v>
      </c>
      <c r="J27" s="134">
        <f t="shared" si="0"/>
        <v>31.753000000000014</v>
      </c>
      <c r="K27" s="136">
        <f t="shared" si="1"/>
        <v>0.19296049393219381</v>
      </c>
    </row>
    <row r="28" spans="2:11" x14ac:dyDescent="0.25">
      <c r="B28" s="129">
        <v>17</v>
      </c>
      <c r="C28" s="130">
        <f t="shared" si="2"/>
        <v>2000</v>
      </c>
      <c r="D28" s="131">
        <f t="shared" si="15"/>
        <v>10.220000000000001</v>
      </c>
      <c r="E28" s="132">
        <f t="shared" si="16"/>
        <v>162.45999999999998</v>
      </c>
      <c r="F28" s="133">
        <f t="shared" si="17"/>
        <v>172.67999999999998</v>
      </c>
      <c r="G28" s="134">
        <f t="shared" si="18"/>
        <v>16.839800000000004</v>
      </c>
      <c r="H28" s="132">
        <f t="shared" si="19"/>
        <v>188.916</v>
      </c>
      <c r="I28" s="135">
        <f t="shared" si="20"/>
        <v>205.75579999999999</v>
      </c>
      <c r="J28" s="134">
        <f t="shared" si="0"/>
        <v>33.075800000000015</v>
      </c>
      <c r="K28" s="136">
        <f t="shared" si="1"/>
        <v>0.1915438962242299</v>
      </c>
    </row>
    <row r="29" spans="2:11" x14ac:dyDescent="0.25">
      <c r="B29" s="129">
        <v>18</v>
      </c>
      <c r="C29" s="130">
        <f t="shared" si="2"/>
        <v>2100</v>
      </c>
      <c r="D29" s="131">
        <f t="shared" si="15"/>
        <v>10.220000000000001</v>
      </c>
      <c r="E29" s="132">
        <f t="shared" si="16"/>
        <v>170.583</v>
      </c>
      <c r="F29" s="133">
        <f t="shared" si="17"/>
        <v>180.803</v>
      </c>
      <c r="G29" s="134">
        <f t="shared" si="18"/>
        <v>16.839800000000004</v>
      </c>
      <c r="H29" s="132">
        <f t="shared" si="19"/>
        <v>198.36179999999999</v>
      </c>
      <c r="I29" s="135">
        <f t="shared" si="20"/>
        <v>215.20159999999998</v>
      </c>
      <c r="J29" s="134">
        <f t="shared" si="0"/>
        <v>34.398599999999988</v>
      </c>
      <c r="K29" s="136">
        <f t="shared" si="1"/>
        <v>0.19025458648363128</v>
      </c>
    </row>
    <row r="30" spans="2:11" x14ac:dyDescent="0.25">
      <c r="B30" s="129">
        <v>19</v>
      </c>
      <c r="C30" s="130">
        <f t="shared" si="2"/>
        <v>2200</v>
      </c>
      <c r="D30" s="131">
        <f t="shared" si="15"/>
        <v>10.220000000000001</v>
      </c>
      <c r="E30" s="132">
        <f t="shared" si="16"/>
        <v>178.70599999999999</v>
      </c>
      <c r="F30" s="133">
        <f t="shared" si="17"/>
        <v>188.92599999999999</v>
      </c>
      <c r="G30" s="134">
        <f t="shared" si="18"/>
        <v>16.839800000000004</v>
      </c>
      <c r="H30" s="132">
        <f t="shared" si="19"/>
        <v>207.80760000000001</v>
      </c>
      <c r="I30" s="135">
        <f t="shared" si="20"/>
        <v>224.6474</v>
      </c>
      <c r="J30" s="134">
        <f t="shared" si="0"/>
        <v>35.721400000000017</v>
      </c>
      <c r="K30" s="136">
        <f t="shared" si="1"/>
        <v>0.18907614621597885</v>
      </c>
    </row>
    <row r="31" spans="2:11" x14ac:dyDescent="0.25">
      <c r="B31" s="129">
        <v>20</v>
      </c>
      <c r="C31" s="130">
        <f t="shared" si="2"/>
        <v>2300</v>
      </c>
      <c r="D31" s="131">
        <f t="shared" si="15"/>
        <v>10.220000000000001</v>
      </c>
      <c r="E31" s="132">
        <f t="shared" si="16"/>
        <v>186.82899999999998</v>
      </c>
      <c r="F31" s="133">
        <f t="shared" si="17"/>
        <v>197.04899999999998</v>
      </c>
      <c r="G31" s="134">
        <f t="shared" si="18"/>
        <v>16.839800000000004</v>
      </c>
      <c r="H31" s="132">
        <f t="shared" si="19"/>
        <v>217.2534</v>
      </c>
      <c r="I31" s="135">
        <f t="shared" si="20"/>
        <v>234.0932</v>
      </c>
      <c r="J31" s="134">
        <f t="shared" si="0"/>
        <v>37.044200000000018</v>
      </c>
      <c r="K31" s="136">
        <f t="shared" si="1"/>
        <v>0.18799486422158967</v>
      </c>
    </row>
    <row r="32" spans="2:11" x14ac:dyDescent="0.25">
      <c r="B32" s="129">
        <v>21</v>
      </c>
      <c r="C32" s="130">
        <f t="shared" si="2"/>
        <v>2400</v>
      </c>
      <c r="D32" s="131">
        <f t="shared" si="15"/>
        <v>10.220000000000001</v>
      </c>
      <c r="E32" s="132">
        <f t="shared" si="16"/>
        <v>194.952</v>
      </c>
      <c r="F32" s="133">
        <f t="shared" si="17"/>
        <v>205.172</v>
      </c>
      <c r="G32" s="134">
        <f t="shared" si="18"/>
        <v>16.839800000000004</v>
      </c>
      <c r="H32" s="132">
        <f t="shared" si="19"/>
        <v>226.69919999999999</v>
      </c>
      <c r="I32" s="135">
        <f t="shared" si="20"/>
        <v>243.53899999999999</v>
      </c>
      <c r="J32" s="134">
        <f t="shared" si="0"/>
        <v>38.36699999999999</v>
      </c>
      <c r="K32" s="136">
        <f t="shared" si="1"/>
        <v>0.18699920067065676</v>
      </c>
    </row>
    <row r="33" spans="2:11" x14ac:dyDescent="0.25">
      <c r="B33" s="129">
        <v>22</v>
      </c>
      <c r="C33" s="130">
        <f t="shared" si="2"/>
        <v>2500</v>
      </c>
      <c r="D33" s="131">
        <f t="shared" si="15"/>
        <v>10.220000000000001</v>
      </c>
      <c r="E33" s="132">
        <f t="shared" si="16"/>
        <v>203.07499999999999</v>
      </c>
      <c r="F33" s="133">
        <f t="shared" si="17"/>
        <v>213.29499999999999</v>
      </c>
      <c r="G33" s="134">
        <f t="shared" si="18"/>
        <v>16.839800000000004</v>
      </c>
      <c r="H33" s="132">
        <f t="shared" si="19"/>
        <v>236.14500000000001</v>
      </c>
      <c r="I33" s="135">
        <f t="shared" si="20"/>
        <v>252.98480000000001</v>
      </c>
      <c r="J33" s="134">
        <f t="shared" si="0"/>
        <v>39.68980000000002</v>
      </c>
      <c r="K33" s="136">
        <f t="shared" si="1"/>
        <v>0.18607937363745058</v>
      </c>
    </row>
    <row r="34" spans="2:11" x14ac:dyDescent="0.25">
      <c r="B34" s="129">
        <v>23</v>
      </c>
      <c r="C34" s="130">
        <f t="shared" si="2"/>
        <v>2600</v>
      </c>
      <c r="D34" s="131">
        <f t="shared" si="15"/>
        <v>10.220000000000001</v>
      </c>
      <c r="E34" s="132">
        <f t="shared" si="16"/>
        <v>211.19799999999998</v>
      </c>
      <c r="F34" s="133">
        <f t="shared" si="17"/>
        <v>221.41799999999998</v>
      </c>
      <c r="G34" s="134">
        <f t="shared" si="18"/>
        <v>16.839800000000004</v>
      </c>
      <c r="H34" s="132">
        <f t="shared" si="19"/>
        <v>245.5908</v>
      </c>
      <c r="I34" s="135">
        <f t="shared" si="20"/>
        <v>262.43060000000003</v>
      </c>
      <c r="J34" s="134">
        <f t="shared" si="0"/>
        <v>41.012600000000049</v>
      </c>
      <c r="K34" s="136">
        <f t="shared" si="1"/>
        <v>0.18522703664562074</v>
      </c>
    </row>
    <row r="35" spans="2:11" x14ac:dyDescent="0.25">
      <c r="B35" s="129">
        <v>24</v>
      </c>
      <c r="C35" s="130">
        <f t="shared" si="2"/>
        <v>2700</v>
      </c>
      <c r="D35" s="131">
        <f t="shared" si="15"/>
        <v>10.220000000000001</v>
      </c>
      <c r="E35" s="132">
        <f t="shared" si="16"/>
        <v>219.321</v>
      </c>
      <c r="F35" s="133">
        <f t="shared" si="17"/>
        <v>229.541</v>
      </c>
      <c r="G35" s="134">
        <f t="shared" si="18"/>
        <v>16.839800000000004</v>
      </c>
      <c r="H35" s="132">
        <f t="shared" si="19"/>
        <v>255.03659999999999</v>
      </c>
      <c r="I35" s="135">
        <f t="shared" si="20"/>
        <v>271.87639999999999</v>
      </c>
      <c r="J35" s="134">
        <f t="shared" si="0"/>
        <v>42.335399999999993</v>
      </c>
      <c r="K35" s="136">
        <f t="shared" si="1"/>
        <v>0.18443502467968684</v>
      </c>
    </row>
    <row r="36" spans="2:11" x14ac:dyDescent="0.25">
      <c r="B36" s="129">
        <v>25</v>
      </c>
      <c r="C36" s="130">
        <f t="shared" si="2"/>
        <v>2800</v>
      </c>
      <c r="D36" s="131">
        <f t="shared" si="15"/>
        <v>10.220000000000001</v>
      </c>
      <c r="E36" s="132">
        <f t="shared" si="16"/>
        <v>227.44399999999999</v>
      </c>
      <c r="F36" s="133">
        <f t="shared" si="17"/>
        <v>237.66399999999999</v>
      </c>
      <c r="G36" s="134">
        <f t="shared" si="18"/>
        <v>16.839800000000004</v>
      </c>
      <c r="H36" s="132">
        <f t="shared" si="19"/>
        <v>264.48239999999998</v>
      </c>
      <c r="I36" s="135">
        <f t="shared" si="20"/>
        <v>281.32220000000001</v>
      </c>
      <c r="J36" s="134">
        <f t="shared" si="0"/>
        <v>43.658200000000022</v>
      </c>
      <c r="K36" s="136">
        <f t="shared" si="1"/>
        <v>0.18369715228221364</v>
      </c>
    </row>
    <row r="37" spans="2:11" x14ac:dyDescent="0.25">
      <c r="B37" s="129">
        <v>26</v>
      </c>
      <c r="C37" s="130">
        <f t="shared" si="2"/>
        <v>2900</v>
      </c>
      <c r="D37" s="131">
        <f t="shared" si="15"/>
        <v>10.220000000000001</v>
      </c>
      <c r="E37" s="132">
        <f t="shared" si="16"/>
        <v>235.56699999999998</v>
      </c>
      <c r="F37" s="133">
        <f t="shared" si="17"/>
        <v>245.78699999999998</v>
      </c>
      <c r="G37" s="134">
        <f t="shared" si="18"/>
        <v>16.839800000000004</v>
      </c>
      <c r="H37" s="132">
        <f t="shared" si="19"/>
        <v>273.9282</v>
      </c>
      <c r="I37" s="135">
        <f t="shared" si="20"/>
        <v>290.76800000000003</v>
      </c>
      <c r="J37" s="134">
        <f t="shared" si="0"/>
        <v>44.981000000000051</v>
      </c>
      <c r="K37" s="136">
        <f t="shared" si="1"/>
        <v>0.18300805168703005</v>
      </c>
    </row>
    <row r="38" spans="2:11" ht="13.8" thickBot="1" x14ac:dyDescent="0.3">
      <c r="B38" s="137">
        <v>27</v>
      </c>
      <c r="C38" s="144">
        <f t="shared" si="2"/>
        <v>3000</v>
      </c>
      <c r="D38" s="138">
        <f t="shared" si="15"/>
        <v>10.220000000000001</v>
      </c>
      <c r="E38" s="139">
        <f t="shared" si="16"/>
        <v>243.69</v>
      </c>
      <c r="F38" s="140">
        <f t="shared" si="17"/>
        <v>253.91</v>
      </c>
      <c r="G38" s="141">
        <f t="shared" si="18"/>
        <v>16.839800000000004</v>
      </c>
      <c r="H38" s="139">
        <f t="shared" si="19"/>
        <v>283.37400000000002</v>
      </c>
      <c r="I38" s="142">
        <f t="shared" si="20"/>
        <v>300.21380000000005</v>
      </c>
      <c r="J38" s="141">
        <f t="shared" si="0"/>
        <v>46.303800000000052</v>
      </c>
      <c r="K38" s="143">
        <f t="shared" si="1"/>
        <v>0.18236304202276418</v>
      </c>
    </row>
    <row r="39" spans="2:11" s="162" customFormat="1" ht="21.75" customHeight="1" thickTop="1" thickBot="1" x14ac:dyDescent="0.3">
      <c r="B39" s="163" t="s">
        <v>84</v>
      </c>
      <c r="C39" s="164">
        <f>A!D29</f>
        <v>1112.8786679533316</v>
      </c>
      <c r="D39" s="165">
        <f t="shared" si="15"/>
        <v>10.220000000000001</v>
      </c>
      <c r="E39" s="166">
        <f t="shared" ref="E39" si="21">$E$7*C39</f>
        <v>90.399134197849122</v>
      </c>
      <c r="F39" s="167">
        <f t="shared" ref="F39" si="22">E39+D39</f>
        <v>100.61913419784912</v>
      </c>
      <c r="G39" s="168">
        <f t="shared" si="18"/>
        <v>16.839800000000004</v>
      </c>
      <c r="H39" s="166">
        <f t="shared" ref="H39" si="23">$H$7*C39</f>
        <v>105.1202932175358</v>
      </c>
      <c r="I39" s="169">
        <f t="shared" ref="I39" si="24">G39+H39</f>
        <v>121.96009321753581</v>
      </c>
      <c r="J39" s="168">
        <f t="shared" ref="J39" si="25">I39-F39</f>
        <v>21.340959019686693</v>
      </c>
      <c r="K39" s="170">
        <f t="shared" ref="K39" si="26">J39/F39</f>
        <v>0.21209642867452627</v>
      </c>
    </row>
    <row r="40" spans="2:11" ht="13.8" thickTop="1" x14ac:dyDescent="0.25"/>
    <row r="41" spans="2:11" x14ac:dyDescent="0.25">
      <c r="B41" s="214" t="s">
        <v>104</v>
      </c>
    </row>
  </sheetData>
  <mergeCells count="3">
    <mergeCell ref="D5:F5"/>
    <mergeCell ref="G5:I5"/>
    <mergeCell ref="J5:K5"/>
  </mergeCells>
  <printOptions horizontalCentered="1"/>
  <pageMargins left="1" right="0.75" top="0.75" bottom="0.75" header="0.3" footer="0.3"/>
  <pageSetup scale="79" fitToHeight="2" orientation="portrait" r:id="rId1"/>
  <headerFooter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Present and Proposed Rates</vt:lpstr>
      <vt:lpstr>A</vt:lpstr>
      <vt:lpstr>R1</vt:lpstr>
      <vt:lpstr>GP1</vt:lpstr>
      <vt:lpstr>GP2</vt:lpstr>
      <vt:lpstr>B1</vt:lpstr>
      <vt:lpstr>SL</vt:lpstr>
      <vt:lpstr>Act-vs-Calc</vt:lpstr>
      <vt:lpstr>ResIncr</vt:lpstr>
      <vt:lpstr>Notice-Full</vt:lpstr>
      <vt:lpstr>List</vt:lpstr>
      <vt:lpstr>Billings</vt:lpstr>
      <vt:lpstr>A!Print_Area</vt:lpstr>
      <vt:lpstr>'Act-vs-Calc'!Print_Area</vt:lpstr>
      <vt:lpstr>'B1'!Print_Area</vt:lpstr>
      <vt:lpstr>'GP1'!Print_Area</vt:lpstr>
      <vt:lpstr>'GP2'!Print_Area</vt:lpstr>
      <vt:lpstr>List!Print_Area</vt:lpstr>
      <vt:lpstr>'Notice-Full'!Print_Area</vt:lpstr>
      <vt:lpstr>'Present and Proposed Rates'!Print_Area</vt:lpstr>
      <vt:lpstr>'R1'!Print_Area</vt:lpstr>
      <vt:lpstr>ResIncr!Print_Area</vt:lpstr>
      <vt:lpstr>SL!Print_Area</vt:lpstr>
      <vt:lpstr>ResIncr!Print_Titles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2023-06-01T04:03:12Z</cp:lastPrinted>
  <dcterms:created xsi:type="dcterms:W3CDTF">2000-07-10T18:54:31Z</dcterms:created>
  <dcterms:modified xsi:type="dcterms:W3CDTF">2023-06-01T04:03:15Z</dcterms:modified>
</cp:coreProperties>
</file>