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18-READY (pw)\"/>
    </mc:Choice>
  </mc:AlternateContent>
  <xr:revisionPtr revIDLastSave="0" documentId="13_ncr:1_{A6242AE7-38DF-455A-B881-9584BA1635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 End Totals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9" l="1"/>
  <c r="M13" i="9"/>
  <c r="L13" i="9"/>
  <c r="K13" i="9"/>
  <c r="H13" i="9"/>
  <c r="E13" i="9"/>
  <c r="B13" i="9"/>
  <c r="P11" i="9" l="1"/>
  <c r="O11" i="9"/>
  <c r="J11" i="9"/>
  <c r="I11" i="9"/>
  <c r="G11" i="9"/>
  <c r="F11" i="9"/>
  <c r="D11" i="9"/>
  <c r="C11" i="9"/>
  <c r="C13" i="9" s="1"/>
  <c r="Q11" i="9" l="1"/>
  <c r="R11" i="9"/>
  <c r="S11" i="9"/>
  <c r="P20" i="9" l="1"/>
  <c r="O20" i="9"/>
  <c r="J20" i="9"/>
  <c r="I20" i="9"/>
  <c r="G20" i="9"/>
  <c r="F20" i="9"/>
  <c r="D20" i="9"/>
  <c r="C20" i="9"/>
  <c r="P18" i="9"/>
  <c r="J18" i="9"/>
  <c r="I18" i="9"/>
  <c r="G18" i="9"/>
  <c r="F18" i="9"/>
  <c r="D18" i="9"/>
  <c r="C18" i="9"/>
  <c r="P16" i="9"/>
  <c r="O16" i="9"/>
  <c r="J16" i="9"/>
  <c r="I16" i="9"/>
  <c r="G16" i="9"/>
  <c r="F16" i="9"/>
  <c r="D16" i="9"/>
  <c r="C16" i="9"/>
  <c r="P14" i="9" l="1"/>
  <c r="O14" i="9"/>
  <c r="J14" i="9"/>
  <c r="I14" i="9"/>
  <c r="G14" i="9"/>
  <c r="F14" i="9"/>
  <c r="D14" i="9"/>
  <c r="C14" i="9"/>
  <c r="D12" i="9"/>
  <c r="D13" i="9" s="1"/>
  <c r="G12" i="9"/>
  <c r="G13" i="9" s="1"/>
  <c r="F12" i="9"/>
  <c r="F13" i="9" s="1"/>
  <c r="P12" i="9" l="1"/>
  <c r="P13" i="9" s="1"/>
  <c r="O12" i="9"/>
  <c r="O13" i="9" s="1"/>
  <c r="J12" i="9"/>
  <c r="J13" i="9" s="1"/>
  <c r="I12" i="9"/>
  <c r="I13" i="9" s="1"/>
  <c r="S12" i="9" l="1"/>
  <c r="S13" i="9" s="1"/>
  <c r="R12" i="9"/>
  <c r="R13" i="9" s="1"/>
  <c r="H21" i="9"/>
  <c r="K21" i="9"/>
  <c r="K19" i="9" l="1"/>
  <c r="H19" i="9"/>
  <c r="K17" i="9"/>
  <c r="H17" i="9"/>
  <c r="K15" i="9"/>
  <c r="H15" i="9"/>
  <c r="P15" i="9"/>
  <c r="M15" i="9"/>
  <c r="J15" i="9"/>
  <c r="G15" i="9"/>
  <c r="F15" i="9"/>
  <c r="E15" i="9"/>
  <c r="B15" i="9"/>
  <c r="O17" i="9"/>
  <c r="M17" i="9"/>
  <c r="J17" i="9"/>
  <c r="I17" i="9"/>
  <c r="G17" i="9"/>
  <c r="F17" i="9"/>
  <c r="E17" i="9"/>
  <c r="C17" i="9"/>
  <c r="P19" i="9"/>
  <c r="N19" i="9"/>
  <c r="M19" i="9"/>
  <c r="L19" i="9"/>
  <c r="J19" i="9"/>
  <c r="I19" i="9"/>
  <c r="G19" i="9"/>
  <c r="F19" i="9"/>
  <c r="E19" i="9"/>
  <c r="C19" i="9"/>
  <c r="B19" i="9"/>
  <c r="O21" i="9"/>
  <c r="N21" i="9"/>
  <c r="L21" i="9"/>
  <c r="J21" i="9"/>
  <c r="I21" i="9"/>
  <c r="G21" i="9"/>
  <c r="F21" i="9"/>
  <c r="E21" i="9"/>
  <c r="D21" i="9"/>
  <c r="P17" i="9" l="1"/>
  <c r="L15" i="9"/>
  <c r="S16" i="9"/>
  <c r="D15" i="9"/>
  <c r="Q16" i="9"/>
  <c r="M21" i="9"/>
  <c r="L17" i="9"/>
  <c r="N15" i="9"/>
  <c r="R14" i="9"/>
  <c r="B21" i="9"/>
  <c r="P21" i="9"/>
  <c r="O15" i="9"/>
  <c r="D19" i="9"/>
  <c r="I15" i="9"/>
  <c r="C21" i="9"/>
  <c r="O19" i="9"/>
  <c r="N17" i="9"/>
  <c r="S14" i="9"/>
  <c r="S18" i="9"/>
  <c r="D17" i="9"/>
  <c r="R16" i="9"/>
  <c r="R20" i="9"/>
  <c r="S20" i="9"/>
  <c r="C15" i="9"/>
  <c r="B17" i="9"/>
  <c r="R18" i="9"/>
  <c r="Q18" i="9"/>
  <c r="Q12" i="9"/>
  <c r="Q13" i="9" s="1"/>
  <c r="Q14" i="9"/>
  <c r="Q20" i="9"/>
  <c r="Q19" i="9" l="1"/>
  <c r="S19" i="9"/>
  <c r="S15" i="9"/>
  <c r="R15" i="9"/>
  <c r="R19" i="9"/>
  <c r="S17" i="9"/>
  <c r="Q21" i="9"/>
  <c r="R17" i="9"/>
  <c r="Q15" i="9"/>
  <c r="S21" i="9"/>
  <c r="R21" i="9"/>
  <c r="Q17" i="9"/>
</calcChain>
</file>

<file path=xl/sharedStrings.xml><?xml version="1.0" encoding="utf-8"?>
<sst xmlns="http://schemas.openxmlformats.org/spreadsheetml/2006/main" count="36" uniqueCount="19">
  <si>
    <t>Distribution</t>
  </si>
  <si>
    <t>Construction</t>
  </si>
  <si>
    <t>Total</t>
  </si>
  <si>
    <t>Customer Accounts</t>
  </si>
  <si>
    <t>% Change</t>
  </si>
  <si>
    <t xml:space="preserve">Admin &amp; General </t>
  </si>
  <si>
    <t>No.</t>
  </si>
  <si>
    <t xml:space="preserve">No. </t>
  </si>
  <si>
    <t>Average Hours</t>
  </si>
  <si>
    <t>Average Wages</t>
  </si>
  <si>
    <t>Customer Service</t>
  </si>
  <si>
    <t>No. Employees</t>
  </si>
  <si>
    <t>Taylor County Rural Electric Cooperative Corporation</t>
  </si>
  <si>
    <t>Case No. 2023-00147</t>
  </si>
  <si>
    <t>Schedule H2</t>
  </si>
  <si>
    <t>Test Year 2021</t>
  </si>
  <si>
    <t>Schedule of Numer of Employees,  Average Hours and Average Wages</t>
  </si>
  <si>
    <t>Weekly Totals include December 31 each year.</t>
  </si>
  <si>
    <t>Item 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</si>
</sst>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color indexed="0"/>
      <name val="Arial"/>
    </font>
    <font>
      <sz val="10"/>
      <color indexed="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>
      <protection locked="0"/>
    </xf>
    <xf numFmtId="0" fontId="1" fillId="0" borderId="0"/>
    <xf numFmtId="9" fontId="1" fillId="0" borderId="0" applyFont="0">
      <protection locked="0"/>
    </xf>
  </cellStyleXfs>
  <cellXfs count="57"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0" xfId="0" applyNumberFormat="1" applyFont="1" applyProtection="1">
      <protection locked="0"/>
    </xf>
    <xf numFmtId="9" fontId="1" fillId="0" borderId="5" xfId="3" applyFont="1" applyBorder="1">
      <protection locked="0"/>
    </xf>
    <xf numFmtId="9" fontId="1" fillId="0" borderId="0" xfId="3" applyFont="1">
      <protection locked="0"/>
    </xf>
    <xf numFmtId="9" fontId="1" fillId="0" borderId="7" xfId="3" applyFont="1" applyBorder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4" fontId="1" fillId="0" borderId="0" xfId="1" applyFont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1" fillId="0" borderId="6" xfId="0" applyNumberFormat="1" applyFont="1" applyBorder="1" applyProtection="1">
      <protection locked="0"/>
    </xf>
    <xf numFmtId="164" fontId="1" fillId="0" borderId="6" xfId="3" applyNumberFormat="1" applyFont="1" applyBorder="1">
      <protection locked="0"/>
    </xf>
    <xf numFmtId="164" fontId="1" fillId="0" borderId="0" xfId="1" applyNumberFormat="1" applyFont="1">
      <protection locked="0"/>
    </xf>
    <xf numFmtId="164" fontId="1" fillId="0" borderId="0" xfId="3" applyNumberFormat="1" applyFont="1">
      <protection locked="0"/>
    </xf>
    <xf numFmtId="164" fontId="1" fillId="0" borderId="0" xfId="0" applyNumberFormat="1" applyFont="1" applyProtection="1">
      <protection locked="0"/>
    </xf>
    <xf numFmtId="0" fontId="1" fillId="0" borderId="5" xfId="3" applyNumberFormat="1" applyFont="1" applyBorder="1">
      <protection locked="0"/>
    </xf>
    <xf numFmtId="0" fontId="1" fillId="0" borderId="0" xfId="3" applyNumberFormat="1" applyFont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1" fillId="0" borderId="17" xfId="0" applyFont="1" applyBorder="1" applyProtection="1">
      <protection locked="0"/>
    </xf>
    <xf numFmtId="164" fontId="1" fillId="0" borderId="18" xfId="0" applyNumberFormat="1" applyFont="1" applyBorder="1" applyProtection="1">
      <protection locked="0"/>
    </xf>
    <xf numFmtId="164" fontId="1" fillId="0" borderId="19" xfId="0" applyNumberFormat="1" applyFont="1" applyBorder="1" applyProtection="1">
      <protection locked="0"/>
    </xf>
    <xf numFmtId="9" fontId="1" fillId="0" borderId="17" xfId="3" applyFont="1" applyBorder="1">
      <protection locked="0"/>
    </xf>
    <xf numFmtId="9" fontId="1" fillId="0" borderId="20" xfId="3" applyFont="1" applyBorder="1">
      <protection locked="0"/>
    </xf>
    <xf numFmtId="9" fontId="1" fillId="0" borderId="21" xfId="3" applyFont="1" applyBorder="1">
      <protection locked="0"/>
    </xf>
    <xf numFmtId="9" fontId="1" fillId="0" borderId="22" xfId="3" applyFont="1" applyBorder="1">
      <protection locked="0"/>
    </xf>
    <xf numFmtId="9" fontId="1" fillId="0" borderId="23" xfId="3" applyFont="1" applyBorder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3" fillId="3" borderId="3" xfId="0" applyNumberFormat="1" applyFont="1" applyFill="1" applyBorder="1" applyAlignment="1" applyProtection="1">
      <alignment horizontal="center"/>
      <protection locked="0"/>
    </xf>
    <xf numFmtId="4" fontId="3" fillId="3" borderId="2" xfId="0" applyNumberFormat="1" applyFont="1" applyFill="1" applyBorder="1" applyAlignment="1" applyProtection="1">
      <alignment horizontal="center"/>
      <protection locked="0"/>
    </xf>
    <xf numFmtId="4" fontId="3" fillId="3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zoomScaleNormal="100" workbookViewId="0">
      <selection activeCell="A4" sqref="A4:S4"/>
    </sheetView>
  </sheetViews>
  <sheetFormatPr defaultColWidth="9.140625" defaultRowHeight="12.75" x14ac:dyDescent="0.2"/>
  <cols>
    <col min="1" max="1" width="17.28515625" style="1" customWidth="1"/>
    <col min="2" max="2" width="14.5703125" style="1" bestFit="1" customWidth="1"/>
    <col min="3" max="6" width="11.140625" style="1" customWidth="1"/>
    <col min="7" max="7" width="12.28515625" style="1" bestFit="1" customWidth="1"/>
    <col min="8" max="14" width="11.140625" style="1" customWidth="1"/>
    <col min="15" max="15" width="15.42578125" style="1" bestFit="1" customWidth="1"/>
    <col min="16" max="16" width="11.140625" style="1" customWidth="1"/>
    <col min="17" max="18" width="9.140625" style="1"/>
    <col min="19" max="19" width="12.28515625" style="1" bestFit="1" customWidth="1"/>
    <col min="20" max="16384" width="9.140625" style="1"/>
  </cols>
  <sheetData>
    <row r="1" spans="1:19" ht="15.75" x14ac:dyDescent="0.25">
      <c r="A1" s="2"/>
      <c r="I1" s="18"/>
      <c r="K1" s="38"/>
      <c r="L1" s="38"/>
      <c r="M1" s="38"/>
      <c r="N1" s="2"/>
      <c r="O1" s="2"/>
      <c r="P1" s="2"/>
      <c r="Q1" s="39" t="s">
        <v>14</v>
      </c>
      <c r="R1" s="39"/>
      <c r="S1" s="39"/>
    </row>
    <row r="2" spans="1:19" ht="15.75" x14ac:dyDescent="0.25">
      <c r="A2" s="2"/>
      <c r="I2" s="18"/>
      <c r="K2" s="55"/>
      <c r="L2" s="55"/>
      <c r="M2" s="55"/>
      <c r="N2" s="2"/>
      <c r="O2" s="2"/>
      <c r="P2" s="2"/>
      <c r="Q2" s="39" t="s">
        <v>18</v>
      </c>
      <c r="R2" s="39"/>
      <c r="S2" s="39"/>
    </row>
    <row r="3" spans="1:19" ht="18" x14ac:dyDescent="0.2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8" x14ac:dyDescent="0.25">
      <c r="A4" s="54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8" x14ac:dyDescent="0.25">
      <c r="A5" s="54" t="s">
        <v>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x14ac:dyDescent="0.2">
      <c r="A6" s="2"/>
      <c r="K6" s="8"/>
      <c r="L6" s="8"/>
      <c r="M6" s="8"/>
    </row>
    <row r="7" spans="1:19" x14ac:dyDescent="0.2">
      <c r="A7" s="2"/>
      <c r="L7" s="6"/>
      <c r="M7" s="13"/>
    </row>
    <row r="8" spans="1:19" ht="13.5" thickBot="1" x14ac:dyDescent="0.25">
      <c r="A8" s="2"/>
      <c r="H8" s="2"/>
      <c r="K8" s="8"/>
      <c r="L8" s="8"/>
      <c r="M8" s="8"/>
    </row>
    <row r="9" spans="1:19" ht="32.25" customHeight="1" x14ac:dyDescent="0.2">
      <c r="A9" s="3"/>
      <c r="B9" s="40" t="s">
        <v>5</v>
      </c>
      <c r="C9" s="41"/>
      <c r="D9" s="41"/>
      <c r="E9" s="42" t="s">
        <v>1</v>
      </c>
      <c r="F9" s="43"/>
      <c r="G9" s="44"/>
      <c r="H9" s="45" t="s">
        <v>3</v>
      </c>
      <c r="I9" s="45"/>
      <c r="J9" s="45"/>
      <c r="K9" s="51" t="s">
        <v>10</v>
      </c>
      <c r="L9" s="52"/>
      <c r="M9" s="53"/>
      <c r="N9" s="46" t="s">
        <v>0</v>
      </c>
      <c r="O9" s="47"/>
      <c r="P9" s="47"/>
      <c r="Q9" s="48" t="s">
        <v>2</v>
      </c>
      <c r="R9" s="49"/>
      <c r="S9" s="50"/>
    </row>
    <row r="10" spans="1:19" ht="25.5" x14ac:dyDescent="0.2">
      <c r="A10" s="4"/>
      <c r="B10" s="14" t="s">
        <v>11</v>
      </c>
      <c r="C10" s="15" t="s">
        <v>8</v>
      </c>
      <c r="D10" s="15" t="s">
        <v>9</v>
      </c>
      <c r="E10" s="14" t="s">
        <v>6</v>
      </c>
      <c r="F10" s="15" t="s">
        <v>8</v>
      </c>
      <c r="G10" s="16" t="s">
        <v>9</v>
      </c>
      <c r="H10" s="17" t="s">
        <v>7</v>
      </c>
      <c r="I10" s="15" t="s">
        <v>8</v>
      </c>
      <c r="J10" s="15" t="s">
        <v>9</v>
      </c>
      <c r="K10" s="14" t="s">
        <v>7</v>
      </c>
      <c r="L10" s="15" t="s">
        <v>8</v>
      </c>
      <c r="M10" s="15" t="s">
        <v>9</v>
      </c>
      <c r="N10" s="14" t="s">
        <v>7</v>
      </c>
      <c r="O10" s="15" t="s">
        <v>8</v>
      </c>
      <c r="P10" s="15" t="s">
        <v>9</v>
      </c>
      <c r="Q10" s="27" t="s">
        <v>7</v>
      </c>
      <c r="R10" s="15" t="s">
        <v>8</v>
      </c>
      <c r="S10" s="28" t="s">
        <v>9</v>
      </c>
    </row>
    <row r="11" spans="1:19" x14ac:dyDescent="0.2">
      <c r="A11" s="10">
        <v>2016</v>
      </c>
      <c r="B11" s="5">
        <v>10</v>
      </c>
      <c r="C11" s="6">
        <f>408/10</f>
        <v>40.799999999999997</v>
      </c>
      <c r="D11" s="13">
        <f>10915.085/10</f>
        <v>1091.5084999999999</v>
      </c>
      <c r="E11" s="5">
        <v>19</v>
      </c>
      <c r="F11" s="6">
        <f>816.5/19</f>
        <v>42.973684210526315</v>
      </c>
      <c r="G11" s="21">
        <f>22250.925/19</f>
        <v>1171.1013157894736</v>
      </c>
      <c r="H11" s="1">
        <v>7</v>
      </c>
      <c r="I11" s="6">
        <f>287.58/7</f>
        <v>41.082857142857144</v>
      </c>
      <c r="J11" s="21">
        <f>6125.07/7</f>
        <v>875.01</v>
      </c>
      <c r="K11" s="24">
        <v>1</v>
      </c>
      <c r="L11" s="25">
        <v>44</v>
      </c>
      <c r="M11" s="22">
        <v>1520.835</v>
      </c>
      <c r="N11" s="5">
        <v>15</v>
      </c>
      <c r="O11" s="6">
        <f>664/15</f>
        <v>44.266666666666666</v>
      </c>
      <c r="P11" s="23">
        <f>20476.09/15</f>
        <v>1365.0726666666667</v>
      </c>
      <c r="Q11" s="29">
        <f>B11+E11+H11+K11+N11</f>
        <v>52</v>
      </c>
      <c r="R11" s="56">
        <f>(C11+F11+I11+L11+O11)/5</f>
        <v>42.624641604010023</v>
      </c>
      <c r="S11" s="30">
        <f>(D11+G11+J11+M11+P11)/5</f>
        <v>1204.7054964912281</v>
      </c>
    </row>
    <row r="12" spans="1:19" x14ac:dyDescent="0.2">
      <c r="A12" s="10">
        <v>2017</v>
      </c>
      <c r="B12" s="5">
        <v>10</v>
      </c>
      <c r="C12" s="6">
        <v>40</v>
      </c>
      <c r="D12" s="13">
        <f>10824.185/10</f>
        <v>1082.4185</v>
      </c>
      <c r="E12" s="5">
        <v>22</v>
      </c>
      <c r="F12" s="6">
        <f>(45+58.5+40+40+40+52+38+40+40+43+42+49.5+40+40+28+40+40+40+40+40+40+43)/22</f>
        <v>41.772727272727273</v>
      </c>
      <c r="G12" s="21">
        <f>(1382+1872.61+935.2+869.6+1458.335+904.29+965.58+1061.2+1105.6+1156.12+973.52+754.46+1105.6+1016.4+942.2+1105.6+1105.6+1458.335+990.4+935.2+935.2+1229.98)/22</f>
        <v>1102.865</v>
      </c>
      <c r="H12" s="1">
        <v>7</v>
      </c>
      <c r="I12" s="6">
        <f>(40+40+40+40+40.33+40+40.33)/7</f>
        <v>40.094285714285711</v>
      </c>
      <c r="J12" s="21">
        <f>(1187.5+879.2+740+879.2+749.16+879.2+499.31)/7</f>
        <v>830.51</v>
      </c>
      <c r="K12" s="24">
        <v>1</v>
      </c>
      <c r="L12" s="25">
        <v>40</v>
      </c>
      <c r="M12" s="22">
        <v>1520.835</v>
      </c>
      <c r="N12" s="5">
        <v>13</v>
      </c>
      <c r="O12" s="6">
        <f>(40+43+40+40+50+55+65+40+61.5+40+40+40+40)/13</f>
        <v>45.730769230769234</v>
      </c>
      <c r="P12" s="23">
        <f>(1128+1254.9+1677.085+1197.915+1565.1+1833+2340.6+879.2+2079.75+1105.6+2083.335+1458.335+879.2)/13</f>
        <v>1498.6169230769231</v>
      </c>
      <c r="Q12" s="29">
        <f>B12+E12+H12+K12+N12</f>
        <v>53</v>
      </c>
      <c r="R12" s="56">
        <f>(C12+F12+I12+L12+O12)/5</f>
        <v>41.519556443556446</v>
      </c>
      <c r="S12" s="31">
        <f>(D12+G12+J12+M12+P12)/5</f>
        <v>1207.0490846153846</v>
      </c>
    </row>
    <row r="13" spans="1:19" ht="18" customHeight="1" x14ac:dyDescent="0.2">
      <c r="A13" s="11" t="s">
        <v>4</v>
      </c>
      <c r="B13" s="7">
        <f t="shared" ref="B13:S13" si="0">(B12-B11)/B11</f>
        <v>0</v>
      </c>
      <c r="C13" s="7">
        <f t="shared" si="0"/>
        <v>-1.9607843137254832E-2</v>
      </c>
      <c r="D13" s="7">
        <f t="shared" si="0"/>
        <v>-8.3279241526748697E-3</v>
      </c>
      <c r="E13" s="7">
        <f t="shared" si="0"/>
        <v>0.15789473684210525</v>
      </c>
      <c r="F13" s="7">
        <f t="shared" si="0"/>
        <v>-2.79463341312698E-2</v>
      </c>
      <c r="G13" s="7">
        <f t="shared" si="0"/>
        <v>-5.8266791155873202E-2</v>
      </c>
      <c r="H13" s="7">
        <f t="shared" si="0"/>
        <v>0</v>
      </c>
      <c r="I13" s="7">
        <f t="shared" si="0"/>
        <v>-2.4062869462410565E-2</v>
      </c>
      <c r="J13" s="7">
        <f t="shared" si="0"/>
        <v>-5.0856561639295549E-2</v>
      </c>
      <c r="K13" s="7">
        <f t="shared" si="0"/>
        <v>0</v>
      </c>
      <c r="L13" s="7">
        <f t="shared" si="0"/>
        <v>-9.0909090909090912E-2</v>
      </c>
      <c r="M13" s="7">
        <f t="shared" si="0"/>
        <v>0</v>
      </c>
      <c r="N13" s="7">
        <f t="shared" si="0"/>
        <v>-0.13333333333333333</v>
      </c>
      <c r="O13" s="7">
        <f t="shared" si="0"/>
        <v>3.3074606116774874E-2</v>
      </c>
      <c r="P13" s="7">
        <f t="shared" si="0"/>
        <v>9.7829412068116781E-2</v>
      </c>
      <c r="Q13" s="32">
        <f t="shared" si="0"/>
        <v>1.9230769230769232E-2</v>
      </c>
      <c r="R13" s="7">
        <f t="shared" si="0"/>
        <v>-2.5925969553480369E-2</v>
      </c>
      <c r="S13" s="33">
        <f t="shared" si="0"/>
        <v>1.9453618589624362E-3</v>
      </c>
    </row>
    <row r="14" spans="1:19" x14ac:dyDescent="0.2">
      <c r="A14" s="10">
        <v>2018</v>
      </c>
      <c r="B14" s="5">
        <v>9</v>
      </c>
      <c r="C14" s="6">
        <f>368.5/9</f>
        <v>40.944444444444443</v>
      </c>
      <c r="D14" s="13">
        <f>10533.03/9</f>
        <v>1170.3366666666668</v>
      </c>
      <c r="E14" s="5">
        <v>24</v>
      </c>
      <c r="F14" s="6">
        <f>1030/24</f>
        <v>42.916666666666664</v>
      </c>
      <c r="G14" s="21">
        <f>27169.295/24</f>
        <v>1132.0539583333332</v>
      </c>
      <c r="H14" s="1">
        <v>7</v>
      </c>
      <c r="I14" s="6">
        <f>292.25/7</f>
        <v>41.75</v>
      </c>
      <c r="J14" s="21">
        <f>6665.755/7</f>
        <v>952.25071428571425</v>
      </c>
      <c r="K14" s="24">
        <v>1</v>
      </c>
      <c r="L14" s="25">
        <v>44</v>
      </c>
      <c r="M14" s="22">
        <v>1583.335</v>
      </c>
      <c r="N14" s="5">
        <v>12</v>
      </c>
      <c r="O14" s="6">
        <f>565.5/12</f>
        <v>47.125</v>
      </c>
      <c r="P14" s="23">
        <f>18960.495/12</f>
        <v>1580.04125</v>
      </c>
      <c r="Q14" s="29">
        <f>B14+E14+H14+K14+N14</f>
        <v>53</v>
      </c>
      <c r="R14" s="56">
        <f t="shared" ref="R14:R20" si="1">(C14+F14+I14+L14+O14)/5</f>
        <v>43.347222222222221</v>
      </c>
      <c r="S14" s="31">
        <f t="shared" ref="S14:S20" si="2">(D14+G14+J14+M14+P14)/5</f>
        <v>1283.6035178571431</v>
      </c>
    </row>
    <row r="15" spans="1:19" ht="18" customHeight="1" x14ac:dyDescent="0.2">
      <c r="A15" s="11" t="s">
        <v>4</v>
      </c>
      <c r="B15" s="7">
        <f t="shared" ref="B15:S15" si="3">(B14-B12)/B12</f>
        <v>-0.1</v>
      </c>
      <c r="C15" s="7">
        <f t="shared" si="3"/>
        <v>2.3611111111111072E-2</v>
      </c>
      <c r="D15" s="7">
        <f t="shared" si="3"/>
        <v>8.1223821162209275E-2</v>
      </c>
      <c r="E15" s="7">
        <f t="shared" si="3"/>
        <v>9.0909090909090912E-2</v>
      </c>
      <c r="F15" s="7">
        <f t="shared" si="3"/>
        <v>2.7384838592673124E-2</v>
      </c>
      <c r="G15" s="7">
        <f t="shared" si="3"/>
        <v>2.6466483507349654E-2</v>
      </c>
      <c r="H15" s="7">
        <f t="shared" si="3"/>
        <v>0</v>
      </c>
      <c r="I15" s="7">
        <f t="shared" si="3"/>
        <v>4.1295517708259198E-2</v>
      </c>
      <c r="J15" s="7">
        <f t="shared" si="3"/>
        <v>0.14658548877883981</v>
      </c>
      <c r="K15" s="7">
        <f t="shared" si="3"/>
        <v>0</v>
      </c>
      <c r="L15" s="7">
        <f t="shared" si="3"/>
        <v>0.1</v>
      </c>
      <c r="M15" s="7">
        <f t="shared" si="3"/>
        <v>4.1095845374416025E-2</v>
      </c>
      <c r="N15" s="7">
        <f t="shared" si="3"/>
        <v>-7.6923076923076927E-2</v>
      </c>
      <c r="O15" s="7">
        <f t="shared" si="3"/>
        <v>3.0487804878048717E-2</v>
      </c>
      <c r="P15" s="7">
        <f t="shared" si="3"/>
        <v>5.4332982411474794E-2</v>
      </c>
      <c r="Q15" s="32">
        <f t="shared" si="3"/>
        <v>0</v>
      </c>
      <c r="R15" s="7">
        <f t="shared" si="3"/>
        <v>4.4019395562435407E-2</v>
      </c>
      <c r="S15" s="33">
        <f t="shared" si="3"/>
        <v>6.3422800462295925E-2</v>
      </c>
    </row>
    <row r="16" spans="1:19" x14ac:dyDescent="0.2">
      <c r="A16" s="10">
        <v>2019</v>
      </c>
      <c r="B16" s="5">
        <v>9</v>
      </c>
      <c r="C16" s="6">
        <f>386.33/9</f>
        <v>42.925555555555555</v>
      </c>
      <c r="D16" s="13">
        <f>10846.065/9</f>
        <v>1205.1183333333333</v>
      </c>
      <c r="E16" s="5">
        <v>23</v>
      </c>
      <c r="F16" s="6">
        <f>1004/23</f>
        <v>43.652173913043477</v>
      </c>
      <c r="G16" s="21">
        <f>28205.035/23</f>
        <v>1226.3058695652173</v>
      </c>
      <c r="H16" s="1">
        <v>7</v>
      </c>
      <c r="I16" s="6">
        <f>294.67/7</f>
        <v>42.095714285714287</v>
      </c>
      <c r="J16" s="21">
        <f>6311.085/7</f>
        <v>901.58357142857142</v>
      </c>
      <c r="K16" s="24">
        <v>1</v>
      </c>
      <c r="L16" s="25">
        <v>48</v>
      </c>
      <c r="M16" s="20">
        <v>1615</v>
      </c>
      <c r="N16" s="1">
        <v>13</v>
      </c>
      <c r="O16" s="6">
        <f>586.5/13</f>
        <v>45.115384615384613</v>
      </c>
      <c r="P16" s="23">
        <f>18743.245/13</f>
        <v>1441.7880769230769</v>
      </c>
      <c r="Q16" s="29">
        <f>B16+E16+H16+K16+N16</f>
        <v>53</v>
      </c>
      <c r="R16" s="56">
        <f t="shared" si="1"/>
        <v>44.357765673939589</v>
      </c>
      <c r="S16" s="31">
        <f t="shared" si="2"/>
        <v>1277.9591702500397</v>
      </c>
    </row>
    <row r="17" spans="1:19" ht="18" customHeight="1" x14ac:dyDescent="0.2">
      <c r="A17" s="11" t="s">
        <v>4</v>
      </c>
      <c r="B17" s="7">
        <f>(B16-B14)/B14</f>
        <v>0</v>
      </c>
      <c r="C17" s="7">
        <f t="shared" ref="C17:S17" si="4">(C16-C14)/C14</f>
        <v>4.8385345997286312E-2</v>
      </c>
      <c r="D17" s="7">
        <f t="shared" si="4"/>
        <v>2.9719368500801639E-2</v>
      </c>
      <c r="E17" s="7">
        <f t="shared" si="4"/>
        <v>-4.1666666666666664E-2</v>
      </c>
      <c r="F17" s="7">
        <f t="shared" si="4"/>
        <v>1.713803292528495E-2</v>
      </c>
      <c r="G17" s="7">
        <f t="shared" si="4"/>
        <v>8.325743710189093E-2</v>
      </c>
      <c r="H17" s="7">
        <f t="shared" si="4"/>
        <v>0</v>
      </c>
      <c r="I17" s="7">
        <f t="shared" si="4"/>
        <v>8.2805816937553765E-3</v>
      </c>
      <c r="J17" s="7">
        <f t="shared" si="4"/>
        <v>-5.320777616339032E-2</v>
      </c>
      <c r="K17" s="7">
        <f t="shared" si="4"/>
        <v>0</v>
      </c>
      <c r="L17" s="7">
        <f t="shared" si="4"/>
        <v>9.0909090909090912E-2</v>
      </c>
      <c r="M17" s="7">
        <f t="shared" si="4"/>
        <v>1.9998926316919644E-2</v>
      </c>
      <c r="N17" s="7">
        <f t="shared" si="4"/>
        <v>8.3333333333333329E-2</v>
      </c>
      <c r="O17" s="7">
        <f t="shared" si="4"/>
        <v>-4.2644358294225714E-2</v>
      </c>
      <c r="P17" s="7">
        <f t="shared" si="4"/>
        <v>-8.7499723869185739E-2</v>
      </c>
      <c r="Q17" s="32">
        <f t="shared" si="4"/>
        <v>0</v>
      </c>
      <c r="R17" s="7">
        <f t="shared" si="4"/>
        <v>2.3312761462239821E-2</v>
      </c>
      <c r="S17" s="33">
        <f t="shared" si="4"/>
        <v>-4.3972671690134055E-3</v>
      </c>
    </row>
    <row r="18" spans="1:19" x14ac:dyDescent="0.2">
      <c r="A18" s="10">
        <v>2020</v>
      </c>
      <c r="B18" s="5">
        <v>9</v>
      </c>
      <c r="C18" s="6">
        <f>384/9</f>
        <v>42.666666666666664</v>
      </c>
      <c r="D18" s="13">
        <f>11025.975/9</f>
        <v>1225.1083333333333</v>
      </c>
      <c r="E18" s="5">
        <v>24</v>
      </c>
      <c r="F18" s="6">
        <f>1084.5/24</f>
        <v>45.1875</v>
      </c>
      <c r="G18" s="21">
        <f>30087.98/24</f>
        <v>1253.6658333333332</v>
      </c>
      <c r="H18" s="1">
        <v>7</v>
      </c>
      <c r="I18" s="6">
        <f>290.5/7</f>
        <v>41.5</v>
      </c>
      <c r="J18" s="21">
        <f>6482.485/7</f>
        <v>926.06928571428568</v>
      </c>
      <c r="K18" s="5">
        <v>1</v>
      </c>
      <c r="L18" s="5">
        <v>48</v>
      </c>
      <c r="M18" s="19">
        <v>1647.915</v>
      </c>
      <c r="N18" s="5">
        <v>13</v>
      </c>
      <c r="O18" s="6">
        <v>46.92307692307692</v>
      </c>
      <c r="P18" s="23">
        <f>20091.805/13</f>
        <v>1545.5234615384616</v>
      </c>
      <c r="Q18" s="29">
        <f>B18+E18+H18+K18+N18</f>
        <v>54</v>
      </c>
      <c r="R18" s="56">
        <f t="shared" si="1"/>
        <v>44.855448717948718</v>
      </c>
      <c r="S18" s="31">
        <f t="shared" si="2"/>
        <v>1319.6563827838829</v>
      </c>
    </row>
    <row r="19" spans="1:19" ht="18" customHeight="1" x14ac:dyDescent="0.2">
      <c r="A19" s="11" t="s">
        <v>4</v>
      </c>
      <c r="B19" s="7">
        <f>(B18-B16)/B16</f>
        <v>0</v>
      </c>
      <c r="C19" s="7">
        <f t="shared" ref="C19:S19" si="5">(C18-C16)/C16</f>
        <v>-6.0311132969223524E-3</v>
      </c>
      <c r="D19" s="7">
        <f t="shared" si="5"/>
        <v>1.658758268551775E-2</v>
      </c>
      <c r="E19" s="7">
        <f t="shared" si="5"/>
        <v>4.3478260869565216E-2</v>
      </c>
      <c r="F19" s="7">
        <f t="shared" si="5"/>
        <v>3.5171812749004022E-2</v>
      </c>
      <c r="G19" s="7">
        <f t="shared" si="5"/>
        <v>2.2310880545500681E-2</v>
      </c>
      <c r="H19" s="7">
        <f t="shared" si="5"/>
        <v>0</v>
      </c>
      <c r="I19" s="7">
        <f t="shared" si="5"/>
        <v>-1.4151423626429595E-2</v>
      </c>
      <c r="J19" s="7">
        <f t="shared" si="5"/>
        <v>2.7158563067998586E-2</v>
      </c>
      <c r="K19" s="7">
        <f t="shared" si="5"/>
        <v>0</v>
      </c>
      <c r="L19" s="7">
        <f t="shared" si="5"/>
        <v>0</v>
      </c>
      <c r="M19" s="7">
        <f t="shared" si="5"/>
        <v>2.0380804953560348E-2</v>
      </c>
      <c r="N19" s="7">
        <f t="shared" si="5"/>
        <v>0</v>
      </c>
      <c r="O19" s="7">
        <f t="shared" si="5"/>
        <v>4.0068201193520864E-2</v>
      </c>
      <c r="P19" s="7">
        <f t="shared" si="5"/>
        <v>7.194912086994544E-2</v>
      </c>
      <c r="Q19" s="32">
        <f t="shared" si="5"/>
        <v>1.8867924528301886E-2</v>
      </c>
      <c r="R19" s="7">
        <f t="shared" si="5"/>
        <v>1.12197500583651E-2</v>
      </c>
      <c r="S19" s="33">
        <f t="shared" si="5"/>
        <v>3.2627969268912475E-2</v>
      </c>
    </row>
    <row r="20" spans="1:19" x14ac:dyDescent="0.2">
      <c r="A20" s="10" t="s">
        <v>15</v>
      </c>
      <c r="B20" s="5">
        <v>8</v>
      </c>
      <c r="C20" s="6">
        <f>344.5/8</f>
        <v>43.0625</v>
      </c>
      <c r="D20" s="13">
        <f>10485.37/8</f>
        <v>1310.6712500000001</v>
      </c>
      <c r="E20" s="5">
        <v>22</v>
      </c>
      <c r="F20" s="6">
        <f>1042/22</f>
        <v>47.363636363636367</v>
      </c>
      <c r="G20" s="21">
        <f>31164.05/22</f>
        <v>1416.5477272727273</v>
      </c>
      <c r="H20" s="1">
        <v>7</v>
      </c>
      <c r="I20" s="6">
        <f>289.17/7</f>
        <v>41.31</v>
      </c>
      <c r="J20" s="21">
        <f>7071.615/7</f>
        <v>1010.2307142857143</v>
      </c>
      <c r="K20" s="5">
        <v>1</v>
      </c>
      <c r="L20" s="1">
        <v>48</v>
      </c>
      <c r="M20" s="19">
        <v>1689.125</v>
      </c>
      <c r="N20" s="5">
        <v>12</v>
      </c>
      <c r="O20" s="6">
        <f>624.75/12</f>
        <v>52.0625</v>
      </c>
      <c r="P20" s="23">
        <f>21979.73/12</f>
        <v>1831.6441666666667</v>
      </c>
      <c r="Q20" s="29">
        <f>B20+E20+H20+K20+N20</f>
        <v>50</v>
      </c>
      <c r="R20" s="56">
        <f t="shared" si="1"/>
        <v>46.359727272727277</v>
      </c>
      <c r="S20" s="31">
        <f t="shared" si="2"/>
        <v>1451.6437716450218</v>
      </c>
    </row>
    <row r="21" spans="1:19" ht="18" customHeight="1" x14ac:dyDescent="0.2">
      <c r="A21" s="11" t="s">
        <v>4</v>
      </c>
      <c r="B21" s="7">
        <f>(B20-B18)/B18</f>
        <v>-0.1111111111111111</v>
      </c>
      <c r="C21" s="7">
        <f t="shared" ref="C21:S21" si="6">(C20-C18)/C18</f>
        <v>9.2773437500000555E-3</v>
      </c>
      <c r="D21" s="7">
        <f t="shared" si="6"/>
        <v>6.9841102487535181E-2</v>
      </c>
      <c r="E21" s="7">
        <f t="shared" si="6"/>
        <v>-8.3333333333333329E-2</v>
      </c>
      <c r="F21" s="7">
        <f t="shared" si="6"/>
        <v>4.8157927825977692E-2</v>
      </c>
      <c r="G21" s="7">
        <f t="shared" si="6"/>
        <v>0.12992448993071182</v>
      </c>
      <c r="H21" s="7">
        <f t="shared" si="6"/>
        <v>0</v>
      </c>
      <c r="I21" s="7">
        <f t="shared" si="6"/>
        <v>-4.5783132530119938E-3</v>
      </c>
      <c r="J21" s="7">
        <f t="shared" si="6"/>
        <v>9.088027199445893E-2</v>
      </c>
      <c r="K21" s="7">
        <f t="shared" si="6"/>
        <v>0</v>
      </c>
      <c r="L21" s="7">
        <f t="shared" si="6"/>
        <v>0</v>
      </c>
      <c r="M21" s="7">
        <f t="shared" si="6"/>
        <v>2.5007357782409916E-2</v>
      </c>
      <c r="N21" s="7">
        <f t="shared" si="6"/>
        <v>-7.6923076923076927E-2</v>
      </c>
      <c r="O21" s="7">
        <f t="shared" si="6"/>
        <v>0.10952868852459025</v>
      </c>
      <c r="P21" s="7">
        <f t="shared" si="6"/>
        <v>0.18512867144921358</v>
      </c>
      <c r="Q21" s="32">
        <f t="shared" si="6"/>
        <v>-7.407407407407407E-2</v>
      </c>
      <c r="R21" s="7">
        <f t="shared" si="6"/>
        <v>3.3536138814204475E-2</v>
      </c>
      <c r="S21" s="33">
        <f t="shared" si="6"/>
        <v>0.10001648200473577</v>
      </c>
    </row>
    <row r="22" spans="1:19" ht="12" customHeight="1" thickBot="1" x14ac:dyDescent="0.2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4"/>
      <c r="R22" s="35"/>
      <c r="S22" s="36"/>
    </row>
    <row r="23" spans="1:19" ht="18" customHeight="1" x14ac:dyDescent="0.2">
      <c r="A23" s="2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9" ht="18" customHeight="1" x14ac:dyDescent="0.2">
      <c r="A24" s="37" t="s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6" spans="1:19" x14ac:dyDescent="0.2">
      <c r="B26" s="8"/>
    </row>
    <row r="30" spans="1:19" x14ac:dyDescent="0.2">
      <c r="A30" s="2"/>
    </row>
    <row r="31" spans="1:19" x14ac:dyDescent="0.2">
      <c r="A31" s="2"/>
    </row>
    <row r="32" spans="1:19" x14ac:dyDescent="0.2">
      <c r="A32" s="2"/>
    </row>
    <row r="33" spans="1:1" x14ac:dyDescent="0.2">
      <c r="A33" s="2"/>
    </row>
  </sheetData>
  <mergeCells count="12">
    <mergeCell ref="K1:M1"/>
    <mergeCell ref="Q1:S1"/>
    <mergeCell ref="B9:D9"/>
    <mergeCell ref="E9:G9"/>
    <mergeCell ref="H9:J9"/>
    <mergeCell ref="N9:P9"/>
    <mergeCell ref="Q9:S9"/>
    <mergeCell ref="K9:M9"/>
    <mergeCell ref="A3:S3"/>
    <mergeCell ref="A4:S4"/>
    <mergeCell ref="A5:S5"/>
    <mergeCell ref="Q2:S2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End 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Blackwell</dc:creator>
  <cp:lastModifiedBy>Patsy</cp:lastModifiedBy>
  <dcterms:created xsi:type="dcterms:W3CDTF">2021-10-23T16:08:25Z</dcterms:created>
  <dcterms:modified xsi:type="dcterms:W3CDTF">2023-06-08T21:04:40Z</dcterms:modified>
</cp:coreProperties>
</file>