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\REQUEST 17-READY (pw)\"/>
    </mc:Choice>
  </mc:AlternateContent>
  <xr:revisionPtr revIDLastSave="0" documentId="13_ncr:1_{9CBB1838-A4DA-4B4E-9D0D-6A13B3ADA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dule G" sheetId="1" r:id="rId1"/>
  </sheets>
  <definedNames>
    <definedName name="_xlnm.Print_Area" localSheetId="0">'Schedule G'!$A$1:$U$29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F10" i="1" l="1"/>
  <c r="C28" i="1" l="1"/>
  <c r="E28" i="1"/>
  <c r="C27" i="1"/>
  <c r="C26" i="1"/>
  <c r="E26" i="1" s="1"/>
  <c r="C24" i="1"/>
  <c r="E24" i="1" s="1"/>
  <c r="C22" i="1"/>
  <c r="E22" i="1" s="1"/>
  <c r="C18" i="1"/>
  <c r="E18" i="1" s="1"/>
  <c r="C16" i="1"/>
  <c r="C15" i="1"/>
  <c r="E15" i="1" s="1"/>
  <c r="C13" i="1"/>
  <c r="E13" i="1" s="1"/>
  <c r="C11" i="1"/>
  <c r="E11" i="1"/>
  <c r="E16" i="1"/>
  <c r="E27" i="1"/>
  <c r="E10" i="1"/>
  <c r="C10" i="1"/>
  <c r="H28" i="1"/>
  <c r="H27" i="1"/>
  <c r="H26" i="1"/>
  <c r="H24" i="1"/>
  <c r="H22" i="1"/>
  <c r="H18" i="1"/>
  <c r="H16" i="1"/>
  <c r="H15" i="1" l="1"/>
  <c r="H13" i="1"/>
  <c r="H11" i="1"/>
  <c r="H10" i="1"/>
  <c r="D24" i="1"/>
  <c r="F28" i="1"/>
  <c r="F27" i="1"/>
  <c r="F26" i="1"/>
  <c r="F24" i="1"/>
  <c r="F22" i="1"/>
  <c r="F18" i="1"/>
  <c r="F15" i="1"/>
  <c r="F13" i="1"/>
  <c r="F11" i="1"/>
  <c r="D28" i="1"/>
  <c r="D27" i="1"/>
  <c r="D22" i="1"/>
  <c r="D18" i="1"/>
  <c r="D15" i="1"/>
  <c r="D13" i="1"/>
  <c r="D11" i="1"/>
  <c r="D10" i="1"/>
  <c r="F16" i="1"/>
  <c r="G15" i="1" l="1"/>
  <c r="G18" i="1"/>
  <c r="D16" i="1"/>
  <c r="I28" i="1"/>
  <c r="I27" i="1"/>
  <c r="I26" i="1"/>
  <c r="G26" i="1"/>
  <c r="I24" i="1"/>
  <c r="I22" i="1"/>
  <c r="I11" i="1" l="1"/>
  <c r="I13" i="1"/>
  <c r="I15" i="1"/>
  <c r="I18" i="1"/>
  <c r="G16" i="1"/>
  <c r="I16" i="1"/>
  <c r="G13" i="1"/>
  <c r="G27" i="1"/>
  <c r="G10" i="1"/>
  <c r="I10" i="1"/>
  <c r="G22" i="1"/>
  <c r="G11" i="1"/>
  <c r="G24" i="1"/>
  <c r="G28" i="1"/>
</calcChain>
</file>

<file path=xl/sharedStrings.xml><?xml version="1.0" encoding="utf-8"?>
<sst xmlns="http://schemas.openxmlformats.org/spreadsheetml/2006/main" count="43" uniqueCount="39">
  <si>
    <t>Schedule G</t>
  </si>
  <si>
    <t>(Total Company)</t>
  </si>
  <si>
    <t>Cost</t>
  </si>
  <si>
    <t>% Inc.</t>
  </si>
  <si>
    <t>% Inc</t>
  </si>
  <si>
    <t>Line No.</t>
  </si>
  <si>
    <t>Item (a)</t>
  </si>
  <si>
    <t>(b)</t>
  </si>
  <si>
    <t>. (c)</t>
  </si>
  <si>
    <t>(d)</t>
  </si>
  <si>
    <t>(e)</t>
  </si>
  <si>
    <t>(f)</t>
  </si>
  <si>
    <t>(g)</t>
  </si>
  <si>
    <t>Cost per kWh of Electricity Generated</t>
  </si>
  <si>
    <t>Cost per kWh of Electricity Purchased</t>
  </si>
  <si>
    <t>Cost per kWh of Electricity Sold</t>
  </si>
  <si>
    <t>Maintenance Cost per Transmission Mile</t>
  </si>
  <si>
    <t>Maintenance Cost per Distribution Mile</t>
  </si>
  <si>
    <t>Sales Promotion Expense per Customer</t>
  </si>
  <si>
    <t>Administration and General Expense per Customer</t>
  </si>
  <si>
    <t>Wages and Salaries – Charged Expense – per Average Employee</t>
  </si>
  <si>
    <t>Depreciation Expense:</t>
  </si>
  <si>
    <t>Per $100 of Average Gross Depreciable Plant in Service</t>
  </si>
  <si>
    <t>Rents:</t>
  </si>
  <si>
    <t>Per $100 of Average Gross Plant in Service</t>
  </si>
  <si>
    <t>Property Taxes:</t>
  </si>
  <si>
    <t>Per $100 of Average Net Plant in Service</t>
  </si>
  <si>
    <t>Payroll Taxes:</t>
  </si>
  <si>
    <t>Per Average Employee whose Salary is Charged to Expense</t>
  </si>
  <si>
    <t>Interest Expense:</t>
  </si>
  <si>
    <t>Per $100 of Average Debt Outstanding</t>
  </si>
  <si>
    <t>Per $100 of Average Plant Investment</t>
  </si>
  <si>
    <t>Per kWh Sold</t>
  </si>
  <si>
    <t>Meter Reading Expense per Meter</t>
  </si>
  <si>
    <t>Three Most Recent Calendar years</t>
  </si>
  <si>
    <t>Test Year - 2021</t>
  </si>
  <si>
    <t>Taylor County Rural Energy Cooperative Corporation</t>
  </si>
  <si>
    <t>Case No. 2023-00147</t>
  </si>
  <si>
    <r>
      <t>Comparative Operating Statistics – Electric Operations For the Calendar Years 2020 through 2022</t>
    </r>
    <r>
      <rPr>
        <b/>
        <u/>
        <sz val="10"/>
        <color theme="1"/>
        <rFont val="Arial"/>
        <family val="2"/>
      </rPr>
      <t xml:space="preserve">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</si>
</sst>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7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double">
        <color rgb="FF000000"/>
      </right>
      <top style="medium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1" applyNumberFormat="1" applyFont="1"/>
    <xf numFmtId="10" fontId="0" fillId="0" borderId="0" xfId="3" applyNumberFormat="1" applyFont="1"/>
    <xf numFmtId="10" fontId="3" fillId="0" borderId="23" xfId="3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44" fontId="3" fillId="0" borderId="20" xfId="2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vertical="center" wrapText="1"/>
    </xf>
    <xf numFmtId="165" fontId="3" fillId="0" borderId="22" xfId="2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0" fontId="3" fillId="0" borderId="22" xfId="3" applyNumberFormat="1" applyFont="1" applyFill="1" applyBorder="1" applyAlignment="1">
      <alignment vertical="center" wrapText="1"/>
    </xf>
    <xf numFmtId="44" fontId="3" fillId="0" borderId="22" xfId="2" applyFont="1" applyFill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19" xfId="0" applyFont="1" applyBorder="1" applyAlignment="1">
      <alignment horizontal="left" vertical="center" wrapText="1" indent="2"/>
    </xf>
    <xf numFmtId="0" fontId="3" fillId="0" borderId="20" xfId="0" applyFont="1" applyBorder="1" applyAlignment="1">
      <alignment horizontal="left" vertical="center" wrapText="1" indent="1"/>
    </xf>
    <xf numFmtId="44" fontId="3" fillId="0" borderId="20" xfId="2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44" fontId="3" fillId="0" borderId="24" xfId="2" applyFont="1" applyFill="1" applyBorder="1" applyAlignment="1">
      <alignment vertical="center"/>
    </xf>
    <xf numFmtId="166" fontId="3" fillId="0" borderId="22" xfId="2" applyNumberFormat="1" applyFont="1" applyFill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7" fontId="3" fillId="0" borderId="22" xfId="2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 indent="12"/>
    </xf>
    <xf numFmtId="0" fontId="3" fillId="0" borderId="12" xfId="0" applyFont="1" applyBorder="1" applyAlignment="1">
      <alignment horizontal="left" vertical="center" wrapText="1" indent="12"/>
    </xf>
    <xf numFmtId="0" fontId="3" fillId="0" borderId="13" xfId="0" applyFont="1" applyBorder="1" applyAlignment="1">
      <alignment horizontal="left" vertical="center" wrapText="1" indent="12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tabSelected="1" zoomScale="136" zoomScaleNormal="136" workbookViewId="0">
      <selection activeCell="K17" sqref="K17"/>
    </sheetView>
  </sheetViews>
  <sheetFormatPr defaultRowHeight="15" x14ac:dyDescent="0.25"/>
  <cols>
    <col min="2" max="2" width="39" customWidth="1"/>
    <col min="3" max="3" width="0.85546875" customWidth="1"/>
    <col min="4" max="4" width="12.140625" customWidth="1"/>
    <col min="5" max="5" width="9.42578125" customWidth="1"/>
    <col min="6" max="6" width="11.28515625" customWidth="1"/>
    <col min="7" max="7" width="10.140625" customWidth="1"/>
    <col min="8" max="9" width="10.28515625" customWidth="1"/>
  </cols>
  <sheetData>
    <row r="1" spans="1:12" ht="17.25" customHeight="1" thickTop="1" x14ac:dyDescent="0.25">
      <c r="A1" s="47"/>
      <c r="B1" s="50" t="s">
        <v>36</v>
      </c>
      <c r="C1" s="50"/>
      <c r="D1" s="50"/>
      <c r="E1" s="50"/>
      <c r="F1" s="50"/>
      <c r="G1" s="52" t="s">
        <v>0</v>
      </c>
      <c r="H1" s="52"/>
      <c r="I1" s="53"/>
    </row>
    <row r="2" spans="1:12" ht="16.149999999999999" customHeight="1" x14ac:dyDescent="0.25">
      <c r="A2" s="48"/>
      <c r="B2" s="50" t="s">
        <v>37</v>
      </c>
      <c r="C2" s="50"/>
      <c r="D2" s="50"/>
      <c r="E2" s="50"/>
      <c r="F2" s="50"/>
      <c r="G2" s="54"/>
      <c r="H2" s="54"/>
      <c r="I2" s="55"/>
    </row>
    <row r="3" spans="1:12" ht="13.15" customHeight="1" x14ac:dyDescent="0.25">
      <c r="A3" s="48"/>
      <c r="B3" s="50" t="s">
        <v>38</v>
      </c>
      <c r="C3" s="50"/>
      <c r="D3" s="50"/>
      <c r="E3" s="50"/>
      <c r="F3" s="50"/>
      <c r="G3" s="54"/>
      <c r="H3" s="54"/>
      <c r="I3" s="55"/>
    </row>
    <row r="4" spans="1:12" ht="15.75" thickBot="1" x14ac:dyDescent="0.3">
      <c r="A4" s="49"/>
      <c r="B4" s="51" t="s">
        <v>1</v>
      </c>
      <c r="C4" s="51"/>
      <c r="D4" s="51"/>
      <c r="E4" s="51"/>
      <c r="F4" s="51"/>
      <c r="G4" s="56"/>
      <c r="H4" s="56"/>
      <c r="I4" s="57"/>
    </row>
    <row r="5" spans="1:12" ht="16.5" thickTop="1" thickBot="1" x14ac:dyDescent="0.3">
      <c r="A5" s="9"/>
      <c r="B5" s="10"/>
      <c r="C5" s="33"/>
      <c r="D5" s="40" t="s">
        <v>34</v>
      </c>
      <c r="E5" s="41"/>
      <c r="F5" s="41"/>
      <c r="G5" s="41"/>
      <c r="H5" s="41"/>
      <c r="I5" s="42"/>
    </row>
    <row r="6" spans="1:12" ht="15.75" thickBot="1" x14ac:dyDescent="0.3">
      <c r="A6" s="11"/>
      <c r="B6" s="34"/>
      <c r="C6" s="37">
        <v>2019</v>
      </c>
      <c r="D6" s="43">
        <v>2020</v>
      </c>
      <c r="E6" s="44"/>
      <c r="F6" s="45" t="s">
        <v>35</v>
      </c>
      <c r="G6" s="44"/>
      <c r="H6" s="45">
        <v>2022</v>
      </c>
      <c r="I6" s="46"/>
    </row>
    <row r="7" spans="1:12" x14ac:dyDescent="0.25">
      <c r="A7" s="12"/>
      <c r="B7" s="35"/>
      <c r="C7" s="38" t="s">
        <v>2</v>
      </c>
      <c r="D7" s="13" t="s">
        <v>2</v>
      </c>
      <c r="E7" s="14" t="s">
        <v>3</v>
      </c>
      <c r="F7" s="13" t="s">
        <v>2</v>
      </c>
      <c r="G7" s="14" t="s">
        <v>4</v>
      </c>
      <c r="H7" s="13" t="s">
        <v>2</v>
      </c>
      <c r="I7" s="15" t="s">
        <v>4</v>
      </c>
      <c r="L7" s="1"/>
    </row>
    <row r="8" spans="1:12" ht="15.75" thickBot="1" x14ac:dyDescent="0.3">
      <c r="A8" s="16" t="s">
        <v>5</v>
      </c>
      <c r="B8" s="32" t="s">
        <v>6</v>
      </c>
      <c r="C8" s="36"/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8" t="s">
        <v>12</v>
      </c>
      <c r="K8" s="2"/>
    </row>
    <row r="9" spans="1:12" ht="16.5" thickTop="1" thickBot="1" x14ac:dyDescent="0.3">
      <c r="A9" s="19">
        <v>1</v>
      </c>
      <c r="B9" s="20" t="s">
        <v>13</v>
      </c>
      <c r="C9" s="20"/>
      <c r="D9" s="21">
        <v>0</v>
      </c>
      <c r="E9" s="20"/>
      <c r="F9" s="21"/>
      <c r="G9" s="20"/>
      <c r="H9" s="21"/>
      <c r="I9" s="22"/>
    </row>
    <row r="10" spans="1:12" ht="15.75" thickBot="1" x14ac:dyDescent="0.3">
      <c r="A10" s="19">
        <v>2</v>
      </c>
      <c r="B10" s="20" t="s">
        <v>14</v>
      </c>
      <c r="C10" s="21">
        <f>35984235/577856395</f>
        <v>6.22719334965567E-2</v>
      </c>
      <c r="D10" s="21">
        <f>33254997/575993383</f>
        <v>5.7735033042905635E-2</v>
      </c>
      <c r="E10" s="23">
        <f>(D10-C10)/C10</f>
        <v>-7.2856264434152038E-2</v>
      </c>
      <c r="F10" s="21">
        <f>38800021/612802087</f>
        <v>6.3315745528784398E-2</v>
      </c>
      <c r="G10" s="23">
        <f>(F10-D10)/D10</f>
        <v>9.6660765426971718E-2</v>
      </c>
      <c r="H10" s="21">
        <f>49401903/589805880</f>
        <v>8.3759597310220105E-2</v>
      </c>
      <c r="I10" s="3">
        <f>(H10-F10)/F10</f>
        <v>0.32288732622032523</v>
      </c>
    </row>
    <row r="11" spans="1:12" ht="15.75" thickBot="1" x14ac:dyDescent="0.3">
      <c r="A11" s="19">
        <v>3</v>
      </c>
      <c r="B11" s="20" t="s">
        <v>15</v>
      </c>
      <c r="C11" s="21">
        <f>45719119/549654195</f>
        <v>8.3177967922176965E-2</v>
      </c>
      <c r="D11" s="21">
        <f>43279729/547770660</f>
        <v>7.9010673919629071E-2</v>
      </c>
      <c r="E11" s="23">
        <f t="shared" ref="E11:E28" si="0">(D11-C11)/C11</f>
        <v>-5.0100935459819133E-2</v>
      </c>
      <c r="F11" s="21">
        <f>48719895/583874807</f>
        <v>8.3442365411049491E-2</v>
      </c>
      <c r="G11" s="23">
        <f t="shared" ref="G11:G18" si="1">(F11-D11)/D11</f>
        <v>5.6089782197382691E-2</v>
      </c>
      <c r="H11" s="21">
        <f>60012032/562152646</f>
        <v>0.1067539794164733</v>
      </c>
      <c r="I11" s="3">
        <f t="shared" ref="I11:I28" si="2">(H11-F11)/F11</f>
        <v>0.27937383954286693</v>
      </c>
    </row>
    <row r="12" spans="1:12" ht="15.75" thickBot="1" x14ac:dyDescent="0.3">
      <c r="A12" s="19">
        <v>4</v>
      </c>
      <c r="B12" s="20" t="s">
        <v>16</v>
      </c>
      <c r="C12" s="21">
        <v>0</v>
      </c>
      <c r="D12" s="21">
        <v>0</v>
      </c>
      <c r="E12" s="23"/>
      <c r="F12" s="21">
        <v>0</v>
      </c>
      <c r="G12" s="23"/>
      <c r="H12" s="21">
        <v>0</v>
      </c>
      <c r="I12" s="3"/>
    </row>
    <row r="13" spans="1:12" ht="15.75" thickBot="1" x14ac:dyDescent="0.3">
      <c r="A13" s="19">
        <v>5</v>
      </c>
      <c r="B13" s="20" t="s">
        <v>17</v>
      </c>
      <c r="C13" s="24">
        <f>(2161455+1945700)/3298.67</f>
        <v>1245.094234949237</v>
      </c>
      <c r="D13" s="24">
        <f>(1921674+1972675)/3311.38</f>
        <v>1176.0501663958833</v>
      </c>
      <c r="E13" s="23">
        <f t="shared" si="0"/>
        <v>-5.5452885906397867E-2</v>
      </c>
      <c r="F13" s="24">
        <f>(2266760+2646181)/3334.15</f>
        <v>1473.5212872846153</v>
      </c>
      <c r="G13" s="23">
        <f t="shared" si="1"/>
        <v>0.25294084333184558</v>
      </c>
      <c r="H13" s="24">
        <f>(2275849+3536813)/3342.14</f>
        <v>1739.2036240253251</v>
      </c>
      <c r="I13" s="3">
        <f t="shared" si="2"/>
        <v>0.18030437634891966</v>
      </c>
    </row>
    <row r="14" spans="1:12" ht="15.75" thickBot="1" x14ac:dyDescent="0.3">
      <c r="A14" s="19">
        <v>6</v>
      </c>
      <c r="B14" s="20" t="s">
        <v>18</v>
      </c>
      <c r="C14" s="21">
        <v>0</v>
      </c>
      <c r="D14" s="21">
        <v>0</v>
      </c>
      <c r="E14" s="23"/>
      <c r="F14" s="21">
        <v>0</v>
      </c>
      <c r="G14" s="23"/>
      <c r="H14" s="21">
        <v>0</v>
      </c>
      <c r="I14" s="3"/>
    </row>
    <row r="15" spans="1:12" ht="24.75" thickBot="1" x14ac:dyDescent="0.3">
      <c r="A15" s="19">
        <v>7</v>
      </c>
      <c r="B15" s="20" t="s">
        <v>19</v>
      </c>
      <c r="C15" s="39">
        <f>1515304/26705</f>
        <v>56.742332896461335</v>
      </c>
      <c r="D15" s="24">
        <f>1415183/27070</f>
        <v>52.278647949759879</v>
      </c>
      <c r="E15" s="23">
        <f t="shared" si="0"/>
        <v>-7.8665869358004986E-2</v>
      </c>
      <c r="F15" s="24">
        <f>1683907/27437</f>
        <v>61.373583117687794</v>
      </c>
      <c r="G15" s="23">
        <f t="shared" si="1"/>
        <v>0.17397035930745963</v>
      </c>
      <c r="H15" s="24">
        <f>1941226/27900</f>
        <v>69.577992831541223</v>
      </c>
      <c r="I15" s="3">
        <f t="shared" si="2"/>
        <v>0.13367982276871379</v>
      </c>
    </row>
    <row r="16" spans="1:12" ht="24.75" thickBot="1" x14ac:dyDescent="0.3">
      <c r="A16" s="19">
        <v>8</v>
      </c>
      <c r="B16" s="20" t="s">
        <v>20</v>
      </c>
      <c r="C16" s="39">
        <f>2089924/57</f>
        <v>36665.333333333336</v>
      </c>
      <c r="D16" s="24">
        <f>2140177/57</f>
        <v>37546.964912280702</v>
      </c>
      <c r="E16" s="23">
        <f t="shared" si="0"/>
        <v>2.4045371984818532E-2</v>
      </c>
      <c r="F16" s="24">
        <f>2230366/58</f>
        <v>38454.586206896551</v>
      </c>
      <c r="G16" s="23">
        <f t="shared" si="1"/>
        <v>2.4172960364074261E-2</v>
      </c>
      <c r="H16" s="24">
        <f>2500246/60</f>
        <v>41670.76666666667</v>
      </c>
      <c r="I16" s="3">
        <f t="shared" si="2"/>
        <v>8.3635809847651427E-2</v>
      </c>
    </row>
    <row r="17" spans="1:10" ht="15.75" thickBot="1" x14ac:dyDescent="0.3">
      <c r="A17" s="19">
        <v>9</v>
      </c>
      <c r="B17" s="20" t="s">
        <v>21</v>
      </c>
      <c r="C17" s="21"/>
      <c r="D17" s="24"/>
      <c r="E17" s="23"/>
      <c r="F17" s="24"/>
      <c r="G17" s="23"/>
      <c r="H17" s="24"/>
      <c r="I17" s="3"/>
    </row>
    <row r="18" spans="1:10" ht="24.75" thickBot="1" x14ac:dyDescent="0.3">
      <c r="A18" s="19">
        <v>10</v>
      </c>
      <c r="B18" s="25" t="s">
        <v>22</v>
      </c>
      <c r="C18" s="39">
        <f>(2985427/94914005)*100</f>
        <v>3.1454019878309847</v>
      </c>
      <c r="D18" s="24">
        <f>(3102799/98915194)*100</f>
        <v>3.1368274928521096</v>
      </c>
      <c r="E18" s="23">
        <f t="shared" si="0"/>
        <v>-2.7260410631290738E-3</v>
      </c>
      <c r="F18" s="24">
        <f>(3259870/102838792)*100</f>
        <v>3.1698835980103692</v>
      </c>
      <c r="G18" s="23">
        <f t="shared" si="1"/>
        <v>1.0538069190474961E-2</v>
      </c>
      <c r="H18" s="24">
        <f>(3370955/106855515)*100</f>
        <v>3.1546850904232691</v>
      </c>
      <c r="I18" s="3">
        <f t="shared" si="2"/>
        <v>-4.7946579478942925E-3</v>
      </c>
    </row>
    <row r="19" spans="1:10" ht="15.75" thickBot="1" x14ac:dyDescent="0.3">
      <c r="A19" s="19">
        <v>11</v>
      </c>
      <c r="B19" s="20" t="s">
        <v>23</v>
      </c>
      <c r="C19" s="21"/>
      <c r="D19" s="24"/>
      <c r="E19" s="23"/>
      <c r="F19" s="24"/>
      <c r="G19" s="23"/>
      <c r="H19" s="24"/>
      <c r="I19" s="3"/>
    </row>
    <row r="20" spans="1:10" ht="15.75" thickBot="1" x14ac:dyDescent="0.3">
      <c r="A20" s="26">
        <v>12</v>
      </c>
      <c r="B20" s="27" t="s">
        <v>24</v>
      </c>
      <c r="C20" s="21">
        <v>0</v>
      </c>
      <c r="D20" s="24">
        <v>0</v>
      </c>
      <c r="E20" s="23"/>
      <c r="F20" s="28">
        <v>0</v>
      </c>
      <c r="G20" s="23"/>
      <c r="H20" s="28">
        <v>0</v>
      </c>
      <c r="I20" s="3"/>
    </row>
    <row r="21" spans="1:10" ht="16.5" thickTop="1" thickBot="1" x14ac:dyDescent="0.3">
      <c r="A21" s="29">
        <v>13</v>
      </c>
      <c r="B21" s="20" t="s">
        <v>25</v>
      </c>
      <c r="C21" s="21"/>
      <c r="D21" s="20"/>
      <c r="E21" s="23"/>
      <c r="F21" s="20"/>
      <c r="G21" s="20"/>
      <c r="H21" s="20"/>
      <c r="I21" s="3"/>
    </row>
    <row r="22" spans="1:10" ht="15.75" thickBot="1" x14ac:dyDescent="0.3">
      <c r="A22" s="29">
        <v>14</v>
      </c>
      <c r="B22" s="25" t="s">
        <v>26</v>
      </c>
      <c r="C22" s="21">
        <f>(607681/60321988)*100</f>
        <v>1.0073955122301339</v>
      </c>
      <c r="D22" s="21">
        <f>(798727/62109776)*100</f>
        <v>1.2859924015826429</v>
      </c>
      <c r="E22" s="23">
        <f t="shared" si="0"/>
        <v>0.27655164825557127</v>
      </c>
      <c r="F22" s="21">
        <f>(643579/63891547)*100</f>
        <v>1.0072991345787885</v>
      </c>
      <c r="G22" s="23">
        <f>(F22-D22)/D22</f>
        <v>-0.21671455185961649</v>
      </c>
      <c r="H22" s="21">
        <f>(658533/65668481)*100</f>
        <v>1.002814424777086</v>
      </c>
      <c r="I22" s="3">
        <f t="shared" si="2"/>
        <v>-4.4522125034662926E-3</v>
      </c>
    </row>
    <row r="23" spans="1:10" ht="15.75" thickBot="1" x14ac:dyDescent="0.3">
      <c r="A23" s="29">
        <v>15</v>
      </c>
      <c r="B23" s="20" t="s">
        <v>27</v>
      </c>
      <c r="C23" s="21"/>
      <c r="D23" s="24"/>
      <c r="E23" s="23"/>
      <c r="F23" s="24"/>
      <c r="G23" s="23"/>
      <c r="H23" s="24"/>
      <c r="I23" s="3"/>
    </row>
    <row r="24" spans="1:10" ht="24.75" thickBot="1" x14ac:dyDescent="0.3">
      <c r="A24" s="29">
        <v>16</v>
      </c>
      <c r="B24" s="25" t="s">
        <v>28</v>
      </c>
      <c r="C24" s="39">
        <f>(721779*64%)/57</f>
        <v>8104.185263157895</v>
      </c>
      <c r="D24" s="24">
        <f>(762874*62%)/57</f>
        <v>8297.9277192982463</v>
      </c>
      <c r="E24" s="23">
        <f t="shared" si="0"/>
        <v>2.3906469293232473E-2</v>
      </c>
      <c r="F24" s="24">
        <f>(806957*63%)/58</f>
        <v>8765.2225862068972</v>
      </c>
      <c r="G24" s="23">
        <f t="shared" ref="G24:G28" si="3">(F24-D24)/D24</f>
        <v>5.6314646586023753E-2</v>
      </c>
      <c r="H24" s="24">
        <f>(913085*63%)/60</f>
        <v>9587.3924999999999</v>
      </c>
      <c r="I24" s="3">
        <f t="shared" si="2"/>
        <v>9.3799091318785596E-2</v>
      </c>
    </row>
    <row r="25" spans="1:10" ht="15.75" thickBot="1" x14ac:dyDescent="0.3">
      <c r="A25" s="29">
        <v>17</v>
      </c>
      <c r="B25" s="20" t="s">
        <v>29</v>
      </c>
      <c r="C25" s="21"/>
      <c r="D25" s="24"/>
      <c r="E25" s="23"/>
      <c r="F25" s="24"/>
      <c r="G25" s="23"/>
      <c r="H25" s="24"/>
      <c r="I25" s="3"/>
    </row>
    <row r="26" spans="1:10" ht="15.75" thickBot="1" x14ac:dyDescent="0.3">
      <c r="A26" s="29">
        <v>18</v>
      </c>
      <c r="B26" s="25" t="s">
        <v>30</v>
      </c>
      <c r="C26" s="30">
        <f>(872022/24488802)*100</f>
        <v>3.5609010191678627</v>
      </c>
      <c r="D26" s="30">
        <f>(730071/27465931)*100</f>
        <v>2.6580966798467527</v>
      </c>
      <c r="E26" s="23">
        <f t="shared" si="0"/>
        <v>-0.25353255663705138</v>
      </c>
      <c r="F26" s="30">
        <f>(642670/25577711)*100</f>
        <v>2.5126173331147577</v>
      </c>
      <c r="G26" s="23">
        <f t="shared" si="3"/>
        <v>-5.4730645365533639E-2</v>
      </c>
      <c r="H26" s="24">
        <f>(812136/29887592)*100</f>
        <v>2.7173015477459677</v>
      </c>
      <c r="I26" s="3">
        <f t="shared" si="2"/>
        <v>8.14625498015943E-2</v>
      </c>
      <c r="J26" s="4"/>
    </row>
    <row r="27" spans="1:10" ht="15.75" thickBot="1" x14ac:dyDescent="0.3">
      <c r="A27" s="29">
        <v>19</v>
      </c>
      <c r="B27" s="25" t="s">
        <v>31</v>
      </c>
      <c r="C27" s="39">
        <f>((872022/60321988)*100)</f>
        <v>1.4456121704742224</v>
      </c>
      <c r="D27" s="24">
        <f>((730071/62109776)*100)</f>
        <v>1.1754526372788721</v>
      </c>
      <c r="E27" s="23">
        <f t="shared" si="0"/>
        <v>-0.18688244240965854</v>
      </c>
      <c r="F27" s="24">
        <f>((642670/63891547)*100)</f>
        <v>1.00587641116281</v>
      </c>
      <c r="G27" s="23">
        <f t="shared" si="3"/>
        <v>-0.14426461835895366</v>
      </c>
      <c r="H27" s="24">
        <f>((812136/65668481)*100)</f>
        <v>1.2367211600341419</v>
      </c>
      <c r="I27" s="3">
        <f t="shared" si="2"/>
        <v>0.22949613522050039</v>
      </c>
    </row>
    <row r="28" spans="1:10" ht="15.75" thickBot="1" x14ac:dyDescent="0.3">
      <c r="A28" s="29">
        <v>20</v>
      </c>
      <c r="B28" s="25" t="s">
        <v>32</v>
      </c>
      <c r="C28" s="21">
        <f>872022/549654195</f>
        <v>1.5864920306848562E-3</v>
      </c>
      <c r="D28" s="31">
        <f>730071/547770660</f>
        <v>1.3328041337591903E-3</v>
      </c>
      <c r="E28" s="23">
        <f t="shared" si="0"/>
        <v>-0.15990492988241112</v>
      </c>
      <c r="F28" s="31">
        <f>642670/583874807</f>
        <v>1.1006982871929257E-3</v>
      </c>
      <c r="G28" s="23">
        <f t="shared" si="3"/>
        <v>-0.17414850441047722</v>
      </c>
      <c r="H28" s="31">
        <f>812136/562152646</f>
        <v>1.4446894553974937E-3</v>
      </c>
      <c r="I28" s="3">
        <f t="shared" si="2"/>
        <v>0.31252085354092557</v>
      </c>
    </row>
    <row r="29" spans="1:10" ht="15.75" thickBot="1" x14ac:dyDescent="0.3">
      <c r="A29" s="5">
        <v>21</v>
      </c>
      <c r="B29" s="6" t="s">
        <v>33</v>
      </c>
      <c r="C29" s="21">
        <v>0</v>
      </c>
      <c r="D29" s="7">
        <v>0</v>
      </c>
      <c r="E29" s="23"/>
      <c r="F29" s="7">
        <v>0</v>
      </c>
      <c r="G29" s="6"/>
      <c r="H29" s="7">
        <v>0</v>
      </c>
      <c r="I29" s="8"/>
    </row>
    <row r="30" spans="1:10" ht="15.75" thickTop="1" x14ac:dyDescent="0.25"/>
  </sheetData>
  <mergeCells count="10">
    <mergeCell ref="D5:I5"/>
    <mergeCell ref="D6:E6"/>
    <mergeCell ref="F6:G6"/>
    <mergeCell ref="H6:I6"/>
    <mergeCell ref="A1:A4"/>
    <mergeCell ref="B1:F1"/>
    <mergeCell ref="G1:I4"/>
    <mergeCell ref="B2:F2"/>
    <mergeCell ref="B3:F3"/>
    <mergeCell ref="B4:F4"/>
  </mergeCells>
  <pageMargins left="0.7" right="0.7" top="0.75" bottom="0.75" header="0.3" footer="0.3"/>
  <pageSetup paperSize="5" scale="73" orientation="landscape" r:id="rId1"/>
  <ignoredErrors>
    <ignoredError sqref="H10:H11 H13 H15:H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 G</vt:lpstr>
      <vt:lpstr>'Schedule 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Patsy</cp:lastModifiedBy>
  <dcterms:created xsi:type="dcterms:W3CDTF">2021-12-18T13:58:40Z</dcterms:created>
  <dcterms:modified xsi:type="dcterms:W3CDTF">2023-06-08T19:54:02Z</dcterms:modified>
</cp:coreProperties>
</file>