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ricing\Isaac\Excel Files\"/>
    </mc:Choice>
  </mc:AlternateContent>
  <bookViews>
    <workbookView xWindow="0" yWindow="0" windowWidth="28800" windowHeight="14115"/>
  </bookViews>
  <sheets>
    <sheet name="Margins" sheetId="8" r:id="rId1"/>
    <sheet name=" Allocation Pg 1" sheetId="2" r:id="rId2"/>
    <sheet name="Allocation Pg 2" sheetId="9" r:id="rId3"/>
    <sheet name="Revenue Detail" sheetId="1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8" l="1"/>
  <c r="K84" i="1" l="1"/>
  <c r="K78" i="1"/>
  <c r="K75" i="1"/>
  <c r="K56" i="1"/>
  <c r="K46" i="1"/>
  <c r="K30" i="1"/>
  <c r="K87" i="1"/>
  <c r="K105" i="1" l="1"/>
  <c r="J105" i="1"/>
  <c r="K104" i="1"/>
  <c r="J104" i="1"/>
  <c r="K103" i="1"/>
  <c r="J103" i="1"/>
  <c r="K102" i="1"/>
  <c r="J102" i="1"/>
  <c r="K101" i="1"/>
  <c r="J101" i="1"/>
  <c r="K100" i="1"/>
  <c r="J100" i="1"/>
  <c r="K99" i="1"/>
  <c r="J99" i="1"/>
  <c r="K98" i="1"/>
  <c r="J98" i="1"/>
  <c r="K97" i="1"/>
  <c r="J97" i="1"/>
  <c r="K96" i="1"/>
  <c r="J96" i="1"/>
  <c r="K95" i="1"/>
  <c r="J95" i="1"/>
  <c r="K94" i="1"/>
  <c r="J94" i="1"/>
  <c r="K93" i="1"/>
  <c r="J93" i="1"/>
  <c r="K92" i="1"/>
  <c r="J92" i="1"/>
  <c r="K91" i="1"/>
  <c r="J91" i="1"/>
  <c r="K90" i="1"/>
  <c r="J90" i="1"/>
  <c r="K82" i="1"/>
  <c r="J82" i="1"/>
  <c r="K81" i="1"/>
  <c r="J81" i="1"/>
  <c r="K73" i="1"/>
  <c r="J73" i="1"/>
  <c r="K72" i="1"/>
  <c r="J72" i="1"/>
  <c r="K71" i="1"/>
  <c r="J71" i="1"/>
  <c r="K70" i="1"/>
  <c r="J70" i="1"/>
  <c r="K69" i="1"/>
  <c r="J69" i="1"/>
  <c r="K54" i="1"/>
  <c r="J54" i="1"/>
  <c r="K53" i="1"/>
  <c r="J53" i="1"/>
  <c r="K52" i="1"/>
  <c r="J52" i="1"/>
  <c r="K51" i="1"/>
  <c r="J51" i="1"/>
  <c r="K50" i="1"/>
  <c r="J50" i="1"/>
  <c r="K49" i="1"/>
  <c r="J49" i="1"/>
  <c r="K44" i="1"/>
  <c r="J44" i="1"/>
  <c r="K43" i="1"/>
  <c r="J43" i="1"/>
  <c r="K42" i="1"/>
  <c r="J42" i="1"/>
  <c r="K41" i="1"/>
  <c r="J41" i="1"/>
  <c r="K40" i="1"/>
  <c r="J40" i="1"/>
  <c r="K39" i="1"/>
  <c r="J39" i="1"/>
  <c r="K38" i="1"/>
  <c r="J38" i="1"/>
  <c r="K37" i="1"/>
  <c r="J37" i="1"/>
  <c r="K36" i="1"/>
  <c r="J36" i="1"/>
  <c r="K35" i="1"/>
  <c r="J35" i="1"/>
  <c r="K34" i="1"/>
  <c r="J34" i="1"/>
  <c r="K33" i="1"/>
  <c r="J33" i="1"/>
  <c r="K28" i="1"/>
  <c r="J28" i="1"/>
  <c r="K27" i="1"/>
  <c r="J27" i="1"/>
  <c r="K26" i="1"/>
  <c r="J26" i="1"/>
  <c r="K25" i="1"/>
  <c r="J25" i="1"/>
  <c r="K24" i="1"/>
  <c r="J24" i="1"/>
  <c r="K23" i="1"/>
  <c r="J23" i="1"/>
  <c r="K22" i="1"/>
  <c r="J22" i="1"/>
  <c r="K21" i="1"/>
  <c r="J21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F95" i="1" l="1"/>
  <c r="E95" i="1"/>
  <c r="D95" i="1"/>
  <c r="H95" i="1"/>
  <c r="C95" i="1"/>
  <c r="C105" i="1" l="1"/>
  <c r="C104" i="1"/>
  <c r="C103" i="1"/>
  <c r="C102" i="1"/>
  <c r="C101" i="1"/>
  <c r="C100" i="1"/>
  <c r="C99" i="1"/>
  <c r="C98" i="1"/>
  <c r="C97" i="1"/>
  <c r="C96" i="1"/>
  <c r="C94" i="1"/>
  <c r="C93" i="1"/>
  <c r="C92" i="1"/>
  <c r="C91" i="1"/>
  <c r="C90" i="1"/>
  <c r="C20" i="1"/>
  <c r="C107" i="1" l="1"/>
  <c r="A48" i="9"/>
  <c r="A49" i="9" s="1"/>
  <c r="G96" i="1"/>
  <c r="F96" i="1"/>
  <c r="E96" i="1"/>
  <c r="D96" i="1"/>
  <c r="H93" i="1"/>
  <c r="G93" i="1"/>
  <c r="F93" i="1"/>
  <c r="E93" i="1"/>
  <c r="D93" i="1"/>
  <c r="H70" i="1"/>
  <c r="A71" i="1"/>
  <c r="A70" i="1"/>
  <c r="C56" i="1"/>
  <c r="H52" i="1"/>
  <c r="G56" i="1"/>
  <c r="F56" i="1"/>
  <c r="E56" i="1"/>
  <c r="D56" i="1"/>
  <c r="H49" i="1"/>
  <c r="B1" i="1"/>
  <c r="B1" i="2" s="1"/>
  <c r="A56" i="8" l="1"/>
  <c r="A57" i="8" s="1"/>
  <c r="A58" i="8" s="1"/>
  <c r="A59" i="8" s="1"/>
  <c r="B1" i="9" l="1"/>
  <c r="H72" i="1" l="1"/>
  <c r="G97" i="1"/>
  <c r="F97" i="1"/>
  <c r="E97" i="1"/>
  <c r="D97" i="1"/>
  <c r="G105" i="1"/>
  <c r="F105" i="1"/>
  <c r="E105" i="1"/>
  <c r="D105" i="1"/>
  <c r="G95" i="1"/>
  <c r="H35" i="1"/>
  <c r="A63" i="2" l="1"/>
  <c r="A64" i="2" s="1"/>
  <c r="A2" i="9"/>
  <c r="A3" i="9" s="1"/>
  <c r="A4" i="9" s="1"/>
  <c r="A5" i="9" s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l="1"/>
  <c r="A50" i="9" s="1"/>
  <c r="A51" i="9" s="1"/>
  <c r="A52" i="9" s="1"/>
  <c r="A53" i="9" s="1"/>
  <c r="F14" i="8"/>
  <c r="F22" i="8" s="1"/>
  <c r="F36" i="8"/>
  <c r="F40" i="8" s="1"/>
  <c r="A2" i="8"/>
  <c r="A3" i="8" s="1"/>
  <c r="A4" i="8" s="1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F38" i="8" l="1"/>
  <c r="F42" i="8"/>
  <c r="F48" i="8" s="1"/>
  <c r="F27" i="8"/>
  <c r="F31" i="8" s="1"/>
  <c r="F46" i="8"/>
  <c r="F50" i="8" s="1"/>
  <c r="D7" i="2" s="1"/>
  <c r="A2" i="2" l="1"/>
  <c r="A3" i="2" s="1"/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G104" i="1"/>
  <c r="F104" i="1"/>
  <c r="E104" i="1"/>
  <c r="D104" i="1"/>
  <c r="G103" i="1"/>
  <c r="F103" i="1"/>
  <c r="E103" i="1"/>
  <c r="D103" i="1"/>
  <c r="G102" i="1"/>
  <c r="F102" i="1"/>
  <c r="E102" i="1"/>
  <c r="D102" i="1"/>
  <c r="G101" i="1"/>
  <c r="F101" i="1"/>
  <c r="E101" i="1"/>
  <c r="D101" i="1"/>
  <c r="G100" i="1"/>
  <c r="F100" i="1"/>
  <c r="E100" i="1"/>
  <c r="D100" i="1"/>
  <c r="G99" i="1"/>
  <c r="F99" i="1"/>
  <c r="E99" i="1"/>
  <c r="D99" i="1"/>
  <c r="G98" i="1"/>
  <c r="F98" i="1"/>
  <c r="E98" i="1"/>
  <c r="D98" i="1"/>
  <c r="G94" i="1"/>
  <c r="F94" i="1"/>
  <c r="E94" i="1"/>
  <c r="D94" i="1"/>
  <c r="G92" i="1"/>
  <c r="F92" i="1"/>
  <c r="E92" i="1"/>
  <c r="D92" i="1"/>
  <c r="G91" i="1"/>
  <c r="F91" i="1"/>
  <c r="E91" i="1"/>
  <c r="D91" i="1"/>
  <c r="G90" i="1"/>
  <c r="F90" i="1"/>
  <c r="E90" i="1"/>
  <c r="D90" i="1"/>
  <c r="H87" i="1"/>
  <c r="G84" i="1"/>
  <c r="F84" i="1"/>
  <c r="E84" i="1"/>
  <c r="D84" i="1"/>
  <c r="C84" i="1"/>
  <c r="H82" i="1"/>
  <c r="H81" i="1"/>
  <c r="H78" i="1"/>
  <c r="G75" i="1"/>
  <c r="F75" i="1"/>
  <c r="E75" i="1"/>
  <c r="D75" i="1"/>
  <c r="C75" i="1"/>
  <c r="H73" i="1"/>
  <c r="H71" i="1"/>
  <c r="H75" i="1" s="1"/>
  <c r="H69" i="1"/>
  <c r="H54" i="1"/>
  <c r="H53" i="1"/>
  <c r="H51" i="1"/>
  <c r="H50" i="1"/>
  <c r="G46" i="1"/>
  <c r="F46" i="1"/>
  <c r="E46" i="1"/>
  <c r="D46" i="1"/>
  <c r="C46" i="1"/>
  <c r="H44" i="1"/>
  <c r="H43" i="1"/>
  <c r="H42" i="1"/>
  <c r="H41" i="1"/>
  <c r="H40" i="1"/>
  <c r="H39" i="1"/>
  <c r="H38" i="1"/>
  <c r="H37" i="1"/>
  <c r="H36" i="1"/>
  <c r="H34" i="1"/>
  <c r="H33" i="1"/>
  <c r="G30" i="1"/>
  <c r="F30" i="1"/>
  <c r="E30" i="1"/>
  <c r="D30" i="1"/>
  <c r="C30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92" i="1" s="1"/>
  <c r="H14" i="1"/>
  <c r="H13" i="1"/>
  <c r="H96" i="1" l="1"/>
  <c r="H105" i="1"/>
  <c r="H97" i="1"/>
  <c r="H56" i="1"/>
  <c r="K34" i="2" s="1"/>
  <c r="H84" i="1"/>
  <c r="G56" i="2"/>
  <c r="H102" i="1"/>
  <c r="H100" i="1"/>
  <c r="G107" i="1"/>
  <c r="F107" i="1"/>
  <c r="H90" i="1"/>
  <c r="E107" i="1"/>
  <c r="D107" i="1"/>
  <c r="H104" i="1"/>
  <c r="H99" i="1"/>
  <c r="H98" i="1"/>
  <c r="H91" i="1"/>
  <c r="H101" i="1"/>
  <c r="H94" i="1"/>
  <c r="H103" i="1"/>
  <c r="C56" i="2"/>
  <c r="H46" i="1"/>
  <c r="H30" i="1"/>
  <c r="C40" i="2" s="1"/>
  <c r="K33" i="2" l="1"/>
  <c r="C55" i="2"/>
  <c r="C58" i="2"/>
  <c r="G36" i="2"/>
  <c r="G33" i="2"/>
  <c r="G55" i="2"/>
  <c r="G61" i="2" s="1"/>
  <c r="J84" i="1"/>
  <c r="C57" i="2"/>
  <c r="C59" i="2"/>
  <c r="G35" i="2"/>
  <c r="C32" i="2"/>
  <c r="C37" i="2"/>
  <c r="C44" i="2"/>
  <c r="C36" i="2"/>
  <c r="C38" i="2"/>
  <c r="H107" i="1"/>
  <c r="G42" i="2"/>
  <c r="C46" i="2"/>
  <c r="C43" i="2"/>
  <c r="G34" i="2"/>
  <c r="G37" i="2"/>
  <c r="C39" i="2"/>
  <c r="C35" i="2"/>
  <c r="K35" i="2"/>
  <c r="C42" i="2"/>
  <c r="C41" i="2"/>
  <c r="G41" i="2"/>
  <c r="G32" i="2"/>
  <c r="G40" i="2"/>
  <c r="G39" i="2"/>
  <c r="C45" i="2"/>
  <c r="C34" i="2"/>
  <c r="C33" i="2"/>
  <c r="K36" i="2"/>
  <c r="G38" i="2"/>
  <c r="A2" i="1"/>
  <c r="A3" i="1" s="1"/>
  <c r="A4" i="1" s="1"/>
  <c r="A5" i="1" s="1"/>
  <c r="A6" i="1" s="1"/>
  <c r="C61" i="2" l="1"/>
  <c r="K31" i="2"/>
  <c r="J56" i="1"/>
  <c r="C16" i="2"/>
  <c r="J75" i="1"/>
  <c r="C15" i="2"/>
  <c r="C17" i="2"/>
  <c r="C18" i="2"/>
  <c r="C19" i="2"/>
  <c r="K32" i="2"/>
  <c r="C31" i="2"/>
  <c r="C48" i="2" s="1"/>
  <c r="J30" i="1"/>
  <c r="G31" i="2"/>
  <c r="G48" i="2" s="1"/>
  <c r="J46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D19" i="2" l="1"/>
  <c r="H53" i="2" s="1"/>
  <c r="D18" i="2"/>
  <c r="H25" i="9" s="1"/>
  <c r="D17" i="2"/>
  <c r="D53" i="2" s="1"/>
  <c r="D16" i="2"/>
  <c r="L29" i="2" s="1"/>
  <c r="L35" i="2" s="1"/>
  <c r="H13" i="9" s="1"/>
  <c r="D15" i="2"/>
  <c r="H29" i="2" s="1"/>
  <c r="C20" i="2"/>
  <c r="K48" i="2"/>
  <c r="C14" i="2"/>
  <c r="D14" i="2" s="1"/>
  <c r="K107" i="1"/>
  <c r="J107" i="1"/>
  <c r="A38" i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H34" i="2" l="1"/>
  <c r="D40" i="9" s="1"/>
  <c r="H35" i="2"/>
  <c r="D45" i="9" s="1"/>
  <c r="L31" i="2"/>
  <c r="D23" i="9" s="1"/>
  <c r="L36" i="2"/>
  <c r="H38" i="9" s="1"/>
  <c r="L32" i="2"/>
  <c r="L33" i="2"/>
  <c r="D33" i="9" s="1"/>
  <c r="L34" i="2"/>
  <c r="D41" i="9" s="1"/>
  <c r="H55" i="2"/>
  <c r="D35" i="9" s="1"/>
  <c r="H56" i="2"/>
  <c r="H43" i="9" s="1"/>
  <c r="D59" i="2"/>
  <c r="H20" i="9" s="1"/>
  <c r="D58" i="2"/>
  <c r="D57" i="2"/>
  <c r="D34" i="9" s="1"/>
  <c r="D56" i="2"/>
  <c r="D24" i="9" s="1"/>
  <c r="D55" i="2"/>
  <c r="D17" i="9" s="1"/>
  <c r="H36" i="2"/>
  <c r="H12" i="9" s="1"/>
  <c r="H32" i="2"/>
  <c r="D16" i="9" s="1"/>
  <c r="H38" i="2"/>
  <c r="H24" i="9" s="1"/>
  <c r="H41" i="2"/>
  <c r="H37" i="9" s="1"/>
  <c r="H31" i="2"/>
  <c r="H33" i="2"/>
  <c r="D32" i="9" s="1"/>
  <c r="H37" i="2"/>
  <c r="H19" i="9" s="1"/>
  <c r="H39" i="2"/>
  <c r="H29" i="9" s="1"/>
  <c r="H40" i="2"/>
  <c r="H33" i="9" s="1"/>
  <c r="H42" i="2"/>
  <c r="H42" i="9" s="1"/>
  <c r="D20" i="2"/>
  <c r="D36" i="9" s="1"/>
  <c r="A49" i="1"/>
  <c r="A50" i="1" s="1"/>
  <c r="A51" i="1" s="1"/>
  <c r="C22" i="2"/>
  <c r="D46" i="9"/>
  <c r="D29" i="2"/>
  <c r="D28" i="9"/>
  <c r="L48" i="2" l="1"/>
  <c r="D41" i="2"/>
  <c r="H18" i="9" s="1"/>
  <c r="H21" i="9" s="1"/>
  <c r="D33" i="2"/>
  <c r="D40" i="2"/>
  <c r="H16" i="9" s="1"/>
  <c r="D32" i="2"/>
  <c r="D15" i="9" s="1"/>
  <c r="D18" i="9" s="1"/>
  <c r="D39" i="2"/>
  <c r="H11" i="9" s="1"/>
  <c r="H14" i="9" s="1"/>
  <c r="D31" i="2"/>
  <c r="D46" i="2"/>
  <c r="H41" i="9" s="1"/>
  <c r="H44" i="9" s="1"/>
  <c r="D38" i="2"/>
  <c r="D44" i="9" s="1"/>
  <c r="D47" i="9" s="1"/>
  <c r="D45" i="2"/>
  <c r="H36" i="9" s="1"/>
  <c r="H39" i="9" s="1"/>
  <c r="D37" i="2"/>
  <c r="D39" i="9" s="1"/>
  <c r="D42" i="9" s="1"/>
  <c r="D44" i="2"/>
  <c r="H32" i="9" s="1"/>
  <c r="H34" i="9" s="1"/>
  <c r="D36" i="2"/>
  <c r="D31" i="9" s="1"/>
  <c r="D37" i="9" s="1"/>
  <c r="D43" i="2"/>
  <c r="H28" i="9" s="1"/>
  <c r="H30" i="9" s="1"/>
  <c r="D35" i="2"/>
  <c r="D42" i="2"/>
  <c r="D34" i="2"/>
  <c r="H48" i="2"/>
  <c r="D22" i="2"/>
  <c r="H61" i="2"/>
  <c r="D61" i="2"/>
  <c r="D12" i="9"/>
  <c r="D22" i="9"/>
  <c r="D25" i="9" s="1"/>
  <c r="D27" i="9"/>
  <c r="D29" i="9" s="1"/>
  <c r="D20" i="9"/>
  <c r="H23" i="9"/>
  <c r="H26" i="9" s="1"/>
  <c r="A52" i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l="1"/>
  <c r="A68" i="1" s="1"/>
  <c r="A69" i="1" s="1"/>
  <c r="D11" i="9"/>
  <c r="D13" i="9" s="1"/>
  <c r="F50" i="9" s="1"/>
  <c r="D48" i="2"/>
  <c r="A72" i="1" l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F52" i="9"/>
  <c r="F53" i="9" l="1"/>
</calcChain>
</file>

<file path=xl/sharedStrings.xml><?xml version="1.0" encoding="utf-8"?>
<sst xmlns="http://schemas.openxmlformats.org/spreadsheetml/2006/main" count="342" uniqueCount="127">
  <si>
    <t>Rate Schedule</t>
  </si>
  <si>
    <t>Invoice Revenues</t>
  </si>
  <si>
    <t>Panel Production</t>
  </si>
  <si>
    <t>Credit</t>
  </si>
  <si>
    <t>Green Power</t>
  </si>
  <si>
    <t>Billing</t>
  </si>
  <si>
    <t>Direct Load</t>
  </si>
  <si>
    <t>Control</t>
  </si>
  <si>
    <t>Total</t>
  </si>
  <si>
    <t>Revenues</t>
  </si>
  <si>
    <t>Rate E, Option 2</t>
  </si>
  <si>
    <t xml:space="preserve">  Big Sandy</t>
  </si>
  <si>
    <t xml:space="preserve">  Blue Grass</t>
  </si>
  <si>
    <t xml:space="preserve">  Clark</t>
  </si>
  <si>
    <t xml:space="preserve">  Cumberland Valley</t>
  </si>
  <si>
    <t xml:space="preserve">  Farmers</t>
  </si>
  <si>
    <t xml:space="preserve">  Fleming-Mason</t>
  </si>
  <si>
    <t xml:space="preserve">  Grayson</t>
  </si>
  <si>
    <t xml:space="preserve">  Inter-County</t>
  </si>
  <si>
    <t xml:space="preserve">  Jackson</t>
  </si>
  <si>
    <t xml:space="preserve">  Licking Valley</t>
  </si>
  <si>
    <t xml:space="preserve">  Nolin</t>
  </si>
  <si>
    <t xml:space="preserve">  Owen</t>
  </si>
  <si>
    <t xml:space="preserve">  Salt River</t>
  </si>
  <si>
    <t xml:space="preserve">  Shelby</t>
  </si>
  <si>
    <t xml:space="preserve">  South Kentucky</t>
  </si>
  <si>
    <t xml:space="preserve">  Taylor County</t>
  </si>
  <si>
    <t>Generator</t>
  </si>
  <si>
    <t>Total Rate E, Option 2</t>
  </si>
  <si>
    <t>Rate B</t>
  </si>
  <si>
    <t>Total Rate B</t>
  </si>
  <si>
    <t>Rate C</t>
  </si>
  <si>
    <t>Total Rate C</t>
  </si>
  <si>
    <t>Rate G</t>
  </si>
  <si>
    <t>Total Rate G</t>
  </si>
  <si>
    <t>Contract</t>
  </si>
  <si>
    <t>TGP</t>
  </si>
  <si>
    <t>Total TGP</t>
  </si>
  <si>
    <t>Steam</t>
  </si>
  <si>
    <t>Totals</t>
  </si>
  <si>
    <t>Totals, All Members</t>
  </si>
  <si>
    <t>Percentage of</t>
  </si>
  <si>
    <t>Percentage of Total</t>
  </si>
  <si>
    <t>Revenues, All</t>
  </si>
  <si>
    <t>Margins in Excess of 1.40 TIER</t>
  </si>
  <si>
    <t>Rate</t>
  </si>
  <si>
    <t>Schedule</t>
  </si>
  <si>
    <t>Allocation of</t>
  </si>
  <si>
    <t>Excess Margin</t>
  </si>
  <si>
    <t>Total Revenues, All</t>
  </si>
  <si>
    <t>Step 1:  Allocation of Excess Margin to Rate Schedules</t>
  </si>
  <si>
    <t>Member</t>
  </si>
  <si>
    <t>Note:  Contract and Steam have only one customer each, so a further allocation is not necessary.</t>
  </si>
  <si>
    <t>Total Rate E, Opt 2</t>
  </si>
  <si>
    <t>Big Sandy</t>
  </si>
  <si>
    <t xml:space="preserve">Total </t>
  </si>
  <si>
    <t>Blue Grass</t>
  </si>
  <si>
    <t>Clark</t>
  </si>
  <si>
    <t>Cumberland Valley</t>
  </si>
  <si>
    <t>Farmers</t>
  </si>
  <si>
    <t>Fleming-Mason</t>
  </si>
  <si>
    <t>Grayson</t>
  </si>
  <si>
    <t>Inter-County</t>
  </si>
  <si>
    <t>Jackson</t>
  </si>
  <si>
    <t>Licking Valley</t>
  </si>
  <si>
    <t>Nolin</t>
  </si>
  <si>
    <t>Owen</t>
  </si>
  <si>
    <t>Salt River</t>
  </si>
  <si>
    <t>Shelby</t>
  </si>
  <si>
    <t>South Kentucky</t>
  </si>
  <si>
    <t>Taylor County</t>
  </si>
  <si>
    <t>Total All Members</t>
  </si>
  <si>
    <t>Format 1.0</t>
  </si>
  <si>
    <t>EAST KENTUCKY POWER COOPERATIVE, INC.</t>
  </si>
  <si>
    <t>RATE EM - ANNUAL FILING FORMATS</t>
  </si>
  <si>
    <t>Determination of Achieved Margin</t>
  </si>
  <si>
    <t xml:space="preserve">  (FERC Form 1, page 114, line 25)</t>
  </si>
  <si>
    <t>Net Utility Operating Income</t>
  </si>
  <si>
    <t xml:space="preserve">  [Row 9 minus Row 11]</t>
  </si>
  <si>
    <t>Net Other Income &amp; Deductions</t>
  </si>
  <si>
    <t xml:space="preserve">  (FERC Form 1, page 117, line 56)</t>
  </si>
  <si>
    <t>Net Interest Charges</t>
  </si>
  <si>
    <t xml:space="preserve">  (FERC Form 1, page 117, line 66)</t>
  </si>
  <si>
    <t>Extraordinary Items</t>
  </si>
  <si>
    <t xml:space="preserve">  (FERC Form 1, page 117, line 73)</t>
  </si>
  <si>
    <t>Net Margins</t>
  </si>
  <si>
    <t xml:space="preserve">  [Row 13 plus Row 15 minus Row 17 plus Row 19]</t>
  </si>
  <si>
    <t>Determination of Achieved Times Interest Earned Ratio (TIER)</t>
  </si>
  <si>
    <t>Interest on Long Term Debt</t>
  </si>
  <si>
    <t xml:space="preserve">  (FERC Form 1, page 117, line 58)</t>
  </si>
  <si>
    <t>Achieved TIER</t>
  </si>
  <si>
    <t xml:space="preserve">  [(Row 26 plus Row 27) / Row 27]</t>
  </si>
  <si>
    <t>Margins Necessary to Produce 1.40 TIER</t>
  </si>
  <si>
    <t>Interest Multiplied by 1.40 TIER</t>
  </si>
  <si>
    <t>Less Interest on Long Term Debt</t>
  </si>
  <si>
    <t>Determination of Excess Margins</t>
  </si>
  <si>
    <t>Net Margin</t>
  </si>
  <si>
    <t xml:space="preserve">  [Row 21]</t>
  </si>
  <si>
    <t xml:space="preserve">  [Row 41]</t>
  </si>
  <si>
    <t>Excess Margins for Year</t>
  </si>
  <si>
    <t>Format 2.0</t>
  </si>
  <si>
    <t>Page 1 of 2</t>
  </si>
  <si>
    <t>RATE EM - ANNUAL FILING - ALLOCATION OF EXCESS MARGINS</t>
  </si>
  <si>
    <t>Page 2 of 2</t>
  </si>
  <si>
    <t>Summary of Allocation of Excess Margins by Owner-Member</t>
  </si>
  <si>
    <t>Step 2:  Further Allocation of Excess Margin by Rate Schedules to Owner-Members</t>
  </si>
  <si>
    <t>[From Format 1.0, Row 49]</t>
  </si>
  <si>
    <t>All Revenue Percentages come from calculations shown on Format 2.1.</t>
  </si>
  <si>
    <t>Format 2.1</t>
  </si>
  <si>
    <t>RATE EM - ANNUAL FILING - REVENUE DETAIL</t>
  </si>
  <si>
    <t>By Rate Schedule and Owner-Members</t>
  </si>
  <si>
    <t>Rounding Differences:</t>
  </si>
  <si>
    <t xml:space="preserve">  Format 2.0, page 1 of 2, Row 6</t>
  </si>
  <si>
    <t xml:space="preserve">  Format 2.0, page 1 of 2, Row 21</t>
  </si>
  <si>
    <t xml:space="preserve">Note 1:  </t>
  </si>
  <si>
    <t>Operating Revenues are shown exclusive of the contra electric and steam revenue</t>
  </si>
  <si>
    <t xml:space="preserve">  account entries associated with the Regulatory Liability recorded in Account</t>
  </si>
  <si>
    <t xml:space="preserve">  254004 for any margins in excess of 1.40 TIER for the reporting year.</t>
  </si>
  <si>
    <t>EKPC will file Format 1.0 each year with the Commission.  In years where there are Excess</t>
  </si>
  <si>
    <t xml:space="preserve">  Margins, EKPC will also file Formats 2.0 and 2.1 to provide the allocation of the Excess Margins</t>
  </si>
  <si>
    <t xml:space="preserve">  to the Owner-Members.</t>
  </si>
  <si>
    <t xml:space="preserve">  (FERC Form 1, page 114, line 2; see Note 1 below)</t>
  </si>
  <si>
    <t>For the Calendar Year 2022</t>
  </si>
  <si>
    <t>2022 EKPC Revenues</t>
  </si>
  <si>
    <t xml:space="preserve">Total Operating Revenues  </t>
  </si>
  <si>
    <t xml:space="preserve">Total Operating Expenses  </t>
  </si>
  <si>
    <t>2022 Earnings Sharing Final.xlsx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</si>
</sst>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8" formatCode="&quot;$&quot;#,##0.00_);[Red]\(&quot;$&quot;#,##0.00\)"/>
    <numFmt numFmtId="164" formatCode="0.000%"/>
    <numFmt numFmtId="165" formatCode="0.0000%"/>
  </numFmts>
  <fonts count="6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"/>
      <name val="Arial"/>
      <family val="2"/>
    </font>
    <font>
      <sz val="11"/>
      <color rgb="FFFF0000"/>
      <name val="Arial"/>
      <family val="2"/>
    </font>
    <font>
      <b/>
      <u/>
      <sz val="11"/>
      <color theme="1"/>
      <name val="Arial"/>
      <family val="2"/>
    </font>
    <font>
      <i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38" fontId="0" fillId="0" borderId="0" xfId="0" applyNumberFormat="1"/>
    <xf numFmtId="0" fontId="1" fillId="0" borderId="0" xfId="0" applyFont="1"/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6" fontId="0" fillId="0" borderId="0" xfId="0" applyNumberFormat="1"/>
    <xf numFmtId="0" fontId="2" fillId="0" borderId="0" xfId="0" applyFont="1"/>
    <xf numFmtId="6" fontId="0" fillId="0" borderId="5" xfId="0" applyNumberFormat="1" applyBorder="1"/>
    <xf numFmtId="6" fontId="0" fillId="0" borderId="6" xfId="0" applyNumberFormat="1" applyBorder="1"/>
    <xf numFmtId="0" fontId="0" fillId="0" borderId="0" xfId="0" applyFont="1"/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64" fontId="0" fillId="0" borderId="0" xfId="0" applyNumberFormat="1"/>
    <xf numFmtId="0" fontId="0" fillId="0" borderId="7" xfId="0" applyBorder="1" applyAlignment="1">
      <alignment horizontal="center"/>
    </xf>
    <xf numFmtId="6" fontId="0" fillId="0" borderId="4" xfId="0" applyNumberForma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/>
    <xf numFmtId="40" fontId="0" fillId="0" borderId="6" xfId="0" applyNumberFormat="1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6" fontId="0" fillId="0" borderId="0" xfId="0" applyNumberFormat="1" applyBorder="1"/>
    <xf numFmtId="0" fontId="0" fillId="0" borderId="0" xfId="0" applyFill="1" applyBorder="1" applyAlignment="1">
      <alignment horizontal="left"/>
    </xf>
    <xf numFmtId="0" fontId="2" fillId="0" borderId="0" xfId="0" applyFont="1" applyFill="1"/>
    <xf numFmtId="165" fontId="0" fillId="0" borderId="0" xfId="0" applyNumberFormat="1"/>
    <xf numFmtId="165" fontId="0" fillId="0" borderId="5" xfId="0" applyNumberFormat="1" applyBorder="1"/>
    <xf numFmtId="165" fontId="0" fillId="0" borderId="6" xfId="0" applyNumberFormat="1" applyBorder="1"/>
    <xf numFmtId="8" fontId="0" fillId="0" borderId="0" xfId="0" applyNumberFormat="1"/>
    <xf numFmtId="8" fontId="0" fillId="0" borderId="8" xfId="0" applyNumberFormat="1" applyBorder="1"/>
    <xf numFmtId="8" fontId="0" fillId="0" borderId="6" xfId="0" applyNumberFormat="1" applyBorder="1"/>
    <xf numFmtId="8" fontId="0" fillId="0" borderId="0" xfId="0" applyNumberFormat="1" applyBorder="1"/>
    <xf numFmtId="8" fontId="0" fillId="0" borderId="5" xfId="0" applyNumberFormat="1" applyBorder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6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"/>
  <sheetViews>
    <sheetView tabSelected="1" zoomScale="80" zoomScaleNormal="80" workbookViewId="0">
      <selection activeCell="G50" sqref="G50"/>
    </sheetView>
  </sheetViews>
  <sheetFormatPr defaultColWidth="15.625" defaultRowHeight="14.25" x14ac:dyDescent="0.2"/>
  <cols>
    <col min="1" max="1" width="4.625" customWidth="1"/>
    <col min="2" max="2" width="10.625" customWidth="1"/>
    <col min="7" max="7" width="10.625" customWidth="1"/>
  </cols>
  <sheetData>
    <row r="1" spans="1:7" x14ac:dyDescent="0.2">
      <c r="A1" s="1">
        <v>0</v>
      </c>
      <c r="B1" t="s">
        <v>126</v>
      </c>
    </row>
    <row r="2" spans="1:7" ht="15" x14ac:dyDescent="0.25">
      <c r="A2" s="1">
        <f>A1+1</f>
        <v>1</v>
      </c>
      <c r="G2" s="15" t="s">
        <v>72</v>
      </c>
    </row>
    <row r="3" spans="1:7" ht="15" x14ac:dyDescent="0.25">
      <c r="A3" s="1">
        <f t="shared" ref="A3:A59" si="0">A2+1</f>
        <v>2</v>
      </c>
      <c r="C3" s="34" t="s">
        <v>73</v>
      </c>
      <c r="D3" s="34"/>
      <c r="E3" s="34"/>
      <c r="F3" s="34"/>
    </row>
    <row r="4" spans="1:7" ht="15" x14ac:dyDescent="0.25">
      <c r="A4" s="1">
        <f t="shared" si="0"/>
        <v>3</v>
      </c>
      <c r="C4" s="34" t="s">
        <v>74</v>
      </c>
      <c r="D4" s="34"/>
      <c r="E4" s="34"/>
      <c r="F4" s="34"/>
    </row>
    <row r="5" spans="1:7" ht="15" x14ac:dyDescent="0.25">
      <c r="A5" s="1">
        <f t="shared" si="0"/>
        <v>4</v>
      </c>
      <c r="C5" s="34" t="s">
        <v>122</v>
      </c>
      <c r="D5" s="34"/>
      <c r="E5" s="34"/>
      <c r="F5" s="34"/>
    </row>
    <row r="6" spans="1:7" x14ac:dyDescent="0.2">
      <c r="A6" s="1">
        <f t="shared" si="0"/>
        <v>5</v>
      </c>
      <c r="C6" s="35"/>
      <c r="D6" s="35"/>
      <c r="E6" s="35"/>
      <c r="F6" s="35"/>
    </row>
    <row r="7" spans="1:7" x14ac:dyDescent="0.2">
      <c r="A7" s="1">
        <f t="shared" si="0"/>
        <v>6</v>
      </c>
    </row>
    <row r="8" spans="1:7" ht="15" x14ac:dyDescent="0.25">
      <c r="A8" s="1">
        <f t="shared" si="0"/>
        <v>7</v>
      </c>
      <c r="B8" s="16" t="s">
        <v>75</v>
      </c>
    </row>
    <row r="9" spans="1:7" x14ac:dyDescent="0.2">
      <c r="A9" s="1">
        <f t="shared" si="0"/>
        <v>8</v>
      </c>
    </row>
    <row r="10" spans="1:7" x14ac:dyDescent="0.2">
      <c r="A10" s="1">
        <f t="shared" si="0"/>
        <v>9</v>
      </c>
      <c r="C10" t="s">
        <v>124</v>
      </c>
      <c r="F10" s="5">
        <f>1263336554+1392834</f>
        <v>1264729388</v>
      </c>
    </row>
    <row r="11" spans="1:7" x14ac:dyDescent="0.2">
      <c r="A11" s="1">
        <f t="shared" si="0"/>
        <v>10</v>
      </c>
      <c r="C11" t="s">
        <v>121</v>
      </c>
      <c r="E11" s="20"/>
      <c r="F11" s="5"/>
    </row>
    <row r="12" spans="1:7" x14ac:dyDescent="0.2">
      <c r="A12" s="1">
        <f t="shared" si="0"/>
        <v>11</v>
      </c>
      <c r="C12" t="s">
        <v>125</v>
      </c>
      <c r="E12" s="9"/>
      <c r="F12" s="7">
        <v>1140706538</v>
      </c>
    </row>
    <row r="13" spans="1:7" x14ac:dyDescent="0.2">
      <c r="A13" s="1">
        <f t="shared" si="0"/>
        <v>12</v>
      </c>
      <c r="C13" t="s">
        <v>76</v>
      </c>
      <c r="E13" s="20"/>
      <c r="F13" s="5"/>
    </row>
    <row r="14" spans="1:7" x14ac:dyDescent="0.2">
      <c r="A14" s="1">
        <f t="shared" si="0"/>
        <v>13</v>
      </c>
      <c r="C14" t="s">
        <v>77</v>
      </c>
      <c r="F14" s="5">
        <f>F10-F12</f>
        <v>124022850</v>
      </c>
    </row>
    <row r="15" spans="1:7" x14ac:dyDescent="0.2">
      <c r="A15" s="1">
        <f t="shared" si="0"/>
        <v>14</v>
      </c>
      <c r="C15" t="s">
        <v>78</v>
      </c>
      <c r="F15" s="5"/>
    </row>
    <row r="16" spans="1:7" x14ac:dyDescent="0.2">
      <c r="A16" s="1">
        <f t="shared" si="0"/>
        <v>15</v>
      </c>
      <c r="C16" t="s">
        <v>79</v>
      </c>
      <c r="F16" s="5">
        <v>3940984</v>
      </c>
    </row>
    <row r="17" spans="1:7" x14ac:dyDescent="0.2">
      <c r="A17" s="1">
        <f t="shared" si="0"/>
        <v>16</v>
      </c>
      <c r="C17" t="s">
        <v>80</v>
      </c>
      <c r="F17" s="5"/>
    </row>
    <row r="18" spans="1:7" x14ac:dyDescent="0.2">
      <c r="A18" s="1">
        <f t="shared" si="0"/>
        <v>17</v>
      </c>
      <c r="C18" t="s">
        <v>81</v>
      </c>
      <c r="F18" s="5">
        <v>90690661</v>
      </c>
    </row>
    <row r="19" spans="1:7" x14ac:dyDescent="0.2">
      <c r="A19" s="1">
        <f t="shared" si="0"/>
        <v>18</v>
      </c>
      <c r="C19" t="s">
        <v>82</v>
      </c>
      <c r="F19" s="5"/>
    </row>
    <row r="20" spans="1:7" x14ac:dyDescent="0.2">
      <c r="A20" s="1">
        <f t="shared" si="0"/>
        <v>19</v>
      </c>
      <c r="C20" t="s">
        <v>83</v>
      </c>
      <c r="F20" s="7">
        <v>0</v>
      </c>
    </row>
    <row r="21" spans="1:7" x14ac:dyDescent="0.2">
      <c r="A21" s="1">
        <f t="shared" si="0"/>
        <v>20</v>
      </c>
      <c r="C21" t="s">
        <v>84</v>
      </c>
      <c r="F21" s="5"/>
    </row>
    <row r="22" spans="1:7" ht="15" thickBot="1" x14ac:dyDescent="0.25">
      <c r="A22" s="1">
        <f t="shared" si="0"/>
        <v>21</v>
      </c>
      <c r="C22" t="s">
        <v>85</v>
      </c>
      <c r="F22" s="8">
        <f>F14+F16-F18+F20</f>
        <v>37273173</v>
      </c>
      <c r="G22" s="20"/>
    </row>
    <row r="23" spans="1:7" ht="15.75" thickTop="1" x14ac:dyDescent="0.25">
      <c r="A23" s="1">
        <f t="shared" si="0"/>
        <v>22</v>
      </c>
      <c r="C23" t="s">
        <v>86</v>
      </c>
      <c r="F23" s="5"/>
      <c r="G23" s="2"/>
    </row>
    <row r="24" spans="1:7" ht="15" x14ac:dyDescent="0.25">
      <c r="A24" s="1">
        <f t="shared" si="0"/>
        <v>23</v>
      </c>
      <c r="F24" s="5"/>
      <c r="G24" s="2"/>
    </row>
    <row r="25" spans="1:7" ht="15" x14ac:dyDescent="0.25">
      <c r="A25" s="1">
        <f t="shared" si="0"/>
        <v>24</v>
      </c>
      <c r="B25" s="16" t="s">
        <v>87</v>
      </c>
      <c r="F25" s="5"/>
      <c r="G25" s="2"/>
    </row>
    <row r="26" spans="1:7" ht="15" x14ac:dyDescent="0.25">
      <c r="A26" s="1">
        <f t="shared" si="0"/>
        <v>25</v>
      </c>
      <c r="F26" s="5"/>
      <c r="G26" s="2"/>
    </row>
    <row r="27" spans="1:7" x14ac:dyDescent="0.2">
      <c r="A27" s="1">
        <f t="shared" si="0"/>
        <v>26</v>
      </c>
      <c r="C27" t="s">
        <v>85</v>
      </c>
      <c r="F27" s="5">
        <f>F22</f>
        <v>37273173</v>
      </c>
      <c r="G27" s="20"/>
    </row>
    <row r="28" spans="1:7" x14ac:dyDescent="0.2">
      <c r="A28" s="1">
        <f t="shared" si="0"/>
        <v>27</v>
      </c>
      <c r="C28" t="s">
        <v>88</v>
      </c>
      <c r="F28" s="5">
        <v>89700848</v>
      </c>
      <c r="G28" s="20"/>
    </row>
    <row r="29" spans="1:7" ht="15" x14ac:dyDescent="0.25">
      <c r="A29" s="1">
        <f t="shared" si="0"/>
        <v>28</v>
      </c>
      <c r="C29" t="s">
        <v>89</v>
      </c>
      <c r="F29" s="5"/>
      <c r="G29" s="2"/>
    </row>
    <row r="30" spans="1:7" ht="15" x14ac:dyDescent="0.25">
      <c r="A30" s="1">
        <f t="shared" si="0"/>
        <v>29</v>
      </c>
      <c r="F30" s="5"/>
      <c r="G30" s="2"/>
    </row>
    <row r="31" spans="1:7" ht="15" thickBot="1" x14ac:dyDescent="0.25">
      <c r="A31" s="1">
        <f t="shared" si="0"/>
        <v>30</v>
      </c>
      <c r="C31" t="s">
        <v>90</v>
      </c>
      <c r="E31" s="41"/>
      <c r="F31" s="17">
        <f>ROUND((F27+F28)/F28,2)</f>
        <v>1.42</v>
      </c>
    </row>
    <row r="32" spans="1:7" ht="15.75" thickTop="1" x14ac:dyDescent="0.25">
      <c r="A32" s="1">
        <f t="shared" si="0"/>
        <v>31</v>
      </c>
      <c r="C32" t="s">
        <v>91</v>
      </c>
      <c r="E32" s="18"/>
      <c r="G32" s="2"/>
    </row>
    <row r="33" spans="1:7" ht="15" x14ac:dyDescent="0.25">
      <c r="A33" s="1">
        <f t="shared" si="0"/>
        <v>32</v>
      </c>
      <c r="E33" s="18"/>
      <c r="G33" s="2"/>
    </row>
    <row r="34" spans="1:7" ht="15" x14ac:dyDescent="0.25">
      <c r="A34" s="1">
        <f t="shared" si="0"/>
        <v>33</v>
      </c>
      <c r="B34" s="16" t="s">
        <v>92</v>
      </c>
      <c r="E34" s="18"/>
      <c r="G34" s="2"/>
    </row>
    <row r="35" spans="1:7" x14ac:dyDescent="0.2">
      <c r="A35" s="1">
        <f t="shared" si="0"/>
        <v>34</v>
      </c>
      <c r="E35" s="18"/>
    </row>
    <row r="36" spans="1:7" x14ac:dyDescent="0.2">
      <c r="A36" s="1">
        <f t="shared" si="0"/>
        <v>35</v>
      </c>
      <c r="C36" t="s">
        <v>88</v>
      </c>
      <c r="E36" s="18"/>
      <c r="F36" s="5">
        <f>F28</f>
        <v>89700848</v>
      </c>
      <c r="G36" s="20"/>
    </row>
    <row r="37" spans="1:7" x14ac:dyDescent="0.2">
      <c r="A37" s="1">
        <f t="shared" si="0"/>
        <v>36</v>
      </c>
      <c r="E37" s="18"/>
    </row>
    <row r="38" spans="1:7" x14ac:dyDescent="0.2">
      <c r="A38" s="1">
        <f t="shared" si="0"/>
        <v>37</v>
      </c>
      <c r="C38" t="s">
        <v>93</v>
      </c>
      <c r="E38" s="41"/>
      <c r="F38" s="5">
        <f>ROUND(F36*1.4,0)</f>
        <v>125581187</v>
      </c>
    </row>
    <row r="39" spans="1:7" x14ac:dyDescent="0.2">
      <c r="A39" s="1">
        <f t="shared" si="0"/>
        <v>38</v>
      </c>
      <c r="E39" s="18"/>
    </row>
    <row r="40" spans="1:7" x14ac:dyDescent="0.2">
      <c r="A40" s="1">
        <f t="shared" si="0"/>
        <v>39</v>
      </c>
      <c r="C40" t="s">
        <v>94</v>
      </c>
      <c r="E40" s="18"/>
      <c r="F40" s="7">
        <f>F36</f>
        <v>89700848</v>
      </c>
      <c r="G40" s="20"/>
    </row>
    <row r="41" spans="1:7" x14ac:dyDescent="0.2">
      <c r="A41" s="1">
        <f t="shared" si="0"/>
        <v>40</v>
      </c>
      <c r="E41" s="18"/>
    </row>
    <row r="42" spans="1:7" ht="15" thickBot="1" x14ac:dyDescent="0.25">
      <c r="A42" s="1">
        <f t="shared" si="0"/>
        <v>41</v>
      </c>
      <c r="C42" t="s">
        <v>92</v>
      </c>
      <c r="E42" s="41"/>
      <c r="F42" s="8">
        <f>F38-F40</f>
        <v>35880339</v>
      </c>
      <c r="G42" s="20"/>
    </row>
    <row r="43" spans="1:7" ht="15" thickTop="1" x14ac:dyDescent="0.2">
      <c r="A43" s="1">
        <f t="shared" si="0"/>
        <v>42</v>
      </c>
      <c r="E43" s="18"/>
    </row>
    <row r="44" spans="1:7" ht="15" x14ac:dyDescent="0.25">
      <c r="A44" s="1">
        <f t="shared" si="0"/>
        <v>43</v>
      </c>
      <c r="B44" s="16" t="s">
        <v>95</v>
      </c>
    </row>
    <row r="45" spans="1:7" x14ac:dyDescent="0.2">
      <c r="A45" s="1">
        <f t="shared" si="0"/>
        <v>44</v>
      </c>
    </row>
    <row r="46" spans="1:7" x14ac:dyDescent="0.2">
      <c r="A46" s="1">
        <f t="shared" si="0"/>
        <v>45</v>
      </c>
      <c r="C46" t="s">
        <v>96</v>
      </c>
      <c r="F46" s="5">
        <f>F22</f>
        <v>37273173</v>
      </c>
      <c r="G46" s="20"/>
    </row>
    <row r="47" spans="1:7" x14ac:dyDescent="0.2">
      <c r="A47" s="1">
        <f t="shared" si="0"/>
        <v>46</v>
      </c>
      <c r="C47" t="s">
        <v>97</v>
      </c>
      <c r="G47" s="20"/>
    </row>
    <row r="48" spans="1:7" x14ac:dyDescent="0.2">
      <c r="A48" s="1">
        <f t="shared" si="0"/>
        <v>47</v>
      </c>
      <c r="C48" t="s">
        <v>92</v>
      </c>
      <c r="F48" s="7">
        <f>F42</f>
        <v>35880339</v>
      </c>
      <c r="G48" s="20"/>
    </row>
    <row r="49" spans="1:6" x14ac:dyDescent="0.2">
      <c r="A49" s="1">
        <f t="shared" si="0"/>
        <v>48</v>
      </c>
      <c r="C49" t="s">
        <v>98</v>
      </c>
    </row>
    <row r="50" spans="1:6" ht="15" thickBot="1" x14ac:dyDescent="0.25">
      <c r="A50" s="1">
        <f t="shared" si="0"/>
        <v>49</v>
      </c>
      <c r="C50" t="s">
        <v>99</v>
      </c>
      <c r="E50" s="41"/>
      <c r="F50" s="8">
        <f>F46-F48</f>
        <v>1392834</v>
      </c>
    </row>
    <row r="51" spans="1:6" ht="15" thickTop="1" x14ac:dyDescent="0.2">
      <c r="A51" s="1">
        <f t="shared" si="0"/>
        <v>50</v>
      </c>
    </row>
    <row r="52" spans="1:6" x14ac:dyDescent="0.2">
      <c r="A52" s="1">
        <f t="shared" si="0"/>
        <v>51</v>
      </c>
      <c r="B52" s="18" t="s">
        <v>114</v>
      </c>
      <c r="C52" t="s">
        <v>115</v>
      </c>
    </row>
    <row r="53" spans="1:6" x14ac:dyDescent="0.2">
      <c r="A53" s="1">
        <f t="shared" si="0"/>
        <v>52</v>
      </c>
      <c r="C53" t="s">
        <v>116</v>
      </c>
    </row>
    <row r="54" spans="1:6" x14ac:dyDescent="0.2">
      <c r="A54" s="1">
        <f t="shared" si="0"/>
        <v>53</v>
      </c>
      <c r="C54" t="s">
        <v>117</v>
      </c>
    </row>
    <row r="55" spans="1:6" x14ac:dyDescent="0.2">
      <c r="A55" s="1">
        <f t="shared" si="0"/>
        <v>54</v>
      </c>
    </row>
    <row r="56" spans="1:6" x14ac:dyDescent="0.2">
      <c r="A56" s="1">
        <f t="shared" si="0"/>
        <v>55</v>
      </c>
      <c r="B56" t="s">
        <v>118</v>
      </c>
    </row>
    <row r="57" spans="1:6" x14ac:dyDescent="0.2">
      <c r="A57" s="1">
        <f t="shared" si="0"/>
        <v>56</v>
      </c>
      <c r="B57" t="s">
        <v>119</v>
      </c>
    </row>
    <row r="58" spans="1:6" x14ac:dyDescent="0.2">
      <c r="A58" s="1">
        <f t="shared" si="0"/>
        <v>57</v>
      </c>
      <c r="B58" t="s">
        <v>120</v>
      </c>
    </row>
    <row r="59" spans="1:6" x14ac:dyDescent="0.2">
      <c r="A59" s="1">
        <f t="shared" si="0"/>
        <v>58</v>
      </c>
    </row>
  </sheetData>
  <mergeCells count="4">
    <mergeCell ref="C3:F3"/>
    <mergeCell ref="C4:F4"/>
    <mergeCell ref="C5:F5"/>
    <mergeCell ref="C6:F6"/>
  </mergeCells>
  <pageMargins left="0.7" right="0.7" top="0.75" bottom="0.75" header="0.3" footer="0.3"/>
  <pageSetup scale="8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zoomScale="80" zoomScaleNormal="80" workbookViewId="0">
      <selection activeCell="B4" sqref="B4"/>
    </sheetView>
  </sheetViews>
  <sheetFormatPr defaultColWidth="17.625" defaultRowHeight="14.25" x14ac:dyDescent="0.2"/>
  <cols>
    <col min="1" max="1" width="4.625" customWidth="1"/>
    <col min="5" max="5" width="2.625" customWidth="1"/>
    <col min="9" max="9" width="2.625" customWidth="1"/>
    <col min="13" max="13" width="2.625" customWidth="1"/>
    <col min="17" max="17" width="2.625" customWidth="1"/>
  </cols>
  <sheetData>
    <row r="1" spans="1:12" x14ac:dyDescent="0.2">
      <c r="A1" s="1">
        <v>0</v>
      </c>
      <c r="B1" t="str">
        <f>'Revenue Detail'!B1</f>
        <v>2022 Earnings Sharing Final.xlsx</v>
      </c>
    </row>
    <row r="2" spans="1:12" ht="15" x14ac:dyDescent="0.25">
      <c r="A2" s="1">
        <f>A1+1</f>
        <v>1</v>
      </c>
      <c r="L2" s="15" t="s">
        <v>100</v>
      </c>
    </row>
    <row r="3" spans="1:12" ht="15" x14ac:dyDescent="0.25">
      <c r="A3" s="1">
        <f t="shared" ref="A3:A64" si="0">A2+1</f>
        <v>2</v>
      </c>
      <c r="B3" s="9"/>
      <c r="E3" s="34" t="s">
        <v>73</v>
      </c>
      <c r="F3" s="34"/>
      <c r="G3" s="34"/>
      <c r="H3" s="34"/>
      <c r="I3" s="34"/>
      <c r="L3" s="15" t="s">
        <v>101</v>
      </c>
    </row>
    <row r="4" spans="1:12" ht="15" x14ac:dyDescent="0.25">
      <c r="A4" s="1">
        <f t="shared" si="0"/>
        <v>3</v>
      </c>
      <c r="B4" s="2"/>
      <c r="E4" s="34" t="s">
        <v>102</v>
      </c>
      <c r="F4" s="34"/>
      <c r="G4" s="34"/>
      <c r="H4" s="34"/>
      <c r="I4" s="34"/>
    </row>
    <row r="5" spans="1:12" ht="15" x14ac:dyDescent="0.25">
      <c r="A5" s="1">
        <f t="shared" si="0"/>
        <v>4</v>
      </c>
      <c r="B5" s="2"/>
      <c r="E5" s="34" t="s">
        <v>122</v>
      </c>
      <c r="F5" s="39"/>
      <c r="G5" s="39"/>
      <c r="H5" s="39"/>
      <c r="I5" s="39"/>
    </row>
    <row r="6" spans="1:12" x14ac:dyDescent="0.2">
      <c r="A6" s="1">
        <f t="shared" si="0"/>
        <v>5</v>
      </c>
      <c r="F6" s="35"/>
      <c r="G6" s="35"/>
      <c r="H6" s="35"/>
    </row>
    <row r="7" spans="1:12" ht="15" thickBot="1" x14ac:dyDescent="0.25">
      <c r="A7" s="1">
        <f t="shared" si="0"/>
        <v>6</v>
      </c>
      <c r="B7" t="s">
        <v>44</v>
      </c>
      <c r="D7" s="8">
        <f>Margins!F50</f>
        <v>1392834</v>
      </c>
      <c r="F7" t="s">
        <v>106</v>
      </c>
    </row>
    <row r="8" spans="1:12" ht="15" thickTop="1" x14ac:dyDescent="0.2">
      <c r="A8" s="1">
        <f t="shared" si="0"/>
        <v>7</v>
      </c>
    </row>
    <row r="9" spans="1:12" x14ac:dyDescent="0.2">
      <c r="A9" s="1">
        <f t="shared" si="0"/>
        <v>8</v>
      </c>
      <c r="B9" s="6" t="s">
        <v>50</v>
      </c>
    </row>
    <row r="10" spans="1:12" x14ac:dyDescent="0.2">
      <c r="A10" s="1">
        <f t="shared" si="0"/>
        <v>9</v>
      </c>
    </row>
    <row r="11" spans="1:12" x14ac:dyDescent="0.2">
      <c r="A11" s="1">
        <f t="shared" si="0"/>
        <v>10</v>
      </c>
      <c r="B11" s="3" t="s">
        <v>45</v>
      </c>
      <c r="C11" s="3" t="s">
        <v>41</v>
      </c>
      <c r="D11" s="3" t="s">
        <v>47</v>
      </c>
    </row>
    <row r="12" spans="1:12" ht="15" thickBot="1" x14ac:dyDescent="0.25">
      <c r="A12" s="1">
        <f t="shared" si="0"/>
        <v>11</v>
      </c>
      <c r="B12" s="4" t="s">
        <v>46</v>
      </c>
      <c r="C12" s="4" t="s">
        <v>49</v>
      </c>
      <c r="D12" s="4" t="s">
        <v>48</v>
      </c>
    </row>
    <row r="13" spans="1:12" x14ac:dyDescent="0.2">
      <c r="A13" s="1">
        <f t="shared" si="0"/>
        <v>12</v>
      </c>
    </row>
    <row r="14" spans="1:12" x14ac:dyDescent="0.2">
      <c r="A14" s="1">
        <f t="shared" si="0"/>
        <v>13</v>
      </c>
      <c r="B14" t="s">
        <v>10</v>
      </c>
      <c r="C14" s="26">
        <f>'Revenue Detail'!K30</f>
        <v>0.78700000000000003</v>
      </c>
      <c r="D14" s="5">
        <f t="shared" ref="D14:D20" si="1">ROUND($D$7*C14,0)</f>
        <v>1096160</v>
      </c>
    </row>
    <row r="15" spans="1:12" x14ac:dyDescent="0.2">
      <c r="A15" s="1">
        <f t="shared" si="0"/>
        <v>14</v>
      </c>
      <c r="B15" t="s">
        <v>29</v>
      </c>
      <c r="C15" s="26">
        <f>'Revenue Detail'!K46</f>
        <v>6.8000000000000005E-2</v>
      </c>
      <c r="D15" s="5">
        <f t="shared" si="1"/>
        <v>94713</v>
      </c>
    </row>
    <row r="16" spans="1:12" x14ac:dyDescent="0.2">
      <c r="A16" s="1">
        <f t="shared" si="0"/>
        <v>15</v>
      </c>
      <c r="B16" t="s">
        <v>31</v>
      </c>
      <c r="C16" s="26">
        <f>'Revenue Detail'!K56</f>
        <v>2.3E-2</v>
      </c>
      <c r="D16" s="5">
        <f t="shared" si="1"/>
        <v>32035</v>
      </c>
    </row>
    <row r="17" spans="1:12" x14ac:dyDescent="0.2">
      <c r="A17" s="1">
        <f t="shared" si="0"/>
        <v>16</v>
      </c>
      <c r="B17" t="s">
        <v>33</v>
      </c>
      <c r="C17" s="26">
        <f>'Revenue Detail'!K75</f>
        <v>3.6999999999999998E-2</v>
      </c>
      <c r="D17" s="5">
        <f t="shared" si="1"/>
        <v>51535</v>
      </c>
    </row>
    <row r="18" spans="1:12" x14ac:dyDescent="0.2">
      <c r="A18" s="1">
        <f t="shared" si="0"/>
        <v>17</v>
      </c>
      <c r="B18" t="s">
        <v>35</v>
      </c>
      <c r="C18" s="26">
        <f>'Revenue Detail'!K78</f>
        <v>5.8000000000000003E-2</v>
      </c>
      <c r="D18" s="5">
        <f t="shared" si="1"/>
        <v>80784</v>
      </c>
    </row>
    <row r="19" spans="1:12" x14ac:dyDescent="0.2">
      <c r="A19" s="1">
        <f t="shared" si="0"/>
        <v>18</v>
      </c>
      <c r="B19" t="s">
        <v>36</v>
      </c>
      <c r="C19" s="26">
        <f>'Revenue Detail'!K84</f>
        <v>1.4E-2</v>
      </c>
      <c r="D19" s="5">
        <f t="shared" si="1"/>
        <v>19500</v>
      </c>
    </row>
    <row r="20" spans="1:12" x14ac:dyDescent="0.2">
      <c r="A20" s="1">
        <f t="shared" si="0"/>
        <v>19</v>
      </c>
      <c r="B20" t="s">
        <v>38</v>
      </c>
      <c r="C20" s="27">
        <f>'Revenue Detail'!K87</f>
        <v>1.2999999999999999E-2</v>
      </c>
      <c r="D20" s="7">
        <f t="shared" si="1"/>
        <v>18107</v>
      </c>
    </row>
    <row r="21" spans="1:12" x14ac:dyDescent="0.2">
      <c r="A21" s="1">
        <f t="shared" si="0"/>
        <v>20</v>
      </c>
      <c r="C21" s="26"/>
      <c r="D21" s="5"/>
    </row>
    <row r="22" spans="1:12" ht="15" thickBot="1" x14ac:dyDescent="0.25">
      <c r="A22" s="1">
        <f t="shared" si="0"/>
        <v>21</v>
      </c>
      <c r="B22" t="s">
        <v>39</v>
      </c>
      <c r="C22" s="28">
        <f>SUM(C14:C20)</f>
        <v>1</v>
      </c>
      <c r="D22" s="8">
        <f>SUM(D14:D20)</f>
        <v>1392834</v>
      </c>
    </row>
    <row r="23" spans="1:12" ht="15" thickTop="1" x14ac:dyDescent="0.2">
      <c r="A23" s="1">
        <f t="shared" si="0"/>
        <v>22</v>
      </c>
    </row>
    <row r="24" spans="1:12" x14ac:dyDescent="0.2">
      <c r="A24" s="1">
        <f t="shared" si="0"/>
        <v>23</v>
      </c>
    </row>
    <row r="25" spans="1:12" x14ac:dyDescent="0.2">
      <c r="A25" s="1">
        <f t="shared" si="0"/>
        <v>24</v>
      </c>
      <c r="B25" s="6" t="s">
        <v>105</v>
      </c>
      <c r="G25" t="s">
        <v>52</v>
      </c>
    </row>
    <row r="26" spans="1:12" x14ac:dyDescent="0.2">
      <c r="A26" s="1">
        <f t="shared" si="0"/>
        <v>25</v>
      </c>
    </row>
    <row r="27" spans="1:12" x14ac:dyDescent="0.2">
      <c r="A27" s="1">
        <f t="shared" si="0"/>
        <v>26</v>
      </c>
      <c r="B27" s="36" t="s">
        <v>10</v>
      </c>
      <c r="C27" s="37"/>
      <c r="D27" s="38"/>
      <c r="F27" s="36" t="s">
        <v>29</v>
      </c>
      <c r="G27" s="37"/>
      <c r="H27" s="38"/>
      <c r="J27" s="36" t="s">
        <v>31</v>
      </c>
      <c r="K27" s="37"/>
      <c r="L27" s="38"/>
    </row>
    <row r="28" spans="1:12" x14ac:dyDescent="0.2">
      <c r="A28" s="1">
        <f t="shared" si="0"/>
        <v>27</v>
      </c>
      <c r="B28" s="13"/>
      <c r="C28" s="13" t="s">
        <v>41</v>
      </c>
      <c r="D28" s="13" t="s">
        <v>47</v>
      </c>
      <c r="F28" s="13"/>
      <c r="G28" s="13" t="s">
        <v>41</v>
      </c>
      <c r="H28" s="13" t="s">
        <v>47</v>
      </c>
      <c r="J28" s="13"/>
      <c r="K28" s="13" t="s">
        <v>41</v>
      </c>
      <c r="L28" s="13" t="s">
        <v>47</v>
      </c>
    </row>
    <row r="29" spans="1:12" ht="15" thickBot="1" x14ac:dyDescent="0.25">
      <c r="A29" s="1">
        <f t="shared" si="0"/>
        <v>28</v>
      </c>
      <c r="B29" s="4" t="s">
        <v>51</v>
      </c>
      <c r="C29" s="4" t="s">
        <v>0</v>
      </c>
      <c r="D29" s="14">
        <f>D14</f>
        <v>1096160</v>
      </c>
      <c r="F29" s="4" t="s">
        <v>51</v>
      </c>
      <c r="G29" s="4" t="s">
        <v>0</v>
      </c>
      <c r="H29" s="14">
        <f>D15</f>
        <v>94713</v>
      </c>
      <c r="J29" s="4" t="s">
        <v>51</v>
      </c>
      <c r="K29" s="4" t="s">
        <v>0</v>
      </c>
      <c r="L29" s="14">
        <f>D16</f>
        <v>32035</v>
      </c>
    </row>
    <row r="30" spans="1:12" x14ac:dyDescent="0.2">
      <c r="A30" s="1">
        <f t="shared" si="0"/>
        <v>29</v>
      </c>
    </row>
    <row r="31" spans="1:12" x14ac:dyDescent="0.2">
      <c r="A31" s="1">
        <f t="shared" si="0"/>
        <v>30</v>
      </c>
      <c r="B31" t="s">
        <v>11</v>
      </c>
      <c r="C31" s="26">
        <f>'Revenue Detail'!J13</f>
        <v>2.2216400000000001E-2</v>
      </c>
      <c r="D31" s="29">
        <f t="shared" ref="D31:D46" si="2">ROUND($D$29*C31,3)</f>
        <v>24352.728999999999</v>
      </c>
      <c r="F31" t="s">
        <v>11</v>
      </c>
      <c r="G31" s="26">
        <f>'Revenue Detail'!J33</f>
        <v>6.1593000000000004E-3</v>
      </c>
      <c r="H31" s="29">
        <f t="shared" ref="H31:H42" si="3">ROUND($H$29*G31,7)</f>
        <v>583.3657809</v>
      </c>
      <c r="J31" t="s">
        <v>14</v>
      </c>
      <c r="K31" s="26">
        <f>'Revenue Detail'!J49</f>
        <v>0.1151604</v>
      </c>
      <c r="L31" s="29">
        <f t="shared" ref="L31:L36" si="4">ROUND($L$29*K31,7)</f>
        <v>3689.1634140000001</v>
      </c>
    </row>
    <row r="32" spans="1:12" x14ac:dyDescent="0.2">
      <c r="A32" s="1">
        <f t="shared" si="0"/>
        <v>31</v>
      </c>
      <c r="B32" t="s">
        <v>12</v>
      </c>
      <c r="C32" s="26">
        <f>'Revenue Detail'!J14</f>
        <v>0.11511490000000001</v>
      </c>
      <c r="D32" s="29">
        <f t="shared" si="2"/>
        <v>126184.349</v>
      </c>
      <c r="F32" t="s">
        <v>12</v>
      </c>
      <c r="G32" s="26">
        <f>'Revenue Detail'!J34</f>
        <v>0.1533204</v>
      </c>
      <c r="H32" s="29">
        <f t="shared" si="3"/>
        <v>14521.4350452</v>
      </c>
      <c r="J32" t="s">
        <v>15</v>
      </c>
      <c r="K32" s="26">
        <f>'Revenue Detail'!J50</f>
        <v>0.10531210000000001</v>
      </c>
      <c r="L32" s="29">
        <f t="shared" si="4"/>
        <v>3373.6731235000002</v>
      </c>
    </row>
    <row r="33" spans="1:12" x14ac:dyDescent="0.2">
      <c r="A33" s="1">
        <f t="shared" si="0"/>
        <v>32</v>
      </c>
      <c r="B33" t="s">
        <v>13</v>
      </c>
      <c r="C33" s="26">
        <f>'Revenue Detail'!J15</f>
        <v>4.6796999999999998E-2</v>
      </c>
      <c r="D33" s="29">
        <f t="shared" si="2"/>
        <v>51297</v>
      </c>
      <c r="F33" t="s">
        <v>16</v>
      </c>
      <c r="G33" s="26">
        <f>'Revenue Detail'!J35</f>
        <v>3.54171E-2</v>
      </c>
      <c r="H33" s="29">
        <f t="shared" si="3"/>
        <v>3354.4597923000001</v>
      </c>
      <c r="J33" t="s">
        <v>16</v>
      </c>
      <c r="K33" s="26">
        <f>'Revenue Detail'!J51</f>
        <v>0.33229930000000002</v>
      </c>
      <c r="L33" s="29">
        <f t="shared" si="4"/>
        <v>10645.208075500001</v>
      </c>
    </row>
    <row r="34" spans="1:12" x14ac:dyDescent="0.2">
      <c r="A34" s="1">
        <f t="shared" si="0"/>
        <v>33</v>
      </c>
      <c r="B34" t="s">
        <v>14</v>
      </c>
      <c r="C34" s="26">
        <f>'Revenue Detail'!J16</f>
        <v>4.4297700000000002E-2</v>
      </c>
      <c r="D34" s="29">
        <f t="shared" si="2"/>
        <v>48557.366999999998</v>
      </c>
      <c r="F34" t="s">
        <v>17</v>
      </c>
      <c r="G34" s="26">
        <f>'Revenue Detail'!J36</f>
        <v>4.2478500000000002E-2</v>
      </c>
      <c r="H34" s="29">
        <f t="shared" si="3"/>
        <v>4023.2661705</v>
      </c>
      <c r="J34" t="s">
        <v>17</v>
      </c>
      <c r="K34" s="26">
        <f>'Revenue Detail'!J52</f>
        <v>8.53154E-2</v>
      </c>
      <c r="L34" s="29">
        <f t="shared" si="4"/>
        <v>2733.0788389999998</v>
      </c>
    </row>
    <row r="35" spans="1:12" x14ac:dyDescent="0.2">
      <c r="A35" s="1">
        <f t="shared" si="0"/>
        <v>34</v>
      </c>
      <c r="B35" t="s">
        <v>15</v>
      </c>
      <c r="C35" s="26">
        <f>'Revenue Detail'!J17</f>
        <v>4.7745099999999999E-2</v>
      </c>
      <c r="D35" s="29">
        <f t="shared" si="2"/>
        <v>52336.269</v>
      </c>
      <c r="F35" t="s">
        <v>18</v>
      </c>
      <c r="G35" s="26">
        <f>'Revenue Detail'!J37</f>
        <v>5.5750899999999999E-2</v>
      </c>
      <c r="H35" s="29">
        <f t="shared" si="3"/>
        <v>5280.3349916999996</v>
      </c>
      <c r="J35" t="s">
        <v>19</v>
      </c>
      <c r="K35" s="26">
        <f>'Revenue Detail'!J53</f>
        <v>9.9444900000000003E-2</v>
      </c>
      <c r="L35" s="29">
        <f t="shared" si="4"/>
        <v>3185.7173714999999</v>
      </c>
    </row>
    <row r="36" spans="1:12" x14ac:dyDescent="0.2">
      <c r="A36" s="1">
        <f t="shared" si="0"/>
        <v>35</v>
      </c>
      <c r="B36" t="s">
        <v>16</v>
      </c>
      <c r="C36" s="26">
        <f>'Revenue Detail'!J18</f>
        <v>4.5071399999999998E-2</v>
      </c>
      <c r="D36" s="29">
        <f t="shared" si="2"/>
        <v>49405.466</v>
      </c>
      <c r="F36" t="s">
        <v>19</v>
      </c>
      <c r="G36" s="26">
        <f>'Revenue Detail'!J38</f>
        <v>6.0035400000000003E-2</v>
      </c>
      <c r="H36" s="29">
        <f t="shared" si="3"/>
        <v>5686.1328401999999</v>
      </c>
      <c r="J36" t="s">
        <v>25</v>
      </c>
      <c r="K36" s="26">
        <f>'Revenue Detail'!J54</f>
        <v>0.26246789999999998</v>
      </c>
      <c r="L36" s="29">
        <f t="shared" si="4"/>
        <v>8408.1591764999994</v>
      </c>
    </row>
    <row r="37" spans="1:12" x14ac:dyDescent="0.2">
      <c r="A37" s="1">
        <f t="shared" si="0"/>
        <v>36</v>
      </c>
      <c r="B37" t="s">
        <v>17</v>
      </c>
      <c r="C37" s="26">
        <f>'Revenue Detail'!J19</f>
        <v>2.3232200000000001E-2</v>
      </c>
      <c r="D37" s="29">
        <f t="shared" si="2"/>
        <v>25466.207999999999</v>
      </c>
      <c r="F37" t="s">
        <v>21</v>
      </c>
      <c r="G37" s="26">
        <f>'Revenue Detail'!J39</f>
        <v>1.1591300000000001E-2</v>
      </c>
      <c r="H37" s="29">
        <f t="shared" si="3"/>
        <v>1097.8467969000001</v>
      </c>
      <c r="K37" s="26"/>
      <c r="L37" s="29"/>
    </row>
    <row r="38" spans="1:12" x14ac:dyDescent="0.2">
      <c r="A38" s="1">
        <f t="shared" si="0"/>
        <v>37</v>
      </c>
      <c r="B38" t="s">
        <v>18</v>
      </c>
      <c r="C38" s="26">
        <f>'Revenue Detail'!J20</f>
        <v>4.5425899999999998E-2</v>
      </c>
      <c r="D38" s="29">
        <f t="shared" si="2"/>
        <v>49794.055</v>
      </c>
      <c r="F38" t="s">
        <v>22</v>
      </c>
      <c r="G38" s="26">
        <f>'Revenue Detail'!J40</f>
        <v>0.26480769999999998</v>
      </c>
      <c r="H38" s="29">
        <f t="shared" si="3"/>
        <v>25080.731690100001</v>
      </c>
      <c r="K38" s="26"/>
      <c r="L38" s="29"/>
    </row>
    <row r="39" spans="1:12" x14ac:dyDescent="0.2">
      <c r="A39" s="1">
        <f t="shared" si="0"/>
        <v>38</v>
      </c>
      <c r="B39" t="s">
        <v>19</v>
      </c>
      <c r="C39" s="26">
        <f>'Revenue Detail'!J21</f>
        <v>8.8942300000000002E-2</v>
      </c>
      <c r="D39" s="29">
        <f t="shared" si="2"/>
        <v>97494.991999999998</v>
      </c>
      <c r="F39" t="s">
        <v>23</v>
      </c>
      <c r="G39" s="26">
        <f>'Revenue Detail'!J41</f>
        <v>0.14013700000000001</v>
      </c>
      <c r="H39" s="29">
        <f t="shared" si="3"/>
        <v>13272.795681</v>
      </c>
      <c r="K39" s="26"/>
      <c r="L39" s="29"/>
    </row>
    <row r="40" spans="1:12" x14ac:dyDescent="0.2">
      <c r="A40" s="1">
        <f t="shared" si="0"/>
        <v>39</v>
      </c>
      <c r="B40" t="s">
        <v>20</v>
      </c>
      <c r="C40" s="26">
        <f>'Revenue Detail'!J22</f>
        <v>2.5968100000000001E-2</v>
      </c>
      <c r="D40" s="29">
        <f t="shared" si="2"/>
        <v>28465.191999999999</v>
      </c>
      <c r="F40" t="s">
        <v>24</v>
      </c>
      <c r="G40" s="26">
        <f>'Revenue Detail'!J42</f>
        <v>0.1364244</v>
      </c>
      <c r="H40" s="29">
        <f t="shared" si="3"/>
        <v>12921.1641972</v>
      </c>
      <c r="K40" s="26"/>
      <c r="L40" s="29"/>
    </row>
    <row r="41" spans="1:12" x14ac:dyDescent="0.2">
      <c r="A41" s="1">
        <f t="shared" si="0"/>
        <v>40</v>
      </c>
      <c r="B41" t="s">
        <v>21</v>
      </c>
      <c r="C41" s="26">
        <f>'Revenue Detail'!J23</f>
        <v>6.4029199999999994E-2</v>
      </c>
      <c r="D41" s="29">
        <f t="shared" si="2"/>
        <v>70186.248000000007</v>
      </c>
      <c r="F41" t="s">
        <v>25</v>
      </c>
      <c r="G41" s="26">
        <f>'Revenue Detail'!J43</f>
        <v>6.5454700000000005E-2</v>
      </c>
      <c r="H41" s="29">
        <f t="shared" si="3"/>
        <v>6199.4110011000002</v>
      </c>
      <c r="K41" s="26"/>
      <c r="L41" s="29"/>
    </row>
    <row r="42" spans="1:12" x14ac:dyDescent="0.2">
      <c r="A42" s="1">
        <f t="shared" si="0"/>
        <v>41</v>
      </c>
      <c r="B42" t="s">
        <v>22</v>
      </c>
      <c r="C42" s="26">
        <f>'Revenue Detail'!J24</f>
        <v>0.1116331</v>
      </c>
      <c r="D42" s="29">
        <f t="shared" si="2"/>
        <v>122367.739</v>
      </c>
      <c r="F42" t="s">
        <v>26</v>
      </c>
      <c r="G42" s="26">
        <f>'Revenue Detail'!J44</f>
        <v>2.8423299999999999E-2</v>
      </c>
      <c r="H42" s="29">
        <f t="shared" si="3"/>
        <v>2692.0560129</v>
      </c>
      <c r="K42" s="26"/>
      <c r="L42" s="29"/>
    </row>
    <row r="43" spans="1:12" x14ac:dyDescent="0.2">
      <c r="A43" s="1">
        <f t="shared" si="0"/>
        <v>42</v>
      </c>
      <c r="B43" t="s">
        <v>23</v>
      </c>
      <c r="C43" s="26">
        <f>'Revenue Detail'!J25</f>
        <v>0.11598319999999999</v>
      </c>
      <c r="D43" s="29">
        <f t="shared" si="2"/>
        <v>127136.145</v>
      </c>
      <c r="G43" s="26"/>
      <c r="H43" s="29"/>
      <c r="K43" s="26"/>
      <c r="L43" s="29"/>
    </row>
    <row r="44" spans="1:12" x14ac:dyDescent="0.2">
      <c r="A44" s="1">
        <f t="shared" si="0"/>
        <v>43</v>
      </c>
      <c r="B44" t="s">
        <v>24</v>
      </c>
      <c r="C44" s="26">
        <f>'Revenue Detail'!J26</f>
        <v>3.5144300000000003E-2</v>
      </c>
      <c r="D44" s="29">
        <f t="shared" si="2"/>
        <v>38523.775999999998</v>
      </c>
      <c r="G44" s="26"/>
      <c r="H44" s="29"/>
      <c r="K44" s="26"/>
      <c r="L44" s="29"/>
    </row>
    <row r="45" spans="1:12" x14ac:dyDescent="0.2">
      <c r="A45" s="1">
        <f t="shared" si="0"/>
        <v>44</v>
      </c>
      <c r="B45" t="s">
        <v>25</v>
      </c>
      <c r="C45" s="26">
        <f>'Revenue Detail'!J27</f>
        <v>0.1211795</v>
      </c>
      <c r="D45" s="29">
        <f t="shared" si="2"/>
        <v>132832.12100000001</v>
      </c>
      <c r="G45" s="26"/>
      <c r="H45" s="29"/>
      <c r="K45" s="26"/>
      <c r="L45" s="29"/>
    </row>
    <row r="46" spans="1:12" x14ac:dyDescent="0.2">
      <c r="A46" s="1">
        <f t="shared" si="0"/>
        <v>45</v>
      </c>
      <c r="B46" t="s">
        <v>26</v>
      </c>
      <c r="C46" s="27">
        <f>'Revenue Detail'!J28</f>
        <v>4.7219799999999999E-2</v>
      </c>
      <c r="D46" s="33">
        <f t="shared" si="2"/>
        <v>51760.455999999998</v>
      </c>
      <c r="G46" s="27"/>
      <c r="H46" s="33"/>
      <c r="K46" s="27"/>
      <c r="L46" s="33"/>
    </row>
    <row r="47" spans="1:12" x14ac:dyDescent="0.2">
      <c r="A47" s="1">
        <f t="shared" si="0"/>
        <v>46</v>
      </c>
      <c r="C47" s="26"/>
      <c r="D47" s="29"/>
      <c r="G47" s="26"/>
      <c r="H47" s="29"/>
      <c r="K47" s="26"/>
      <c r="L47" s="29"/>
    </row>
    <row r="48" spans="1:12" ht="15" thickBot="1" x14ac:dyDescent="0.25">
      <c r="A48" s="1">
        <f t="shared" si="0"/>
        <v>47</v>
      </c>
      <c r="B48" t="s">
        <v>53</v>
      </c>
      <c r="C48" s="28">
        <f>SUM(C31:C46)</f>
        <v>1.0000001000000001</v>
      </c>
      <c r="D48" s="31">
        <f>SUM(D31:D46)</f>
        <v>1096160.112</v>
      </c>
      <c r="F48" t="s">
        <v>30</v>
      </c>
      <c r="G48" s="28">
        <f>SUM(G31:G46)</f>
        <v>1</v>
      </c>
      <c r="H48" s="31">
        <f>SUM(H31:H46)</f>
        <v>94713</v>
      </c>
      <c r="J48" t="s">
        <v>32</v>
      </c>
      <c r="K48" s="28">
        <f>SUM(K31:K46)</f>
        <v>1</v>
      </c>
      <c r="L48" s="31">
        <f>SUM(L31:L46)</f>
        <v>32035</v>
      </c>
    </row>
    <row r="49" spans="1:8" ht="15" thickTop="1" x14ac:dyDescent="0.2">
      <c r="A49" s="1">
        <f t="shared" si="0"/>
        <v>48</v>
      </c>
    </row>
    <row r="50" spans="1:8" x14ac:dyDescent="0.2">
      <c r="A50" s="1">
        <f t="shared" si="0"/>
        <v>49</v>
      </c>
    </row>
    <row r="51" spans="1:8" x14ac:dyDescent="0.2">
      <c r="A51" s="1">
        <f t="shared" si="0"/>
        <v>50</v>
      </c>
      <c r="B51" s="36" t="s">
        <v>33</v>
      </c>
      <c r="C51" s="37"/>
      <c r="D51" s="38"/>
      <c r="F51" s="36" t="s">
        <v>36</v>
      </c>
      <c r="G51" s="37"/>
      <c r="H51" s="38"/>
    </row>
    <row r="52" spans="1:8" x14ac:dyDescent="0.2">
      <c r="A52" s="1">
        <f t="shared" si="0"/>
        <v>51</v>
      </c>
      <c r="B52" s="13"/>
      <c r="C52" s="13" t="s">
        <v>41</v>
      </c>
      <c r="D52" s="13" t="s">
        <v>47</v>
      </c>
      <c r="F52" s="13"/>
      <c r="G52" s="13" t="s">
        <v>41</v>
      </c>
      <c r="H52" s="13" t="s">
        <v>47</v>
      </c>
    </row>
    <row r="53" spans="1:8" ht="15" thickBot="1" x14ac:dyDescent="0.25">
      <c r="A53" s="1">
        <f t="shared" si="0"/>
        <v>52</v>
      </c>
      <c r="B53" s="4" t="s">
        <v>51</v>
      </c>
      <c r="C53" s="4" t="s">
        <v>0</v>
      </c>
      <c r="D53" s="14">
        <f>D17</f>
        <v>51535</v>
      </c>
      <c r="F53" s="4" t="s">
        <v>51</v>
      </c>
      <c r="G53" s="4" t="s">
        <v>0</v>
      </c>
      <c r="H53" s="14">
        <f>D19</f>
        <v>19500</v>
      </c>
    </row>
    <row r="54" spans="1:8" x14ac:dyDescent="0.2">
      <c r="A54" s="1">
        <f t="shared" si="0"/>
        <v>53</v>
      </c>
    </row>
    <row r="55" spans="1:8" x14ac:dyDescent="0.2">
      <c r="A55" s="1">
        <f t="shared" si="0"/>
        <v>54</v>
      </c>
      <c r="B55" t="s">
        <v>12</v>
      </c>
      <c r="C55" s="26">
        <f>'Revenue Detail'!J69</f>
        <v>0.1557241</v>
      </c>
      <c r="D55" s="29">
        <f>ROUND($D$53*C55,7)</f>
        <v>8025.2414934999997</v>
      </c>
      <c r="F55" t="s">
        <v>16</v>
      </c>
      <c r="G55" s="26">
        <f>'Revenue Detail'!J81</f>
        <v>0.61518620000000002</v>
      </c>
      <c r="H55" s="29">
        <f>ROUND($H$53*G55,7)</f>
        <v>11996.1309</v>
      </c>
    </row>
    <row r="56" spans="1:8" x14ac:dyDescent="0.2">
      <c r="A56" s="1">
        <f t="shared" si="0"/>
        <v>55</v>
      </c>
      <c r="B56" t="s">
        <v>14</v>
      </c>
      <c r="C56" s="26">
        <f>'Revenue Detail'!J70</f>
        <v>6.5926899999999997E-2</v>
      </c>
      <c r="D56" s="29">
        <f>ROUND($D$53*C56,7)</f>
        <v>3397.5427915</v>
      </c>
      <c r="F56" s="9" t="s">
        <v>26</v>
      </c>
      <c r="G56" s="26">
        <f>'Revenue Detail'!J82</f>
        <v>0.38481379999999998</v>
      </c>
      <c r="H56" s="29">
        <f>ROUND($H$53*G56,7)</f>
        <v>7503.8690999999999</v>
      </c>
    </row>
    <row r="57" spans="1:8" x14ac:dyDescent="0.2">
      <c r="A57" s="1">
        <f t="shared" si="0"/>
        <v>56</v>
      </c>
      <c r="B57" t="s">
        <v>16</v>
      </c>
      <c r="C57" s="26">
        <f>'Revenue Detail'!J71</f>
        <v>0.4458473</v>
      </c>
      <c r="D57" s="29">
        <f>ROUND($D$53*C57,7)</f>
        <v>22976.740605499999</v>
      </c>
      <c r="G57" s="26"/>
      <c r="H57" s="29"/>
    </row>
    <row r="58" spans="1:8" x14ac:dyDescent="0.2">
      <c r="A58" s="1">
        <f t="shared" si="0"/>
        <v>57</v>
      </c>
      <c r="B58" t="s">
        <v>18</v>
      </c>
      <c r="C58" s="26">
        <f>'Revenue Detail'!J72</f>
        <v>0.1528793</v>
      </c>
      <c r="D58" s="29">
        <f>ROUND($D$53*C58,7)</f>
        <v>7878.6347255000001</v>
      </c>
      <c r="G58" s="26"/>
      <c r="H58" s="29"/>
    </row>
    <row r="59" spans="1:8" x14ac:dyDescent="0.2">
      <c r="A59" s="1">
        <f t="shared" si="0"/>
        <v>58</v>
      </c>
      <c r="B59" t="s">
        <v>21</v>
      </c>
      <c r="C59" s="27">
        <f>'Revenue Detail'!J73</f>
        <v>0.17962230000000001</v>
      </c>
      <c r="D59" s="33">
        <f>ROUND($D$53*C59,7)</f>
        <v>9256.8352305000008</v>
      </c>
      <c r="G59" s="27"/>
      <c r="H59" s="33"/>
    </row>
    <row r="60" spans="1:8" x14ac:dyDescent="0.2">
      <c r="A60" s="1">
        <f t="shared" si="0"/>
        <v>59</v>
      </c>
      <c r="C60" s="26"/>
      <c r="D60" s="29"/>
      <c r="G60" s="26"/>
      <c r="H60" s="29"/>
    </row>
    <row r="61" spans="1:8" ht="15" thickBot="1" x14ac:dyDescent="0.25">
      <c r="A61" s="1">
        <f t="shared" si="0"/>
        <v>60</v>
      </c>
      <c r="B61" t="s">
        <v>34</v>
      </c>
      <c r="C61" s="28">
        <f>SUM(C55:C59)</f>
        <v>0.99999990000000005</v>
      </c>
      <c r="D61" s="31">
        <f>SUM(D55:D59)</f>
        <v>51534.994846499998</v>
      </c>
      <c r="F61" t="s">
        <v>37</v>
      </c>
      <c r="G61" s="28">
        <f>SUM(G55:G59)</f>
        <v>1</v>
      </c>
      <c r="H61" s="31">
        <f>SUM(H55:H59)</f>
        <v>19500</v>
      </c>
    </row>
    <row r="62" spans="1:8" ht="15" thickTop="1" x14ac:dyDescent="0.2">
      <c r="A62" s="1">
        <f t="shared" si="0"/>
        <v>61</v>
      </c>
    </row>
    <row r="63" spans="1:8" x14ac:dyDescent="0.2">
      <c r="A63" s="1">
        <f t="shared" si="0"/>
        <v>62</v>
      </c>
      <c r="B63" t="s">
        <v>107</v>
      </c>
    </row>
    <row r="64" spans="1:8" x14ac:dyDescent="0.2">
      <c r="A64" s="1">
        <f t="shared" si="0"/>
        <v>63</v>
      </c>
    </row>
  </sheetData>
  <mergeCells count="9">
    <mergeCell ref="J27:L27"/>
    <mergeCell ref="B51:D51"/>
    <mergeCell ref="F51:H51"/>
    <mergeCell ref="E3:I3"/>
    <mergeCell ref="E4:I4"/>
    <mergeCell ref="E5:I5"/>
    <mergeCell ref="F6:H6"/>
    <mergeCell ref="B27:D27"/>
    <mergeCell ref="F27:H27"/>
  </mergeCells>
  <pageMargins left="0.7" right="0.7" top="0.75" bottom="0.75" header="0.3" footer="0.3"/>
  <pageSetup scale="56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zoomScale="80" zoomScaleNormal="80" workbookViewId="0">
      <selection activeCell="B5" sqref="B5"/>
    </sheetView>
  </sheetViews>
  <sheetFormatPr defaultColWidth="15.625" defaultRowHeight="14.25" x14ac:dyDescent="0.2"/>
  <cols>
    <col min="1" max="1" width="4.625" customWidth="1"/>
    <col min="2" max="2" width="18.625" customWidth="1"/>
    <col min="6" max="6" width="18.625" customWidth="1"/>
  </cols>
  <sheetData>
    <row r="1" spans="1:8" x14ac:dyDescent="0.2">
      <c r="A1" s="1">
        <v>0</v>
      </c>
      <c r="B1" t="str">
        <f>'Revenue Detail'!B1</f>
        <v>2022 Earnings Sharing Final.xlsx</v>
      </c>
    </row>
    <row r="2" spans="1:8" ht="15" x14ac:dyDescent="0.25">
      <c r="A2" s="1">
        <f>A1+1</f>
        <v>1</v>
      </c>
      <c r="H2" s="15" t="s">
        <v>100</v>
      </c>
    </row>
    <row r="3" spans="1:8" ht="15" x14ac:dyDescent="0.25">
      <c r="A3" s="1">
        <f t="shared" ref="A3:A53" si="0">A2+1</f>
        <v>2</v>
      </c>
      <c r="D3" s="34" t="s">
        <v>73</v>
      </c>
      <c r="E3" s="34"/>
      <c r="F3" s="34"/>
      <c r="G3" s="22"/>
      <c r="H3" s="15" t="s">
        <v>103</v>
      </c>
    </row>
    <row r="4" spans="1:8" ht="15" x14ac:dyDescent="0.25">
      <c r="A4" s="1">
        <f t="shared" si="0"/>
        <v>3</v>
      </c>
      <c r="C4" s="34" t="s">
        <v>102</v>
      </c>
      <c r="D4" s="34"/>
      <c r="E4" s="34"/>
      <c r="F4" s="34"/>
      <c r="G4" s="34"/>
      <c r="H4" s="22"/>
    </row>
    <row r="5" spans="1:8" ht="15" x14ac:dyDescent="0.25">
      <c r="A5" s="1">
        <f t="shared" si="0"/>
        <v>4</v>
      </c>
      <c r="D5" s="34" t="s">
        <v>122</v>
      </c>
      <c r="E5" s="34"/>
      <c r="F5" s="34"/>
      <c r="G5" s="19"/>
      <c r="H5" s="19"/>
    </row>
    <row r="6" spans="1:8" x14ac:dyDescent="0.2">
      <c r="A6" s="1">
        <f t="shared" si="0"/>
        <v>5</v>
      </c>
      <c r="E6" s="21"/>
      <c r="F6" s="21"/>
      <c r="G6" s="21"/>
    </row>
    <row r="7" spans="1:8" x14ac:dyDescent="0.2">
      <c r="A7" s="1">
        <f t="shared" si="0"/>
        <v>6</v>
      </c>
    </row>
    <row r="8" spans="1:8" ht="15" x14ac:dyDescent="0.25">
      <c r="A8" s="1">
        <f t="shared" si="0"/>
        <v>7</v>
      </c>
      <c r="C8" s="40" t="s">
        <v>104</v>
      </c>
      <c r="D8" s="40"/>
      <c r="E8" s="40"/>
      <c r="F8" s="40"/>
      <c r="G8" s="40"/>
    </row>
    <row r="9" spans="1:8" x14ac:dyDescent="0.2">
      <c r="A9" s="1">
        <f t="shared" si="0"/>
        <v>8</v>
      </c>
    </row>
    <row r="10" spans="1:8" x14ac:dyDescent="0.2">
      <c r="A10" s="1">
        <f t="shared" si="0"/>
        <v>9</v>
      </c>
    </row>
    <row r="11" spans="1:8" x14ac:dyDescent="0.2">
      <c r="A11" s="1">
        <f t="shared" si="0"/>
        <v>10</v>
      </c>
      <c r="B11" t="s">
        <v>54</v>
      </c>
      <c r="C11" t="s">
        <v>10</v>
      </c>
      <c r="D11" s="29">
        <f>' Allocation Pg 1'!D31</f>
        <v>24352.728999999999</v>
      </c>
      <c r="E11" s="29"/>
      <c r="F11" s="29" t="s">
        <v>63</v>
      </c>
      <c r="G11" s="29" t="s">
        <v>10</v>
      </c>
      <c r="H11" s="29">
        <f>' Allocation Pg 1'!D39</f>
        <v>97494.991999999998</v>
      </c>
    </row>
    <row r="12" spans="1:8" x14ac:dyDescent="0.2">
      <c r="A12" s="1">
        <f t="shared" si="0"/>
        <v>11</v>
      </c>
      <c r="C12" t="s">
        <v>29</v>
      </c>
      <c r="D12" s="29">
        <f>' Allocation Pg 1'!H31</f>
        <v>583.3657809</v>
      </c>
      <c r="E12" s="29"/>
      <c r="F12" s="29"/>
      <c r="G12" s="29" t="s">
        <v>29</v>
      </c>
      <c r="H12" s="29">
        <f>' Allocation Pg 1'!H36</f>
        <v>5686.1328401999999</v>
      </c>
    </row>
    <row r="13" spans="1:8" ht="15" thickBot="1" x14ac:dyDescent="0.25">
      <c r="A13" s="1">
        <f t="shared" si="0"/>
        <v>12</v>
      </c>
      <c r="C13" t="s">
        <v>55</v>
      </c>
      <c r="D13" s="30">
        <f>SUM(D11:D12)</f>
        <v>24936.094780899999</v>
      </c>
      <c r="E13" s="29"/>
      <c r="F13" s="29"/>
      <c r="G13" s="29" t="s">
        <v>31</v>
      </c>
      <c r="H13" s="29">
        <f>' Allocation Pg 1'!L35</f>
        <v>3185.7173714999999</v>
      </c>
    </row>
    <row r="14" spans="1:8" ht="15.75" thickTop="1" thickBot="1" x14ac:dyDescent="0.25">
      <c r="A14" s="1">
        <f t="shared" si="0"/>
        <v>13</v>
      </c>
      <c r="D14" s="29"/>
      <c r="E14" s="29"/>
      <c r="F14" s="29"/>
      <c r="G14" s="29" t="s">
        <v>8</v>
      </c>
      <c r="H14" s="30">
        <f>SUM(H11:H13)</f>
        <v>106366.8422117</v>
      </c>
    </row>
    <row r="15" spans="1:8" ht="15" thickTop="1" x14ac:dyDescent="0.2">
      <c r="A15" s="1">
        <f t="shared" si="0"/>
        <v>14</v>
      </c>
      <c r="B15" t="s">
        <v>56</v>
      </c>
      <c r="C15" t="s">
        <v>10</v>
      </c>
      <c r="D15" s="29">
        <f>' Allocation Pg 1'!D32</f>
        <v>126184.349</v>
      </c>
      <c r="E15" s="29"/>
      <c r="F15" s="29"/>
      <c r="G15" s="29"/>
      <c r="H15" s="29"/>
    </row>
    <row r="16" spans="1:8" ht="15" thickBot="1" x14ac:dyDescent="0.25">
      <c r="A16" s="1">
        <f t="shared" si="0"/>
        <v>15</v>
      </c>
      <c r="C16" t="s">
        <v>29</v>
      </c>
      <c r="D16" s="29">
        <f>' Allocation Pg 1'!H32</f>
        <v>14521.4350452</v>
      </c>
      <c r="E16" s="29"/>
      <c r="F16" s="29" t="s">
        <v>64</v>
      </c>
      <c r="G16" s="29" t="s">
        <v>10</v>
      </c>
      <c r="H16" s="31">
        <f>' Allocation Pg 1'!D40</f>
        <v>28465.191999999999</v>
      </c>
    </row>
    <row r="17" spans="1:8" ht="15" thickTop="1" x14ac:dyDescent="0.2">
      <c r="A17" s="1">
        <f t="shared" si="0"/>
        <v>16</v>
      </c>
      <c r="C17" t="s">
        <v>33</v>
      </c>
      <c r="D17" s="29">
        <f>' Allocation Pg 1'!D55</f>
        <v>8025.2414934999997</v>
      </c>
      <c r="E17" s="29"/>
      <c r="F17" s="29"/>
      <c r="G17" s="29"/>
      <c r="H17" s="29"/>
    </row>
    <row r="18" spans="1:8" ht="15" thickBot="1" x14ac:dyDescent="0.25">
      <c r="A18" s="1">
        <f t="shared" si="0"/>
        <v>17</v>
      </c>
      <c r="C18" t="s">
        <v>8</v>
      </c>
      <c r="D18" s="30">
        <f>SUM(D15:D17)</f>
        <v>148731.02553870002</v>
      </c>
      <c r="E18" s="29"/>
      <c r="F18" s="29" t="s">
        <v>65</v>
      </c>
      <c r="G18" s="29" t="s">
        <v>10</v>
      </c>
      <c r="H18" s="29">
        <f>' Allocation Pg 1'!D41</f>
        <v>70186.248000000007</v>
      </c>
    </row>
    <row r="19" spans="1:8" ht="15" thickTop="1" x14ac:dyDescent="0.2">
      <c r="A19" s="1">
        <f t="shared" si="0"/>
        <v>18</v>
      </c>
      <c r="D19" s="29"/>
      <c r="E19" s="29"/>
      <c r="F19" s="29"/>
      <c r="G19" s="29" t="s">
        <v>29</v>
      </c>
      <c r="H19" s="29">
        <f>' Allocation Pg 1'!H37</f>
        <v>1097.8467969000001</v>
      </c>
    </row>
    <row r="20" spans="1:8" ht="15" thickBot="1" x14ac:dyDescent="0.25">
      <c r="A20" s="1">
        <f t="shared" si="0"/>
        <v>19</v>
      </c>
      <c r="B20" t="s">
        <v>57</v>
      </c>
      <c r="C20" t="s">
        <v>10</v>
      </c>
      <c r="D20" s="31">
        <f>' Allocation Pg 1'!D33</f>
        <v>51297</v>
      </c>
      <c r="E20" s="29"/>
      <c r="F20" s="29"/>
      <c r="G20" s="29" t="s">
        <v>33</v>
      </c>
      <c r="H20" s="29">
        <f>' Allocation Pg 1'!D59</f>
        <v>9256.8352305000008</v>
      </c>
    </row>
    <row r="21" spans="1:8" ht="15.75" thickTop="1" thickBot="1" x14ac:dyDescent="0.25">
      <c r="A21" s="1">
        <f t="shared" si="0"/>
        <v>20</v>
      </c>
      <c r="D21" s="29"/>
      <c r="E21" s="29"/>
      <c r="F21" s="29"/>
      <c r="G21" s="29" t="s">
        <v>8</v>
      </c>
      <c r="H21" s="30">
        <f>SUM(H18:H20)</f>
        <v>80540.930027400012</v>
      </c>
    </row>
    <row r="22" spans="1:8" ht="15" thickTop="1" x14ac:dyDescent="0.2">
      <c r="A22" s="1">
        <f t="shared" si="0"/>
        <v>21</v>
      </c>
      <c r="B22" t="s">
        <v>58</v>
      </c>
      <c r="C22" t="s">
        <v>10</v>
      </c>
      <c r="D22" s="32">
        <f>' Allocation Pg 1'!D34</f>
        <v>48557.366999999998</v>
      </c>
      <c r="E22" s="29"/>
      <c r="F22" s="29"/>
      <c r="G22" s="29"/>
      <c r="H22" s="29"/>
    </row>
    <row r="23" spans="1:8" x14ac:dyDescent="0.2">
      <c r="A23" s="1">
        <f t="shared" si="0"/>
        <v>22</v>
      </c>
      <c r="C23" t="s">
        <v>31</v>
      </c>
      <c r="D23" s="32">
        <f>' Allocation Pg 1'!L31</f>
        <v>3689.1634140000001</v>
      </c>
      <c r="E23" s="29"/>
      <c r="F23" s="29" t="s">
        <v>66</v>
      </c>
      <c r="G23" s="29" t="s">
        <v>10</v>
      </c>
      <c r="H23" s="29">
        <f>' Allocation Pg 1'!D42</f>
        <v>122367.739</v>
      </c>
    </row>
    <row r="24" spans="1:8" x14ac:dyDescent="0.2">
      <c r="A24" s="1">
        <f t="shared" si="0"/>
        <v>23</v>
      </c>
      <c r="C24" t="s">
        <v>33</v>
      </c>
      <c r="D24" s="29">
        <f>' Allocation Pg 1'!D56</f>
        <v>3397.5427915</v>
      </c>
      <c r="E24" s="29"/>
      <c r="F24" s="29"/>
      <c r="G24" s="29" t="s">
        <v>29</v>
      </c>
      <c r="H24" s="29">
        <f>' Allocation Pg 1'!H38</f>
        <v>25080.731690100001</v>
      </c>
    </row>
    <row r="25" spans="1:8" ht="15" thickBot="1" x14ac:dyDescent="0.25">
      <c r="A25" s="1">
        <f t="shared" si="0"/>
        <v>24</v>
      </c>
      <c r="C25" t="s">
        <v>8</v>
      </c>
      <c r="D25" s="30">
        <f>SUM(D22:D24)</f>
        <v>55644.073205499997</v>
      </c>
      <c r="E25" s="29"/>
      <c r="F25" s="29"/>
      <c r="G25" s="29" t="s">
        <v>35</v>
      </c>
      <c r="H25" s="29">
        <f>' Allocation Pg 1'!D18</f>
        <v>80784</v>
      </c>
    </row>
    <row r="26" spans="1:8" ht="15.75" thickTop="1" thickBot="1" x14ac:dyDescent="0.25">
      <c r="A26" s="1">
        <f t="shared" si="0"/>
        <v>25</v>
      </c>
      <c r="D26" s="29"/>
      <c r="E26" s="29"/>
      <c r="F26" s="29"/>
      <c r="G26" s="29" t="s">
        <v>8</v>
      </c>
      <c r="H26" s="30">
        <f>SUM(H23:H25)</f>
        <v>228232.47069009999</v>
      </c>
    </row>
    <row r="27" spans="1:8" ht="15" thickTop="1" x14ac:dyDescent="0.2">
      <c r="A27" s="1">
        <f t="shared" si="0"/>
        <v>26</v>
      </c>
      <c r="B27" t="s">
        <v>59</v>
      </c>
      <c r="C27" t="s">
        <v>10</v>
      </c>
      <c r="D27" s="29">
        <f>' Allocation Pg 1'!D35</f>
        <v>52336.269</v>
      </c>
      <c r="E27" s="29"/>
      <c r="F27" s="29"/>
      <c r="G27" s="29"/>
      <c r="H27" s="29"/>
    </row>
    <row r="28" spans="1:8" x14ac:dyDescent="0.2">
      <c r="A28" s="1">
        <f t="shared" si="0"/>
        <v>27</v>
      </c>
      <c r="C28" t="s">
        <v>31</v>
      </c>
      <c r="D28" s="29">
        <f>' Allocation Pg 1'!L32</f>
        <v>3373.6731235000002</v>
      </c>
      <c r="E28" s="29"/>
      <c r="F28" s="29" t="s">
        <v>67</v>
      </c>
      <c r="G28" s="29" t="s">
        <v>10</v>
      </c>
      <c r="H28" s="29">
        <f>' Allocation Pg 1'!D43</f>
        <v>127136.145</v>
      </c>
    </row>
    <row r="29" spans="1:8" ht="15" thickBot="1" x14ac:dyDescent="0.25">
      <c r="A29" s="1">
        <f t="shared" si="0"/>
        <v>28</v>
      </c>
      <c r="C29" t="s">
        <v>8</v>
      </c>
      <c r="D29" s="30">
        <f>SUM(D27:D28)</f>
        <v>55709.942123499997</v>
      </c>
      <c r="E29" s="29"/>
      <c r="F29" s="29"/>
      <c r="G29" s="29" t="s">
        <v>29</v>
      </c>
      <c r="H29" s="29">
        <f>' Allocation Pg 1'!H39</f>
        <v>13272.795681</v>
      </c>
    </row>
    <row r="30" spans="1:8" ht="15.75" thickTop="1" thickBot="1" x14ac:dyDescent="0.25">
      <c r="A30" s="1">
        <f t="shared" si="0"/>
        <v>29</v>
      </c>
      <c r="D30" s="29"/>
      <c r="E30" s="29"/>
      <c r="F30" s="29"/>
      <c r="G30" s="29" t="s">
        <v>8</v>
      </c>
      <c r="H30" s="30">
        <f>SUM(H28:H29)</f>
        <v>140408.94068100001</v>
      </c>
    </row>
    <row r="31" spans="1:8" ht="15" thickTop="1" x14ac:dyDescent="0.2">
      <c r="A31" s="1">
        <f t="shared" si="0"/>
        <v>30</v>
      </c>
      <c r="B31" t="s">
        <v>60</v>
      </c>
      <c r="C31" t="s">
        <v>10</v>
      </c>
      <c r="D31" s="29">
        <f>' Allocation Pg 1'!D36</f>
        <v>49405.466</v>
      </c>
      <c r="E31" s="29"/>
      <c r="F31" s="29"/>
      <c r="G31" s="29"/>
      <c r="H31" s="29"/>
    </row>
    <row r="32" spans="1:8" x14ac:dyDescent="0.2">
      <c r="A32" s="1">
        <f t="shared" si="0"/>
        <v>31</v>
      </c>
      <c r="C32" t="s">
        <v>29</v>
      </c>
      <c r="D32" s="29">
        <f>' Allocation Pg 1'!H33</f>
        <v>3354.4597923000001</v>
      </c>
      <c r="E32" s="29"/>
      <c r="F32" s="29" t="s">
        <v>68</v>
      </c>
      <c r="G32" s="29" t="s">
        <v>10</v>
      </c>
      <c r="H32" s="29">
        <f>' Allocation Pg 1'!D44</f>
        <v>38523.775999999998</v>
      </c>
    </row>
    <row r="33" spans="1:8" x14ac:dyDescent="0.2">
      <c r="A33" s="1">
        <f t="shared" si="0"/>
        <v>32</v>
      </c>
      <c r="C33" t="s">
        <v>31</v>
      </c>
      <c r="D33" s="29">
        <f>' Allocation Pg 1'!L33</f>
        <v>10645.208075500001</v>
      </c>
      <c r="E33" s="29"/>
      <c r="F33" s="29"/>
      <c r="G33" s="29" t="s">
        <v>29</v>
      </c>
      <c r="H33" s="29">
        <f>' Allocation Pg 1'!H40</f>
        <v>12921.1641972</v>
      </c>
    </row>
    <row r="34" spans="1:8" ht="15" thickBot="1" x14ac:dyDescent="0.25">
      <c r="A34" s="1">
        <f t="shared" si="0"/>
        <v>33</v>
      </c>
      <c r="C34" t="s">
        <v>33</v>
      </c>
      <c r="D34" s="29">
        <f>' Allocation Pg 1'!D57</f>
        <v>22976.740605499999</v>
      </c>
      <c r="E34" s="29"/>
      <c r="F34" s="29"/>
      <c r="G34" s="29" t="s">
        <v>8</v>
      </c>
      <c r="H34" s="30">
        <f>SUM(H32:H33)</f>
        <v>51444.940197199998</v>
      </c>
    </row>
    <row r="35" spans="1:8" ht="15" thickTop="1" x14ac:dyDescent="0.2">
      <c r="A35" s="1">
        <f t="shared" si="0"/>
        <v>34</v>
      </c>
      <c r="C35" t="s">
        <v>36</v>
      </c>
      <c r="D35" s="29">
        <f>' Allocation Pg 1'!H55</f>
        <v>11996.1309</v>
      </c>
      <c r="E35" s="29"/>
      <c r="F35" s="29"/>
      <c r="G35" s="29"/>
      <c r="H35" s="29"/>
    </row>
    <row r="36" spans="1:8" x14ac:dyDescent="0.2">
      <c r="A36" s="1">
        <f t="shared" si="0"/>
        <v>35</v>
      </c>
      <c r="C36" t="s">
        <v>38</v>
      </c>
      <c r="D36" s="29">
        <f>' Allocation Pg 1'!D20</f>
        <v>18107</v>
      </c>
      <c r="E36" s="29"/>
      <c r="F36" s="29" t="s">
        <v>69</v>
      </c>
      <c r="G36" s="29" t="s">
        <v>10</v>
      </c>
      <c r="H36" s="29">
        <f>' Allocation Pg 1'!D45</f>
        <v>132832.12100000001</v>
      </c>
    </row>
    <row r="37" spans="1:8" ht="15" thickBot="1" x14ac:dyDescent="0.25">
      <c r="A37" s="1">
        <f t="shared" si="0"/>
        <v>36</v>
      </c>
      <c r="C37" t="s">
        <v>8</v>
      </c>
      <c r="D37" s="30">
        <f>SUM(D31:D36)</f>
        <v>116485.00537329999</v>
      </c>
      <c r="E37" s="29"/>
      <c r="F37" s="29"/>
      <c r="G37" s="29" t="s">
        <v>29</v>
      </c>
      <c r="H37" s="29">
        <f>' Allocation Pg 1'!H41</f>
        <v>6199.4110011000002</v>
      </c>
    </row>
    <row r="38" spans="1:8" ht="15" thickTop="1" x14ac:dyDescent="0.2">
      <c r="A38" s="1">
        <f t="shared" si="0"/>
        <v>37</v>
      </c>
      <c r="D38" s="29"/>
      <c r="E38" s="29"/>
      <c r="F38" s="29"/>
      <c r="G38" s="29" t="s">
        <v>31</v>
      </c>
      <c r="H38" s="29">
        <f>' Allocation Pg 1'!L36</f>
        <v>8408.1591764999994</v>
      </c>
    </row>
    <row r="39" spans="1:8" ht="15" thickBot="1" x14ac:dyDescent="0.25">
      <c r="A39" s="1">
        <f t="shared" si="0"/>
        <v>38</v>
      </c>
      <c r="B39" t="s">
        <v>61</v>
      </c>
      <c r="C39" t="s">
        <v>10</v>
      </c>
      <c r="D39" s="29">
        <f>' Allocation Pg 1'!D37</f>
        <v>25466.207999999999</v>
      </c>
      <c r="E39" s="29"/>
      <c r="F39" s="29"/>
      <c r="G39" s="29" t="s">
        <v>8</v>
      </c>
      <c r="H39" s="30">
        <f>SUM(H36:H38)</f>
        <v>147439.69117760001</v>
      </c>
    </row>
    <row r="40" spans="1:8" ht="15" thickTop="1" x14ac:dyDescent="0.2">
      <c r="A40" s="1">
        <f t="shared" si="0"/>
        <v>39</v>
      </c>
      <c r="C40" t="s">
        <v>29</v>
      </c>
      <c r="D40" s="29">
        <f>' Allocation Pg 1'!H34</f>
        <v>4023.2661705</v>
      </c>
      <c r="E40" s="29"/>
      <c r="F40" s="29"/>
      <c r="G40" s="29"/>
      <c r="H40" s="29"/>
    </row>
    <row r="41" spans="1:8" x14ac:dyDescent="0.2">
      <c r="A41" s="1">
        <f t="shared" si="0"/>
        <v>40</v>
      </c>
      <c r="C41" t="s">
        <v>31</v>
      </c>
      <c r="D41" s="29">
        <f>' Allocation Pg 1'!L34</f>
        <v>2733.0788389999998</v>
      </c>
      <c r="E41" s="29"/>
      <c r="F41" s="29" t="s">
        <v>70</v>
      </c>
      <c r="G41" s="29" t="s">
        <v>10</v>
      </c>
      <c r="H41" s="29">
        <f>' Allocation Pg 1'!D46</f>
        <v>51760.455999999998</v>
      </c>
    </row>
    <row r="42" spans="1:8" ht="15" thickBot="1" x14ac:dyDescent="0.25">
      <c r="A42" s="1">
        <f t="shared" si="0"/>
        <v>41</v>
      </c>
      <c r="C42" t="s">
        <v>8</v>
      </c>
      <c r="D42" s="30">
        <f>SUM(D39:D41)</f>
        <v>32222.553009499999</v>
      </c>
      <c r="E42" s="29"/>
      <c r="F42" s="29"/>
      <c r="G42" s="29" t="s">
        <v>29</v>
      </c>
      <c r="H42" s="29">
        <f>' Allocation Pg 1'!H42</f>
        <v>2692.0560129</v>
      </c>
    </row>
    <row r="43" spans="1:8" ht="15" thickTop="1" x14ac:dyDescent="0.2">
      <c r="A43" s="1">
        <f t="shared" si="0"/>
        <v>42</v>
      </c>
      <c r="D43" s="29"/>
      <c r="E43" s="29"/>
      <c r="F43" s="29"/>
      <c r="G43" s="29" t="s">
        <v>36</v>
      </c>
      <c r="H43" s="29">
        <f>' Allocation Pg 1'!H56</f>
        <v>7503.8690999999999</v>
      </c>
    </row>
    <row r="44" spans="1:8" ht="15" thickBot="1" x14ac:dyDescent="0.25">
      <c r="A44" s="1">
        <f t="shared" si="0"/>
        <v>43</v>
      </c>
      <c r="B44" t="s">
        <v>62</v>
      </c>
      <c r="C44" t="s">
        <v>10</v>
      </c>
      <c r="D44" s="29">
        <f>' Allocation Pg 1'!D38</f>
        <v>49794.055</v>
      </c>
      <c r="E44" s="29"/>
      <c r="F44" s="29"/>
      <c r="G44" s="29" t="s">
        <v>8</v>
      </c>
      <c r="H44" s="30">
        <f>SUM(H41:H43)</f>
        <v>61956.381112899995</v>
      </c>
    </row>
    <row r="45" spans="1:8" ht="15" thickTop="1" x14ac:dyDescent="0.2">
      <c r="A45" s="1">
        <f t="shared" si="0"/>
        <v>44</v>
      </c>
      <c r="C45" t="s">
        <v>29</v>
      </c>
      <c r="D45" s="29">
        <f>' Allocation Pg 1'!H35</f>
        <v>5280.3349916999996</v>
      </c>
      <c r="E45" s="29"/>
      <c r="F45" s="29"/>
      <c r="G45" s="29"/>
      <c r="H45" s="29"/>
    </row>
    <row r="46" spans="1:8" x14ac:dyDescent="0.2">
      <c r="A46" s="1">
        <f t="shared" si="0"/>
        <v>45</v>
      </c>
      <c r="C46" t="s">
        <v>33</v>
      </c>
      <c r="D46" s="29">
        <f>' Allocation Pg 1'!D58</f>
        <v>7878.6347255000001</v>
      </c>
      <c r="E46" s="29"/>
      <c r="F46" s="29"/>
      <c r="G46" s="29"/>
      <c r="H46" s="29"/>
    </row>
    <row r="47" spans="1:8" ht="15" thickBot="1" x14ac:dyDescent="0.25">
      <c r="A47" s="1">
        <f t="shared" si="0"/>
        <v>46</v>
      </c>
      <c r="C47" t="s">
        <v>8</v>
      </c>
      <c r="D47" s="30">
        <f>SUM(D44:D46)</f>
        <v>62953.024717200002</v>
      </c>
      <c r="E47" s="29"/>
      <c r="F47" s="29"/>
      <c r="G47" s="29"/>
      <c r="H47" s="29"/>
    </row>
    <row r="48" spans="1:8" ht="15" thickTop="1" x14ac:dyDescent="0.2">
      <c r="A48" s="1">
        <f t="shared" si="0"/>
        <v>47</v>
      </c>
      <c r="H48" s="5"/>
    </row>
    <row r="49" spans="1:6" x14ac:dyDescent="0.2">
      <c r="A49" s="1">
        <f t="shared" si="0"/>
        <v>48</v>
      </c>
    </row>
    <row r="50" spans="1:6" ht="15" thickBot="1" x14ac:dyDescent="0.25">
      <c r="A50" s="1">
        <f t="shared" si="0"/>
        <v>49</v>
      </c>
      <c r="D50" t="s">
        <v>71</v>
      </c>
      <c r="F50" s="8">
        <f>D13+D18+D20+D25+D29+D37+D42+D47+H14+H16+H21+H26+H30+H34+H39+H44</f>
        <v>1392834.1068465002</v>
      </c>
    </row>
    <row r="51" spans="1:6" ht="15" thickTop="1" x14ac:dyDescent="0.2">
      <c r="A51" s="1">
        <f t="shared" si="0"/>
        <v>50</v>
      </c>
      <c r="D51" t="s">
        <v>111</v>
      </c>
    </row>
    <row r="52" spans="1:6" x14ac:dyDescent="0.2">
      <c r="A52" s="1">
        <f t="shared" si="0"/>
        <v>51</v>
      </c>
      <c r="D52" t="s">
        <v>112</v>
      </c>
      <c r="F52" s="5">
        <f>' Allocation Pg 1'!D7-'Allocation Pg 2'!F50</f>
        <v>-0.10684650018811226</v>
      </c>
    </row>
    <row r="53" spans="1:6" x14ac:dyDescent="0.2">
      <c r="A53" s="1">
        <f t="shared" si="0"/>
        <v>52</v>
      </c>
      <c r="D53" t="s">
        <v>113</v>
      </c>
      <c r="F53" s="23">
        <f>' Allocation Pg 1'!D22-F50</f>
        <v>-0.10684650018811226</v>
      </c>
    </row>
    <row r="54" spans="1:6" x14ac:dyDescent="0.2">
      <c r="A54" s="1"/>
    </row>
    <row r="55" spans="1:6" x14ac:dyDescent="0.2">
      <c r="A55" s="1"/>
    </row>
    <row r="56" spans="1:6" x14ac:dyDescent="0.2">
      <c r="A56" s="1"/>
    </row>
    <row r="57" spans="1:6" x14ac:dyDescent="0.2">
      <c r="A57" s="1"/>
    </row>
  </sheetData>
  <mergeCells count="4">
    <mergeCell ref="C8:G8"/>
    <mergeCell ref="D3:F3"/>
    <mergeCell ref="C4:G4"/>
    <mergeCell ref="D5:F5"/>
  </mergeCells>
  <pageMargins left="0.7" right="0.7" top="0.75" bottom="0.75" header="0.3" footer="0.3"/>
  <pageSetup scale="6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80" zoomScaleNormal="80" workbookViewId="0">
      <selection activeCell="B3" sqref="B3"/>
    </sheetView>
  </sheetViews>
  <sheetFormatPr defaultColWidth="17.625" defaultRowHeight="14.25" x14ac:dyDescent="0.2"/>
  <cols>
    <col min="1" max="1" width="4.625" customWidth="1"/>
    <col min="2" max="2" width="20.625" customWidth="1"/>
    <col min="9" max="9" width="4" customWidth="1"/>
  </cols>
  <sheetData>
    <row r="1" spans="1:11" x14ac:dyDescent="0.2">
      <c r="A1" s="1">
        <v>0</v>
      </c>
      <c r="B1" t="str">
        <f>Margins!B1</f>
        <v>2022 Earnings Sharing Final.xlsx</v>
      </c>
    </row>
    <row r="2" spans="1:11" ht="15" x14ac:dyDescent="0.25">
      <c r="A2" s="1">
        <f>A1+1</f>
        <v>1</v>
      </c>
      <c r="K2" s="15" t="s">
        <v>108</v>
      </c>
    </row>
    <row r="3" spans="1:11" ht="15" x14ac:dyDescent="0.25">
      <c r="A3" s="1">
        <f t="shared" ref="A3:A6" si="0">A2+1</f>
        <v>2</v>
      </c>
      <c r="C3" s="34" t="s">
        <v>73</v>
      </c>
      <c r="D3" s="34"/>
      <c r="E3" s="34"/>
      <c r="F3" s="34"/>
      <c r="G3" s="34"/>
      <c r="H3" s="34"/>
      <c r="K3" s="15" t="s">
        <v>101</v>
      </c>
    </row>
    <row r="4" spans="1:11" ht="15" x14ac:dyDescent="0.25">
      <c r="A4" s="1">
        <f t="shared" si="0"/>
        <v>3</v>
      </c>
      <c r="C4" s="34" t="s">
        <v>109</v>
      </c>
      <c r="D4" s="34"/>
      <c r="E4" s="34"/>
      <c r="F4" s="34"/>
      <c r="G4" s="34"/>
      <c r="H4" s="34"/>
    </row>
    <row r="5" spans="1:11" ht="15" x14ac:dyDescent="0.25">
      <c r="A5" s="1">
        <f t="shared" si="0"/>
        <v>4</v>
      </c>
      <c r="C5" s="34" t="s">
        <v>110</v>
      </c>
      <c r="D5" s="34"/>
      <c r="E5" s="34"/>
      <c r="F5" s="34"/>
      <c r="G5" s="34"/>
      <c r="H5" s="34"/>
    </row>
    <row r="6" spans="1:11" ht="15" x14ac:dyDescent="0.25">
      <c r="A6" s="1">
        <f t="shared" si="0"/>
        <v>5</v>
      </c>
      <c r="B6" s="9"/>
      <c r="C6" s="34" t="s">
        <v>122</v>
      </c>
      <c r="D6" s="34"/>
      <c r="E6" s="34"/>
      <c r="F6" s="34"/>
      <c r="G6" s="34"/>
      <c r="H6" s="34"/>
      <c r="J6" s="35"/>
      <c r="K6" s="35"/>
    </row>
    <row r="7" spans="1:11" ht="15" x14ac:dyDescent="0.25">
      <c r="A7" s="1">
        <f t="shared" ref="A7:A85" si="1">A6+1</f>
        <v>6</v>
      </c>
      <c r="B7" s="2"/>
    </row>
    <row r="8" spans="1:11" x14ac:dyDescent="0.2">
      <c r="A8" s="1">
        <f t="shared" si="1"/>
        <v>7</v>
      </c>
      <c r="C8" s="36" t="s">
        <v>123</v>
      </c>
      <c r="D8" s="37"/>
      <c r="E8" s="37"/>
      <c r="F8" s="37"/>
      <c r="G8" s="37"/>
      <c r="H8" s="38"/>
    </row>
    <row r="9" spans="1:11" x14ac:dyDescent="0.2">
      <c r="A9" s="1">
        <f t="shared" si="1"/>
        <v>8</v>
      </c>
      <c r="B9" s="3"/>
      <c r="C9" s="3"/>
      <c r="D9" s="3" t="s">
        <v>2</v>
      </c>
      <c r="E9" s="3" t="s">
        <v>4</v>
      </c>
      <c r="F9" s="3" t="s">
        <v>6</v>
      </c>
      <c r="G9" s="3" t="s">
        <v>27</v>
      </c>
      <c r="H9" s="3" t="s">
        <v>8</v>
      </c>
      <c r="J9" s="10" t="s">
        <v>41</v>
      </c>
      <c r="K9" s="10" t="s">
        <v>42</v>
      </c>
    </row>
    <row r="10" spans="1:11" ht="15" thickBot="1" x14ac:dyDescent="0.25">
      <c r="A10" s="1">
        <f t="shared" si="1"/>
        <v>9</v>
      </c>
      <c r="B10" s="4" t="s">
        <v>0</v>
      </c>
      <c r="C10" s="4" t="s">
        <v>1</v>
      </c>
      <c r="D10" s="4" t="s">
        <v>3</v>
      </c>
      <c r="E10" s="4" t="s">
        <v>5</v>
      </c>
      <c r="F10" s="4" t="s">
        <v>7</v>
      </c>
      <c r="G10" s="4" t="s">
        <v>3</v>
      </c>
      <c r="H10" s="4" t="s">
        <v>9</v>
      </c>
      <c r="J10" s="11" t="s">
        <v>0</v>
      </c>
      <c r="K10" s="11" t="s">
        <v>43</v>
      </c>
    </row>
    <row r="11" spans="1:11" x14ac:dyDescent="0.2">
      <c r="A11" s="1">
        <f t="shared" si="1"/>
        <v>10</v>
      </c>
    </row>
    <row r="12" spans="1:11" x14ac:dyDescent="0.2">
      <c r="A12" s="1">
        <f t="shared" si="1"/>
        <v>11</v>
      </c>
      <c r="B12" s="25" t="s">
        <v>10</v>
      </c>
      <c r="C12" s="5"/>
      <c r="D12" s="5"/>
      <c r="E12" s="5"/>
      <c r="F12" s="5"/>
      <c r="G12" s="5"/>
      <c r="H12" s="5"/>
    </row>
    <row r="13" spans="1:11" x14ac:dyDescent="0.2">
      <c r="A13" s="1">
        <f t="shared" si="1"/>
        <v>12</v>
      </c>
      <c r="B13" t="s">
        <v>11</v>
      </c>
      <c r="C13" s="5">
        <v>19867780</v>
      </c>
      <c r="D13" s="5">
        <v>0</v>
      </c>
      <c r="E13" s="5">
        <v>660</v>
      </c>
      <c r="F13" s="5">
        <v>-12014</v>
      </c>
      <c r="G13" s="5">
        <v>0</v>
      </c>
      <c r="H13" s="5">
        <f>SUM(C13:G13)</f>
        <v>19856426</v>
      </c>
      <c r="J13" s="26">
        <f t="shared" ref="J13:J28" si="2">ROUND(H13/H$30,7)</f>
        <v>2.2216400000000001E-2</v>
      </c>
      <c r="K13" s="26">
        <f t="shared" ref="K13:K28" si="3">ROUND(H13/H$107,7)</f>
        <v>1.7479999999999999E-2</v>
      </c>
    </row>
    <row r="14" spans="1:11" x14ac:dyDescent="0.2">
      <c r="A14" s="1">
        <f t="shared" si="1"/>
        <v>13</v>
      </c>
      <c r="B14" t="s">
        <v>12</v>
      </c>
      <c r="C14" s="5">
        <v>102974231</v>
      </c>
      <c r="D14" s="5">
        <v>-8345</v>
      </c>
      <c r="E14" s="5">
        <v>4731</v>
      </c>
      <c r="F14" s="5">
        <v>-84126</v>
      </c>
      <c r="G14" s="5">
        <v>0</v>
      </c>
      <c r="H14" s="5">
        <f t="shared" ref="H14:H28" si="4">SUM(C14:G14)</f>
        <v>102886491</v>
      </c>
      <c r="J14" s="26">
        <f t="shared" si="2"/>
        <v>0.11511490000000001</v>
      </c>
      <c r="K14" s="26">
        <f t="shared" si="3"/>
        <v>9.0572799999999995E-2</v>
      </c>
    </row>
    <row r="15" spans="1:11" x14ac:dyDescent="0.2">
      <c r="A15" s="1">
        <f t="shared" si="1"/>
        <v>14</v>
      </c>
      <c r="B15" t="s">
        <v>13</v>
      </c>
      <c r="C15" s="5">
        <v>41836388</v>
      </c>
      <c r="D15" s="5">
        <v>-878</v>
      </c>
      <c r="E15" s="5">
        <v>576</v>
      </c>
      <c r="F15" s="5">
        <v>-10230</v>
      </c>
      <c r="G15" s="5">
        <v>0</v>
      </c>
      <c r="H15" s="5">
        <f t="shared" si="4"/>
        <v>41825856</v>
      </c>
      <c r="J15" s="26">
        <f t="shared" si="2"/>
        <v>4.6796999999999998E-2</v>
      </c>
      <c r="K15" s="26">
        <f t="shared" si="3"/>
        <v>3.6819999999999999E-2</v>
      </c>
    </row>
    <row r="16" spans="1:11" x14ac:dyDescent="0.2">
      <c r="A16" s="1">
        <f t="shared" si="1"/>
        <v>15</v>
      </c>
      <c r="B16" t="s">
        <v>14</v>
      </c>
      <c r="C16" s="5">
        <v>39595671</v>
      </c>
      <c r="D16" s="5">
        <v>-44</v>
      </c>
      <c r="E16" s="5">
        <v>180</v>
      </c>
      <c r="F16" s="5">
        <v>-3724</v>
      </c>
      <c r="G16" s="5">
        <v>0</v>
      </c>
      <c r="H16" s="5">
        <f t="shared" si="4"/>
        <v>39592083</v>
      </c>
      <c r="J16" s="26">
        <f t="shared" si="2"/>
        <v>4.4297700000000002E-2</v>
      </c>
      <c r="K16" s="26">
        <f t="shared" si="3"/>
        <v>3.4853599999999998E-2</v>
      </c>
    </row>
    <row r="17" spans="1:11" x14ac:dyDescent="0.2">
      <c r="A17" s="1">
        <f t="shared" si="1"/>
        <v>16</v>
      </c>
      <c r="B17" t="s">
        <v>15</v>
      </c>
      <c r="C17" s="5">
        <v>42713009</v>
      </c>
      <c r="D17" s="5">
        <v>-1045</v>
      </c>
      <c r="E17" s="5">
        <v>336</v>
      </c>
      <c r="F17" s="5">
        <v>-39077</v>
      </c>
      <c r="G17" s="5">
        <v>0</v>
      </c>
      <c r="H17" s="5">
        <f t="shared" si="4"/>
        <v>42673223</v>
      </c>
      <c r="J17" s="26">
        <f t="shared" si="2"/>
        <v>4.7745099999999999E-2</v>
      </c>
      <c r="K17" s="26">
        <f t="shared" si="3"/>
        <v>3.7566000000000002E-2</v>
      </c>
    </row>
    <row r="18" spans="1:11" x14ac:dyDescent="0.2">
      <c r="A18" s="1">
        <f t="shared" si="1"/>
        <v>17</v>
      </c>
      <c r="B18" t="s">
        <v>16</v>
      </c>
      <c r="C18" s="5">
        <v>40308383</v>
      </c>
      <c r="D18" s="5">
        <v>-3275</v>
      </c>
      <c r="E18" s="5">
        <v>420</v>
      </c>
      <c r="F18" s="5">
        <v>-21940</v>
      </c>
      <c r="G18" s="5">
        <v>0</v>
      </c>
      <c r="H18" s="5">
        <f t="shared" si="4"/>
        <v>40283588</v>
      </c>
      <c r="J18" s="26">
        <f t="shared" si="2"/>
        <v>4.5071399999999998E-2</v>
      </c>
      <c r="K18" s="26">
        <f t="shared" si="3"/>
        <v>3.5462399999999998E-2</v>
      </c>
    </row>
    <row r="19" spans="1:11" x14ac:dyDescent="0.2">
      <c r="A19" s="1">
        <f t="shared" si="1"/>
        <v>18</v>
      </c>
      <c r="B19" t="s">
        <v>17</v>
      </c>
      <c r="C19" s="5">
        <v>20768711</v>
      </c>
      <c r="D19" s="5">
        <v>-4006</v>
      </c>
      <c r="E19" s="5">
        <v>1054</v>
      </c>
      <c r="F19" s="5">
        <v>-1473</v>
      </c>
      <c r="G19" s="5">
        <v>0</v>
      </c>
      <c r="H19" s="5">
        <f t="shared" si="4"/>
        <v>20764286</v>
      </c>
      <c r="J19" s="26">
        <f t="shared" si="2"/>
        <v>2.3232200000000001E-2</v>
      </c>
      <c r="K19" s="26">
        <f t="shared" si="3"/>
        <v>1.8279199999999999E-2</v>
      </c>
    </row>
    <row r="20" spans="1:11" x14ac:dyDescent="0.2">
      <c r="A20" s="1">
        <f t="shared" si="1"/>
        <v>19</v>
      </c>
      <c r="B20" t="s">
        <v>18</v>
      </c>
      <c r="C20" s="5">
        <f>40640317+344</f>
        <v>40640661</v>
      </c>
      <c r="D20" s="5">
        <v>-10075</v>
      </c>
      <c r="E20" s="5">
        <v>12993</v>
      </c>
      <c r="F20" s="5">
        <v>-43146</v>
      </c>
      <c r="G20" s="5">
        <v>0</v>
      </c>
      <c r="H20" s="5">
        <f t="shared" si="4"/>
        <v>40600433</v>
      </c>
      <c r="J20" s="26">
        <f t="shared" si="2"/>
        <v>4.5425899999999998E-2</v>
      </c>
      <c r="K20" s="26">
        <f t="shared" si="3"/>
        <v>3.5741299999999997E-2</v>
      </c>
    </row>
    <row r="21" spans="1:11" x14ac:dyDescent="0.2">
      <c r="A21" s="1">
        <f t="shared" si="1"/>
        <v>20</v>
      </c>
      <c r="B21" t="s">
        <v>19</v>
      </c>
      <c r="C21" s="5">
        <v>79507662</v>
      </c>
      <c r="D21" s="5">
        <v>-1500</v>
      </c>
      <c r="E21" s="5">
        <v>1780</v>
      </c>
      <c r="F21" s="5">
        <v>-13802</v>
      </c>
      <c r="G21" s="5">
        <v>0</v>
      </c>
      <c r="H21" s="5">
        <f t="shared" si="4"/>
        <v>79494140</v>
      </c>
      <c r="J21" s="26">
        <f t="shared" si="2"/>
        <v>8.8942300000000002E-2</v>
      </c>
      <c r="K21" s="26">
        <f t="shared" si="3"/>
        <v>6.9980100000000003E-2</v>
      </c>
    </row>
    <row r="22" spans="1:11" x14ac:dyDescent="0.2">
      <c r="A22" s="1">
        <f t="shared" si="1"/>
        <v>21</v>
      </c>
      <c r="B22" t="s">
        <v>20</v>
      </c>
      <c r="C22" s="5">
        <v>23211512</v>
      </c>
      <c r="D22" s="5">
        <v>-224</v>
      </c>
      <c r="E22" s="5">
        <v>503</v>
      </c>
      <c r="F22" s="5">
        <v>-2223</v>
      </c>
      <c r="G22" s="5">
        <v>0</v>
      </c>
      <c r="H22" s="5">
        <f t="shared" si="4"/>
        <v>23209568</v>
      </c>
      <c r="J22" s="26">
        <f t="shared" si="2"/>
        <v>2.5968100000000001E-2</v>
      </c>
      <c r="K22" s="26">
        <f t="shared" si="3"/>
        <v>2.04318E-2</v>
      </c>
    </row>
    <row r="23" spans="1:11" x14ac:dyDescent="0.2">
      <c r="A23" s="1">
        <f t="shared" si="1"/>
        <v>22</v>
      </c>
      <c r="B23" t="s">
        <v>21</v>
      </c>
      <c r="C23" s="5">
        <v>57236068</v>
      </c>
      <c r="D23" s="5">
        <v>-1149</v>
      </c>
      <c r="E23" s="5">
        <v>4518</v>
      </c>
      <c r="F23" s="5">
        <v>-11956</v>
      </c>
      <c r="G23" s="5">
        <v>0</v>
      </c>
      <c r="H23" s="5">
        <f t="shared" si="4"/>
        <v>57227481</v>
      </c>
      <c r="J23" s="26">
        <f t="shared" si="2"/>
        <v>6.4029199999999994E-2</v>
      </c>
      <c r="K23" s="26">
        <f t="shared" si="3"/>
        <v>5.0378399999999997E-2</v>
      </c>
    </row>
    <row r="24" spans="1:11" x14ac:dyDescent="0.2">
      <c r="A24" s="1">
        <f t="shared" si="1"/>
        <v>23</v>
      </c>
      <c r="B24" t="s">
        <v>22</v>
      </c>
      <c r="C24" s="5">
        <v>99878696</v>
      </c>
      <c r="D24" s="5">
        <v>-9186</v>
      </c>
      <c r="E24" s="5">
        <v>9368</v>
      </c>
      <c r="F24" s="5">
        <v>-104282</v>
      </c>
      <c r="G24" s="5">
        <v>0</v>
      </c>
      <c r="H24" s="5">
        <f t="shared" si="4"/>
        <v>99774596</v>
      </c>
      <c r="J24" s="26">
        <f t="shared" si="2"/>
        <v>0.1116331</v>
      </c>
      <c r="K24" s="26">
        <f t="shared" si="3"/>
        <v>8.7833400000000006E-2</v>
      </c>
    </row>
    <row r="25" spans="1:11" x14ac:dyDescent="0.2">
      <c r="A25" s="1">
        <f t="shared" si="1"/>
        <v>24</v>
      </c>
      <c r="B25" t="s">
        <v>23</v>
      </c>
      <c r="C25" s="5">
        <v>104259113</v>
      </c>
      <c r="D25" s="5">
        <v>-5589</v>
      </c>
      <c r="E25" s="5">
        <v>1670</v>
      </c>
      <c r="F25" s="5">
        <v>-53334</v>
      </c>
      <c r="G25" s="5">
        <v>-539298</v>
      </c>
      <c r="H25" s="5">
        <f t="shared" si="4"/>
        <v>103662562</v>
      </c>
      <c r="J25" s="26">
        <f t="shared" si="2"/>
        <v>0.11598319999999999</v>
      </c>
      <c r="K25" s="26">
        <f t="shared" si="3"/>
        <v>9.1256000000000004E-2</v>
      </c>
    </row>
    <row r="26" spans="1:11" x14ac:dyDescent="0.2">
      <c r="A26" s="1">
        <f t="shared" si="1"/>
        <v>25</v>
      </c>
      <c r="B26" t="s">
        <v>24</v>
      </c>
      <c r="C26" s="5">
        <v>31440051</v>
      </c>
      <c r="D26" s="5">
        <v>-3988</v>
      </c>
      <c r="E26" s="5">
        <v>2436</v>
      </c>
      <c r="F26" s="5">
        <v>-27527</v>
      </c>
      <c r="G26" s="5">
        <v>0</v>
      </c>
      <c r="H26" s="5">
        <f t="shared" si="4"/>
        <v>31410972</v>
      </c>
      <c r="J26" s="26">
        <f t="shared" si="2"/>
        <v>3.5144300000000003E-2</v>
      </c>
      <c r="K26" s="26">
        <f t="shared" si="3"/>
        <v>2.7651599999999998E-2</v>
      </c>
    </row>
    <row r="27" spans="1:11" x14ac:dyDescent="0.2">
      <c r="A27" s="1">
        <f t="shared" si="1"/>
        <v>26</v>
      </c>
      <c r="B27" t="s">
        <v>25</v>
      </c>
      <c r="C27" s="5">
        <v>108395027</v>
      </c>
      <c r="D27" s="5">
        <v>-5812</v>
      </c>
      <c r="E27" s="5">
        <v>4131</v>
      </c>
      <c r="F27" s="5">
        <v>-86511</v>
      </c>
      <c r="G27" s="5">
        <v>0</v>
      </c>
      <c r="H27" s="5">
        <f t="shared" si="4"/>
        <v>108306835</v>
      </c>
      <c r="J27" s="26">
        <f t="shared" si="2"/>
        <v>0.1211795</v>
      </c>
      <c r="K27" s="26">
        <f t="shared" si="3"/>
        <v>9.5344399999999996E-2</v>
      </c>
    </row>
    <row r="28" spans="1:11" x14ac:dyDescent="0.2">
      <c r="A28" s="1">
        <f t="shared" si="1"/>
        <v>27</v>
      </c>
      <c r="B28" t="s">
        <v>26</v>
      </c>
      <c r="C28" s="7">
        <v>42215701</v>
      </c>
      <c r="D28" s="7">
        <v>0</v>
      </c>
      <c r="E28" s="7">
        <v>0</v>
      </c>
      <c r="F28" s="7">
        <v>-11969</v>
      </c>
      <c r="G28" s="7">
        <v>0</v>
      </c>
      <c r="H28" s="7">
        <f t="shared" si="4"/>
        <v>42203732</v>
      </c>
      <c r="J28" s="26">
        <f t="shared" si="2"/>
        <v>4.7219799999999999E-2</v>
      </c>
      <c r="K28" s="26">
        <f t="shared" si="3"/>
        <v>3.7152699999999997E-2</v>
      </c>
    </row>
    <row r="29" spans="1:11" x14ac:dyDescent="0.2">
      <c r="A29" s="1">
        <f t="shared" si="1"/>
        <v>28</v>
      </c>
      <c r="C29" s="5"/>
      <c r="D29" s="5"/>
      <c r="E29" s="5"/>
      <c r="F29" s="5"/>
      <c r="G29" s="5"/>
      <c r="H29" s="5"/>
      <c r="J29" s="12"/>
      <c r="K29" s="12"/>
    </row>
    <row r="30" spans="1:11" ht="15" thickBot="1" x14ac:dyDescent="0.25">
      <c r="A30" s="1">
        <f t="shared" si="1"/>
        <v>29</v>
      </c>
      <c r="B30" t="s">
        <v>28</v>
      </c>
      <c r="C30" s="8">
        <f>SUM(C13:C28)</f>
        <v>894848664</v>
      </c>
      <c r="D30" s="8">
        <f t="shared" ref="D30:H30" si="5">SUM(D13:D28)</f>
        <v>-55116</v>
      </c>
      <c r="E30" s="8">
        <f t="shared" si="5"/>
        <v>45356</v>
      </c>
      <c r="F30" s="8">
        <f t="shared" si="5"/>
        <v>-527334</v>
      </c>
      <c r="G30" s="8">
        <f t="shared" si="5"/>
        <v>-539298</v>
      </c>
      <c r="H30" s="8">
        <f t="shared" si="5"/>
        <v>893772272</v>
      </c>
      <c r="J30" s="26">
        <f>SUM(J13:J28)</f>
        <v>1.0000001000000001</v>
      </c>
      <c r="K30" s="26">
        <f>ROUND(H30/H$107,3)</f>
        <v>0.78700000000000003</v>
      </c>
    </row>
    <row r="31" spans="1:11" ht="15" thickTop="1" x14ac:dyDescent="0.2">
      <c r="A31" s="1">
        <f t="shared" si="1"/>
        <v>30</v>
      </c>
      <c r="C31" s="42"/>
      <c r="D31" s="42"/>
      <c r="E31" s="42"/>
      <c r="F31" s="42"/>
      <c r="G31" s="42"/>
      <c r="H31" s="5"/>
      <c r="J31" s="12"/>
      <c r="K31" s="12"/>
    </row>
    <row r="32" spans="1:11" x14ac:dyDescent="0.2">
      <c r="A32" s="1">
        <f t="shared" si="1"/>
        <v>31</v>
      </c>
      <c r="B32" s="25" t="s">
        <v>29</v>
      </c>
      <c r="C32" s="5"/>
      <c r="D32" s="5"/>
      <c r="E32" s="5"/>
      <c r="F32" s="5"/>
      <c r="G32" s="5"/>
      <c r="H32" s="5"/>
      <c r="J32" s="12"/>
      <c r="K32" s="12"/>
    </row>
    <row r="33" spans="1:11" x14ac:dyDescent="0.2">
      <c r="A33" s="1">
        <f t="shared" si="1"/>
        <v>32</v>
      </c>
      <c r="B33" t="s">
        <v>11</v>
      </c>
      <c r="C33" s="5">
        <v>476604</v>
      </c>
      <c r="D33" s="5">
        <v>0</v>
      </c>
      <c r="E33" s="5">
        <v>0</v>
      </c>
      <c r="F33" s="5">
        <v>0</v>
      </c>
      <c r="G33" s="5">
        <v>0</v>
      </c>
      <c r="H33" s="5">
        <f t="shared" ref="H33:H44" si="6">SUM(C33:G33)</f>
        <v>476604</v>
      </c>
      <c r="J33" s="26">
        <f t="shared" ref="J33:J44" si="7">ROUND(H33/H$46,7)</f>
        <v>6.1593000000000004E-3</v>
      </c>
      <c r="K33" s="26">
        <f t="shared" ref="K33:K44" si="8">ROUND(H33/H$107,7)</f>
        <v>4.1960000000000001E-4</v>
      </c>
    </row>
    <row r="34" spans="1:11" x14ac:dyDescent="0.2">
      <c r="A34" s="1">
        <f t="shared" si="1"/>
        <v>33</v>
      </c>
      <c r="B34" t="s">
        <v>12</v>
      </c>
      <c r="C34" s="5">
        <v>11863827</v>
      </c>
      <c r="D34" s="5">
        <v>0</v>
      </c>
      <c r="E34" s="5">
        <v>0</v>
      </c>
      <c r="F34" s="5">
        <v>0</v>
      </c>
      <c r="G34" s="5">
        <v>0</v>
      </c>
      <c r="H34" s="5">
        <f t="shared" si="6"/>
        <v>11863827</v>
      </c>
      <c r="J34" s="26">
        <f t="shared" si="7"/>
        <v>0.1533204</v>
      </c>
      <c r="K34" s="26">
        <f t="shared" si="8"/>
        <v>1.0443900000000001E-2</v>
      </c>
    </row>
    <row r="35" spans="1:11" x14ac:dyDescent="0.2">
      <c r="A35" s="1">
        <f t="shared" si="1"/>
        <v>34</v>
      </c>
      <c r="B35" t="s">
        <v>16</v>
      </c>
      <c r="C35" s="5">
        <v>2740551</v>
      </c>
      <c r="D35" s="5">
        <v>0</v>
      </c>
      <c r="E35" s="5">
        <v>0</v>
      </c>
      <c r="F35" s="5">
        <v>0</v>
      </c>
      <c r="G35" s="5">
        <v>0</v>
      </c>
      <c r="H35" s="5">
        <f t="shared" si="6"/>
        <v>2740551</v>
      </c>
      <c r="J35" s="26">
        <f t="shared" si="7"/>
        <v>3.54171E-2</v>
      </c>
      <c r="K35" s="26">
        <f t="shared" si="8"/>
        <v>2.4126E-3</v>
      </c>
    </row>
    <row r="36" spans="1:11" x14ac:dyDescent="0.2">
      <c r="A36" s="1">
        <f t="shared" si="1"/>
        <v>35</v>
      </c>
      <c r="B36" t="s">
        <v>17</v>
      </c>
      <c r="C36" s="5">
        <v>3286957</v>
      </c>
      <c r="D36" s="5">
        <v>0</v>
      </c>
      <c r="E36" s="5">
        <v>0</v>
      </c>
      <c r="F36" s="5">
        <v>0</v>
      </c>
      <c r="G36" s="5">
        <v>0</v>
      </c>
      <c r="H36" s="5">
        <f t="shared" si="6"/>
        <v>3286957</v>
      </c>
      <c r="J36" s="26">
        <f t="shared" si="7"/>
        <v>4.2478500000000002E-2</v>
      </c>
      <c r="K36" s="26">
        <f t="shared" si="8"/>
        <v>2.8936000000000001E-3</v>
      </c>
    </row>
    <row r="37" spans="1:11" x14ac:dyDescent="0.2">
      <c r="A37" s="1">
        <f t="shared" si="1"/>
        <v>36</v>
      </c>
      <c r="B37" t="s">
        <v>18</v>
      </c>
      <c r="C37" s="5">
        <v>4313965</v>
      </c>
      <c r="D37" s="5">
        <v>0</v>
      </c>
      <c r="E37" s="5">
        <v>0</v>
      </c>
      <c r="F37" s="5">
        <v>0</v>
      </c>
      <c r="G37" s="5">
        <v>0</v>
      </c>
      <c r="H37" s="5">
        <f t="shared" si="6"/>
        <v>4313965</v>
      </c>
      <c r="J37" s="26">
        <f t="shared" si="7"/>
        <v>5.5750899999999999E-2</v>
      </c>
      <c r="K37" s="26">
        <f t="shared" si="8"/>
        <v>3.7977000000000002E-3</v>
      </c>
    </row>
    <row r="38" spans="1:11" x14ac:dyDescent="0.2">
      <c r="A38" s="1">
        <f t="shared" si="1"/>
        <v>37</v>
      </c>
      <c r="B38" t="s">
        <v>19</v>
      </c>
      <c r="C38" s="5">
        <v>4645500</v>
      </c>
      <c r="D38" s="5">
        <v>0</v>
      </c>
      <c r="E38" s="5">
        <v>0</v>
      </c>
      <c r="F38" s="5">
        <v>0</v>
      </c>
      <c r="G38" s="5">
        <v>0</v>
      </c>
      <c r="H38" s="5">
        <f t="shared" si="6"/>
        <v>4645500</v>
      </c>
      <c r="J38" s="26">
        <f t="shared" si="7"/>
        <v>6.0035400000000003E-2</v>
      </c>
      <c r="K38" s="26">
        <f t="shared" si="8"/>
        <v>4.0895000000000003E-3</v>
      </c>
    </row>
    <row r="39" spans="1:11" x14ac:dyDescent="0.2">
      <c r="A39" s="1">
        <f t="shared" si="1"/>
        <v>38</v>
      </c>
      <c r="B39" t="s">
        <v>21</v>
      </c>
      <c r="C39" s="5">
        <v>896929</v>
      </c>
      <c r="D39" s="5">
        <v>0</v>
      </c>
      <c r="E39" s="5">
        <v>0</v>
      </c>
      <c r="F39" s="5">
        <v>0</v>
      </c>
      <c r="G39" s="5">
        <v>0</v>
      </c>
      <c r="H39" s="5">
        <f t="shared" si="6"/>
        <v>896929</v>
      </c>
      <c r="J39" s="26">
        <f t="shared" si="7"/>
        <v>1.1591300000000001E-2</v>
      </c>
      <c r="K39" s="26">
        <f t="shared" si="8"/>
        <v>7.896E-4</v>
      </c>
    </row>
    <row r="40" spans="1:11" x14ac:dyDescent="0.2">
      <c r="A40" s="1">
        <f t="shared" si="1"/>
        <v>39</v>
      </c>
      <c r="B40" t="s">
        <v>22</v>
      </c>
      <c r="C40" s="5">
        <v>20490633</v>
      </c>
      <c r="D40" s="5">
        <v>0</v>
      </c>
      <c r="E40" s="5">
        <v>0</v>
      </c>
      <c r="F40" s="5">
        <v>0</v>
      </c>
      <c r="G40" s="5">
        <v>0</v>
      </c>
      <c r="H40" s="5">
        <f t="shared" si="6"/>
        <v>20490633</v>
      </c>
      <c r="J40" s="26">
        <f t="shared" si="7"/>
        <v>0.26480769999999998</v>
      </c>
      <c r="K40" s="26">
        <f t="shared" si="8"/>
        <v>1.80383E-2</v>
      </c>
    </row>
    <row r="41" spans="1:11" x14ac:dyDescent="0.2">
      <c r="A41" s="1">
        <f t="shared" si="1"/>
        <v>40</v>
      </c>
      <c r="B41" t="s">
        <v>23</v>
      </c>
      <c r="C41" s="5">
        <v>10843702</v>
      </c>
      <c r="D41" s="5">
        <v>0</v>
      </c>
      <c r="E41" s="5">
        <v>0</v>
      </c>
      <c r="F41" s="5">
        <v>0</v>
      </c>
      <c r="G41" s="5">
        <v>0</v>
      </c>
      <c r="H41" s="5">
        <f t="shared" si="6"/>
        <v>10843702</v>
      </c>
      <c r="J41" s="26">
        <f t="shared" si="7"/>
        <v>0.14013700000000001</v>
      </c>
      <c r="K41" s="26">
        <f t="shared" si="8"/>
        <v>9.5458999999999995E-3</v>
      </c>
    </row>
    <row r="42" spans="1:11" x14ac:dyDescent="0.2">
      <c r="A42" s="1">
        <f t="shared" si="1"/>
        <v>41</v>
      </c>
      <c r="B42" t="s">
        <v>24</v>
      </c>
      <c r="C42" s="5">
        <v>10556423</v>
      </c>
      <c r="D42" s="5">
        <v>0</v>
      </c>
      <c r="E42" s="5">
        <v>0</v>
      </c>
      <c r="F42" s="5">
        <v>0</v>
      </c>
      <c r="G42" s="5">
        <v>0</v>
      </c>
      <c r="H42" s="5">
        <f t="shared" si="6"/>
        <v>10556423</v>
      </c>
      <c r="J42" s="26">
        <f t="shared" si="7"/>
        <v>0.1364244</v>
      </c>
      <c r="K42" s="26">
        <f t="shared" si="8"/>
        <v>9.2929999999999992E-3</v>
      </c>
    </row>
    <row r="43" spans="1:11" x14ac:dyDescent="0.2">
      <c r="A43" s="1">
        <f t="shared" si="1"/>
        <v>42</v>
      </c>
      <c r="B43" t="s">
        <v>25</v>
      </c>
      <c r="C43" s="5">
        <v>5064836</v>
      </c>
      <c r="D43" s="5">
        <v>0</v>
      </c>
      <c r="E43" s="5">
        <v>0</v>
      </c>
      <c r="F43" s="5">
        <v>0</v>
      </c>
      <c r="G43" s="5">
        <v>0</v>
      </c>
      <c r="H43" s="5">
        <f t="shared" si="6"/>
        <v>5064836</v>
      </c>
      <c r="J43" s="26">
        <f t="shared" si="7"/>
        <v>6.5454700000000005E-2</v>
      </c>
      <c r="K43" s="26">
        <f t="shared" si="8"/>
        <v>4.4587000000000003E-3</v>
      </c>
    </row>
    <row r="44" spans="1:11" x14ac:dyDescent="0.2">
      <c r="A44" s="1">
        <f t="shared" si="1"/>
        <v>43</v>
      </c>
      <c r="B44" t="s">
        <v>26</v>
      </c>
      <c r="C44" s="7">
        <v>2199378</v>
      </c>
      <c r="D44" s="7">
        <v>0</v>
      </c>
      <c r="E44" s="7">
        <v>0</v>
      </c>
      <c r="F44" s="7">
        <v>0</v>
      </c>
      <c r="G44" s="7">
        <v>0</v>
      </c>
      <c r="H44" s="7">
        <f t="shared" si="6"/>
        <v>2199378</v>
      </c>
      <c r="J44" s="26">
        <f t="shared" si="7"/>
        <v>2.8423299999999999E-2</v>
      </c>
      <c r="K44" s="26">
        <f t="shared" si="8"/>
        <v>1.9361999999999999E-3</v>
      </c>
    </row>
    <row r="45" spans="1:11" x14ac:dyDescent="0.2">
      <c r="A45" s="1">
        <f t="shared" si="1"/>
        <v>44</v>
      </c>
      <c r="C45" s="5"/>
      <c r="D45" s="5"/>
      <c r="E45" s="5"/>
      <c r="F45" s="5"/>
      <c r="G45" s="5"/>
      <c r="H45" s="5"/>
      <c r="J45" s="26"/>
      <c r="K45" s="26"/>
    </row>
    <row r="46" spans="1:11" ht="15" thickBot="1" x14ac:dyDescent="0.25">
      <c r="A46" s="1">
        <f t="shared" si="1"/>
        <v>45</v>
      </c>
      <c r="B46" t="s">
        <v>30</v>
      </c>
      <c r="C46" s="8">
        <f t="shared" ref="C46:H46" si="9">SUM(C33:C44)</f>
        <v>77379305</v>
      </c>
      <c r="D46" s="8">
        <f t="shared" si="9"/>
        <v>0</v>
      </c>
      <c r="E46" s="8">
        <f t="shared" si="9"/>
        <v>0</v>
      </c>
      <c r="F46" s="8">
        <f t="shared" si="9"/>
        <v>0</v>
      </c>
      <c r="G46" s="8">
        <f t="shared" si="9"/>
        <v>0</v>
      </c>
      <c r="H46" s="8">
        <f t="shared" si="9"/>
        <v>77379305</v>
      </c>
      <c r="J46" s="26">
        <f>SUM(J33:J44)</f>
        <v>1</v>
      </c>
      <c r="K46" s="26">
        <f>ROUND(H46/H$107,3)</f>
        <v>6.8000000000000005E-2</v>
      </c>
    </row>
    <row r="47" spans="1:11" ht="15" thickTop="1" x14ac:dyDescent="0.2">
      <c r="A47" s="1">
        <f t="shared" si="1"/>
        <v>46</v>
      </c>
      <c r="C47" s="42"/>
      <c r="D47" s="5"/>
      <c r="E47" s="5"/>
      <c r="F47" s="5"/>
      <c r="G47" s="5"/>
      <c r="H47" s="5"/>
      <c r="J47" s="12"/>
      <c r="K47" s="12"/>
    </row>
    <row r="48" spans="1:11" x14ac:dyDescent="0.2">
      <c r="A48" s="1">
        <f t="shared" si="1"/>
        <v>47</v>
      </c>
      <c r="B48" s="25" t="s">
        <v>31</v>
      </c>
      <c r="C48" s="5"/>
      <c r="D48" s="5"/>
      <c r="E48" s="5"/>
      <c r="F48" s="5"/>
      <c r="G48" s="5"/>
      <c r="H48" s="5"/>
      <c r="J48" s="12"/>
      <c r="K48" s="12"/>
    </row>
    <row r="49" spans="1:11" x14ac:dyDescent="0.2">
      <c r="A49" s="1">
        <f t="shared" si="1"/>
        <v>48</v>
      </c>
      <c r="B49" s="9" t="s">
        <v>14</v>
      </c>
      <c r="C49" s="5">
        <v>3000666</v>
      </c>
      <c r="D49" s="5">
        <v>0</v>
      </c>
      <c r="E49" s="5">
        <v>0</v>
      </c>
      <c r="F49" s="5">
        <v>0</v>
      </c>
      <c r="G49" s="5">
        <v>0</v>
      </c>
      <c r="H49" s="5">
        <f t="shared" ref="H49:H54" si="10">SUM(C49:G49)</f>
        <v>3000666</v>
      </c>
      <c r="J49" s="26">
        <f t="shared" ref="J49:J54" si="11">ROUND(H49/H$56,7)</f>
        <v>0.1151604</v>
      </c>
      <c r="K49" s="26">
        <f t="shared" ref="K49:K54" si="12">ROUND(H49/H$107,7)</f>
        <v>2.6415000000000002E-3</v>
      </c>
    </row>
    <row r="50" spans="1:11" x14ac:dyDescent="0.2">
      <c r="A50" s="1">
        <f t="shared" si="1"/>
        <v>49</v>
      </c>
      <c r="B50" t="s">
        <v>15</v>
      </c>
      <c r="C50" s="5">
        <v>2744055</v>
      </c>
      <c r="D50" s="5">
        <v>0</v>
      </c>
      <c r="E50" s="5">
        <v>0</v>
      </c>
      <c r="F50" s="5">
        <v>0</v>
      </c>
      <c r="G50" s="5">
        <v>0</v>
      </c>
      <c r="H50" s="5">
        <f t="shared" si="10"/>
        <v>2744055</v>
      </c>
      <c r="J50" s="26">
        <f t="shared" si="11"/>
        <v>0.10531210000000001</v>
      </c>
      <c r="K50" s="26">
        <f t="shared" si="12"/>
        <v>2.4156E-3</v>
      </c>
    </row>
    <row r="51" spans="1:11" x14ac:dyDescent="0.2">
      <c r="A51" s="1">
        <f t="shared" si="1"/>
        <v>50</v>
      </c>
      <c r="B51" t="s">
        <v>16</v>
      </c>
      <c r="C51" s="5">
        <v>8658527</v>
      </c>
      <c r="D51" s="5">
        <v>0</v>
      </c>
      <c r="E51" s="5">
        <v>0</v>
      </c>
      <c r="F51" s="5">
        <v>0</v>
      </c>
      <c r="G51" s="5">
        <v>0</v>
      </c>
      <c r="H51" s="5">
        <f t="shared" si="10"/>
        <v>8658527</v>
      </c>
      <c r="J51" s="26">
        <f t="shared" si="11"/>
        <v>0.33229930000000002</v>
      </c>
      <c r="K51" s="26">
        <f t="shared" si="12"/>
        <v>7.6223000000000003E-3</v>
      </c>
    </row>
    <row r="52" spans="1:11" x14ac:dyDescent="0.2">
      <c r="A52" s="1">
        <f t="shared" si="1"/>
        <v>51</v>
      </c>
      <c r="B52" t="s">
        <v>17</v>
      </c>
      <c r="C52" s="5">
        <v>2223014</v>
      </c>
      <c r="D52" s="5">
        <v>0</v>
      </c>
      <c r="E52" s="5">
        <v>0</v>
      </c>
      <c r="F52" s="5">
        <v>0</v>
      </c>
      <c r="G52" s="5">
        <v>0</v>
      </c>
      <c r="H52" s="5">
        <f t="shared" si="10"/>
        <v>2223014</v>
      </c>
      <c r="J52" s="26">
        <f t="shared" si="11"/>
        <v>8.53154E-2</v>
      </c>
      <c r="K52" s="26">
        <f t="shared" si="12"/>
        <v>1.957E-3</v>
      </c>
    </row>
    <row r="53" spans="1:11" x14ac:dyDescent="0.2">
      <c r="A53" s="1">
        <f t="shared" si="1"/>
        <v>52</v>
      </c>
      <c r="B53" t="s">
        <v>19</v>
      </c>
      <c r="C53" s="5">
        <v>2591177</v>
      </c>
      <c r="D53" s="5">
        <v>0</v>
      </c>
      <c r="E53" s="5">
        <v>0</v>
      </c>
      <c r="F53" s="5">
        <v>0</v>
      </c>
      <c r="G53" s="5">
        <v>0</v>
      </c>
      <c r="H53" s="5">
        <f t="shared" si="10"/>
        <v>2591177</v>
      </c>
      <c r="J53" s="26">
        <f t="shared" si="11"/>
        <v>9.9444900000000003E-2</v>
      </c>
      <c r="K53" s="26">
        <f t="shared" si="12"/>
        <v>2.2810999999999999E-3</v>
      </c>
    </row>
    <row r="54" spans="1:11" x14ac:dyDescent="0.2">
      <c r="A54" s="1">
        <f t="shared" si="1"/>
        <v>53</v>
      </c>
      <c r="B54" t="s">
        <v>25</v>
      </c>
      <c r="C54" s="7">
        <v>6838970</v>
      </c>
      <c r="D54" s="7">
        <v>0</v>
      </c>
      <c r="E54" s="7">
        <v>0</v>
      </c>
      <c r="F54" s="7">
        <v>0</v>
      </c>
      <c r="G54" s="7">
        <v>0</v>
      </c>
      <c r="H54" s="7">
        <f t="shared" si="10"/>
        <v>6838970</v>
      </c>
      <c r="J54" s="26">
        <f t="shared" si="11"/>
        <v>0.26246789999999998</v>
      </c>
      <c r="K54" s="26">
        <f t="shared" si="12"/>
        <v>6.0204999999999998E-3</v>
      </c>
    </row>
    <row r="55" spans="1:11" x14ac:dyDescent="0.2">
      <c r="A55" s="1">
        <f t="shared" si="1"/>
        <v>54</v>
      </c>
      <c r="C55" s="5"/>
      <c r="D55" s="5"/>
      <c r="E55" s="5"/>
      <c r="F55" s="5"/>
      <c r="G55" s="5"/>
      <c r="H55" s="5"/>
      <c r="J55" s="26"/>
      <c r="K55" s="26"/>
    </row>
    <row r="56" spans="1:11" ht="15" thickBot="1" x14ac:dyDescent="0.25">
      <c r="A56" s="1">
        <f t="shared" si="1"/>
        <v>55</v>
      </c>
      <c r="B56" t="s">
        <v>32</v>
      </c>
      <c r="C56" s="8">
        <f>SUM(C49:C54)</f>
        <v>26056409</v>
      </c>
      <c r="D56" s="8">
        <f t="shared" ref="D56:G56" si="13">SUM(D49:D54)</f>
        <v>0</v>
      </c>
      <c r="E56" s="8">
        <f t="shared" si="13"/>
        <v>0</v>
      </c>
      <c r="F56" s="8">
        <f t="shared" si="13"/>
        <v>0</v>
      </c>
      <c r="G56" s="8">
        <f t="shared" si="13"/>
        <v>0</v>
      </c>
      <c r="H56" s="8">
        <f>SUM(H49:H54)</f>
        <v>26056409</v>
      </c>
      <c r="J56" s="26">
        <f>SUM(J49:J54)</f>
        <v>1</v>
      </c>
      <c r="K56" s="26">
        <f>ROUND(H56/H$107,3)</f>
        <v>2.3E-2</v>
      </c>
    </row>
    <row r="57" spans="1:11" ht="15" thickTop="1" x14ac:dyDescent="0.2">
      <c r="A57" s="1">
        <f t="shared" si="1"/>
        <v>56</v>
      </c>
      <c r="C57" s="42"/>
      <c r="D57" s="5"/>
      <c r="E57" s="5"/>
      <c r="F57" s="5"/>
      <c r="G57" s="5"/>
      <c r="H57" s="5"/>
      <c r="J57" s="12"/>
      <c r="K57" s="12"/>
    </row>
    <row r="58" spans="1:11" ht="15" x14ac:dyDescent="0.25">
      <c r="A58" s="1">
        <f t="shared" si="1"/>
        <v>57</v>
      </c>
      <c r="K58" s="15" t="s">
        <v>108</v>
      </c>
    </row>
    <row r="59" spans="1:11" ht="15" x14ac:dyDescent="0.25">
      <c r="A59" s="1">
        <f t="shared" si="1"/>
        <v>58</v>
      </c>
      <c r="C59" s="34" t="s">
        <v>73</v>
      </c>
      <c r="D59" s="34"/>
      <c r="E59" s="34"/>
      <c r="F59" s="34"/>
      <c r="G59" s="34"/>
      <c r="H59" s="34"/>
      <c r="K59" s="15" t="s">
        <v>103</v>
      </c>
    </row>
    <row r="60" spans="1:11" ht="15" x14ac:dyDescent="0.25">
      <c r="A60" s="1">
        <f t="shared" si="1"/>
        <v>59</v>
      </c>
      <c r="C60" s="34" t="s">
        <v>109</v>
      </c>
      <c r="D60" s="34"/>
      <c r="E60" s="34"/>
      <c r="F60" s="34"/>
      <c r="G60" s="34"/>
      <c r="H60" s="34"/>
    </row>
    <row r="61" spans="1:11" ht="15" x14ac:dyDescent="0.25">
      <c r="A61" s="1">
        <f t="shared" si="1"/>
        <v>60</v>
      </c>
      <c r="C61" s="34" t="s">
        <v>110</v>
      </c>
      <c r="D61" s="34"/>
      <c r="E61" s="34"/>
      <c r="F61" s="34"/>
      <c r="G61" s="34"/>
      <c r="H61" s="34"/>
    </row>
    <row r="62" spans="1:11" ht="15" x14ac:dyDescent="0.25">
      <c r="A62" s="1">
        <f t="shared" si="1"/>
        <v>61</v>
      </c>
      <c r="C62" s="34" t="s">
        <v>122</v>
      </c>
      <c r="D62" s="34"/>
      <c r="E62" s="34"/>
      <c r="F62" s="34"/>
      <c r="G62" s="34"/>
      <c r="H62" s="34"/>
      <c r="J62" s="35"/>
      <c r="K62" s="35"/>
    </row>
    <row r="63" spans="1:11" ht="15" x14ac:dyDescent="0.25">
      <c r="A63" s="1">
        <f t="shared" si="1"/>
        <v>62</v>
      </c>
      <c r="C63" s="22"/>
      <c r="D63" s="22"/>
      <c r="E63" s="22"/>
      <c r="F63" s="22"/>
      <c r="G63" s="22"/>
      <c r="H63" s="22"/>
      <c r="J63" s="21"/>
      <c r="K63" s="21"/>
    </row>
    <row r="64" spans="1:11" x14ac:dyDescent="0.2">
      <c r="A64" s="1">
        <f t="shared" si="1"/>
        <v>63</v>
      </c>
      <c r="C64" s="36" t="s">
        <v>123</v>
      </c>
      <c r="D64" s="37"/>
      <c r="E64" s="37"/>
      <c r="F64" s="37"/>
      <c r="G64" s="37"/>
      <c r="H64" s="38"/>
      <c r="J64" s="12"/>
      <c r="K64" s="12"/>
    </row>
    <row r="65" spans="1:11" x14ac:dyDescent="0.2">
      <c r="A65" s="1">
        <f t="shared" si="1"/>
        <v>64</v>
      </c>
      <c r="B65" s="3"/>
      <c r="C65" s="3"/>
      <c r="D65" s="3" t="s">
        <v>2</v>
      </c>
      <c r="E65" s="3" t="s">
        <v>4</v>
      </c>
      <c r="F65" s="3" t="s">
        <v>6</v>
      </c>
      <c r="G65" s="3" t="s">
        <v>27</v>
      </c>
      <c r="H65" s="3" t="s">
        <v>8</v>
      </c>
      <c r="J65" s="10" t="s">
        <v>41</v>
      </c>
      <c r="K65" s="10" t="s">
        <v>42</v>
      </c>
    </row>
    <row r="66" spans="1:11" ht="15" thickBot="1" x14ac:dyDescent="0.25">
      <c r="A66" s="1">
        <f t="shared" si="1"/>
        <v>65</v>
      </c>
      <c r="B66" s="4" t="s">
        <v>0</v>
      </c>
      <c r="C66" s="4" t="s">
        <v>1</v>
      </c>
      <c r="D66" s="4" t="s">
        <v>3</v>
      </c>
      <c r="E66" s="4" t="s">
        <v>5</v>
      </c>
      <c r="F66" s="4" t="s">
        <v>7</v>
      </c>
      <c r="G66" s="4" t="s">
        <v>3</v>
      </c>
      <c r="H66" s="4" t="s">
        <v>9</v>
      </c>
      <c r="J66" s="11" t="s">
        <v>0</v>
      </c>
      <c r="K66" s="11" t="s">
        <v>43</v>
      </c>
    </row>
    <row r="67" spans="1:11" x14ac:dyDescent="0.2">
      <c r="A67" s="1">
        <f t="shared" si="1"/>
        <v>66</v>
      </c>
      <c r="B67" s="3"/>
      <c r="C67" s="3"/>
      <c r="D67" s="3"/>
      <c r="E67" s="3"/>
      <c r="F67" s="3"/>
      <c r="G67" s="3"/>
      <c r="H67" s="3"/>
      <c r="J67" s="10"/>
      <c r="K67" s="10"/>
    </row>
    <row r="68" spans="1:11" x14ac:dyDescent="0.2">
      <c r="A68" s="1">
        <f t="shared" si="1"/>
        <v>67</v>
      </c>
      <c r="B68" s="25" t="s">
        <v>33</v>
      </c>
      <c r="C68" s="5"/>
      <c r="D68" s="5"/>
      <c r="E68" s="5"/>
      <c r="F68" s="5"/>
      <c r="G68" s="5"/>
      <c r="H68" s="5"/>
      <c r="J68" s="12"/>
      <c r="K68" s="12"/>
    </row>
    <row r="69" spans="1:11" x14ac:dyDescent="0.2">
      <c r="A69" s="1">
        <f t="shared" si="1"/>
        <v>68</v>
      </c>
      <c r="B69" t="s">
        <v>12</v>
      </c>
      <c r="C69" s="5">
        <v>6586490</v>
      </c>
      <c r="D69" s="5">
        <v>0</v>
      </c>
      <c r="E69" s="5">
        <v>0</v>
      </c>
      <c r="F69" s="5">
        <v>0</v>
      </c>
      <c r="G69" s="5">
        <v>0</v>
      </c>
      <c r="H69" s="5">
        <f t="shared" ref="H69:H73" si="14">SUM(C69:G69)</f>
        <v>6586490</v>
      </c>
      <c r="J69" s="26">
        <f>ROUND(H69/H$75,7)</f>
        <v>0.1557241</v>
      </c>
      <c r="K69" s="26">
        <f>ROUND(H69/H$107,7)</f>
        <v>5.7981999999999999E-3</v>
      </c>
    </row>
    <row r="70" spans="1:11" x14ac:dyDescent="0.2">
      <c r="A70" s="1">
        <f t="shared" si="1"/>
        <v>69</v>
      </c>
      <c r="B70" s="24" t="s">
        <v>14</v>
      </c>
      <c r="C70" s="5">
        <v>2788437</v>
      </c>
      <c r="D70" s="5">
        <v>0</v>
      </c>
      <c r="E70" s="5">
        <v>0</v>
      </c>
      <c r="F70" s="5">
        <v>0</v>
      </c>
      <c r="G70" s="5">
        <v>0</v>
      </c>
      <c r="H70" s="5">
        <f t="shared" si="14"/>
        <v>2788437</v>
      </c>
      <c r="J70" s="26">
        <f>ROUND(H70/H$75,7)</f>
        <v>6.5926899999999997E-2</v>
      </c>
      <c r="K70" s="26">
        <f>ROUND(H70/H$107,7)</f>
        <v>2.4547000000000002E-3</v>
      </c>
    </row>
    <row r="71" spans="1:11" x14ac:dyDescent="0.2">
      <c r="A71" s="1">
        <f t="shared" si="1"/>
        <v>70</v>
      </c>
      <c r="B71" t="s">
        <v>16</v>
      </c>
      <c r="C71" s="5">
        <v>18857510</v>
      </c>
      <c r="D71" s="5">
        <v>0</v>
      </c>
      <c r="E71" s="5">
        <v>0</v>
      </c>
      <c r="F71" s="5">
        <v>0</v>
      </c>
      <c r="G71" s="5">
        <v>0</v>
      </c>
      <c r="H71" s="5">
        <f t="shared" si="14"/>
        <v>18857510</v>
      </c>
      <c r="J71" s="26">
        <f>ROUND(H71/H$75,7)</f>
        <v>0.4458473</v>
      </c>
      <c r="K71" s="26">
        <f>ROUND(H71/H$107,7)</f>
        <v>1.66006E-2</v>
      </c>
    </row>
    <row r="72" spans="1:11" x14ac:dyDescent="0.2">
      <c r="A72" s="1">
        <f t="shared" si="1"/>
        <v>71</v>
      </c>
      <c r="B72" t="s">
        <v>18</v>
      </c>
      <c r="C72" s="5">
        <v>6466168</v>
      </c>
      <c r="D72" s="5">
        <v>0</v>
      </c>
      <c r="E72" s="5">
        <v>0</v>
      </c>
      <c r="F72" s="5">
        <v>0</v>
      </c>
      <c r="G72" s="5">
        <v>0</v>
      </c>
      <c r="H72" s="5">
        <f t="shared" si="14"/>
        <v>6466168</v>
      </c>
      <c r="J72" s="26">
        <f>ROUND(H72/H$75,7)</f>
        <v>0.1528793</v>
      </c>
      <c r="K72" s="26">
        <f>ROUND(H72/H$107,7)</f>
        <v>5.6923E-3</v>
      </c>
    </row>
    <row r="73" spans="1:11" x14ac:dyDescent="0.2">
      <c r="A73" s="1">
        <f t="shared" si="1"/>
        <v>72</v>
      </c>
      <c r="B73" t="s">
        <v>21</v>
      </c>
      <c r="C73" s="7">
        <v>7597285</v>
      </c>
      <c r="D73" s="7">
        <v>0</v>
      </c>
      <c r="E73" s="7">
        <v>0</v>
      </c>
      <c r="F73" s="7">
        <v>0</v>
      </c>
      <c r="G73" s="7">
        <v>0</v>
      </c>
      <c r="H73" s="7">
        <f t="shared" si="14"/>
        <v>7597285</v>
      </c>
      <c r="J73" s="26">
        <f>ROUND(H73/H$75,7)</f>
        <v>0.17962230000000001</v>
      </c>
      <c r="K73" s="26">
        <f>ROUND(H73/H$107,7)</f>
        <v>6.6880000000000004E-3</v>
      </c>
    </row>
    <row r="74" spans="1:11" x14ac:dyDescent="0.2">
      <c r="A74" s="1">
        <f t="shared" si="1"/>
        <v>73</v>
      </c>
      <c r="C74" s="5"/>
      <c r="D74" s="5"/>
      <c r="E74" s="5"/>
      <c r="F74" s="5"/>
      <c r="G74" s="5"/>
      <c r="H74" s="5"/>
      <c r="J74" s="26"/>
      <c r="K74" s="26"/>
    </row>
    <row r="75" spans="1:11" ht="15" thickBot="1" x14ac:dyDescent="0.25">
      <c r="A75" s="1">
        <f t="shared" si="1"/>
        <v>74</v>
      </c>
      <c r="B75" t="s">
        <v>34</v>
      </c>
      <c r="C75" s="8">
        <f>SUM(C69:C73)</f>
        <v>42295890</v>
      </c>
      <c r="D75" s="8">
        <f t="shared" ref="D75:G75" si="15">SUM(D69:D73)</f>
        <v>0</v>
      </c>
      <c r="E75" s="8">
        <f t="shared" si="15"/>
        <v>0</v>
      </c>
      <c r="F75" s="8">
        <f t="shared" si="15"/>
        <v>0</v>
      </c>
      <c r="G75" s="8">
        <f t="shared" si="15"/>
        <v>0</v>
      </c>
      <c r="H75" s="8">
        <f>SUM(H69:H73)</f>
        <v>42295890</v>
      </c>
      <c r="J75" s="26">
        <f>SUM(J69:J73)</f>
        <v>0.99999990000000005</v>
      </c>
      <c r="K75" s="26">
        <f>ROUND(H75/H$107,3)</f>
        <v>3.6999999999999998E-2</v>
      </c>
    </row>
    <row r="76" spans="1:11" ht="15" thickTop="1" x14ac:dyDescent="0.2">
      <c r="A76" s="1">
        <f t="shared" si="1"/>
        <v>75</v>
      </c>
      <c r="C76" s="42"/>
      <c r="D76" s="5"/>
      <c r="E76" s="5"/>
      <c r="F76" s="5"/>
      <c r="G76" s="5"/>
      <c r="H76" s="5"/>
      <c r="J76" s="26"/>
      <c r="K76" s="26"/>
    </row>
    <row r="77" spans="1:11" x14ac:dyDescent="0.2">
      <c r="A77" s="1">
        <f t="shared" si="1"/>
        <v>76</v>
      </c>
      <c r="B77" s="25" t="s">
        <v>35</v>
      </c>
      <c r="C77" s="5"/>
      <c r="D77" s="5"/>
      <c r="E77" s="5"/>
      <c r="F77" s="5"/>
      <c r="G77" s="5"/>
      <c r="H77" s="5"/>
      <c r="J77" s="26"/>
      <c r="K77" s="26"/>
    </row>
    <row r="78" spans="1:11" ht="15" thickBot="1" x14ac:dyDescent="0.25">
      <c r="A78" s="1">
        <f t="shared" si="1"/>
        <v>77</v>
      </c>
      <c r="B78" s="9" t="s">
        <v>22</v>
      </c>
      <c r="C78" s="8">
        <v>65942897</v>
      </c>
      <c r="D78" s="8">
        <v>0</v>
      </c>
      <c r="E78" s="8">
        <v>0</v>
      </c>
      <c r="F78" s="8">
        <v>0</v>
      </c>
      <c r="G78" s="8">
        <v>0</v>
      </c>
      <c r="H78" s="8">
        <f t="shared" ref="H78" si="16">SUM(C78:G78)</f>
        <v>65942897</v>
      </c>
      <c r="J78" s="26">
        <v>1</v>
      </c>
      <c r="K78" s="26">
        <f>ROUND(H78/H$107,3)</f>
        <v>5.8000000000000003E-2</v>
      </c>
    </row>
    <row r="79" spans="1:11" ht="15" thickTop="1" x14ac:dyDescent="0.2">
      <c r="A79" s="1">
        <f t="shared" si="1"/>
        <v>78</v>
      </c>
      <c r="C79" s="42"/>
      <c r="D79" s="5"/>
      <c r="E79" s="5"/>
      <c r="F79" s="5"/>
      <c r="G79" s="5"/>
      <c r="H79" s="5"/>
      <c r="J79" s="26"/>
      <c r="K79" s="26"/>
    </row>
    <row r="80" spans="1:11" x14ac:dyDescent="0.2">
      <c r="A80" s="1">
        <f t="shared" si="1"/>
        <v>79</v>
      </c>
      <c r="B80" s="25" t="s">
        <v>36</v>
      </c>
      <c r="C80" s="5"/>
      <c r="D80" s="5"/>
      <c r="E80" s="5"/>
      <c r="F80" s="5"/>
      <c r="G80" s="5"/>
      <c r="H80" s="5"/>
      <c r="J80" s="26"/>
      <c r="K80" s="26"/>
    </row>
    <row r="81" spans="1:11" x14ac:dyDescent="0.2">
      <c r="A81" s="1">
        <f t="shared" si="1"/>
        <v>80</v>
      </c>
      <c r="B81" t="s">
        <v>16</v>
      </c>
      <c r="C81" s="5">
        <v>9686828</v>
      </c>
      <c r="D81" s="5">
        <v>0</v>
      </c>
      <c r="E81" s="5">
        <v>0</v>
      </c>
      <c r="F81" s="5">
        <v>0</v>
      </c>
      <c r="G81" s="5">
        <v>0</v>
      </c>
      <c r="H81" s="5">
        <f t="shared" ref="H81:H82" si="17">SUM(C81:G81)</f>
        <v>9686828</v>
      </c>
      <c r="J81" s="26">
        <f>ROUND(H81/H$84,7)</f>
        <v>0.61518620000000002</v>
      </c>
      <c r="K81" s="26">
        <f>ROUND(H81/H$107,7)</f>
        <v>8.5275000000000004E-3</v>
      </c>
    </row>
    <row r="82" spans="1:11" x14ac:dyDescent="0.2">
      <c r="A82" s="1">
        <f t="shared" si="1"/>
        <v>81</v>
      </c>
      <c r="B82" s="9" t="s">
        <v>26</v>
      </c>
      <c r="C82" s="7">
        <v>6059345</v>
      </c>
      <c r="D82" s="7">
        <v>0</v>
      </c>
      <c r="E82" s="7">
        <v>0</v>
      </c>
      <c r="F82" s="7">
        <v>0</v>
      </c>
      <c r="G82" s="7">
        <v>0</v>
      </c>
      <c r="H82" s="7">
        <f t="shared" si="17"/>
        <v>6059345</v>
      </c>
      <c r="J82" s="26">
        <f>ROUND(H82/H$84,7)</f>
        <v>0.38481379999999998</v>
      </c>
      <c r="K82" s="26">
        <f>ROUND(H82/H$107,7)</f>
        <v>5.3340999999999996E-3</v>
      </c>
    </row>
    <row r="83" spans="1:11" x14ac:dyDescent="0.2">
      <c r="A83" s="1">
        <f t="shared" si="1"/>
        <v>82</v>
      </c>
      <c r="C83" s="5"/>
      <c r="D83" s="5"/>
      <c r="E83" s="5"/>
      <c r="F83" s="5"/>
      <c r="G83" s="5"/>
      <c r="H83" s="5"/>
      <c r="J83" s="26"/>
      <c r="K83" s="26"/>
    </row>
    <row r="84" spans="1:11" ht="15" thickBot="1" x14ac:dyDescent="0.25">
      <c r="A84" s="1">
        <f t="shared" si="1"/>
        <v>83</v>
      </c>
      <c r="B84" t="s">
        <v>37</v>
      </c>
      <c r="C84" s="8">
        <f>SUM(C81:C82)</f>
        <v>15746173</v>
      </c>
      <c r="D84" s="8">
        <f t="shared" ref="D84:H84" si="18">SUM(D81:D82)</f>
        <v>0</v>
      </c>
      <c r="E84" s="8">
        <f t="shared" si="18"/>
        <v>0</v>
      </c>
      <c r="F84" s="8">
        <f t="shared" si="18"/>
        <v>0</v>
      </c>
      <c r="G84" s="8">
        <f t="shared" si="18"/>
        <v>0</v>
      </c>
      <c r="H84" s="8">
        <f t="shared" si="18"/>
        <v>15746173</v>
      </c>
      <c r="J84" s="26">
        <f>SUM(J81:J82)</f>
        <v>1</v>
      </c>
      <c r="K84" s="26">
        <f>ROUND(H84/H$107,3)</f>
        <v>1.4E-2</v>
      </c>
    </row>
    <row r="85" spans="1:11" ht="15" thickTop="1" x14ac:dyDescent="0.2">
      <c r="A85" s="1">
        <f t="shared" si="1"/>
        <v>84</v>
      </c>
      <c r="C85" s="42"/>
      <c r="D85" s="5"/>
      <c r="E85" s="5"/>
      <c r="F85" s="5"/>
      <c r="G85" s="5"/>
      <c r="H85" s="5"/>
      <c r="J85" s="26"/>
      <c r="K85" s="26"/>
    </row>
    <row r="86" spans="1:11" x14ac:dyDescent="0.2">
      <c r="A86" s="1">
        <f t="shared" ref="A86:A109" si="19">A85+1</f>
        <v>85</v>
      </c>
      <c r="B86" s="25" t="s">
        <v>38</v>
      </c>
      <c r="C86" s="5"/>
      <c r="D86" s="5"/>
      <c r="E86" s="5"/>
      <c r="F86" s="5"/>
      <c r="G86" s="5"/>
      <c r="H86" s="5"/>
      <c r="J86" s="26"/>
      <c r="K86" s="26"/>
    </row>
    <row r="87" spans="1:11" ht="15" thickBot="1" x14ac:dyDescent="0.25">
      <c r="A87" s="1">
        <f t="shared" si="19"/>
        <v>86</v>
      </c>
      <c r="B87" t="s">
        <v>16</v>
      </c>
      <c r="C87" s="8">
        <v>14760489</v>
      </c>
      <c r="D87" s="8">
        <v>0</v>
      </c>
      <c r="E87" s="8">
        <v>0</v>
      </c>
      <c r="F87" s="8">
        <v>0</v>
      </c>
      <c r="G87" s="8">
        <v>0</v>
      </c>
      <c r="H87" s="8">
        <f t="shared" ref="H87" si="20">SUM(C87:G87)</f>
        <v>14760489</v>
      </c>
      <c r="J87" s="26">
        <v>1</v>
      </c>
      <c r="K87" s="26">
        <f>ROUND(H87/H$107,3)</f>
        <v>1.2999999999999999E-2</v>
      </c>
    </row>
    <row r="88" spans="1:11" ht="15" thickTop="1" x14ac:dyDescent="0.2">
      <c r="A88" s="1">
        <f t="shared" si="19"/>
        <v>87</v>
      </c>
      <c r="C88" s="42"/>
      <c r="D88" s="5"/>
      <c r="E88" s="5"/>
      <c r="F88" s="5"/>
      <c r="G88" s="5"/>
      <c r="H88" s="5"/>
      <c r="J88" s="26"/>
      <c r="K88" s="26"/>
    </row>
    <row r="89" spans="1:11" x14ac:dyDescent="0.2">
      <c r="A89" s="1">
        <f t="shared" si="19"/>
        <v>88</v>
      </c>
      <c r="B89" s="6" t="s">
        <v>39</v>
      </c>
      <c r="C89" s="5"/>
      <c r="D89" s="5"/>
      <c r="E89" s="5"/>
      <c r="F89" s="5"/>
      <c r="G89" s="5"/>
      <c r="H89" s="5"/>
      <c r="J89" s="26"/>
      <c r="K89" s="26"/>
    </row>
    <row r="90" spans="1:11" x14ac:dyDescent="0.2">
      <c r="A90" s="1">
        <f t="shared" si="19"/>
        <v>89</v>
      </c>
      <c r="B90" t="s">
        <v>11</v>
      </c>
      <c r="C90" s="5">
        <f>C13+C33</f>
        <v>20344384</v>
      </c>
      <c r="D90" s="5">
        <f t="shared" ref="D90:H90" si="21">D13+D33</f>
        <v>0</v>
      </c>
      <c r="E90" s="5">
        <f t="shared" si="21"/>
        <v>660</v>
      </c>
      <c r="F90" s="5">
        <f t="shared" si="21"/>
        <v>-12014</v>
      </c>
      <c r="G90" s="5">
        <f t="shared" si="21"/>
        <v>0</v>
      </c>
      <c r="H90" s="5">
        <f t="shared" si="21"/>
        <v>20333030</v>
      </c>
      <c r="J90" s="26">
        <f t="shared" ref="J90:J105" si="22">ROUND(H90/H$107,7)</f>
        <v>1.7899499999999999E-2</v>
      </c>
      <c r="K90" s="26">
        <f t="shared" ref="K90:K105" si="23">ROUND(H90/H$107,7)</f>
        <v>1.7899499999999999E-2</v>
      </c>
    </row>
    <row r="91" spans="1:11" x14ac:dyDescent="0.2">
      <c r="A91" s="1">
        <f t="shared" si="19"/>
        <v>90</v>
      </c>
      <c r="B91" t="s">
        <v>12</v>
      </c>
      <c r="C91" s="5">
        <f>C14+C34+C69</f>
        <v>121424548</v>
      </c>
      <c r="D91" s="5">
        <f t="shared" ref="D91:H91" si="24">D14+D34+D69</f>
        <v>-8345</v>
      </c>
      <c r="E91" s="5">
        <f t="shared" si="24"/>
        <v>4731</v>
      </c>
      <c r="F91" s="5">
        <f t="shared" si="24"/>
        <v>-84126</v>
      </c>
      <c r="G91" s="5">
        <f t="shared" si="24"/>
        <v>0</v>
      </c>
      <c r="H91" s="5">
        <f t="shared" si="24"/>
        <v>121336808</v>
      </c>
      <c r="J91" s="26">
        <f t="shared" si="22"/>
        <v>0.1068149</v>
      </c>
      <c r="K91" s="26">
        <f t="shared" si="23"/>
        <v>0.1068149</v>
      </c>
    </row>
    <row r="92" spans="1:11" x14ac:dyDescent="0.2">
      <c r="A92" s="1">
        <f t="shared" si="19"/>
        <v>91</v>
      </c>
      <c r="B92" t="s">
        <v>13</v>
      </c>
      <c r="C92" s="5">
        <f>C15</f>
        <v>41836388</v>
      </c>
      <c r="D92" s="5">
        <f t="shared" ref="D92:H92" si="25">D15</f>
        <v>-878</v>
      </c>
      <c r="E92" s="5">
        <f t="shared" si="25"/>
        <v>576</v>
      </c>
      <c r="F92" s="5">
        <f t="shared" si="25"/>
        <v>-10230</v>
      </c>
      <c r="G92" s="5">
        <f t="shared" si="25"/>
        <v>0</v>
      </c>
      <c r="H92" s="5">
        <f t="shared" si="25"/>
        <v>41825856</v>
      </c>
      <c r="J92" s="26">
        <f t="shared" si="22"/>
        <v>3.6819999999999999E-2</v>
      </c>
      <c r="K92" s="26">
        <f t="shared" si="23"/>
        <v>3.6819999999999999E-2</v>
      </c>
    </row>
    <row r="93" spans="1:11" x14ac:dyDescent="0.2">
      <c r="A93" s="1">
        <f t="shared" si="19"/>
        <v>92</v>
      </c>
      <c r="B93" t="s">
        <v>14</v>
      </c>
      <c r="C93" s="5">
        <f>C16+C49+C70</f>
        <v>45384774</v>
      </c>
      <c r="D93" s="5">
        <f t="shared" ref="D93:G93" si="26">D16+D49+D70</f>
        <v>-44</v>
      </c>
      <c r="E93" s="5">
        <f t="shared" si="26"/>
        <v>180</v>
      </c>
      <c r="F93" s="5">
        <f t="shared" si="26"/>
        <v>-3724</v>
      </c>
      <c r="G93" s="5">
        <f t="shared" si="26"/>
        <v>0</v>
      </c>
      <c r="H93" s="5">
        <f>H16+H49+H70</f>
        <v>45381186</v>
      </c>
      <c r="J93" s="26">
        <f t="shared" si="22"/>
        <v>3.9949900000000003E-2</v>
      </c>
      <c r="K93" s="26">
        <f t="shared" si="23"/>
        <v>3.9949900000000003E-2</v>
      </c>
    </row>
    <row r="94" spans="1:11" x14ac:dyDescent="0.2">
      <c r="A94" s="1">
        <f t="shared" si="19"/>
        <v>93</v>
      </c>
      <c r="B94" t="s">
        <v>15</v>
      </c>
      <c r="C94" s="5">
        <f>C17+C50</f>
        <v>45457064</v>
      </c>
      <c r="D94" s="5">
        <f t="shared" ref="D94:H94" si="27">D17+D50</f>
        <v>-1045</v>
      </c>
      <c r="E94" s="5">
        <f t="shared" si="27"/>
        <v>336</v>
      </c>
      <c r="F94" s="5">
        <f t="shared" si="27"/>
        <v>-39077</v>
      </c>
      <c r="G94" s="5">
        <f t="shared" si="27"/>
        <v>0</v>
      </c>
      <c r="H94" s="5">
        <f t="shared" si="27"/>
        <v>45417278</v>
      </c>
      <c r="J94" s="26">
        <f t="shared" si="22"/>
        <v>3.9981599999999999E-2</v>
      </c>
      <c r="K94" s="26">
        <f t="shared" si="23"/>
        <v>3.9981599999999999E-2</v>
      </c>
    </row>
    <row r="95" spans="1:11" x14ac:dyDescent="0.2">
      <c r="A95" s="1">
        <f t="shared" si="19"/>
        <v>94</v>
      </c>
      <c r="B95" t="s">
        <v>16</v>
      </c>
      <c r="C95" s="5">
        <f>C18+C51+C71+C81+C87+C35</f>
        <v>95012288</v>
      </c>
      <c r="D95" s="5">
        <f>D18+D51+D71+D81+D87+D35</f>
        <v>-3275</v>
      </c>
      <c r="E95" s="5">
        <f>E18+E51+E71+E81+E87+E35</f>
        <v>420</v>
      </c>
      <c r="F95" s="5">
        <f>F18+F51+F71+F81+F87+F35</f>
        <v>-21940</v>
      </c>
      <c r="G95" s="5">
        <f t="shared" ref="G95" si="28">G18+G51+G71+G81+G87+G35</f>
        <v>0</v>
      </c>
      <c r="H95" s="5">
        <f>H18+H51+H71+H81+H87+H35</f>
        <v>94987493</v>
      </c>
      <c r="J95" s="26">
        <f t="shared" si="22"/>
        <v>8.3619200000000005E-2</v>
      </c>
      <c r="K95" s="26">
        <f t="shared" si="23"/>
        <v>8.3619200000000005E-2</v>
      </c>
    </row>
    <row r="96" spans="1:11" x14ac:dyDescent="0.2">
      <c r="A96" s="1">
        <f t="shared" si="19"/>
        <v>95</v>
      </c>
      <c r="B96" t="s">
        <v>17</v>
      </c>
      <c r="C96" s="5">
        <f>C19+C36+C52</f>
        <v>26278682</v>
      </c>
      <c r="D96" s="5">
        <f t="shared" ref="D96:G96" si="29">D19+D36+D52</f>
        <v>-4006</v>
      </c>
      <c r="E96" s="5">
        <f t="shared" si="29"/>
        <v>1054</v>
      </c>
      <c r="F96" s="5">
        <f t="shared" si="29"/>
        <v>-1473</v>
      </c>
      <c r="G96" s="5">
        <f t="shared" si="29"/>
        <v>0</v>
      </c>
      <c r="H96" s="5">
        <f>H19+H36+H52</f>
        <v>26274257</v>
      </c>
      <c r="J96" s="26">
        <f t="shared" si="22"/>
        <v>2.31297E-2</v>
      </c>
      <c r="K96" s="26">
        <f t="shared" si="23"/>
        <v>2.31297E-2</v>
      </c>
    </row>
    <row r="97" spans="1:11" x14ac:dyDescent="0.2">
      <c r="A97" s="1">
        <f t="shared" si="19"/>
        <v>96</v>
      </c>
      <c r="B97" t="s">
        <v>18</v>
      </c>
      <c r="C97" s="5">
        <f>C20+C37+C72</f>
        <v>51420794</v>
      </c>
      <c r="D97" s="5">
        <f t="shared" ref="D97:H97" si="30">D20+D37+D72</f>
        <v>-10075</v>
      </c>
      <c r="E97" s="5">
        <f t="shared" si="30"/>
        <v>12993</v>
      </c>
      <c r="F97" s="5">
        <f t="shared" si="30"/>
        <v>-43146</v>
      </c>
      <c r="G97" s="5">
        <f t="shared" si="30"/>
        <v>0</v>
      </c>
      <c r="H97" s="5">
        <f t="shared" si="30"/>
        <v>51380566</v>
      </c>
      <c r="J97" s="26">
        <f t="shared" si="22"/>
        <v>4.5231199999999999E-2</v>
      </c>
      <c r="K97" s="26">
        <f t="shared" si="23"/>
        <v>4.5231199999999999E-2</v>
      </c>
    </row>
    <row r="98" spans="1:11" x14ac:dyDescent="0.2">
      <c r="A98" s="1">
        <f t="shared" si="19"/>
        <v>97</v>
      </c>
      <c r="B98" t="s">
        <v>19</v>
      </c>
      <c r="C98" s="5">
        <f>C21+C38+C53</f>
        <v>86744339</v>
      </c>
      <c r="D98" s="5">
        <f t="shared" ref="D98:H98" si="31">D21+D38+D53</f>
        <v>-1500</v>
      </c>
      <c r="E98" s="5">
        <f t="shared" si="31"/>
        <v>1780</v>
      </c>
      <c r="F98" s="5">
        <f t="shared" si="31"/>
        <v>-13802</v>
      </c>
      <c r="G98" s="5">
        <f t="shared" si="31"/>
        <v>0</v>
      </c>
      <c r="H98" s="5">
        <f t="shared" si="31"/>
        <v>86730817</v>
      </c>
      <c r="J98" s="26">
        <f t="shared" si="22"/>
        <v>7.6350699999999994E-2</v>
      </c>
      <c r="K98" s="26">
        <f t="shared" si="23"/>
        <v>7.6350699999999994E-2</v>
      </c>
    </row>
    <row r="99" spans="1:11" x14ac:dyDescent="0.2">
      <c r="A99" s="1">
        <f t="shared" si="19"/>
        <v>98</v>
      </c>
      <c r="B99" t="s">
        <v>20</v>
      </c>
      <c r="C99" s="5">
        <f>C22</f>
        <v>23211512</v>
      </c>
      <c r="D99" s="5">
        <f t="shared" ref="D99:H99" si="32">D22</f>
        <v>-224</v>
      </c>
      <c r="E99" s="5">
        <f t="shared" si="32"/>
        <v>503</v>
      </c>
      <c r="F99" s="5">
        <f t="shared" si="32"/>
        <v>-2223</v>
      </c>
      <c r="G99" s="5">
        <f t="shared" si="32"/>
        <v>0</v>
      </c>
      <c r="H99" s="5">
        <f t="shared" si="32"/>
        <v>23209568</v>
      </c>
      <c r="J99" s="26">
        <f t="shared" si="22"/>
        <v>2.04318E-2</v>
      </c>
      <c r="K99" s="26">
        <f t="shared" si="23"/>
        <v>2.04318E-2</v>
      </c>
    </row>
    <row r="100" spans="1:11" x14ac:dyDescent="0.2">
      <c r="A100" s="1">
        <f t="shared" si="19"/>
        <v>99</v>
      </c>
      <c r="B100" t="s">
        <v>21</v>
      </c>
      <c r="C100" s="5">
        <f>C23+C39+C73</f>
        <v>65730282</v>
      </c>
      <c r="D100" s="5">
        <f t="shared" ref="D100:H100" si="33">D23+D39+D73</f>
        <v>-1149</v>
      </c>
      <c r="E100" s="5">
        <f t="shared" si="33"/>
        <v>4518</v>
      </c>
      <c r="F100" s="5">
        <f t="shared" si="33"/>
        <v>-11956</v>
      </c>
      <c r="G100" s="5">
        <f t="shared" si="33"/>
        <v>0</v>
      </c>
      <c r="H100" s="5">
        <f t="shared" si="33"/>
        <v>65721695</v>
      </c>
      <c r="J100" s="26">
        <f t="shared" si="22"/>
        <v>5.7855999999999998E-2</v>
      </c>
      <c r="K100" s="26">
        <f t="shared" si="23"/>
        <v>5.7855999999999998E-2</v>
      </c>
    </row>
    <row r="101" spans="1:11" x14ac:dyDescent="0.2">
      <c r="A101" s="1">
        <f t="shared" si="19"/>
        <v>100</v>
      </c>
      <c r="B101" t="s">
        <v>22</v>
      </c>
      <c r="C101" s="5">
        <f>C24+C40+C78</f>
        <v>186312226</v>
      </c>
      <c r="D101" s="5">
        <f t="shared" ref="D101:H101" si="34">D24+D40+D78</f>
        <v>-9186</v>
      </c>
      <c r="E101" s="5">
        <f t="shared" si="34"/>
        <v>9368</v>
      </c>
      <c r="F101" s="5">
        <f t="shared" si="34"/>
        <v>-104282</v>
      </c>
      <c r="G101" s="5">
        <f t="shared" si="34"/>
        <v>0</v>
      </c>
      <c r="H101" s="5">
        <f t="shared" si="34"/>
        <v>186208126</v>
      </c>
      <c r="J101" s="26">
        <f t="shared" si="22"/>
        <v>0.16392229999999999</v>
      </c>
      <c r="K101" s="26">
        <f t="shared" si="23"/>
        <v>0.16392229999999999</v>
      </c>
    </row>
    <row r="102" spans="1:11" x14ac:dyDescent="0.2">
      <c r="A102" s="1">
        <f t="shared" si="19"/>
        <v>101</v>
      </c>
      <c r="B102" t="s">
        <v>23</v>
      </c>
      <c r="C102" s="5">
        <f>C25+C41</f>
        <v>115102815</v>
      </c>
      <c r="D102" s="5">
        <f t="shared" ref="D102:H103" si="35">D25+D41</f>
        <v>-5589</v>
      </c>
      <c r="E102" s="5">
        <f t="shared" si="35"/>
        <v>1670</v>
      </c>
      <c r="F102" s="5">
        <f t="shared" si="35"/>
        <v>-53334</v>
      </c>
      <c r="G102" s="5">
        <f t="shared" si="35"/>
        <v>-539298</v>
      </c>
      <c r="H102" s="5">
        <f t="shared" si="35"/>
        <v>114506264</v>
      </c>
      <c r="J102" s="26">
        <f t="shared" si="22"/>
        <v>0.1008019</v>
      </c>
      <c r="K102" s="26">
        <f t="shared" si="23"/>
        <v>0.1008019</v>
      </c>
    </row>
    <row r="103" spans="1:11" x14ac:dyDescent="0.2">
      <c r="A103" s="1">
        <f t="shared" si="19"/>
        <v>102</v>
      </c>
      <c r="B103" t="s">
        <v>24</v>
      </c>
      <c r="C103" s="5">
        <f>C26+C42</f>
        <v>41996474</v>
      </c>
      <c r="D103" s="5">
        <f t="shared" si="35"/>
        <v>-3988</v>
      </c>
      <c r="E103" s="5">
        <f t="shared" si="35"/>
        <v>2436</v>
      </c>
      <c r="F103" s="5">
        <f t="shared" si="35"/>
        <v>-27527</v>
      </c>
      <c r="G103" s="5">
        <f t="shared" si="35"/>
        <v>0</v>
      </c>
      <c r="H103" s="5">
        <f t="shared" si="35"/>
        <v>41967395</v>
      </c>
      <c r="J103" s="26">
        <f t="shared" si="22"/>
        <v>3.6944600000000001E-2</v>
      </c>
      <c r="K103" s="26">
        <f t="shared" si="23"/>
        <v>3.6944600000000001E-2</v>
      </c>
    </row>
    <row r="104" spans="1:11" x14ac:dyDescent="0.2">
      <c r="A104" s="1">
        <f t="shared" si="19"/>
        <v>103</v>
      </c>
      <c r="B104" t="s">
        <v>25</v>
      </c>
      <c r="C104" s="5">
        <f>C27+C43+C54</f>
        <v>120298833</v>
      </c>
      <c r="D104" s="5">
        <f t="shared" ref="D104:H104" si="36">D27+D43+D54</f>
        <v>-5812</v>
      </c>
      <c r="E104" s="5">
        <f t="shared" si="36"/>
        <v>4131</v>
      </c>
      <c r="F104" s="5">
        <f t="shared" si="36"/>
        <v>-86511</v>
      </c>
      <c r="G104" s="5">
        <f t="shared" si="36"/>
        <v>0</v>
      </c>
      <c r="H104" s="5">
        <f t="shared" si="36"/>
        <v>120210641</v>
      </c>
      <c r="J104" s="26">
        <f t="shared" si="22"/>
        <v>0.1058236</v>
      </c>
      <c r="K104" s="26">
        <f t="shared" si="23"/>
        <v>0.1058236</v>
      </c>
    </row>
    <row r="105" spans="1:11" x14ac:dyDescent="0.2">
      <c r="A105" s="1">
        <f t="shared" si="19"/>
        <v>104</v>
      </c>
      <c r="B105" t="s">
        <v>26</v>
      </c>
      <c r="C105" s="7">
        <f>C28+C44+C82</f>
        <v>50474424</v>
      </c>
      <c r="D105" s="7">
        <f t="shared" ref="D105:H105" si="37">D28+D44+D82</f>
        <v>0</v>
      </c>
      <c r="E105" s="7">
        <f t="shared" si="37"/>
        <v>0</v>
      </c>
      <c r="F105" s="7">
        <f t="shared" si="37"/>
        <v>-11969</v>
      </c>
      <c r="G105" s="7">
        <f t="shared" si="37"/>
        <v>0</v>
      </c>
      <c r="H105" s="7">
        <f t="shared" si="37"/>
        <v>50462455</v>
      </c>
      <c r="J105" s="26">
        <f t="shared" si="22"/>
        <v>4.4422999999999997E-2</v>
      </c>
      <c r="K105" s="26">
        <f t="shared" si="23"/>
        <v>4.4422999999999997E-2</v>
      </c>
    </row>
    <row r="106" spans="1:11" x14ac:dyDescent="0.2">
      <c r="A106" s="1">
        <f t="shared" si="19"/>
        <v>105</v>
      </c>
      <c r="C106" s="5"/>
      <c r="D106" s="5"/>
      <c r="E106" s="5"/>
      <c r="F106" s="5"/>
      <c r="G106" s="5"/>
      <c r="H106" s="5"/>
      <c r="J106" s="26"/>
      <c r="K106" s="26"/>
    </row>
    <row r="107" spans="1:11" ht="15" thickBot="1" x14ac:dyDescent="0.25">
      <c r="A107" s="1">
        <f t="shared" si="19"/>
        <v>106</v>
      </c>
      <c r="B107" t="s">
        <v>40</v>
      </c>
      <c r="C107" s="8">
        <f>SUM(C90:C105)</f>
        <v>1137029827</v>
      </c>
      <c r="D107" s="8">
        <f t="shared" ref="D107:H107" si="38">SUM(D90:D105)</f>
        <v>-55116</v>
      </c>
      <c r="E107" s="8">
        <f t="shared" si="38"/>
        <v>45356</v>
      </c>
      <c r="F107" s="8">
        <f t="shared" si="38"/>
        <v>-527334</v>
      </c>
      <c r="G107" s="8">
        <f t="shared" si="38"/>
        <v>-539298</v>
      </c>
      <c r="H107" s="8">
        <f t="shared" si="38"/>
        <v>1135953435</v>
      </c>
      <c r="J107" s="26">
        <f>SUM(J90:J105)</f>
        <v>0.99999989999999994</v>
      </c>
      <c r="K107" s="26">
        <f>K30+K46+K56+K75+K78+K84+K87</f>
        <v>1</v>
      </c>
    </row>
    <row r="108" spans="1:11" ht="15" thickTop="1" x14ac:dyDescent="0.2">
      <c r="A108" s="1">
        <f t="shared" si="19"/>
        <v>107</v>
      </c>
      <c r="C108" s="42"/>
      <c r="D108" s="5"/>
      <c r="E108" s="5"/>
      <c r="F108" s="5"/>
      <c r="G108" s="5"/>
      <c r="H108" s="5"/>
    </row>
    <row r="109" spans="1:11" x14ac:dyDescent="0.2">
      <c r="A109" s="1">
        <f t="shared" si="19"/>
        <v>108</v>
      </c>
      <c r="C109" s="5"/>
      <c r="D109" s="5"/>
      <c r="E109" s="5"/>
      <c r="F109" s="5"/>
      <c r="G109" s="5"/>
      <c r="H109" s="5"/>
    </row>
  </sheetData>
  <mergeCells count="12">
    <mergeCell ref="J6:K6"/>
    <mergeCell ref="C59:H59"/>
    <mergeCell ref="C60:H60"/>
    <mergeCell ref="C61:H61"/>
    <mergeCell ref="C62:H62"/>
    <mergeCell ref="J62:K62"/>
    <mergeCell ref="C8:H8"/>
    <mergeCell ref="C3:H3"/>
    <mergeCell ref="C4:H4"/>
    <mergeCell ref="C5:H5"/>
    <mergeCell ref="C6:H6"/>
    <mergeCell ref="C64:H64"/>
  </mergeCells>
  <pageMargins left="0.7" right="0.7" top="0.75" bottom="0.75" header="0.3" footer="0.3"/>
  <pageSetup scale="66" fitToHeight="2" orientation="landscape" verticalDpi="0" r:id="rId1"/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Margins</vt:lpstr>
      <vt:lpstr> Allocation Pg 1</vt:lpstr>
      <vt:lpstr>Allocation Pg 2</vt:lpstr>
      <vt:lpstr>Revenue Detail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Scott</dc:creator>
  <cp:lastModifiedBy>Isaac Scott</cp:lastModifiedBy>
  <cp:lastPrinted>2021-12-16T13:13:25Z</cp:lastPrinted>
  <dcterms:created xsi:type="dcterms:W3CDTF">2021-08-05T17:31:43Z</dcterms:created>
  <dcterms:modified xsi:type="dcterms:W3CDTF">2023-04-04T19:33:07Z</dcterms:modified>
</cp:coreProperties>
</file>